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wanb\PycharmProjects\RWHSimulation\"/>
    </mc:Choice>
  </mc:AlternateContent>
  <xr:revisionPtr revIDLastSave="0" documentId="13_ncr:1_{1944D885-90EA-4859-93B3-D090E9A48056}" xr6:coauthVersionLast="47" xr6:coauthVersionMax="47" xr10:uidLastSave="{00000000-0000-0000-0000-000000000000}"/>
  <bookViews>
    <workbookView xWindow="-108" yWindow="-108" windowWidth="23256" windowHeight="12576" firstSheet="1" activeTab="6" xr2:uid="{00000000-000D-0000-FFFF-FFFF00000000}"/>
  </bookViews>
  <sheets>
    <sheet name="Values that passed" sheetId="1" r:id="rId1"/>
    <sheet name="Parameters and Satisfaction" sheetId="2" r:id="rId2"/>
    <sheet name="Cost Calculations" sheetId="3" r:id="rId3"/>
    <sheet name="Water Stuff" sheetId="4" r:id="rId4"/>
    <sheet name="Pumps" sheetId="5" r:id="rId5"/>
    <sheet name="Location" sheetId="6" r:id="rId6"/>
    <sheet name="Power System Selection" sheetId="7" r:id="rId7"/>
    <sheet name="Storage -&gt; House" sheetId="8" r:id="rId8"/>
    <sheet name="Filtration System" sheetId="9" r:id="rId9"/>
    <sheet name="Power System GHG" sheetId="10" r:id="rId10"/>
    <sheet name="Health and Environment" sheetId="11" r:id="rId11"/>
    <sheet name="5 Year Rainfall Simulation" sheetId="12" r:id="rId12"/>
    <sheet name="Week 9 Studio" sheetId="13" r:id="rId13"/>
    <sheet name="Week 10 Studio" sheetId="14" r:id="rId14"/>
    <sheet name="W10 Class A Energy Calculations" sheetId="15" r:id="rId15"/>
    <sheet name="W9 Class B Solar Model" sheetId="16" r:id="rId16"/>
    <sheet name="Week 11 Studio" sheetId="17" r:id="rId17"/>
    <sheet name="Week 12 Studio" sheetId="18" r:id="rId18"/>
    <sheet name="Station 1 - 2014" sheetId="19" r:id="rId19"/>
    <sheet name="Station 1 - 2015" sheetId="20" r:id="rId20"/>
    <sheet name="Station 2 - 2015" sheetId="21" r:id="rId21"/>
    <sheet name="Station 3 - 2013" sheetId="22" r:id="rId22"/>
  </sheets>
  <definedNames>
    <definedName name="_xlnm._FilterDatabase" localSheetId="8" hidden="1">'Filtration System'!$AG$33:$AL$34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76" i="19" l="1"/>
  <c r="D375" i="19"/>
  <c r="D374" i="19"/>
  <c r="D373" i="19"/>
  <c r="D372" i="19"/>
  <c r="D371" i="19"/>
  <c r="D370" i="19"/>
  <c r="D369" i="19"/>
  <c r="D368" i="19"/>
  <c r="D367" i="19"/>
  <c r="D366" i="19"/>
  <c r="D365" i="19"/>
  <c r="D364" i="19"/>
  <c r="D363" i="19"/>
  <c r="D362" i="19"/>
  <c r="D361" i="19"/>
  <c r="D360" i="19"/>
  <c r="D359" i="19"/>
  <c r="D358" i="19"/>
  <c r="D357" i="19"/>
  <c r="D356" i="19"/>
  <c r="D355" i="19"/>
  <c r="D354" i="19"/>
  <c r="D353" i="19"/>
  <c r="D352" i="19"/>
  <c r="D351" i="19"/>
  <c r="D350" i="19"/>
  <c r="D349" i="19"/>
  <c r="D348" i="19"/>
  <c r="D347" i="19"/>
  <c r="D346" i="19"/>
  <c r="D345" i="19"/>
  <c r="D344" i="19"/>
  <c r="D343" i="19"/>
  <c r="D342" i="19"/>
  <c r="D341" i="19"/>
  <c r="D340" i="19"/>
  <c r="D339" i="19"/>
  <c r="D338" i="19"/>
  <c r="D337" i="19"/>
  <c r="D336" i="19"/>
  <c r="D335" i="19"/>
  <c r="D334" i="19"/>
  <c r="D333" i="19"/>
  <c r="D332" i="19"/>
  <c r="D331" i="19"/>
  <c r="D330" i="19"/>
  <c r="D329" i="19"/>
  <c r="D328" i="19"/>
  <c r="D327" i="19"/>
  <c r="D326" i="19"/>
  <c r="D325" i="19"/>
  <c r="D324" i="19"/>
  <c r="D323" i="19"/>
  <c r="D322" i="19"/>
  <c r="D321" i="19"/>
  <c r="D320" i="19"/>
  <c r="D319" i="19"/>
  <c r="D318" i="19"/>
  <c r="D317" i="19"/>
  <c r="D316" i="19"/>
  <c r="D315" i="19"/>
  <c r="D314" i="19"/>
  <c r="D313" i="19"/>
  <c r="D312" i="19"/>
  <c r="D311" i="19"/>
  <c r="D310" i="19"/>
  <c r="D309" i="19"/>
  <c r="D308" i="19"/>
  <c r="D307" i="19"/>
  <c r="D306" i="19"/>
  <c r="D305" i="19"/>
  <c r="D304" i="19"/>
  <c r="D303" i="19"/>
  <c r="D302" i="19"/>
  <c r="D301" i="19"/>
  <c r="D300" i="19"/>
  <c r="D299" i="19"/>
  <c r="D298" i="19"/>
  <c r="D297" i="19"/>
  <c r="D296" i="19"/>
  <c r="D295" i="19"/>
  <c r="D294" i="19"/>
  <c r="D293" i="19"/>
  <c r="D292" i="19"/>
  <c r="D291" i="19"/>
  <c r="D290" i="19"/>
  <c r="D289" i="19"/>
  <c r="D288" i="19"/>
  <c r="D287" i="19"/>
  <c r="D286" i="19"/>
  <c r="D285" i="19"/>
  <c r="D284" i="19"/>
  <c r="D283" i="19"/>
  <c r="D282" i="19"/>
  <c r="D281" i="19"/>
  <c r="D280" i="19"/>
  <c r="D279" i="19"/>
  <c r="D278" i="19"/>
  <c r="D277" i="19"/>
  <c r="D276" i="19"/>
  <c r="D275" i="19"/>
  <c r="D274" i="19"/>
  <c r="D273" i="19"/>
  <c r="D272" i="19"/>
  <c r="D271" i="19"/>
  <c r="D270" i="19"/>
  <c r="D269" i="19"/>
  <c r="D268" i="19"/>
  <c r="D267" i="19"/>
  <c r="D266" i="19"/>
  <c r="D265" i="19"/>
  <c r="D264" i="19"/>
  <c r="D263" i="19"/>
  <c r="D262" i="19"/>
  <c r="D261" i="19"/>
  <c r="D260" i="19"/>
  <c r="D259" i="19"/>
  <c r="D258" i="19"/>
  <c r="D257" i="19"/>
  <c r="D256" i="19"/>
  <c r="D255" i="19"/>
  <c r="D254" i="19"/>
  <c r="D253" i="19"/>
  <c r="D252" i="19"/>
  <c r="D251" i="19"/>
  <c r="D250" i="19"/>
  <c r="D249" i="19"/>
  <c r="D248" i="19"/>
  <c r="D247" i="19"/>
  <c r="D246" i="19"/>
  <c r="D245" i="19"/>
  <c r="D244" i="19"/>
  <c r="D243" i="19"/>
  <c r="D242" i="19"/>
  <c r="D241" i="19"/>
  <c r="D240" i="19"/>
  <c r="D239" i="19"/>
  <c r="D238" i="19"/>
  <c r="D237" i="19"/>
  <c r="D236" i="19"/>
  <c r="D235" i="19"/>
  <c r="D234" i="19"/>
  <c r="D233" i="19"/>
  <c r="D232" i="19"/>
  <c r="D231" i="19"/>
  <c r="D230" i="19"/>
  <c r="D229" i="19"/>
  <c r="D228" i="19"/>
  <c r="D227" i="19"/>
  <c r="D226" i="19"/>
  <c r="D225" i="19"/>
  <c r="D224" i="19"/>
  <c r="D223" i="19"/>
  <c r="D222" i="19"/>
  <c r="D221" i="19"/>
  <c r="D220" i="19"/>
  <c r="D219" i="19"/>
  <c r="D218" i="19"/>
  <c r="D217" i="19"/>
  <c r="D216" i="19"/>
  <c r="D215" i="19"/>
  <c r="D214" i="19"/>
  <c r="D213" i="19"/>
  <c r="D212" i="19"/>
  <c r="D211" i="19"/>
  <c r="D210" i="19"/>
  <c r="D209" i="19"/>
  <c r="D208" i="19"/>
  <c r="D207" i="19"/>
  <c r="D206" i="19"/>
  <c r="D205" i="19"/>
  <c r="D204" i="19"/>
  <c r="D203" i="19"/>
  <c r="D202" i="19"/>
  <c r="D201" i="19"/>
  <c r="D200" i="19"/>
  <c r="D199" i="19"/>
  <c r="D198" i="19"/>
  <c r="D197" i="19"/>
  <c r="D196" i="19"/>
  <c r="D195" i="19"/>
  <c r="D194" i="19"/>
  <c r="D193" i="19"/>
  <c r="D192" i="19"/>
  <c r="D191" i="19"/>
  <c r="D190" i="19"/>
  <c r="D189" i="19"/>
  <c r="D188" i="19"/>
  <c r="D187" i="19"/>
  <c r="D186" i="19"/>
  <c r="D185" i="19"/>
  <c r="D184" i="19"/>
  <c r="D183" i="19"/>
  <c r="D182" i="19"/>
  <c r="D181" i="19"/>
  <c r="D180" i="19"/>
  <c r="D179" i="19"/>
  <c r="D178" i="19"/>
  <c r="D177" i="19"/>
  <c r="D176" i="19"/>
  <c r="D175" i="19"/>
  <c r="D174" i="19"/>
  <c r="D173" i="19"/>
  <c r="D172" i="19"/>
  <c r="D171" i="19"/>
  <c r="D170" i="19"/>
  <c r="D169" i="19"/>
  <c r="D168" i="19"/>
  <c r="D167" i="19"/>
  <c r="D166" i="19"/>
  <c r="D165" i="19"/>
  <c r="D164" i="19"/>
  <c r="D163" i="19"/>
  <c r="D162" i="19"/>
  <c r="D161" i="19"/>
  <c r="D160" i="19"/>
  <c r="D159" i="19"/>
  <c r="D158" i="19"/>
  <c r="D157" i="19"/>
  <c r="D156" i="19"/>
  <c r="D155" i="19"/>
  <c r="D154" i="19"/>
  <c r="D153" i="19"/>
  <c r="D152" i="19"/>
  <c r="D151" i="19"/>
  <c r="D150" i="19"/>
  <c r="D149" i="19"/>
  <c r="D148" i="19"/>
  <c r="D147" i="19"/>
  <c r="D146" i="19"/>
  <c r="D145" i="19"/>
  <c r="D144" i="19"/>
  <c r="D143" i="19"/>
  <c r="D142" i="19"/>
  <c r="D141" i="19"/>
  <c r="D140" i="19"/>
  <c r="D139" i="19"/>
  <c r="D138" i="19"/>
  <c r="D137" i="19"/>
  <c r="D136" i="19"/>
  <c r="D135" i="19"/>
  <c r="D134" i="19"/>
  <c r="D133" i="19"/>
  <c r="D132" i="19"/>
  <c r="D131" i="19"/>
  <c r="D130" i="19"/>
  <c r="D129" i="19"/>
  <c r="D128" i="19"/>
  <c r="D127" i="19"/>
  <c r="D126" i="19"/>
  <c r="D125" i="19"/>
  <c r="D124" i="19"/>
  <c r="D123" i="19"/>
  <c r="D122" i="19"/>
  <c r="D121" i="19"/>
  <c r="D120" i="19"/>
  <c r="D119" i="19"/>
  <c r="D118" i="19"/>
  <c r="D117" i="19"/>
  <c r="D116" i="19"/>
  <c r="D115" i="19"/>
  <c r="D114" i="19"/>
  <c r="D113" i="19"/>
  <c r="D112" i="19"/>
  <c r="D111" i="19"/>
  <c r="D110" i="19"/>
  <c r="D109" i="19"/>
  <c r="D108" i="19"/>
  <c r="D107" i="19"/>
  <c r="D106" i="19"/>
  <c r="D105" i="19"/>
  <c r="D104" i="19"/>
  <c r="D103" i="19"/>
  <c r="D102" i="19"/>
  <c r="D101" i="19"/>
  <c r="D100" i="19"/>
  <c r="D99" i="19"/>
  <c r="D98" i="19"/>
  <c r="D97" i="19"/>
  <c r="D96" i="19"/>
  <c r="D95" i="19"/>
  <c r="D94" i="19"/>
  <c r="D93" i="19"/>
  <c r="D92" i="19"/>
  <c r="D91" i="19"/>
  <c r="D90" i="19"/>
  <c r="D89" i="19"/>
  <c r="D88" i="19"/>
  <c r="D87" i="19"/>
  <c r="D86" i="19"/>
  <c r="D85" i="19"/>
  <c r="D84" i="19"/>
  <c r="D83" i="19"/>
  <c r="D82" i="19"/>
  <c r="D81" i="19"/>
  <c r="D80" i="19"/>
  <c r="D79" i="19"/>
  <c r="D78" i="19"/>
  <c r="D77" i="19"/>
  <c r="D76" i="19"/>
  <c r="D75" i="19"/>
  <c r="D74" i="19"/>
  <c r="D73" i="19"/>
  <c r="D72" i="19"/>
  <c r="D71" i="19"/>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I12" i="17"/>
  <c r="H12" i="17"/>
  <c r="E12" i="17"/>
  <c r="D12" i="17"/>
  <c r="H11" i="17"/>
  <c r="I11" i="17" s="1"/>
  <c r="E11" i="17"/>
  <c r="D11" i="17"/>
  <c r="I10" i="17"/>
  <c r="H10" i="17"/>
  <c r="E10" i="17"/>
  <c r="D10" i="17"/>
  <c r="I9" i="17"/>
  <c r="H9" i="17"/>
  <c r="E9" i="17"/>
  <c r="D9" i="17"/>
  <c r="H8" i="17"/>
  <c r="I8" i="17" s="1"/>
  <c r="E8" i="17"/>
  <c r="D8" i="17"/>
  <c r="D7" i="17"/>
  <c r="B38" i="15"/>
  <c r="C34" i="15"/>
  <c r="B39" i="15" s="1"/>
  <c r="C33" i="15"/>
  <c r="B40" i="15" s="1"/>
  <c r="J18" i="15"/>
  <c r="K18" i="15" s="1"/>
  <c r="I18" i="15"/>
  <c r="I17" i="15"/>
  <c r="J17" i="15" s="1"/>
  <c r="K17" i="15" s="1"/>
  <c r="J16" i="15"/>
  <c r="K16" i="15" s="1"/>
  <c r="I16" i="15"/>
  <c r="I15" i="15"/>
  <c r="J15" i="15" s="1"/>
  <c r="K15" i="15" s="1"/>
  <c r="J14" i="15"/>
  <c r="K14" i="15" s="1"/>
  <c r="I14" i="15"/>
  <c r="I13" i="15"/>
  <c r="J13" i="15" s="1"/>
  <c r="K13" i="15" s="1"/>
  <c r="J12" i="15"/>
  <c r="K12" i="15" s="1"/>
  <c r="I12" i="15"/>
  <c r="I11" i="15"/>
  <c r="J11" i="15" s="1"/>
  <c r="K11" i="15" s="1"/>
  <c r="J10" i="15"/>
  <c r="K10" i="15" s="1"/>
  <c r="I10" i="15"/>
  <c r="I9" i="15"/>
  <c r="J9" i="15" s="1"/>
  <c r="K9" i="15" s="1"/>
  <c r="L371" i="14"/>
  <c r="M371" i="14" s="1"/>
  <c r="I371" i="14"/>
  <c r="H371" i="14"/>
  <c r="K371" i="14" s="1"/>
  <c r="L370" i="14"/>
  <c r="I370" i="14"/>
  <c r="L369" i="14" s="1"/>
  <c r="H370" i="14"/>
  <c r="K370" i="14" s="1"/>
  <c r="I369" i="14"/>
  <c r="H369" i="14"/>
  <c r="K369" i="14" s="1"/>
  <c r="L368" i="14"/>
  <c r="M368" i="14" s="1"/>
  <c r="I368" i="14"/>
  <c r="L367" i="14" s="1"/>
  <c r="M367" i="14" s="1"/>
  <c r="H368" i="14"/>
  <c r="K368" i="14" s="1"/>
  <c r="I367" i="14"/>
  <c r="H367" i="14"/>
  <c r="K367" i="14" s="1"/>
  <c r="L366" i="14"/>
  <c r="I366" i="14"/>
  <c r="L365" i="14" s="1"/>
  <c r="M365" i="14" s="1"/>
  <c r="H366" i="14"/>
  <c r="K366" i="14" s="1"/>
  <c r="I365" i="14"/>
  <c r="H365" i="14"/>
  <c r="K365" i="14" s="1"/>
  <c r="L364" i="14"/>
  <c r="M364" i="14" s="1"/>
  <c r="I364" i="14"/>
  <c r="L363" i="14" s="1"/>
  <c r="H364" i="14"/>
  <c r="K364" i="14" s="1"/>
  <c r="I363" i="14"/>
  <c r="H363" i="14"/>
  <c r="K363" i="14" s="1"/>
  <c r="L362" i="14"/>
  <c r="M362" i="14" s="1"/>
  <c r="I362" i="14"/>
  <c r="L361" i="14" s="1"/>
  <c r="M361" i="14" s="1"/>
  <c r="H362" i="14"/>
  <c r="K362" i="14" s="1"/>
  <c r="I361" i="14"/>
  <c r="H361" i="14"/>
  <c r="K361" i="14" s="1"/>
  <c r="L360" i="14"/>
  <c r="I360" i="14"/>
  <c r="L359" i="14" s="1"/>
  <c r="H360" i="14"/>
  <c r="K360" i="14" s="1"/>
  <c r="I359" i="14"/>
  <c r="L358" i="14" s="1"/>
  <c r="M358" i="14" s="1"/>
  <c r="H359" i="14"/>
  <c r="K359" i="14" s="1"/>
  <c r="I358" i="14"/>
  <c r="L357" i="14" s="1"/>
  <c r="H358" i="14"/>
  <c r="K358" i="14" s="1"/>
  <c r="I357" i="14"/>
  <c r="L356" i="14" s="1"/>
  <c r="M356" i="14" s="1"/>
  <c r="H357" i="14"/>
  <c r="K357" i="14" s="1"/>
  <c r="I356" i="14"/>
  <c r="L355" i="14" s="1"/>
  <c r="M355" i="14" s="1"/>
  <c r="H356" i="14"/>
  <c r="K356" i="14" s="1"/>
  <c r="I355" i="14"/>
  <c r="L354" i="14" s="1"/>
  <c r="H355" i="14"/>
  <c r="K355" i="14" s="1"/>
  <c r="I354" i="14"/>
  <c r="L353" i="14" s="1"/>
  <c r="M353" i="14" s="1"/>
  <c r="H354" i="14"/>
  <c r="K354" i="14" s="1"/>
  <c r="I353" i="14"/>
  <c r="H353" i="14"/>
  <c r="K353" i="14" s="1"/>
  <c r="L352" i="14"/>
  <c r="I352" i="14"/>
  <c r="L351" i="14" s="1"/>
  <c r="H352" i="14"/>
  <c r="K352" i="14" s="1"/>
  <c r="I351" i="14"/>
  <c r="H351" i="14"/>
  <c r="K351" i="14" s="1"/>
  <c r="L350" i="14"/>
  <c r="M350" i="14" s="1"/>
  <c r="I350" i="14"/>
  <c r="L349" i="14" s="1"/>
  <c r="M349" i="14" s="1"/>
  <c r="H350" i="14"/>
  <c r="K350" i="14" s="1"/>
  <c r="I349" i="14"/>
  <c r="L348" i="14" s="1"/>
  <c r="M348" i="14" s="1"/>
  <c r="H349" i="14"/>
  <c r="K349" i="14" s="1"/>
  <c r="I348" i="14"/>
  <c r="L347" i="14" s="1"/>
  <c r="M347" i="14" s="1"/>
  <c r="H348" i="14"/>
  <c r="K348" i="14" s="1"/>
  <c r="I347" i="14"/>
  <c r="L346" i="14" s="1"/>
  <c r="M346" i="14" s="1"/>
  <c r="H347" i="14"/>
  <c r="K347" i="14" s="1"/>
  <c r="I346" i="14"/>
  <c r="L345" i="14" s="1"/>
  <c r="H346" i="14"/>
  <c r="K346" i="14" s="1"/>
  <c r="I345" i="14"/>
  <c r="L344" i="14" s="1"/>
  <c r="M344" i="14" s="1"/>
  <c r="H345" i="14"/>
  <c r="K345" i="14" s="1"/>
  <c r="I344" i="14"/>
  <c r="L343" i="14" s="1"/>
  <c r="M343" i="14" s="1"/>
  <c r="H344" i="14"/>
  <c r="K344" i="14" s="1"/>
  <c r="I343" i="14"/>
  <c r="L342" i="14" s="1"/>
  <c r="M342" i="14" s="1"/>
  <c r="H343" i="14"/>
  <c r="K343" i="14" s="1"/>
  <c r="I342" i="14"/>
  <c r="L341" i="14" s="1"/>
  <c r="M341" i="14" s="1"/>
  <c r="H342" i="14"/>
  <c r="K342" i="14" s="1"/>
  <c r="I341" i="14"/>
  <c r="H341" i="14"/>
  <c r="K341" i="14" s="1"/>
  <c r="L340" i="14"/>
  <c r="M340" i="14" s="1"/>
  <c r="I340" i="14"/>
  <c r="L339" i="14" s="1"/>
  <c r="H340" i="14"/>
  <c r="K340" i="14" s="1"/>
  <c r="I339" i="14"/>
  <c r="H339" i="14"/>
  <c r="K339" i="14" s="1"/>
  <c r="L338" i="14"/>
  <c r="M338" i="14" s="1"/>
  <c r="I338" i="14"/>
  <c r="L337" i="14" s="1"/>
  <c r="M337" i="14" s="1"/>
  <c r="H338" i="14"/>
  <c r="K338" i="14" s="1"/>
  <c r="I337" i="14"/>
  <c r="L336" i="14" s="1"/>
  <c r="M336" i="14" s="1"/>
  <c r="H337" i="14"/>
  <c r="K337" i="14" s="1"/>
  <c r="I336" i="14"/>
  <c r="L335" i="14" s="1"/>
  <c r="H336" i="14"/>
  <c r="K336" i="14" s="1"/>
  <c r="I335" i="14"/>
  <c r="H335" i="14"/>
  <c r="K335" i="14" s="1"/>
  <c r="L334" i="14"/>
  <c r="I334" i="14"/>
  <c r="L333" i="14" s="1"/>
  <c r="H334" i="14"/>
  <c r="K334" i="14" s="1"/>
  <c r="I333" i="14"/>
  <c r="L332" i="14" s="1"/>
  <c r="M332" i="14" s="1"/>
  <c r="H333" i="14"/>
  <c r="K333" i="14" s="1"/>
  <c r="I332" i="14"/>
  <c r="L331" i="14" s="1"/>
  <c r="M331" i="14" s="1"/>
  <c r="H332" i="14"/>
  <c r="K332" i="14" s="1"/>
  <c r="I331" i="14"/>
  <c r="L330" i="14" s="1"/>
  <c r="H331" i="14"/>
  <c r="K331" i="14" s="1"/>
  <c r="I330" i="14"/>
  <c r="L329" i="14" s="1"/>
  <c r="M329" i="14" s="1"/>
  <c r="H330" i="14"/>
  <c r="K330" i="14" s="1"/>
  <c r="I329" i="14"/>
  <c r="H329" i="14"/>
  <c r="K329" i="14" s="1"/>
  <c r="L328" i="14"/>
  <c r="I328" i="14"/>
  <c r="L327" i="14" s="1"/>
  <c r="H328" i="14"/>
  <c r="K328" i="14" s="1"/>
  <c r="I327" i="14"/>
  <c r="H327" i="14"/>
  <c r="K327" i="14" s="1"/>
  <c r="L326" i="14"/>
  <c r="M326" i="14" s="1"/>
  <c r="I326" i="14"/>
  <c r="L325" i="14" s="1"/>
  <c r="M325" i="14" s="1"/>
  <c r="H326" i="14"/>
  <c r="K326" i="14" s="1"/>
  <c r="I325" i="14"/>
  <c r="L324" i="14" s="1"/>
  <c r="M324" i="14" s="1"/>
  <c r="H325" i="14"/>
  <c r="K325" i="14" s="1"/>
  <c r="I324" i="14"/>
  <c r="L323" i="14" s="1"/>
  <c r="M323" i="14" s="1"/>
  <c r="H324" i="14"/>
  <c r="K324" i="14" s="1"/>
  <c r="I323" i="14"/>
  <c r="L322" i="14" s="1"/>
  <c r="M322" i="14" s="1"/>
  <c r="H323" i="14"/>
  <c r="K323" i="14" s="1"/>
  <c r="I322" i="14"/>
  <c r="L321" i="14" s="1"/>
  <c r="H322" i="14"/>
  <c r="K322" i="14" s="1"/>
  <c r="I321" i="14"/>
  <c r="L320" i="14" s="1"/>
  <c r="M320" i="14" s="1"/>
  <c r="H321" i="14"/>
  <c r="K321" i="14" s="1"/>
  <c r="I320" i="14"/>
  <c r="L319" i="14" s="1"/>
  <c r="M319" i="14" s="1"/>
  <c r="H320" i="14"/>
  <c r="K320" i="14" s="1"/>
  <c r="I319" i="14"/>
  <c r="L318" i="14" s="1"/>
  <c r="M318" i="14" s="1"/>
  <c r="H319" i="14"/>
  <c r="K319" i="14" s="1"/>
  <c r="I318" i="14"/>
  <c r="L317" i="14" s="1"/>
  <c r="M317" i="14" s="1"/>
  <c r="H318" i="14"/>
  <c r="K318" i="14" s="1"/>
  <c r="I317" i="14"/>
  <c r="H317" i="14"/>
  <c r="K317" i="14" s="1"/>
  <c r="L316" i="14"/>
  <c r="M316" i="14" s="1"/>
  <c r="I316" i="14"/>
  <c r="L315" i="14" s="1"/>
  <c r="H316" i="14"/>
  <c r="K316" i="14" s="1"/>
  <c r="I315" i="14"/>
  <c r="H315" i="14"/>
  <c r="K315" i="14" s="1"/>
  <c r="L314" i="14"/>
  <c r="M314" i="14" s="1"/>
  <c r="I314" i="14"/>
  <c r="L313" i="14" s="1"/>
  <c r="M313" i="14" s="1"/>
  <c r="H314" i="14"/>
  <c r="K314" i="14" s="1"/>
  <c r="I313" i="14"/>
  <c r="L312" i="14" s="1"/>
  <c r="M312" i="14" s="1"/>
  <c r="H313" i="14"/>
  <c r="K313" i="14" s="1"/>
  <c r="I312" i="14"/>
  <c r="L311" i="14" s="1"/>
  <c r="H312" i="14"/>
  <c r="K312" i="14" s="1"/>
  <c r="I311" i="14"/>
  <c r="H311" i="14"/>
  <c r="K311" i="14" s="1"/>
  <c r="L310" i="14"/>
  <c r="I310" i="14"/>
  <c r="L309" i="14" s="1"/>
  <c r="H310" i="14"/>
  <c r="K310" i="14" s="1"/>
  <c r="I309" i="14"/>
  <c r="L308" i="14" s="1"/>
  <c r="M308" i="14" s="1"/>
  <c r="H309" i="14"/>
  <c r="K309" i="14" s="1"/>
  <c r="I308" i="14"/>
  <c r="L307" i="14" s="1"/>
  <c r="M307" i="14" s="1"/>
  <c r="H308" i="14"/>
  <c r="K308" i="14" s="1"/>
  <c r="I307" i="14"/>
  <c r="L306" i="14" s="1"/>
  <c r="M306" i="14" s="1"/>
  <c r="H307" i="14"/>
  <c r="K307" i="14" s="1"/>
  <c r="I306" i="14"/>
  <c r="L305" i="14" s="1"/>
  <c r="M305" i="14" s="1"/>
  <c r="H306" i="14"/>
  <c r="K306" i="14" s="1"/>
  <c r="I305" i="14"/>
  <c r="H305" i="14"/>
  <c r="K305" i="14" s="1"/>
  <c r="L304" i="14"/>
  <c r="I304" i="14"/>
  <c r="L303" i="14" s="1"/>
  <c r="H304" i="14"/>
  <c r="K304" i="14" s="1"/>
  <c r="I303" i="14"/>
  <c r="H303" i="14"/>
  <c r="K303" i="14" s="1"/>
  <c r="L302" i="14"/>
  <c r="M302" i="14" s="1"/>
  <c r="I302" i="14"/>
  <c r="L301" i="14" s="1"/>
  <c r="M301" i="14" s="1"/>
  <c r="H302" i="14"/>
  <c r="K302" i="14" s="1"/>
  <c r="I301" i="14"/>
  <c r="L300" i="14" s="1"/>
  <c r="M300" i="14" s="1"/>
  <c r="H301" i="14"/>
  <c r="K301" i="14" s="1"/>
  <c r="I300" i="14"/>
  <c r="L299" i="14" s="1"/>
  <c r="H300" i="14"/>
  <c r="K300" i="14" s="1"/>
  <c r="I299" i="14"/>
  <c r="L298" i="14" s="1"/>
  <c r="M298" i="14" s="1"/>
  <c r="H299" i="14"/>
  <c r="K299" i="14" s="1"/>
  <c r="I298" i="14"/>
  <c r="L297" i="14" s="1"/>
  <c r="H298" i="14"/>
  <c r="K298" i="14" s="1"/>
  <c r="I297" i="14"/>
  <c r="L296" i="14" s="1"/>
  <c r="M296" i="14" s="1"/>
  <c r="H297" i="14"/>
  <c r="K297" i="14" s="1"/>
  <c r="I296" i="14"/>
  <c r="L295" i="14" s="1"/>
  <c r="M295" i="14" s="1"/>
  <c r="H296" i="14"/>
  <c r="K296" i="14" s="1"/>
  <c r="I295" i="14"/>
  <c r="L294" i="14" s="1"/>
  <c r="M294" i="14" s="1"/>
  <c r="H295" i="14"/>
  <c r="K295" i="14" s="1"/>
  <c r="I294" i="14"/>
  <c r="L293" i="14" s="1"/>
  <c r="M293" i="14" s="1"/>
  <c r="H294" i="14"/>
  <c r="K294" i="14" s="1"/>
  <c r="I293" i="14"/>
  <c r="H293" i="14"/>
  <c r="K293" i="14" s="1"/>
  <c r="L292" i="14"/>
  <c r="M292" i="14" s="1"/>
  <c r="I292" i="14"/>
  <c r="L291" i="14" s="1"/>
  <c r="H292" i="14"/>
  <c r="K292" i="14" s="1"/>
  <c r="I291" i="14"/>
  <c r="H291" i="14"/>
  <c r="K291" i="14" s="1"/>
  <c r="L290" i="14"/>
  <c r="M290" i="14" s="1"/>
  <c r="I290" i="14"/>
  <c r="L289" i="14" s="1"/>
  <c r="M289" i="14" s="1"/>
  <c r="H290" i="14"/>
  <c r="K290" i="14" s="1"/>
  <c r="I289" i="14"/>
  <c r="L288" i="14" s="1"/>
  <c r="M288" i="14" s="1"/>
  <c r="H289" i="14"/>
  <c r="K289" i="14" s="1"/>
  <c r="I288" i="14"/>
  <c r="L287" i="14" s="1"/>
  <c r="H288" i="14"/>
  <c r="K288" i="14" s="1"/>
  <c r="I287" i="14"/>
  <c r="H287" i="14"/>
  <c r="K287" i="14" s="1"/>
  <c r="L286" i="14"/>
  <c r="I286" i="14"/>
  <c r="L285" i="14" s="1"/>
  <c r="H286" i="14"/>
  <c r="K286" i="14" s="1"/>
  <c r="I285" i="14"/>
  <c r="L284" i="14" s="1"/>
  <c r="M284" i="14" s="1"/>
  <c r="H285" i="14"/>
  <c r="K285" i="14" s="1"/>
  <c r="I284" i="14"/>
  <c r="L283" i="14" s="1"/>
  <c r="M283" i="14" s="1"/>
  <c r="H284" i="14"/>
  <c r="K284" i="14" s="1"/>
  <c r="I283" i="14"/>
  <c r="L282" i="14" s="1"/>
  <c r="M282" i="14" s="1"/>
  <c r="H283" i="14"/>
  <c r="K283" i="14" s="1"/>
  <c r="I282" i="14"/>
  <c r="L281" i="14" s="1"/>
  <c r="M281" i="14" s="1"/>
  <c r="H282" i="14"/>
  <c r="K282" i="14" s="1"/>
  <c r="I281" i="14"/>
  <c r="H281" i="14"/>
  <c r="K281" i="14" s="1"/>
  <c r="L280" i="14"/>
  <c r="M280" i="14" s="1"/>
  <c r="I280" i="14"/>
  <c r="L279" i="14" s="1"/>
  <c r="H280" i="14"/>
  <c r="K280" i="14" s="1"/>
  <c r="I279" i="14"/>
  <c r="H279" i="14"/>
  <c r="K279" i="14" s="1"/>
  <c r="L278" i="14"/>
  <c r="M278" i="14" s="1"/>
  <c r="I278" i="14"/>
  <c r="L277" i="14" s="1"/>
  <c r="M277" i="14" s="1"/>
  <c r="H278" i="14"/>
  <c r="K278" i="14" s="1"/>
  <c r="I277" i="14"/>
  <c r="L276" i="14" s="1"/>
  <c r="M276" i="14" s="1"/>
  <c r="H277" i="14"/>
  <c r="K277" i="14" s="1"/>
  <c r="I276" i="14"/>
  <c r="L275" i="14" s="1"/>
  <c r="H276" i="14"/>
  <c r="K276" i="14" s="1"/>
  <c r="I275" i="14"/>
  <c r="L274" i="14" s="1"/>
  <c r="M274" i="14" s="1"/>
  <c r="H275" i="14"/>
  <c r="K275" i="14" s="1"/>
  <c r="I274" i="14"/>
  <c r="L273" i="14" s="1"/>
  <c r="H274" i="14"/>
  <c r="K274" i="14" s="1"/>
  <c r="I273" i="14"/>
  <c r="L272" i="14" s="1"/>
  <c r="M272" i="14" s="1"/>
  <c r="H273" i="14"/>
  <c r="K273" i="14" s="1"/>
  <c r="I272" i="14"/>
  <c r="L271" i="14" s="1"/>
  <c r="M271" i="14" s="1"/>
  <c r="H272" i="14"/>
  <c r="K272" i="14" s="1"/>
  <c r="I271" i="14"/>
  <c r="L270" i="14" s="1"/>
  <c r="M270" i="14" s="1"/>
  <c r="H271" i="14"/>
  <c r="K271" i="14" s="1"/>
  <c r="I270" i="14"/>
  <c r="L269" i="14" s="1"/>
  <c r="M269" i="14" s="1"/>
  <c r="H270" i="14"/>
  <c r="K270" i="14" s="1"/>
  <c r="I269" i="14"/>
  <c r="H269" i="14"/>
  <c r="K269" i="14" s="1"/>
  <c r="L268" i="14"/>
  <c r="M268" i="14" s="1"/>
  <c r="I268" i="14"/>
  <c r="L267" i="14" s="1"/>
  <c r="H268" i="14"/>
  <c r="K268" i="14" s="1"/>
  <c r="I267" i="14"/>
  <c r="H267" i="14"/>
  <c r="K267" i="14" s="1"/>
  <c r="L266" i="14"/>
  <c r="M266" i="14" s="1"/>
  <c r="I266" i="14"/>
  <c r="L265" i="14" s="1"/>
  <c r="M265" i="14" s="1"/>
  <c r="H266" i="14"/>
  <c r="K266" i="14" s="1"/>
  <c r="I265" i="14"/>
  <c r="H265" i="14"/>
  <c r="K265" i="14" s="1"/>
  <c r="L264" i="14"/>
  <c r="M264" i="14" s="1"/>
  <c r="I264" i="14"/>
  <c r="L263" i="14" s="1"/>
  <c r="M263" i="14" s="1"/>
  <c r="H264" i="14"/>
  <c r="K264" i="14" s="1"/>
  <c r="I263" i="14"/>
  <c r="H263" i="14"/>
  <c r="K263" i="14" s="1"/>
  <c r="L262" i="14"/>
  <c r="M262" i="14" s="1"/>
  <c r="I262" i="14"/>
  <c r="L261" i="14" s="1"/>
  <c r="M261" i="14" s="1"/>
  <c r="H262" i="14"/>
  <c r="K262" i="14" s="1"/>
  <c r="I261" i="14"/>
  <c r="H261" i="14"/>
  <c r="K261" i="14" s="1"/>
  <c r="L260" i="14"/>
  <c r="M260" i="14" s="1"/>
  <c r="I260" i="14"/>
  <c r="L259" i="14" s="1"/>
  <c r="M259" i="14" s="1"/>
  <c r="H260" i="14"/>
  <c r="K260" i="14" s="1"/>
  <c r="I259" i="14"/>
  <c r="H259" i="14"/>
  <c r="K259" i="14" s="1"/>
  <c r="L258" i="14"/>
  <c r="M258" i="14" s="1"/>
  <c r="I258" i="14"/>
  <c r="L257" i="14" s="1"/>
  <c r="M257" i="14" s="1"/>
  <c r="H258" i="14"/>
  <c r="K258" i="14" s="1"/>
  <c r="I257" i="14"/>
  <c r="H257" i="14"/>
  <c r="K257" i="14" s="1"/>
  <c r="M256" i="14"/>
  <c r="L256" i="14"/>
  <c r="I256" i="14"/>
  <c r="L255" i="14" s="1"/>
  <c r="M255" i="14" s="1"/>
  <c r="H256" i="14"/>
  <c r="K256" i="14" s="1"/>
  <c r="I255" i="14"/>
  <c r="L254" i="14" s="1"/>
  <c r="M254" i="14" s="1"/>
  <c r="H255" i="14"/>
  <c r="K255" i="14" s="1"/>
  <c r="I254" i="14"/>
  <c r="H254" i="14"/>
  <c r="K254" i="14" s="1"/>
  <c r="L253" i="14"/>
  <c r="M253" i="14" s="1"/>
  <c r="I253" i="14"/>
  <c r="L252" i="14" s="1"/>
  <c r="M252" i="14" s="1"/>
  <c r="H253" i="14"/>
  <c r="K253" i="14" s="1"/>
  <c r="I252" i="14"/>
  <c r="H252" i="14"/>
  <c r="K252" i="14" s="1"/>
  <c r="L251" i="14"/>
  <c r="M251" i="14" s="1"/>
  <c r="I251" i="14"/>
  <c r="L250" i="14" s="1"/>
  <c r="M250" i="14" s="1"/>
  <c r="H251" i="14"/>
  <c r="K251" i="14" s="1"/>
  <c r="I250" i="14"/>
  <c r="L249" i="14" s="1"/>
  <c r="H250" i="14"/>
  <c r="K250" i="14" s="1"/>
  <c r="I249" i="14"/>
  <c r="H249" i="14"/>
  <c r="K249" i="14" s="1"/>
  <c r="L248" i="14"/>
  <c r="M248" i="14" s="1"/>
  <c r="I248" i="14"/>
  <c r="L247" i="14" s="1"/>
  <c r="M247" i="14" s="1"/>
  <c r="H248" i="14"/>
  <c r="K248" i="14" s="1"/>
  <c r="I247" i="14"/>
  <c r="H247" i="14"/>
  <c r="K247" i="14" s="1"/>
  <c r="L246" i="14"/>
  <c r="M246" i="14" s="1"/>
  <c r="I246" i="14"/>
  <c r="H246" i="14"/>
  <c r="K246" i="14" s="1"/>
  <c r="L245" i="14"/>
  <c r="I245" i="14"/>
  <c r="L244" i="14" s="1"/>
  <c r="M244" i="14" s="1"/>
  <c r="H245" i="14"/>
  <c r="K245" i="14" s="1"/>
  <c r="I244" i="14"/>
  <c r="L243" i="14" s="1"/>
  <c r="M243" i="14" s="1"/>
  <c r="H244" i="14"/>
  <c r="K244" i="14" s="1"/>
  <c r="I243" i="14"/>
  <c r="H243" i="14"/>
  <c r="K243" i="14" s="1"/>
  <c r="L242" i="14"/>
  <c r="I242" i="14"/>
  <c r="H242" i="14"/>
  <c r="K242" i="14" s="1"/>
  <c r="L241" i="14"/>
  <c r="M241" i="14" s="1"/>
  <c r="I241" i="14"/>
  <c r="L240" i="14" s="1"/>
  <c r="M240" i="14" s="1"/>
  <c r="H241" i="14"/>
  <c r="K241" i="14" s="1"/>
  <c r="I240" i="14"/>
  <c r="H240" i="14"/>
  <c r="K240" i="14" s="1"/>
  <c r="L239" i="14"/>
  <c r="M239" i="14" s="1"/>
  <c r="I239" i="14"/>
  <c r="L238" i="14" s="1"/>
  <c r="M238" i="14" s="1"/>
  <c r="H239" i="14"/>
  <c r="K239" i="14" s="1"/>
  <c r="I238" i="14"/>
  <c r="L237" i="14" s="1"/>
  <c r="M237" i="14" s="1"/>
  <c r="H238" i="14"/>
  <c r="K238" i="14" s="1"/>
  <c r="I237" i="14"/>
  <c r="L236" i="14" s="1"/>
  <c r="M236" i="14" s="1"/>
  <c r="H237" i="14"/>
  <c r="K237" i="14" s="1"/>
  <c r="I236" i="14"/>
  <c r="L235" i="14" s="1"/>
  <c r="M235" i="14" s="1"/>
  <c r="H236" i="14"/>
  <c r="K236" i="14" s="1"/>
  <c r="I235" i="14"/>
  <c r="H235" i="14"/>
  <c r="K235" i="14" s="1"/>
  <c r="L234" i="14"/>
  <c r="M234" i="14" s="1"/>
  <c r="I234" i="14"/>
  <c r="L233" i="14" s="1"/>
  <c r="M233" i="14" s="1"/>
  <c r="H234" i="14"/>
  <c r="K234" i="14" s="1"/>
  <c r="I233" i="14"/>
  <c r="H233" i="14"/>
  <c r="K233" i="14" s="1"/>
  <c r="M232" i="14"/>
  <c r="L232" i="14"/>
  <c r="I232" i="14"/>
  <c r="L231" i="14" s="1"/>
  <c r="M231" i="14" s="1"/>
  <c r="H232" i="14"/>
  <c r="K232" i="14" s="1"/>
  <c r="K231" i="14"/>
  <c r="I231" i="14"/>
  <c r="L230" i="14" s="1"/>
  <c r="H231" i="14"/>
  <c r="I230" i="14"/>
  <c r="H230" i="14"/>
  <c r="K230" i="14" s="1"/>
  <c r="L229" i="14"/>
  <c r="M229" i="14" s="1"/>
  <c r="I229" i="14"/>
  <c r="H229" i="14"/>
  <c r="K229" i="14" s="1"/>
  <c r="L228" i="14"/>
  <c r="M228" i="14" s="1"/>
  <c r="I228" i="14"/>
  <c r="L227" i="14" s="1"/>
  <c r="M227" i="14" s="1"/>
  <c r="H228" i="14"/>
  <c r="K228" i="14" s="1"/>
  <c r="I227" i="14"/>
  <c r="H227" i="14"/>
  <c r="K227" i="14" s="1"/>
  <c r="M226" i="14" s="1"/>
  <c r="L226" i="14"/>
  <c r="I226" i="14"/>
  <c r="L225" i="14" s="1"/>
  <c r="M225" i="14" s="1"/>
  <c r="H226" i="14"/>
  <c r="K226" i="14" s="1"/>
  <c r="K225" i="14"/>
  <c r="I225" i="14"/>
  <c r="L224" i="14" s="1"/>
  <c r="M224" i="14" s="1"/>
  <c r="H225" i="14"/>
  <c r="I224" i="14"/>
  <c r="H224" i="14"/>
  <c r="K224" i="14" s="1"/>
  <c r="L223" i="14"/>
  <c r="M223" i="14" s="1"/>
  <c r="I223" i="14"/>
  <c r="H223" i="14"/>
  <c r="K223" i="14" s="1"/>
  <c r="L222" i="14"/>
  <c r="I222" i="14"/>
  <c r="L221" i="14" s="1"/>
  <c r="M221" i="14" s="1"/>
  <c r="H222" i="14"/>
  <c r="K222" i="14" s="1"/>
  <c r="I221" i="14"/>
  <c r="H221" i="14"/>
  <c r="K221" i="14" s="1"/>
  <c r="M220" i="14"/>
  <c r="L220" i="14"/>
  <c r="I220" i="14"/>
  <c r="L219" i="14" s="1"/>
  <c r="M219" i="14" s="1"/>
  <c r="H220" i="14"/>
  <c r="K220" i="14" s="1"/>
  <c r="K219" i="14"/>
  <c r="I219" i="14"/>
  <c r="L218" i="14" s="1"/>
  <c r="H219" i="14"/>
  <c r="I218" i="14"/>
  <c r="H218" i="14"/>
  <c r="K218" i="14" s="1"/>
  <c r="L217" i="14"/>
  <c r="M217" i="14" s="1"/>
  <c r="I217" i="14"/>
  <c r="H217" i="14"/>
  <c r="K217" i="14" s="1"/>
  <c r="L216" i="14"/>
  <c r="M216" i="14" s="1"/>
  <c r="I216" i="14"/>
  <c r="L215" i="14" s="1"/>
  <c r="M215" i="14" s="1"/>
  <c r="H216" i="14"/>
  <c r="K216" i="14" s="1"/>
  <c r="I215" i="14"/>
  <c r="L214" i="14" s="1"/>
  <c r="H215" i="14"/>
  <c r="K215" i="14" s="1"/>
  <c r="M214" i="14" s="1"/>
  <c r="I214" i="14"/>
  <c r="L213" i="14" s="1"/>
  <c r="M213" i="14" s="1"/>
  <c r="H214" i="14"/>
  <c r="K214" i="14" s="1"/>
  <c r="K213" i="14"/>
  <c r="I213" i="14"/>
  <c r="L212" i="14" s="1"/>
  <c r="M212" i="14" s="1"/>
  <c r="H213" i="14"/>
  <c r="I212" i="14"/>
  <c r="H212" i="14"/>
  <c r="K212" i="14" s="1"/>
  <c r="L211" i="14"/>
  <c r="M211" i="14" s="1"/>
  <c r="I211" i="14"/>
  <c r="H211" i="14"/>
  <c r="K211" i="14" s="1"/>
  <c r="L210" i="14"/>
  <c r="M210" i="14" s="1"/>
  <c r="I210" i="14"/>
  <c r="L209" i="14" s="1"/>
  <c r="M209" i="14" s="1"/>
  <c r="H210" i="14"/>
  <c r="K210" i="14" s="1"/>
  <c r="I209" i="14"/>
  <c r="L208" i="14" s="1"/>
  <c r="H209" i="14"/>
  <c r="K209" i="14" s="1"/>
  <c r="M208" i="14"/>
  <c r="I208" i="14"/>
  <c r="H208" i="14"/>
  <c r="K208" i="14" s="1"/>
  <c r="L207" i="14"/>
  <c r="K207" i="14"/>
  <c r="I207" i="14"/>
  <c r="H207" i="14"/>
  <c r="L206" i="14"/>
  <c r="M206" i="14" s="1"/>
  <c r="K206" i="14"/>
  <c r="I206" i="14"/>
  <c r="L205" i="14" s="1"/>
  <c r="M205" i="14" s="1"/>
  <c r="H206" i="14"/>
  <c r="K205" i="14"/>
  <c r="I205" i="14"/>
  <c r="H205" i="14"/>
  <c r="L204" i="14"/>
  <c r="M204" i="14" s="1"/>
  <c r="K204" i="14"/>
  <c r="I204" i="14"/>
  <c r="H204" i="14"/>
  <c r="L203" i="14"/>
  <c r="M203" i="14" s="1"/>
  <c r="K203" i="14"/>
  <c r="I203" i="14"/>
  <c r="L202" i="14" s="1"/>
  <c r="M202" i="14" s="1"/>
  <c r="H203" i="14"/>
  <c r="I202" i="14"/>
  <c r="H202" i="14"/>
  <c r="K202" i="14" s="1"/>
  <c r="L201" i="14"/>
  <c r="K201" i="14"/>
  <c r="I201" i="14"/>
  <c r="H201" i="14"/>
  <c r="L200" i="14"/>
  <c r="M200" i="14" s="1"/>
  <c r="K200" i="14"/>
  <c r="I200" i="14"/>
  <c r="L199" i="14" s="1"/>
  <c r="M199" i="14" s="1"/>
  <c r="H200" i="14"/>
  <c r="K199" i="14"/>
  <c r="I199" i="14"/>
  <c r="H199" i="14"/>
  <c r="L198" i="14"/>
  <c r="M198" i="14" s="1"/>
  <c r="K198" i="14"/>
  <c r="I198" i="14"/>
  <c r="H198" i="14"/>
  <c r="L197" i="14"/>
  <c r="M197" i="14" s="1"/>
  <c r="K197" i="14"/>
  <c r="I197" i="14"/>
  <c r="L196" i="14" s="1"/>
  <c r="M196" i="14" s="1"/>
  <c r="H197" i="14"/>
  <c r="I196" i="14"/>
  <c r="H196" i="14"/>
  <c r="K196" i="14" s="1"/>
  <c r="L195" i="14"/>
  <c r="K195" i="14"/>
  <c r="I195" i="14"/>
  <c r="H195" i="14"/>
  <c r="L194" i="14"/>
  <c r="M194" i="14" s="1"/>
  <c r="K194" i="14"/>
  <c r="I194" i="14"/>
  <c r="L193" i="14" s="1"/>
  <c r="M193" i="14" s="1"/>
  <c r="H194" i="14"/>
  <c r="K193" i="14"/>
  <c r="I193" i="14"/>
  <c r="H193" i="14"/>
  <c r="L192" i="14"/>
  <c r="M192" i="14" s="1"/>
  <c r="K192" i="14"/>
  <c r="I192" i="14"/>
  <c r="H192" i="14"/>
  <c r="L191" i="14"/>
  <c r="M191" i="14" s="1"/>
  <c r="K191" i="14"/>
  <c r="I191" i="14"/>
  <c r="L190" i="14" s="1"/>
  <c r="M190" i="14" s="1"/>
  <c r="H191" i="14"/>
  <c r="I190" i="14"/>
  <c r="H190" i="14"/>
  <c r="K190" i="14" s="1"/>
  <c r="L189" i="14"/>
  <c r="K189" i="14"/>
  <c r="I189" i="14"/>
  <c r="H189" i="14"/>
  <c r="L188" i="14"/>
  <c r="M188" i="14" s="1"/>
  <c r="K188" i="14"/>
  <c r="I188" i="14"/>
  <c r="L187" i="14" s="1"/>
  <c r="M187" i="14" s="1"/>
  <c r="H188" i="14"/>
  <c r="K187" i="14"/>
  <c r="I187" i="14"/>
  <c r="H187" i="14"/>
  <c r="L186" i="14"/>
  <c r="M186" i="14" s="1"/>
  <c r="K186" i="14"/>
  <c r="I186" i="14"/>
  <c r="H186" i="14"/>
  <c r="L185" i="14"/>
  <c r="M185" i="14" s="1"/>
  <c r="K185" i="14"/>
  <c r="I185" i="14"/>
  <c r="L184" i="14" s="1"/>
  <c r="M184" i="14" s="1"/>
  <c r="H185" i="14"/>
  <c r="I184" i="14"/>
  <c r="H184" i="14"/>
  <c r="K184" i="14" s="1"/>
  <c r="L183" i="14"/>
  <c r="K183" i="14"/>
  <c r="I183" i="14"/>
  <c r="L182" i="14" s="1"/>
  <c r="M182" i="14" s="1"/>
  <c r="H183" i="14"/>
  <c r="K182" i="14"/>
  <c r="I182" i="14"/>
  <c r="L181" i="14" s="1"/>
  <c r="M181" i="14" s="1"/>
  <c r="H182" i="14"/>
  <c r="K181" i="14"/>
  <c r="I181" i="14"/>
  <c r="H181" i="14"/>
  <c r="L180" i="14"/>
  <c r="M180" i="14" s="1"/>
  <c r="K180" i="14"/>
  <c r="I180" i="14"/>
  <c r="L179" i="14" s="1"/>
  <c r="M179" i="14" s="1"/>
  <c r="H180" i="14"/>
  <c r="K179" i="14"/>
  <c r="I179" i="14"/>
  <c r="L178" i="14" s="1"/>
  <c r="M178" i="14" s="1"/>
  <c r="H179" i="14"/>
  <c r="I178" i="14"/>
  <c r="H178" i="14"/>
  <c r="K178" i="14" s="1"/>
  <c r="L177" i="14"/>
  <c r="K177" i="14"/>
  <c r="I177" i="14"/>
  <c r="L176" i="14" s="1"/>
  <c r="M176" i="14" s="1"/>
  <c r="H177" i="14"/>
  <c r="K176" i="14"/>
  <c r="I176" i="14"/>
  <c r="L175" i="14" s="1"/>
  <c r="M175" i="14" s="1"/>
  <c r="H176" i="14"/>
  <c r="K175" i="14"/>
  <c r="I175" i="14"/>
  <c r="H175" i="14"/>
  <c r="L174" i="14"/>
  <c r="M174" i="14" s="1"/>
  <c r="K174" i="14"/>
  <c r="I174" i="14"/>
  <c r="L173" i="14" s="1"/>
  <c r="M173" i="14" s="1"/>
  <c r="H174" i="14"/>
  <c r="K173" i="14"/>
  <c r="I173" i="14"/>
  <c r="L172" i="14" s="1"/>
  <c r="M172" i="14" s="1"/>
  <c r="H173" i="14"/>
  <c r="I172" i="14"/>
  <c r="H172" i="14"/>
  <c r="K172" i="14" s="1"/>
  <c r="L171" i="14"/>
  <c r="K171" i="14"/>
  <c r="I171" i="14"/>
  <c r="L170" i="14" s="1"/>
  <c r="M170" i="14" s="1"/>
  <c r="H171" i="14"/>
  <c r="K170" i="14"/>
  <c r="I170" i="14"/>
  <c r="L169" i="14" s="1"/>
  <c r="M169" i="14" s="1"/>
  <c r="H170" i="14"/>
  <c r="I169" i="14"/>
  <c r="H169" i="14"/>
  <c r="K169" i="14" s="1"/>
  <c r="L168" i="14"/>
  <c r="K168" i="14"/>
  <c r="I168" i="14"/>
  <c r="L167" i="14" s="1"/>
  <c r="M167" i="14" s="1"/>
  <c r="H168" i="14"/>
  <c r="K167" i="14"/>
  <c r="I167" i="14"/>
  <c r="L166" i="14" s="1"/>
  <c r="M166" i="14" s="1"/>
  <c r="H167" i="14"/>
  <c r="I166" i="14"/>
  <c r="H166" i="14"/>
  <c r="K166" i="14" s="1"/>
  <c r="L165" i="14"/>
  <c r="K165" i="14"/>
  <c r="I165" i="14"/>
  <c r="L164" i="14" s="1"/>
  <c r="M164" i="14" s="1"/>
  <c r="H165" i="14"/>
  <c r="K164" i="14"/>
  <c r="I164" i="14"/>
  <c r="L163" i="14" s="1"/>
  <c r="M163" i="14" s="1"/>
  <c r="H164" i="14"/>
  <c r="I163" i="14"/>
  <c r="H163" i="14"/>
  <c r="K163" i="14" s="1"/>
  <c r="L162" i="14"/>
  <c r="K162" i="14"/>
  <c r="I162" i="14"/>
  <c r="L161" i="14" s="1"/>
  <c r="M161" i="14" s="1"/>
  <c r="H162" i="14"/>
  <c r="K161" i="14"/>
  <c r="I161" i="14"/>
  <c r="L160" i="14" s="1"/>
  <c r="M160" i="14" s="1"/>
  <c r="H161" i="14"/>
  <c r="I160" i="14"/>
  <c r="H160" i="14"/>
  <c r="K160" i="14" s="1"/>
  <c r="L159" i="14"/>
  <c r="K159" i="14"/>
  <c r="I159" i="14"/>
  <c r="L158" i="14" s="1"/>
  <c r="M158" i="14" s="1"/>
  <c r="H159" i="14"/>
  <c r="K158" i="14"/>
  <c r="I158" i="14"/>
  <c r="L157" i="14" s="1"/>
  <c r="M157" i="14" s="1"/>
  <c r="H158" i="14"/>
  <c r="I157" i="14"/>
  <c r="H157" i="14"/>
  <c r="K157" i="14" s="1"/>
  <c r="L156" i="14"/>
  <c r="K156" i="14"/>
  <c r="I156" i="14"/>
  <c r="L155" i="14" s="1"/>
  <c r="M155" i="14" s="1"/>
  <c r="H156" i="14"/>
  <c r="K155" i="14"/>
  <c r="I155" i="14"/>
  <c r="L154" i="14" s="1"/>
  <c r="M154" i="14" s="1"/>
  <c r="H155" i="14"/>
  <c r="I154" i="14"/>
  <c r="H154" i="14"/>
  <c r="K154" i="14" s="1"/>
  <c r="L153" i="14"/>
  <c r="K153" i="14"/>
  <c r="I153" i="14"/>
  <c r="L152" i="14" s="1"/>
  <c r="M152" i="14" s="1"/>
  <c r="H153" i="14"/>
  <c r="K152" i="14"/>
  <c r="I152" i="14"/>
  <c r="L151" i="14" s="1"/>
  <c r="M151" i="14" s="1"/>
  <c r="H152" i="14"/>
  <c r="I151" i="14"/>
  <c r="H151" i="14"/>
  <c r="K151" i="14" s="1"/>
  <c r="L150" i="14"/>
  <c r="K150" i="14"/>
  <c r="I150" i="14"/>
  <c r="L149" i="14" s="1"/>
  <c r="M149" i="14" s="1"/>
  <c r="H150" i="14"/>
  <c r="K149" i="14"/>
  <c r="I149" i="14"/>
  <c r="L148" i="14" s="1"/>
  <c r="M148" i="14" s="1"/>
  <c r="H149" i="14"/>
  <c r="I148" i="14"/>
  <c r="H148" i="14"/>
  <c r="K148" i="14" s="1"/>
  <c r="L147" i="14"/>
  <c r="K147" i="14"/>
  <c r="I147" i="14"/>
  <c r="L146" i="14" s="1"/>
  <c r="M146" i="14" s="1"/>
  <c r="H147" i="14"/>
  <c r="K146" i="14"/>
  <c r="I146" i="14"/>
  <c r="L145" i="14" s="1"/>
  <c r="M145" i="14" s="1"/>
  <c r="H146" i="14"/>
  <c r="I145" i="14"/>
  <c r="H145" i="14"/>
  <c r="K145" i="14" s="1"/>
  <c r="L144" i="14"/>
  <c r="K144" i="14"/>
  <c r="I144" i="14"/>
  <c r="L143" i="14" s="1"/>
  <c r="M143" i="14" s="1"/>
  <c r="H144" i="14"/>
  <c r="K143" i="14"/>
  <c r="I143" i="14"/>
  <c r="L142" i="14" s="1"/>
  <c r="M142" i="14" s="1"/>
  <c r="H143" i="14"/>
  <c r="I142" i="14"/>
  <c r="H142" i="14"/>
  <c r="K142" i="14" s="1"/>
  <c r="L141" i="14"/>
  <c r="K141" i="14"/>
  <c r="I141" i="14"/>
  <c r="L140" i="14" s="1"/>
  <c r="M140" i="14" s="1"/>
  <c r="H141" i="14"/>
  <c r="K140" i="14"/>
  <c r="I140" i="14"/>
  <c r="L139" i="14" s="1"/>
  <c r="M139" i="14" s="1"/>
  <c r="H140" i="14"/>
  <c r="I139" i="14"/>
  <c r="H139" i="14"/>
  <c r="K139" i="14" s="1"/>
  <c r="L138" i="14"/>
  <c r="K138" i="14"/>
  <c r="I138" i="14"/>
  <c r="L137" i="14" s="1"/>
  <c r="M137" i="14" s="1"/>
  <c r="H138" i="14"/>
  <c r="K137" i="14"/>
  <c r="I137" i="14"/>
  <c r="L136" i="14" s="1"/>
  <c r="M136" i="14" s="1"/>
  <c r="H137" i="14"/>
  <c r="I136" i="14"/>
  <c r="H136" i="14"/>
  <c r="K136" i="14" s="1"/>
  <c r="L135" i="14"/>
  <c r="K135" i="14"/>
  <c r="I135" i="14"/>
  <c r="L134" i="14" s="1"/>
  <c r="M134" i="14" s="1"/>
  <c r="H135" i="14"/>
  <c r="K134" i="14"/>
  <c r="I134" i="14"/>
  <c r="L133" i="14" s="1"/>
  <c r="M133" i="14" s="1"/>
  <c r="H134" i="14"/>
  <c r="I133" i="14"/>
  <c r="H133" i="14"/>
  <c r="K133" i="14" s="1"/>
  <c r="L132" i="14"/>
  <c r="K132" i="14"/>
  <c r="I132" i="14"/>
  <c r="L131" i="14" s="1"/>
  <c r="M131" i="14" s="1"/>
  <c r="H132" i="14"/>
  <c r="K131" i="14"/>
  <c r="I131" i="14"/>
  <c r="L130" i="14" s="1"/>
  <c r="M130" i="14" s="1"/>
  <c r="H131" i="14"/>
  <c r="I130" i="14"/>
  <c r="H130" i="14"/>
  <c r="K130" i="14" s="1"/>
  <c r="L129" i="14"/>
  <c r="K129" i="14"/>
  <c r="I129" i="14"/>
  <c r="L128" i="14" s="1"/>
  <c r="M128" i="14" s="1"/>
  <c r="H129" i="14"/>
  <c r="K128" i="14"/>
  <c r="I128" i="14"/>
  <c r="L127" i="14" s="1"/>
  <c r="M127" i="14" s="1"/>
  <c r="H128" i="14"/>
  <c r="I127" i="14"/>
  <c r="H127" i="14"/>
  <c r="K127" i="14" s="1"/>
  <c r="L126" i="14"/>
  <c r="K126" i="14"/>
  <c r="I126" i="14"/>
  <c r="L125" i="14" s="1"/>
  <c r="M125" i="14" s="1"/>
  <c r="H126" i="14"/>
  <c r="I125" i="14"/>
  <c r="L124" i="14" s="1"/>
  <c r="H125" i="14"/>
  <c r="K125" i="14" s="1"/>
  <c r="I124" i="14"/>
  <c r="H124" i="14"/>
  <c r="K124" i="14" s="1"/>
  <c r="L123" i="14"/>
  <c r="K123" i="14"/>
  <c r="I123" i="14"/>
  <c r="L122" i="14" s="1"/>
  <c r="M122" i="14" s="1"/>
  <c r="H123" i="14"/>
  <c r="I122" i="14"/>
  <c r="L121" i="14" s="1"/>
  <c r="H122" i="14"/>
  <c r="K122" i="14" s="1"/>
  <c r="I121" i="14"/>
  <c r="H121" i="14"/>
  <c r="K121" i="14" s="1"/>
  <c r="L120" i="14"/>
  <c r="K120" i="14"/>
  <c r="I120" i="14"/>
  <c r="L119" i="14" s="1"/>
  <c r="M119" i="14" s="1"/>
  <c r="H120" i="14"/>
  <c r="I119" i="14"/>
  <c r="L118" i="14" s="1"/>
  <c r="M118" i="14" s="1"/>
  <c r="H119" i="14"/>
  <c r="K119" i="14" s="1"/>
  <c r="I118" i="14"/>
  <c r="H118" i="14"/>
  <c r="K118" i="14" s="1"/>
  <c r="L117" i="14"/>
  <c r="K117" i="14"/>
  <c r="I117" i="14"/>
  <c r="L116" i="14" s="1"/>
  <c r="M116" i="14" s="1"/>
  <c r="H117" i="14"/>
  <c r="I116" i="14"/>
  <c r="L115" i="14" s="1"/>
  <c r="H116" i="14"/>
  <c r="K116" i="14" s="1"/>
  <c r="I115" i="14"/>
  <c r="H115" i="14"/>
  <c r="K115" i="14" s="1"/>
  <c r="L114" i="14"/>
  <c r="K114" i="14"/>
  <c r="I114" i="14"/>
  <c r="L113" i="14" s="1"/>
  <c r="M113" i="14" s="1"/>
  <c r="H114" i="14"/>
  <c r="I113" i="14"/>
  <c r="L112" i="14" s="1"/>
  <c r="H113" i="14"/>
  <c r="K113" i="14" s="1"/>
  <c r="I112" i="14"/>
  <c r="H112" i="14"/>
  <c r="K112" i="14" s="1"/>
  <c r="L111" i="14"/>
  <c r="K111" i="14"/>
  <c r="I111" i="14"/>
  <c r="L110" i="14" s="1"/>
  <c r="M110" i="14" s="1"/>
  <c r="H111" i="14"/>
  <c r="I110" i="14"/>
  <c r="L109" i="14" s="1"/>
  <c r="M109" i="14" s="1"/>
  <c r="H110" i="14"/>
  <c r="K110" i="14" s="1"/>
  <c r="I109" i="14"/>
  <c r="H109" i="14"/>
  <c r="K109" i="14" s="1"/>
  <c r="L108" i="14"/>
  <c r="K108" i="14"/>
  <c r="I108" i="14"/>
  <c r="L107" i="14" s="1"/>
  <c r="M107" i="14" s="1"/>
  <c r="H108" i="14"/>
  <c r="K107" i="14"/>
  <c r="I107" i="14"/>
  <c r="H107" i="14"/>
  <c r="L106" i="14"/>
  <c r="M106" i="14" s="1"/>
  <c r="I106" i="14"/>
  <c r="L105" i="14" s="1"/>
  <c r="M105" i="14" s="1"/>
  <c r="H106" i="14"/>
  <c r="K106" i="14" s="1"/>
  <c r="K105" i="14"/>
  <c r="I105" i="14"/>
  <c r="L104" i="14" s="1"/>
  <c r="M104" i="14" s="1"/>
  <c r="H105" i="14"/>
  <c r="I104" i="14"/>
  <c r="H104" i="14"/>
  <c r="K104" i="14" s="1"/>
  <c r="L103" i="14"/>
  <c r="I103" i="14"/>
  <c r="L102" i="14" s="1"/>
  <c r="H103" i="14"/>
  <c r="K103" i="14" s="1"/>
  <c r="K102" i="14"/>
  <c r="I102" i="14"/>
  <c r="H102" i="14"/>
  <c r="L101" i="14"/>
  <c r="I101" i="14"/>
  <c r="H101" i="14"/>
  <c r="K101" i="14" s="1"/>
  <c r="L100" i="14"/>
  <c r="K100" i="14"/>
  <c r="I100" i="14"/>
  <c r="L99" i="14" s="1"/>
  <c r="M99" i="14" s="1"/>
  <c r="H100" i="14"/>
  <c r="K99" i="14"/>
  <c r="I99" i="14"/>
  <c r="H99" i="14"/>
  <c r="L98" i="14"/>
  <c r="M98" i="14" s="1"/>
  <c r="I98" i="14"/>
  <c r="L97" i="14" s="1"/>
  <c r="M97" i="14" s="1"/>
  <c r="H98" i="14"/>
  <c r="K98" i="14" s="1"/>
  <c r="K97" i="14"/>
  <c r="I97" i="14"/>
  <c r="L96" i="14" s="1"/>
  <c r="M96" i="14" s="1"/>
  <c r="H97" i="14"/>
  <c r="I96" i="14"/>
  <c r="H96" i="14"/>
  <c r="K96" i="14" s="1"/>
  <c r="L95" i="14"/>
  <c r="I95" i="14"/>
  <c r="L94" i="14" s="1"/>
  <c r="H95" i="14"/>
  <c r="K95" i="14" s="1"/>
  <c r="K94" i="14"/>
  <c r="I94" i="14"/>
  <c r="H94" i="14"/>
  <c r="L93" i="14"/>
  <c r="I93" i="14"/>
  <c r="H93" i="14"/>
  <c r="K93" i="14" s="1"/>
  <c r="L92" i="14"/>
  <c r="K92" i="14"/>
  <c r="I92" i="14"/>
  <c r="L91" i="14" s="1"/>
  <c r="M91" i="14" s="1"/>
  <c r="H92" i="14"/>
  <c r="K91" i="14"/>
  <c r="I91" i="14"/>
  <c r="H91" i="14"/>
  <c r="L90" i="14"/>
  <c r="M90" i="14" s="1"/>
  <c r="I90" i="14"/>
  <c r="L89" i="14" s="1"/>
  <c r="M89" i="14" s="1"/>
  <c r="H90" i="14"/>
  <c r="K90" i="14" s="1"/>
  <c r="K89" i="14"/>
  <c r="I89" i="14"/>
  <c r="L88" i="14" s="1"/>
  <c r="M88" i="14" s="1"/>
  <c r="H89" i="14"/>
  <c r="I88" i="14"/>
  <c r="H88" i="14"/>
  <c r="K88" i="14" s="1"/>
  <c r="L87" i="14"/>
  <c r="I87" i="14"/>
  <c r="L86" i="14" s="1"/>
  <c r="H87" i="14"/>
  <c r="K87" i="14" s="1"/>
  <c r="K86" i="14"/>
  <c r="I86" i="14"/>
  <c r="L85" i="14" s="1"/>
  <c r="M85" i="14" s="1"/>
  <c r="H86" i="14"/>
  <c r="I85" i="14"/>
  <c r="H85" i="14"/>
  <c r="K85" i="14" s="1"/>
  <c r="L84" i="14"/>
  <c r="K84" i="14"/>
  <c r="I84" i="14"/>
  <c r="L83" i="14" s="1"/>
  <c r="M83" i="14" s="1"/>
  <c r="H84" i="14"/>
  <c r="K83" i="14"/>
  <c r="I83" i="14"/>
  <c r="H83" i="14"/>
  <c r="L82" i="14"/>
  <c r="M82" i="14" s="1"/>
  <c r="K82" i="14"/>
  <c r="I82" i="14"/>
  <c r="H82" i="14"/>
  <c r="L81" i="14"/>
  <c r="M81" i="14" s="1"/>
  <c r="I81" i="14"/>
  <c r="L80" i="14" s="1"/>
  <c r="M80" i="14" s="1"/>
  <c r="H81" i="14"/>
  <c r="K81" i="14" s="1"/>
  <c r="I80" i="14"/>
  <c r="H80" i="14"/>
  <c r="K80" i="14" s="1"/>
  <c r="L79" i="14"/>
  <c r="I79" i="14"/>
  <c r="H79" i="14"/>
  <c r="K79" i="14" s="1"/>
  <c r="L78" i="14"/>
  <c r="I78" i="14"/>
  <c r="H78" i="14"/>
  <c r="K78" i="14" s="1"/>
  <c r="L77" i="14"/>
  <c r="K77" i="14"/>
  <c r="I77" i="14"/>
  <c r="L76" i="14" s="1"/>
  <c r="M76" i="14" s="1"/>
  <c r="H77" i="14"/>
  <c r="K76" i="14"/>
  <c r="I76" i="14"/>
  <c r="H76" i="14"/>
  <c r="L75" i="14"/>
  <c r="M75" i="14" s="1"/>
  <c r="K75" i="14"/>
  <c r="I75" i="14"/>
  <c r="L74" i="14" s="1"/>
  <c r="M74" i="14" s="1"/>
  <c r="H75" i="14"/>
  <c r="K74" i="14"/>
  <c r="I74" i="14"/>
  <c r="H74" i="14"/>
  <c r="L73" i="14"/>
  <c r="M73" i="14" s="1"/>
  <c r="K73" i="14"/>
  <c r="I73" i="14"/>
  <c r="L72" i="14" s="1"/>
  <c r="M72" i="14" s="1"/>
  <c r="H73" i="14"/>
  <c r="K72" i="14"/>
  <c r="I72" i="14"/>
  <c r="H72" i="14"/>
  <c r="L71" i="14"/>
  <c r="M71" i="14" s="1"/>
  <c r="K71" i="14"/>
  <c r="I71" i="14"/>
  <c r="L70" i="14" s="1"/>
  <c r="M70" i="14" s="1"/>
  <c r="H71" i="14"/>
  <c r="K70" i="14"/>
  <c r="I70" i="14"/>
  <c r="H70" i="14"/>
  <c r="L69" i="14"/>
  <c r="M69" i="14" s="1"/>
  <c r="K69" i="14"/>
  <c r="I69" i="14"/>
  <c r="L68" i="14" s="1"/>
  <c r="M68" i="14" s="1"/>
  <c r="H69" i="14"/>
  <c r="K68" i="14"/>
  <c r="I68" i="14"/>
  <c r="H68" i="14"/>
  <c r="L67" i="14"/>
  <c r="M67" i="14" s="1"/>
  <c r="K67" i="14"/>
  <c r="I67" i="14"/>
  <c r="L66" i="14" s="1"/>
  <c r="M66" i="14" s="1"/>
  <c r="H67" i="14"/>
  <c r="K66" i="14"/>
  <c r="I66" i="14"/>
  <c r="H66" i="14"/>
  <c r="L65" i="14"/>
  <c r="M65" i="14" s="1"/>
  <c r="K65" i="14"/>
  <c r="I65" i="14"/>
  <c r="L64" i="14" s="1"/>
  <c r="M64" i="14" s="1"/>
  <c r="H65" i="14"/>
  <c r="K64" i="14"/>
  <c r="I64" i="14"/>
  <c r="H64" i="14"/>
  <c r="L63" i="14"/>
  <c r="M63" i="14" s="1"/>
  <c r="K63" i="14"/>
  <c r="I63" i="14"/>
  <c r="L62" i="14" s="1"/>
  <c r="M62" i="14" s="1"/>
  <c r="H63" i="14"/>
  <c r="K62" i="14"/>
  <c r="I62" i="14"/>
  <c r="H62" i="14"/>
  <c r="L61" i="14"/>
  <c r="M61" i="14" s="1"/>
  <c r="K61" i="14"/>
  <c r="I61" i="14"/>
  <c r="L60" i="14" s="1"/>
  <c r="M60" i="14" s="1"/>
  <c r="H61" i="14"/>
  <c r="K60" i="14"/>
  <c r="I60" i="14"/>
  <c r="H60" i="14"/>
  <c r="L59" i="14"/>
  <c r="M59" i="14" s="1"/>
  <c r="K59" i="14"/>
  <c r="I59" i="14"/>
  <c r="L58" i="14" s="1"/>
  <c r="M58" i="14" s="1"/>
  <c r="H59" i="14"/>
  <c r="K58" i="14"/>
  <c r="I58" i="14"/>
  <c r="H58" i="14"/>
  <c r="L57" i="14"/>
  <c r="M57" i="14" s="1"/>
  <c r="K57" i="14"/>
  <c r="I57" i="14"/>
  <c r="L56" i="14" s="1"/>
  <c r="M56" i="14" s="1"/>
  <c r="H57" i="14"/>
  <c r="I56" i="14"/>
  <c r="H56" i="14"/>
  <c r="K56" i="14" s="1"/>
  <c r="L55" i="14"/>
  <c r="M55" i="14" s="1"/>
  <c r="K55" i="14"/>
  <c r="I55" i="14"/>
  <c r="L54" i="14" s="1"/>
  <c r="M54" i="14" s="1"/>
  <c r="H55" i="14"/>
  <c r="I54" i="14"/>
  <c r="H54" i="14"/>
  <c r="K54" i="14" s="1"/>
  <c r="L53" i="14"/>
  <c r="M53" i="14" s="1"/>
  <c r="K53" i="14"/>
  <c r="I53" i="14"/>
  <c r="L52" i="14" s="1"/>
  <c r="M52" i="14" s="1"/>
  <c r="H53" i="14"/>
  <c r="I52" i="14"/>
  <c r="H52" i="14"/>
  <c r="K52" i="14" s="1"/>
  <c r="L51" i="14"/>
  <c r="M51" i="14" s="1"/>
  <c r="K51" i="14"/>
  <c r="I51" i="14"/>
  <c r="L50" i="14" s="1"/>
  <c r="M50" i="14" s="1"/>
  <c r="H51" i="14"/>
  <c r="I50" i="14"/>
  <c r="H50" i="14"/>
  <c r="K50" i="14" s="1"/>
  <c r="L49" i="14"/>
  <c r="M49" i="14" s="1"/>
  <c r="K49" i="14"/>
  <c r="I49" i="14"/>
  <c r="L48" i="14" s="1"/>
  <c r="M48" i="14" s="1"/>
  <c r="H49" i="14"/>
  <c r="I48" i="14"/>
  <c r="H48" i="14"/>
  <c r="K48" i="14" s="1"/>
  <c r="L47" i="14"/>
  <c r="M47" i="14" s="1"/>
  <c r="K47" i="14"/>
  <c r="I47" i="14"/>
  <c r="L46" i="14" s="1"/>
  <c r="M46" i="14" s="1"/>
  <c r="H47" i="14"/>
  <c r="I46" i="14"/>
  <c r="H46" i="14"/>
  <c r="K46" i="14" s="1"/>
  <c r="L45" i="14"/>
  <c r="M45" i="14" s="1"/>
  <c r="K45" i="14"/>
  <c r="I45" i="14"/>
  <c r="L44" i="14" s="1"/>
  <c r="M44" i="14" s="1"/>
  <c r="H45" i="14"/>
  <c r="I44" i="14"/>
  <c r="H44" i="14"/>
  <c r="K44" i="14" s="1"/>
  <c r="L43" i="14"/>
  <c r="M43" i="14" s="1"/>
  <c r="K43" i="14"/>
  <c r="I43" i="14"/>
  <c r="L42" i="14" s="1"/>
  <c r="M42" i="14" s="1"/>
  <c r="H43" i="14"/>
  <c r="I42" i="14"/>
  <c r="H42" i="14"/>
  <c r="K42" i="14" s="1"/>
  <c r="L41" i="14"/>
  <c r="M41" i="14" s="1"/>
  <c r="K41" i="14"/>
  <c r="I41" i="14"/>
  <c r="L40" i="14" s="1"/>
  <c r="M40" i="14" s="1"/>
  <c r="H41" i="14"/>
  <c r="I40" i="14"/>
  <c r="H40" i="14"/>
  <c r="K40" i="14" s="1"/>
  <c r="L39" i="14"/>
  <c r="M39" i="14" s="1"/>
  <c r="K39" i="14"/>
  <c r="I39" i="14"/>
  <c r="L38" i="14" s="1"/>
  <c r="M38" i="14" s="1"/>
  <c r="H39" i="14"/>
  <c r="I38" i="14"/>
  <c r="H38" i="14"/>
  <c r="K38" i="14" s="1"/>
  <c r="L37" i="14"/>
  <c r="M37" i="14" s="1"/>
  <c r="K37" i="14"/>
  <c r="I37" i="14"/>
  <c r="L36" i="14" s="1"/>
  <c r="M36" i="14" s="1"/>
  <c r="H37" i="14"/>
  <c r="I36" i="14"/>
  <c r="H36" i="14"/>
  <c r="K36" i="14" s="1"/>
  <c r="L35" i="14"/>
  <c r="M35" i="14" s="1"/>
  <c r="K35" i="14"/>
  <c r="I35" i="14"/>
  <c r="L34" i="14" s="1"/>
  <c r="M34" i="14" s="1"/>
  <c r="H35" i="14"/>
  <c r="I34" i="14"/>
  <c r="H34" i="14"/>
  <c r="K34" i="14" s="1"/>
  <c r="L33" i="14"/>
  <c r="M33" i="14" s="1"/>
  <c r="K33" i="14"/>
  <c r="I33" i="14"/>
  <c r="L32" i="14" s="1"/>
  <c r="M32" i="14" s="1"/>
  <c r="H33" i="14"/>
  <c r="I32" i="14"/>
  <c r="H32" i="14"/>
  <c r="K32" i="14" s="1"/>
  <c r="L31" i="14"/>
  <c r="M31" i="14" s="1"/>
  <c r="K31" i="14"/>
  <c r="I31" i="14"/>
  <c r="L30" i="14" s="1"/>
  <c r="M30" i="14" s="1"/>
  <c r="H31" i="14"/>
  <c r="I30" i="14"/>
  <c r="H30" i="14"/>
  <c r="K30" i="14" s="1"/>
  <c r="M29" i="14" s="1"/>
  <c r="L29" i="14"/>
  <c r="I29" i="14"/>
  <c r="L28" i="14" s="1"/>
  <c r="M28" i="14" s="1"/>
  <c r="H29" i="14"/>
  <c r="K29" i="14" s="1"/>
  <c r="I28" i="14"/>
  <c r="H28" i="14"/>
  <c r="K28" i="14" s="1"/>
  <c r="M27" i="14" s="1"/>
  <c r="L27" i="14"/>
  <c r="I27" i="14"/>
  <c r="L26" i="14" s="1"/>
  <c r="M26" i="14" s="1"/>
  <c r="H27" i="14"/>
  <c r="K27" i="14" s="1"/>
  <c r="I26" i="14"/>
  <c r="H26" i="14"/>
  <c r="K26" i="14" s="1"/>
  <c r="M25" i="14" s="1"/>
  <c r="L25" i="14"/>
  <c r="I25" i="14"/>
  <c r="L24" i="14" s="1"/>
  <c r="H25" i="14"/>
  <c r="K25" i="14" s="1"/>
  <c r="I24" i="14"/>
  <c r="H24" i="14"/>
  <c r="K24" i="14" s="1"/>
  <c r="M23" i="14" s="1"/>
  <c r="L23" i="14"/>
  <c r="I23" i="14"/>
  <c r="L22" i="14" s="1"/>
  <c r="M22" i="14" s="1"/>
  <c r="H23" i="14"/>
  <c r="K23" i="14" s="1"/>
  <c r="I22" i="14"/>
  <c r="H22" i="14"/>
  <c r="K22" i="14" s="1"/>
  <c r="M21" i="14" s="1"/>
  <c r="L21" i="14"/>
  <c r="I21" i="14"/>
  <c r="L20" i="14" s="1"/>
  <c r="H21" i="14"/>
  <c r="K21" i="14" s="1"/>
  <c r="C21" i="14"/>
  <c r="I20" i="14"/>
  <c r="L19" i="14" s="1"/>
  <c r="H20" i="14"/>
  <c r="K20" i="14" s="1"/>
  <c r="K19" i="14"/>
  <c r="I19" i="14"/>
  <c r="L18" i="14" s="1"/>
  <c r="M18" i="14" s="1"/>
  <c r="H19" i="14"/>
  <c r="I18" i="14"/>
  <c r="L17" i="14" s="1"/>
  <c r="H18" i="14"/>
  <c r="K18" i="14" s="1"/>
  <c r="K17" i="14"/>
  <c r="I17" i="14"/>
  <c r="L16" i="14" s="1"/>
  <c r="M16" i="14" s="1"/>
  <c r="H17" i="14"/>
  <c r="I16" i="14"/>
  <c r="L15" i="14" s="1"/>
  <c r="M15" i="14" s="1"/>
  <c r="H16" i="14"/>
  <c r="K16" i="14" s="1"/>
  <c r="K15" i="14"/>
  <c r="I15" i="14"/>
  <c r="L14" i="14" s="1"/>
  <c r="M14" i="14" s="1"/>
  <c r="H15" i="14"/>
  <c r="I14" i="14"/>
  <c r="L13" i="14" s="1"/>
  <c r="H14" i="14"/>
  <c r="K14" i="14" s="1"/>
  <c r="K13" i="14"/>
  <c r="I13" i="14"/>
  <c r="L12" i="14" s="1"/>
  <c r="M12" i="14" s="1"/>
  <c r="H13" i="14"/>
  <c r="I12" i="14"/>
  <c r="H12" i="14"/>
  <c r="K12" i="14" s="1"/>
  <c r="C12" i="14"/>
  <c r="L11" i="14"/>
  <c r="K11" i="14"/>
  <c r="I11" i="14"/>
  <c r="L10" i="14" s="1"/>
  <c r="M10" i="14" s="1"/>
  <c r="H11" i="14"/>
  <c r="I10" i="14"/>
  <c r="L9" i="14" s="1"/>
  <c r="H10" i="14"/>
  <c r="K10" i="14" s="1"/>
  <c r="C10" i="14"/>
  <c r="K9" i="14"/>
  <c r="I9" i="14"/>
  <c r="H9" i="14"/>
  <c r="AD8" i="14"/>
  <c r="L8" i="14"/>
  <c r="M8" i="14" s="1"/>
  <c r="I8" i="14"/>
  <c r="H8" i="14"/>
  <c r="K8" i="14" s="1"/>
  <c r="L7" i="14"/>
  <c r="M7" i="14" s="1"/>
  <c r="K7" i="14"/>
  <c r="I7" i="14"/>
  <c r="H7" i="14"/>
  <c r="L6" i="14"/>
  <c r="M6" i="14" s="1"/>
  <c r="J7" i="14" s="1"/>
  <c r="C10" i="13"/>
  <c r="C8" i="13"/>
  <c r="F5" i="13"/>
  <c r="G5" i="13" s="1"/>
  <c r="H5" i="13" s="1"/>
  <c r="I5" i="13" s="1"/>
  <c r="F6" i="13" s="1"/>
  <c r="C373" i="12"/>
  <c r="B373" i="12"/>
  <c r="F370" i="12"/>
  <c r="E370" i="12"/>
  <c r="D370" i="12"/>
  <c r="F369" i="12"/>
  <c r="E369" i="12"/>
  <c r="D369" i="12"/>
  <c r="F368" i="12"/>
  <c r="E368" i="12"/>
  <c r="D368" i="12"/>
  <c r="F367" i="12"/>
  <c r="E367" i="12"/>
  <c r="D367" i="12"/>
  <c r="F366" i="12"/>
  <c r="E366" i="12"/>
  <c r="D366" i="12"/>
  <c r="F365" i="12"/>
  <c r="E365" i="12"/>
  <c r="D365" i="12"/>
  <c r="F364" i="12"/>
  <c r="E364" i="12"/>
  <c r="D364" i="12"/>
  <c r="F363" i="12"/>
  <c r="E363" i="12"/>
  <c r="D363" i="12"/>
  <c r="F362" i="12"/>
  <c r="E362" i="12"/>
  <c r="D362" i="12"/>
  <c r="F361" i="12"/>
  <c r="E361" i="12"/>
  <c r="D361" i="12"/>
  <c r="F360" i="12"/>
  <c r="E360" i="12"/>
  <c r="D360" i="12"/>
  <c r="F359" i="12"/>
  <c r="E359" i="12"/>
  <c r="D359" i="12"/>
  <c r="F358" i="12"/>
  <c r="E358" i="12"/>
  <c r="D358" i="12"/>
  <c r="F357" i="12"/>
  <c r="E357" i="12"/>
  <c r="D357" i="12"/>
  <c r="F356" i="12"/>
  <c r="E356" i="12"/>
  <c r="D356" i="12"/>
  <c r="F355" i="12"/>
  <c r="E355" i="12"/>
  <c r="D355" i="12"/>
  <c r="F354" i="12"/>
  <c r="E354" i="12"/>
  <c r="D354" i="12"/>
  <c r="F353" i="12"/>
  <c r="E353" i="12"/>
  <c r="D353" i="12"/>
  <c r="F352" i="12"/>
  <c r="E352" i="12"/>
  <c r="D352" i="12"/>
  <c r="F351" i="12"/>
  <c r="E351" i="12"/>
  <c r="D351" i="12"/>
  <c r="F350" i="12"/>
  <c r="E350" i="12"/>
  <c r="D350" i="12"/>
  <c r="F349" i="12"/>
  <c r="E349" i="12"/>
  <c r="D349" i="12"/>
  <c r="F348" i="12"/>
  <c r="E348" i="12"/>
  <c r="D348" i="12"/>
  <c r="F347" i="12"/>
  <c r="E347" i="12"/>
  <c r="D347" i="12"/>
  <c r="F346" i="12"/>
  <c r="E346" i="12"/>
  <c r="D346" i="12"/>
  <c r="F345" i="12"/>
  <c r="E345" i="12"/>
  <c r="D345" i="12"/>
  <c r="F344" i="12"/>
  <c r="E344" i="12"/>
  <c r="D344" i="12"/>
  <c r="F343" i="12"/>
  <c r="E343" i="12"/>
  <c r="D343" i="12"/>
  <c r="F342" i="12"/>
  <c r="E342" i="12"/>
  <c r="D342" i="12"/>
  <c r="F341" i="12"/>
  <c r="E341" i="12"/>
  <c r="D341" i="12"/>
  <c r="F340" i="12"/>
  <c r="E340" i="12"/>
  <c r="D340" i="12"/>
  <c r="F339" i="12"/>
  <c r="E339" i="12"/>
  <c r="D339" i="12"/>
  <c r="F338" i="12"/>
  <c r="E338" i="12"/>
  <c r="D338" i="12"/>
  <c r="F337" i="12"/>
  <c r="E337" i="12"/>
  <c r="D337" i="12"/>
  <c r="F336" i="12"/>
  <c r="E336" i="12"/>
  <c r="D336" i="12"/>
  <c r="F335" i="12"/>
  <c r="E335" i="12"/>
  <c r="D335" i="12"/>
  <c r="F334" i="12"/>
  <c r="E334" i="12"/>
  <c r="D334" i="12"/>
  <c r="F333" i="12"/>
  <c r="E333" i="12"/>
  <c r="D333" i="12"/>
  <c r="F332" i="12"/>
  <c r="E332" i="12"/>
  <c r="D332" i="12"/>
  <c r="F331" i="12"/>
  <c r="E331" i="12"/>
  <c r="D331" i="12"/>
  <c r="F330" i="12"/>
  <c r="E330" i="12"/>
  <c r="D330" i="12"/>
  <c r="F329" i="12"/>
  <c r="E329" i="12"/>
  <c r="D329" i="12"/>
  <c r="F328" i="12"/>
  <c r="E328" i="12"/>
  <c r="D328" i="12"/>
  <c r="F327" i="12"/>
  <c r="E327" i="12"/>
  <c r="D327" i="12"/>
  <c r="F326" i="12"/>
  <c r="E326" i="12"/>
  <c r="D326" i="12"/>
  <c r="F325" i="12"/>
  <c r="E325" i="12"/>
  <c r="D325" i="12"/>
  <c r="F324" i="12"/>
  <c r="E324" i="12"/>
  <c r="D324" i="12"/>
  <c r="F323" i="12"/>
  <c r="E323" i="12"/>
  <c r="D323" i="12"/>
  <c r="F322" i="12"/>
  <c r="E322" i="12"/>
  <c r="D322" i="12"/>
  <c r="F321" i="12"/>
  <c r="E321" i="12"/>
  <c r="D321" i="12"/>
  <c r="F320" i="12"/>
  <c r="E320" i="12"/>
  <c r="D320" i="12"/>
  <c r="F319" i="12"/>
  <c r="E319" i="12"/>
  <c r="D319" i="12"/>
  <c r="F318" i="12"/>
  <c r="E318" i="12"/>
  <c r="D318" i="12"/>
  <c r="F317" i="12"/>
  <c r="E317" i="12"/>
  <c r="D317" i="12"/>
  <c r="F316" i="12"/>
  <c r="E316" i="12"/>
  <c r="D316" i="12"/>
  <c r="F315" i="12"/>
  <c r="E315" i="12"/>
  <c r="D315" i="12"/>
  <c r="F314" i="12"/>
  <c r="E314" i="12"/>
  <c r="D314" i="12"/>
  <c r="F313" i="12"/>
  <c r="E313" i="12"/>
  <c r="D313" i="12"/>
  <c r="F312" i="12"/>
  <c r="E312" i="12"/>
  <c r="D312" i="12"/>
  <c r="F311" i="12"/>
  <c r="E311" i="12"/>
  <c r="D311" i="12"/>
  <c r="F310" i="12"/>
  <c r="E310" i="12"/>
  <c r="D310" i="12"/>
  <c r="F309" i="12"/>
  <c r="E309" i="12"/>
  <c r="D309" i="12"/>
  <c r="F308" i="12"/>
  <c r="E308" i="12"/>
  <c r="D308" i="12"/>
  <c r="F307" i="12"/>
  <c r="E307" i="12"/>
  <c r="D307" i="12"/>
  <c r="F306" i="12"/>
  <c r="E306" i="12"/>
  <c r="D306" i="12"/>
  <c r="F305" i="12"/>
  <c r="E305" i="12"/>
  <c r="D305" i="12"/>
  <c r="F304" i="12"/>
  <c r="E304" i="12"/>
  <c r="D304" i="12"/>
  <c r="F303" i="12"/>
  <c r="E303" i="12"/>
  <c r="D303" i="12"/>
  <c r="F302" i="12"/>
  <c r="E302" i="12"/>
  <c r="D302" i="12"/>
  <c r="F301" i="12"/>
  <c r="E301" i="12"/>
  <c r="D301" i="12"/>
  <c r="F300" i="12"/>
  <c r="E300" i="12"/>
  <c r="D300" i="12"/>
  <c r="F299" i="12"/>
  <c r="E299" i="12"/>
  <c r="D299" i="12"/>
  <c r="F298" i="12"/>
  <c r="E298" i="12"/>
  <c r="D298" i="12"/>
  <c r="F297" i="12"/>
  <c r="E297" i="12"/>
  <c r="D297" i="12"/>
  <c r="F296" i="12"/>
  <c r="E296" i="12"/>
  <c r="D296" i="12"/>
  <c r="F295" i="12"/>
  <c r="E295" i="12"/>
  <c r="D295" i="12"/>
  <c r="F294" i="12"/>
  <c r="E294" i="12"/>
  <c r="D294" i="12"/>
  <c r="F293" i="12"/>
  <c r="E293" i="12"/>
  <c r="D293" i="12"/>
  <c r="F292" i="12"/>
  <c r="E292" i="12"/>
  <c r="D292" i="12"/>
  <c r="F291" i="12"/>
  <c r="E291" i="12"/>
  <c r="D291" i="12"/>
  <c r="F290" i="12"/>
  <c r="E290" i="12"/>
  <c r="D290" i="12"/>
  <c r="F289" i="12"/>
  <c r="E289" i="12"/>
  <c r="D289" i="12"/>
  <c r="F288" i="12"/>
  <c r="E288" i="12"/>
  <c r="D288" i="12"/>
  <c r="F287" i="12"/>
  <c r="E287" i="12"/>
  <c r="D287" i="12"/>
  <c r="F286" i="12"/>
  <c r="E286" i="12"/>
  <c r="D286" i="12"/>
  <c r="F285" i="12"/>
  <c r="E285" i="12"/>
  <c r="D285" i="12"/>
  <c r="F284" i="12"/>
  <c r="E284" i="12"/>
  <c r="D284" i="12"/>
  <c r="F283" i="12"/>
  <c r="E283" i="12"/>
  <c r="D283" i="12"/>
  <c r="F282" i="12"/>
  <c r="E282" i="12"/>
  <c r="D282" i="12"/>
  <c r="F281" i="12"/>
  <c r="E281" i="12"/>
  <c r="D281" i="12"/>
  <c r="F280" i="12"/>
  <c r="E280" i="12"/>
  <c r="D280" i="12"/>
  <c r="F279" i="12"/>
  <c r="E279" i="12"/>
  <c r="D279" i="12"/>
  <c r="F278" i="12"/>
  <c r="E278" i="12"/>
  <c r="D278" i="12"/>
  <c r="F277" i="12"/>
  <c r="E277" i="12"/>
  <c r="D277" i="12"/>
  <c r="F276" i="12"/>
  <c r="E276" i="12"/>
  <c r="D276" i="12"/>
  <c r="F275" i="12"/>
  <c r="E275" i="12"/>
  <c r="D275" i="12"/>
  <c r="F274" i="12"/>
  <c r="E274" i="12"/>
  <c r="D274" i="12"/>
  <c r="F273" i="12"/>
  <c r="E273" i="12"/>
  <c r="D273" i="12"/>
  <c r="F272" i="12"/>
  <c r="E272" i="12"/>
  <c r="D272" i="12"/>
  <c r="F271" i="12"/>
  <c r="E271" i="12"/>
  <c r="D271" i="12"/>
  <c r="F270" i="12"/>
  <c r="E270" i="12"/>
  <c r="D270" i="12"/>
  <c r="F269" i="12"/>
  <c r="E269" i="12"/>
  <c r="D269" i="12"/>
  <c r="F268" i="12"/>
  <c r="E268" i="12"/>
  <c r="D268" i="12"/>
  <c r="F267" i="12"/>
  <c r="E267" i="12"/>
  <c r="D267" i="12"/>
  <c r="F266" i="12"/>
  <c r="E266" i="12"/>
  <c r="D266" i="12"/>
  <c r="F265" i="12"/>
  <c r="E265" i="12"/>
  <c r="D265" i="12"/>
  <c r="F264" i="12"/>
  <c r="E264" i="12"/>
  <c r="D264" i="12"/>
  <c r="F263" i="12"/>
  <c r="E263" i="12"/>
  <c r="D263" i="12"/>
  <c r="F262" i="12"/>
  <c r="E262" i="12"/>
  <c r="D262" i="12"/>
  <c r="F261" i="12"/>
  <c r="E261" i="12"/>
  <c r="D261" i="12"/>
  <c r="F260" i="12"/>
  <c r="E260" i="12"/>
  <c r="D260" i="12"/>
  <c r="F259" i="12"/>
  <c r="E259" i="12"/>
  <c r="D259" i="12"/>
  <c r="F258" i="12"/>
  <c r="E258" i="12"/>
  <c r="D258" i="12"/>
  <c r="F257" i="12"/>
  <c r="E257" i="12"/>
  <c r="D257" i="12"/>
  <c r="F256" i="12"/>
  <c r="E256" i="12"/>
  <c r="D256" i="12"/>
  <c r="F255" i="12"/>
  <c r="E255" i="12"/>
  <c r="D255" i="12"/>
  <c r="F254" i="12"/>
  <c r="E254" i="12"/>
  <c r="D254" i="12"/>
  <c r="F253" i="12"/>
  <c r="E253" i="12"/>
  <c r="D253" i="12"/>
  <c r="F252" i="12"/>
  <c r="E252" i="12"/>
  <c r="D252" i="12"/>
  <c r="F251" i="12"/>
  <c r="E251" i="12"/>
  <c r="D251" i="12"/>
  <c r="F250" i="12"/>
  <c r="E250" i="12"/>
  <c r="D250" i="12"/>
  <c r="F249" i="12"/>
  <c r="E249" i="12"/>
  <c r="D249" i="12"/>
  <c r="F248" i="12"/>
  <c r="E248" i="12"/>
  <c r="D248" i="12"/>
  <c r="F247" i="12"/>
  <c r="E247" i="12"/>
  <c r="D247" i="12"/>
  <c r="F246" i="12"/>
  <c r="E246" i="12"/>
  <c r="D246" i="12"/>
  <c r="F245" i="12"/>
  <c r="E245" i="12"/>
  <c r="D245" i="12"/>
  <c r="F244" i="12"/>
  <c r="E244" i="12"/>
  <c r="D244" i="12"/>
  <c r="F243" i="12"/>
  <c r="E243" i="12"/>
  <c r="D243" i="12"/>
  <c r="F242" i="12"/>
  <c r="E242" i="12"/>
  <c r="D242" i="12"/>
  <c r="F241" i="12"/>
  <c r="E241" i="12"/>
  <c r="D241" i="12"/>
  <c r="F240" i="12"/>
  <c r="E240" i="12"/>
  <c r="D240" i="12"/>
  <c r="F239" i="12"/>
  <c r="E239" i="12"/>
  <c r="D239" i="12"/>
  <c r="F238" i="12"/>
  <c r="E238" i="12"/>
  <c r="D238" i="12"/>
  <c r="F237" i="12"/>
  <c r="E237" i="12"/>
  <c r="D237" i="12"/>
  <c r="F236" i="12"/>
  <c r="E236" i="12"/>
  <c r="D236" i="12"/>
  <c r="F235" i="12"/>
  <c r="E235" i="12"/>
  <c r="D235" i="12"/>
  <c r="F234" i="12"/>
  <c r="E234" i="12"/>
  <c r="D234" i="12"/>
  <c r="F233" i="12"/>
  <c r="E233" i="12"/>
  <c r="D233" i="12"/>
  <c r="F232" i="12"/>
  <c r="E232" i="12"/>
  <c r="D232" i="12"/>
  <c r="F231" i="12"/>
  <c r="E231" i="12"/>
  <c r="D231" i="12"/>
  <c r="F230" i="12"/>
  <c r="E230" i="12"/>
  <c r="D230" i="12"/>
  <c r="F229" i="12"/>
  <c r="E229" i="12"/>
  <c r="D229" i="12"/>
  <c r="F228" i="12"/>
  <c r="E228" i="12"/>
  <c r="D228" i="12"/>
  <c r="F227" i="12"/>
  <c r="E227" i="12"/>
  <c r="D227" i="12"/>
  <c r="F226" i="12"/>
  <c r="E226" i="12"/>
  <c r="D226" i="12"/>
  <c r="F225" i="12"/>
  <c r="E225" i="12"/>
  <c r="D225" i="12"/>
  <c r="F224" i="12"/>
  <c r="E224" i="12"/>
  <c r="D224" i="12"/>
  <c r="F223" i="12"/>
  <c r="E223" i="12"/>
  <c r="D223" i="12"/>
  <c r="F222" i="12"/>
  <c r="E222" i="12"/>
  <c r="D222" i="12"/>
  <c r="F221" i="12"/>
  <c r="E221" i="12"/>
  <c r="D221" i="12"/>
  <c r="F220" i="12"/>
  <c r="E220" i="12"/>
  <c r="D220" i="12"/>
  <c r="F219" i="12"/>
  <c r="E219" i="12"/>
  <c r="D219" i="12"/>
  <c r="F218" i="12"/>
  <c r="E218" i="12"/>
  <c r="D218" i="12"/>
  <c r="F217" i="12"/>
  <c r="E217" i="12"/>
  <c r="D217" i="12"/>
  <c r="F216" i="12"/>
  <c r="E216" i="12"/>
  <c r="D216" i="12"/>
  <c r="F215" i="12"/>
  <c r="E215" i="12"/>
  <c r="D215" i="12"/>
  <c r="F214" i="12"/>
  <c r="E214" i="12"/>
  <c r="D214" i="12"/>
  <c r="F213" i="12"/>
  <c r="E213" i="12"/>
  <c r="D213" i="12"/>
  <c r="F212" i="12"/>
  <c r="E212" i="12"/>
  <c r="D212" i="12"/>
  <c r="F211" i="12"/>
  <c r="E211" i="12"/>
  <c r="D211" i="12"/>
  <c r="F210" i="12"/>
  <c r="E210" i="12"/>
  <c r="D210" i="12"/>
  <c r="F209" i="12"/>
  <c r="E209" i="12"/>
  <c r="D209" i="12"/>
  <c r="F208" i="12"/>
  <c r="E208" i="12"/>
  <c r="D208" i="12"/>
  <c r="F207" i="12"/>
  <c r="E207" i="12"/>
  <c r="D207" i="12"/>
  <c r="F206" i="12"/>
  <c r="E206" i="12"/>
  <c r="D206" i="12"/>
  <c r="F205" i="12"/>
  <c r="E205" i="12"/>
  <c r="D205" i="12"/>
  <c r="F204" i="12"/>
  <c r="E204" i="12"/>
  <c r="D204" i="12"/>
  <c r="F203" i="12"/>
  <c r="E203" i="12"/>
  <c r="D203" i="12"/>
  <c r="F202" i="12"/>
  <c r="E202" i="12"/>
  <c r="D202" i="12"/>
  <c r="F201" i="12"/>
  <c r="E201" i="12"/>
  <c r="D201" i="12"/>
  <c r="F200" i="12"/>
  <c r="E200" i="12"/>
  <c r="D200" i="12"/>
  <c r="F199" i="12"/>
  <c r="E199" i="12"/>
  <c r="D199" i="12"/>
  <c r="F198" i="12"/>
  <c r="E198" i="12"/>
  <c r="D198" i="12"/>
  <c r="F197" i="12"/>
  <c r="E197" i="12"/>
  <c r="D197" i="12"/>
  <c r="F196" i="12"/>
  <c r="E196" i="12"/>
  <c r="D196" i="12"/>
  <c r="F195" i="12"/>
  <c r="E195" i="12"/>
  <c r="D195" i="12"/>
  <c r="F194" i="12"/>
  <c r="E194" i="12"/>
  <c r="D194" i="12"/>
  <c r="F193" i="12"/>
  <c r="E193" i="12"/>
  <c r="D193" i="12"/>
  <c r="F192" i="12"/>
  <c r="E192" i="12"/>
  <c r="D192" i="12"/>
  <c r="F191" i="12"/>
  <c r="E191" i="12"/>
  <c r="D191" i="12"/>
  <c r="F190" i="12"/>
  <c r="E190" i="12"/>
  <c r="D190" i="12"/>
  <c r="F189" i="12"/>
  <c r="E189" i="12"/>
  <c r="D189" i="12"/>
  <c r="F188" i="12"/>
  <c r="E188" i="12"/>
  <c r="D188" i="12"/>
  <c r="F187" i="12"/>
  <c r="E187" i="12"/>
  <c r="D187" i="12"/>
  <c r="F186" i="12"/>
  <c r="E186" i="12"/>
  <c r="D186" i="12"/>
  <c r="F185" i="12"/>
  <c r="E185" i="12"/>
  <c r="D185" i="12"/>
  <c r="F184" i="12"/>
  <c r="E184" i="12"/>
  <c r="D184" i="12"/>
  <c r="F183" i="12"/>
  <c r="E183" i="12"/>
  <c r="D183" i="12"/>
  <c r="F182" i="12"/>
  <c r="E182" i="12"/>
  <c r="D182" i="12"/>
  <c r="F181" i="12"/>
  <c r="E181" i="12"/>
  <c r="D181" i="12"/>
  <c r="F180" i="12"/>
  <c r="E180" i="12"/>
  <c r="D180" i="12"/>
  <c r="F179" i="12"/>
  <c r="E179" i="12"/>
  <c r="D179" i="12"/>
  <c r="F178" i="12"/>
  <c r="E178" i="12"/>
  <c r="D178" i="12"/>
  <c r="F177" i="12"/>
  <c r="E177" i="12"/>
  <c r="D177" i="12"/>
  <c r="F176" i="12"/>
  <c r="E176" i="12"/>
  <c r="D176" i="12"/>
  <c r="F175" i="12"/>
  <c r="E175" i="12"/>
  <c r="D175" i="12"/>
  <c r="F174" i="12"/>
  <c r="E174" i="12"/>
  <c r="D174" i="12"/>
  <c r="F173" i="12"/>
  <c r="E173" i="12"/>
  <c r="D173" i="12"/>
  <c r="F172" i="12"/>
  <c r="E172" i="12"/>
  <c r="D172" i="12"/>
  <c r="F171" i="12"/>
  <c r="E171" i="12"/>
  <c r="D171" i="12"/>
  <c r="F170" i="12"/>
  <c r="E170" i="12"/>
  <c r="D170" i="12"/>
  <c r="F169" i="12"/>
  <c r="E169" i="12"/>
  <c r="D169" i="12"/>
  <c r="F168" i="12"/>
  <c r="E168" i="12"/>
  <c r="D168" i="12"/>
  <c r="F167" i="12"/>
  <c r="E167" i="12"/>
  <c r="D167" i="12"/>
  <c r="F166" i="12"/>
  <c r="E166" i="12"/>
  <c r="D166" i="12"/>
  <c r="F165" i="12"/>
  <c r="E165" i="12"/>
  <c r="D165" i="12"/>
  <c r="F164" i="12"/>
  <c r="E164" i="12"/>
  <c r="D164" i="12"/>
  <c r="F163" i="12"/>
  <c r="E163" i="12"/>
  <c r="D163" i="12"/>
  <c r="F162" i="12"/>
  <c r="E162" i="12"/>
  <c r="D162" i="12"/>
  <c r="F161" i="12"/>
  <c r="E161" i="12"/>
  <c r="D161" i="12"/>
  <c r="F160" i="12"/>
  <c r="E160" i="12"/>
  <c r="D160" i="12"/>
  <c r="F159" i="12"/>
  <c r="E159" i="12"/>
  <c r="D159" i="12"/>
  <c r="F158" i="12"/>
  <c r="E158" i="12"/>
  <c r="D158" i="12"/>
  <c r="F157" i="12"/>
  <c r="E157" i="12"/>
  <c r="D157" i="12"/>
  <c r="F156" i="12"/>
  <c r="E156" i="12"/>
  <c r="D156" i="12"/>
  <c r="F155" i="12"/>
  <c r="E155" i="12"/>
  <c r="D155" i="12"/>
  <c r="F154" i="12"/>
  <c r="E154" i="12"/>
  <c r="D154" i="12"/>
  <c r="F153" i="12"/>
  <c r="E153" i="12"/>
  <c r="D153" i="12"/>
  <c r="F152" i="12"/>
  <c r="E152" i="12"/>
  <c r="D152" i="12"/>
  <c r="F151" i="12"/>
  <c r="E151" i="12"/>
  <c r="D151" i="12"/>
  <c r="F150" i="12"/>
  <c r="E150" i="12"/>
  <c r="D150" i="12"/>
  <c r="F149" i="12"/>
  <c r="E149" i="12"/>
  <c r="D149" i="12"/>
  <c r="F148" i="12"/>
  <c r="E148" i="12"/>
  <c r="D148" i="12"/>
  <c r="F147" i="12"/>
  <c r="E147" i="12"/>
  <c r="D147" i="12"/>
  <c r="F146" i="12"/>
  <c r="E146" i="12"/>
  <c r="D146" i="12"/>
  <c r="F145" i="12"/>
  <c r="E145" i="12"/>
  <c r="D145" i="12"/>
  <c r="F144" i="12"/>
  <c r="E144" i="12"/>
  <c r="D144" i="12"/>
  <c r="F143" i="12"/>
  <c r="E143" i="12"/>
  <c r="D143" i="12"/>
  <c r="F142" i="12"/>
  <c r="E142" i="12"/>
  <c r="D142" i="12"/>
  <c r="F141" i="12"/>
  <c r="E141" i="12"/>
  <c r="D141" i="12"/>
  <c r="F140" i="12"/>
  <c r="E140" i="12"/>
  <c r="D140" i="12"/>
  <c r="F139" i="12"/>
  <c r="E139" i="12"/>
  <c r="D139" i="12"/>
  <c r="F138" i="12"/>
  <c r="E138" i="12"/>
  <c r="D138" i="12"/>
  <c r="F137" i="12"/>
  <c r="E137" i="12"/>
  <c r="D137" i="12"/>
  <c r="F136" i="12"/>
  <c r="E136" i="12"/>
  <c r="D136" i="12"/>
  <c r="F135" i="12"/>
  <c r="E135" i="12"/>
  <c r="D135" i="12"/>
  <c r="F134" i="12"/>
  <c r="E134" i="12"/>
  <c r="D134" i="12"/>
  <c r="F133" i="12"/>
  <c r="E133" i="12"/>
  <c r="D133" i="12"/>
  <c r="F132" i="12"/>
  <c r="E132" i="12"/>
  <c r="D132" i="12"/>
  <c r="F131" i="12"/>
  <c r="E131" i="12"/>
  <c r="D131" i="12"/>
  <c r="F130" i="12"/>
  <c r="E130" i="12"/>
  <c r="D130" i="12"/>
  <c r="F129" i="12"/>
  <c r="E129" i="12"/>
  <c r="D129" i="12"/>
  <c r="F128" i="12"/>
  <c r="E128" i="12"/>
  <c r="D128" i="12"/>
  <c r="F127" i="12"/>
  <c r="E127" i="12"/>
  <c r="D127" i="12"/>
  <c r="F126" i="12"/>
  <c r="E126" i="12"/>
  <c r="D126" i="12"/>
  <c r="F125" i="12"/>
  <c r="E125" i="12"/>
  <c r="D125" i="12"/>
  <c r="F124" i="12"/>
  <c r="E124" i="12"/>
  <c r="D124" i="12"/>
  <c r="F123" i="12"/>
  <c r="E123" i="12"/>
  <c r="D123" i="12"/>
  <c r="F122" i="12"/>
  <c r="E122" i="12"/>
  <c r="D122" i="12"/>
  <c r="F121" i="12"/>
  <c r="E121" i="12"/>
  <c r="D121" i="12"/>
  <c r="F120" i="12"/>
  <c r="E120" i="12"/>
  <c r="D120" i="12"/>
  <c r="F119" i="12"/>
  <c r="E119" i="12"/>
  <c r="D119" i="12"/>
  <c r="F118" i="12"/>
  <c r="E118" i="12"/>
  <c r="D118" i="12"/>
  <c r="F117" i="12"/>
  <c r="E117" i="12"/>
  <c r="D117" i="12"/>
  <c r="F116" i="12"/>
  <c r="E116" i="12"/>
  <c r="D116" i="12"/>
  <c r="F115" i="12"/>
  <c r="E115" i="12"/>
  <c r="D115" i="12"/>
  <c r="F114" i="12"/>
  <c r="E114" i="12"/>
  <c r="D114" i="12"/>
  <c r="F113" i="12"/>
  <c r="E113" i="12"/>
  <c r="D113" i="12"/>
  <c r="F112" i="12"/>
  <c r="E112" i="12"/>
  <c r="D112" i="12"/>
  <c r="F111" i="12"/>
  <c r="E111" i="12"/>
  <c r="D111" i="12"/>
  <c r="F110" i="12"/>
  <c r="E110" i="12"/>
  <c r="D110" i="12"/>
  <c r="F109" i="12"/>
  <c r="E109" i="12"/>
  <c r="D109" i="12"/>
  <c r="F108" i="12"/>
  <c r="E108" i="12"/>
  <c r="D108" i="12"/>
  <c r="F107" i="12"/>
  <c r="E107" i="12"/>
  <c r="D107" i="12"/>
  <c r="F106" i="12"/>
  <c r="E106" i="12"/>
  <c r="D106" i="12"/>
  <c r="F105" i="12"/>
  <c r="E105" i="12"/>
  <c r="D105" i="12"/>
  <c r="F104" i="12"/>
  <c r="E104" i="12"/>
  <c r="D104" i="12"/>
  <c r="F103" i="12"/>
  <c r="E103" i="12"/>
  <c r="D103" i="12"/>
  <c r="F102" i="12"/>
  <c r="E102" i="12"/>
  <c r="D102" i="12"/>
  <c r="F101" i="12"/>
  <c r="E101" i="12"/>
  <c r="D101" i="12"/>
  <c r="F100" i="12"/>
  <c r="E100" i="12"/>
  <c r="D100" i="12"/>
  <c r="F99" i="12"/>
  <c r="E99" i="12"/>
  <c r="D99" i="12"/>
  <c r="F98" i="12"/>
  <c r="E98" i="12"/>
  <c r="D98" i="12"/>
  <c r="F97" i="12"/>
  <c r="E97" i="12"/>
  <c r="D97" i="12"/>
  <c r="F96" i="12"/>
  <c r="E96" i="12"/>
  <c r="D96" i="12"/>
  <c r="F95" i="12"/>
  <c r="E95" i="12"/>
  <c r="D95" i="12"/>
  <c r="F94" i="12"/>
  <c r="E94" i="12"/>
  <c r="D94" i="12"/>
  <c r="F93" i="12"/>
  <c r="E93" i="12"/>
  <c r="D93" i="12"/>
  <c r="F92" i="12"/>
  <c r="E92" i="12"/>
  <c r="D92" i="12"/>
  <c r="F91" i="12"/>
  <c r="E91" i="12"/>
  <c r="D91" i="12"/>
  <c r="F90" i="12"/>
  <c r="E90" i="12"/>
  <c r="D90" i="12"/>
  <c r="F89" i="12"/>
  <c r="E89" i="12"/>
  <c r="D89" i="12"/>
  <c r="F88" i="12"/>
  <c r="E88" i="12"/>
  <c r="D88" i="12"/>
  <c r="F87" i="12"/>
  <c r="E87" i="12"/>
  <c r="D87" i="12"/>
  <c r="F86" i="12"/>
  <c r="E86" i="12"/>
  <c r="D86" i="12"/>
  <c r="F85" i="12"/>
  <c r="E85" i="12"/>
  <c r="D85" i="12"/>
  <c r="F84" i="12"/>
  <c r="E84" i="12"/>
  <c r="D84" i="12"/>
  <c r="F83" i="12"/>
  <c r="E83" i="12"/>
  <c r="D83" i="12"/>
  <c r="F82" i="12"/>
  <c r="E82" i="12"/>
  <c r="D82" i="12"/>
  <c r="F81" i="12"/>
  <c r="E81" i="12"/>
  <c r="D81" i="12"/>
  <c r="F80" i="12"/>
  <c r="E80" i="12"/>
  <c r="D80" i="12"/>
  <c r="F79" i="12"/>
  <c r="E79" i="12"/>
  <c r="D79" i="12"/>
  <c r="F78" i="12"/>
  <c r="E78" i="12"/>
  <c r="D78" i="12"/>
  <c r="F77" i="12"/>
  <c r="E77" i="12"/>
  <c r="D77" i="12"/>
  <c r="F76" i="12"/>
  <c r="E76" i="12"/>
  <c r="D76" i="12"/>
  <c r="F75" i="12"/>
  <c r="E75" i="12"/>
  <c r="D75" i="12"/>
  <c r="F74" i="12"/>
  <c r="E74" i="12"/>
  <c r="D74" i="12"/>
  <c r="F73" i="12"/>
  <c r="E73" i="12"/>
  <c r="D73" i="12"/>
  <c r="F72" i="12"/>
  <c r="E72" i="12"/>
  <c r="D72" i="12"/>
  <c r="F71" i="12"/>
  <c r="E71" i="12"/>
  <c r="D71" i="12"/>
  <c r="F70" i="12"/>
  <c r="E70" i="12"/>
  <c r="D70" i="12"/>
  <c r="F69" i="12"/>
  <c r="E69" i="12"/>
  <c r="D69" i="12"/>
  <c r="F68" i="12"/>
  <c r="E68" i="12"/>
  <c r="D68" i="12"/>
  <c r="F67" i="12"/>
  <c r="E67" i="12"/>
  <c r="D67" i="12"/>
  <c r="F66" i="12"/>
  <c r="E66" i="12"/>
  <c r="D66" i="12"/>
  <c r="F65" i="12"/>
  <c r="E65" i="12"/>
  <c r="D65" i="12"/>
  <c r="F64" i="12"/>
  <c r="E64" i="12"/>
  <c r="D64" i="12"/>
  <c r="F63" i="12"/>
  <c r="E63" i="12"/>
  <c r="D63" i="12"/>
  <c r="F62" i="12"/>
  <c r="E62" i="12"/>
  <c r="D62" i="12"/>
  <c r="F61" i="12"/>
  <c r="E61" i="12"/>
  <c r="D61" i="12"/>
  <c r="F60" i="12"/>
  <c r="E60" i="12"/>
  <c r="D60" i="12"/>
  <c r="F59" i="12"/>
  <c r="E59" i="12"/>
  <c r="D59" i="12"/>
  <c r="F58" i="12"/>
  <c r="E58" i="12"/>
  <c r="D58" i="12"/>
  <c r="F57" i="12"/>
  <c r="E57" i="12"/>
  <c r="D57" i="12"/>
  <c r="F56" i="12"/>
  <c r="E56" i="12"/>
  <c r="D56" i="12"/>
  <c r="F55" i="12"/>
  <c r="E55" i="12"/>
  <c r="D55" i="12"/>
  <c r="F54" i="12"/>
  <c r="E54" i="12"/>
  <c r="D54" i="12"/>
  <c r="F53" i="12"/>
  <c r="E53" i="12"/>
  <c r="D53" i="12"/>
  <c r="F52" i="12"/>
  <c r="E52" i="12"/>
  <c r="D52" i="12"/>
  <c r="F51" i="12"/>
  <c r="E51" i="12"/>
  <c r="D51" i="12"/>
  <c r="F50" i="12"/>
  <c r="E50" i="12"/>
  <c r="D50" i="12"/>
  <c r="F49" i="12"/>
  <c r="E49" i="12"/>
  <c r="D49" i="12"/>
  <c r="F48" i="12"/>
  <c r="E48" i="12"/>
  <c r="D48" i="12"/>
  <c r="F47" i="12"/>
  <c r="E47" i="12"/>
  <c r="D47" i="12"/>
  <c r="F46" i="12"/>
  <c r="E46" i="12"/>
  <c r="D46" i="12"/>
  <c r="F45" i="12"/>
  <c r="E45" i="12"/>
  <c r="D45" i="12"/>
  <c r="F44" i="12"/>
  <c r="E44" i="12"/>
  <c r="D44" i="12"/>
  <c r="F43" i="12"/>
  <c r="E43" i="12"/>
  <c r="D43" i="12"/>
  <c r="F42" i="12"/>
  <c r="E42" i="12"/>
  <c r="D42" i="12"/>
  <c r="F41" i="12"/>
  <c r="E41" i="12"/>
  <c r="D41" i="12"/>
  <c r="F40" i="12"/>
  <c r="E40" i="12"/>
  <c r="D40" i="12"/>
  <c r="F39" i="12"/>
  <c r="E39" i="12"/>
  <c r="D39" i="12"/>
  <c r="F38" i="12"/>
  <c r="E38" i="12"/>
  <c r="D38" i="12"/>
  <c r="F37" i="12"/>
  <c r="E37" i="12"/>
  <c r="D37" i="12"/>
  <c r="F36" i="12"/>
  <c r="E36" i="12"/>
  <c r="D36" i="12"/>
  <c r="F35" i="12"/>
  <c r="E35" i="12"/>
  <c r="D35" i="12"/>
  <c r="F34" i="12"/>
  <c r="E34" i="12"/>
  <c r="D34" i="12"/>
  <c r="F33" i="12"/>
  <c r="E33" i="12"/>
  <c r="D33" i="12"/>
  <c r="F32" i="12"/>
  <c r="E32" i="12"/>
  <c r="D32" i="12"/>
  <c r="F31" i="12"/>
  <c r="E31" i="12"/>
  <c r="D31" i="12"/>
  <c r="F30" i="12"/>
  <c r="E30" i="12"/>
  <c r="D30" i="12"/>
  <c r="F29" i="12"/>
  <c r="E29" i="12"/>
  <c r="D29" i="12"/>
  <c r="F28" i="12"/>
  <c r="E28" i="12"/>
  <c r="D28" i="12"/>
  <c r="F27" i="12"/>
  <c r="E27" i="12"/>
  <c r="D27" i="12"/>
  <c r="F26" i="12"/>
  <c r="E26" i="12"/>
  <c r="D26" i="12"/>
  <c r="F25" i="12"/>
  <c r="E25" i="12"/>
  <c r="D25" i="12"/>
  <c r="F24" i="12"/>
  <c r="E24" i="12"/>
  <c r="D24" i="12"/>
  <c r="F23" i="12"/>
  <c r="E23" i="12"/>
  <c r="D23" i="12"/>
  <c r="F22" i="12"/>
  <c r="E22" i="12"/>
  <c r="D22" i="12"/>
  <c r="F21" i="12"/>
  <c r="E21" i="12"/>
  <c r="D21" i="12"/>
  <c r="F20" i="12"/>
  <c r="E20" i="12"/>
  <c r="D20" i="12"/>
  <c r="F19" i="12"/>
  <c r="E19" i="12"/>
  <c r="D19" i="12"/>
  <c r="F18" i="12"/>
  <c r="E18" i="12"/>
  <c r="D18" i="12"/>
  <c r="F17" i="12"/>
  <c r="E17" i="12"/>
  <c r="D17" i="12"/>
  <c r="F16" i="12"/>
  <c r="E16" i="12"/>
  <c r="D16" i="12"/>
  <c r="F15" i="12"/>
  <c r="E15" i="12"/>
  <c r="D15" i="12"/>
  <c r="F14" i="12"/>
  <c r="E14" i="12"/>
  <c r="D14" i="12"/>
  <c r="F13" i="12"/>
  <c r="E13" i="12"/>
  <c r="D13" i="12"/>
  <c r="F12" i="12"/>
  <c r="E12" i="12"/>
  <c r="D12" i="12"/>
  <c r="F11" i="12"/>
  <c r="E11" i="12"/>
  <c r="D11" i="12"/>
  <c r="F10" i="12"/>
  <c r="E10" i="12"/>
  <c r="D10" i="12"/>
  <c r="F9" i="12"/>
  <c r="E9" i="12"/>
  <c r="D9" i="12"/>
  <c r="F8" i="12"/>
  <c r="E8" i="12"/>
  <c r="D8" i="12"/>
  <c r="F7" i="12"/>
  <c r="E7" i="12"/>
  <c r="D7" i="12"/>
  <c r="F6" i="12"/>
  <c r="F373" i="12" s="1"/>
  <c r="E6" i="12"/>
  <c r="E373" i="12" s="1"/>
  <c r="D6" i="12"/>
  <c r="D373" i="12" s="1"/>
  <c r="E57" i="10"/>
  <c r="D57" i="10"/>
  <c r="C57" i="10"/>
  <c r="C61" i="10" s="1"/>
  <c r="B57" i="10"/>
  <c r="E51" i="10"/>
  <c r="D51" i="10"/>
  <c r="C51" i="10"/>
  <c r="B51" i="10"/>
  <c r="E39" i="10"/>
  <c r="D39" i="10"/>
  <c r="C39" i="10"/>
  <c r="E38" i="10"/>
  <c r="E40" i="10" s="1"/>
  <c r="D38" i="10"/>
  <c r="D40" i="10" s="1"/>
  <c r="C38" i="10"/>
  <c r="F31" i="10"/>
  <c r="G11" i="10"/>
  <c r="K10" i="10"/>
  <c r="K11" i="10" s="1"/>
  <c r="G10" i="10"/>
  <c r="B2" i="10"/>
  <c r="A399" i="9"/>
  <c r="AG399" i="9" s="1"/>
  <c r="AG398" i="9"/>
  <c r="A398" i="9"/>
  <c r="A397" i="9"/>
  <c r="AG397" i="9" s="1"/>
  <c r="AG396" i="9"/>
  <c r="A396" i="9"/>
  <c r="AG395" i="9"/>
  <c r="A395" i="9"/>
  <c r="A394" i="9"/>
  <c r="AG394" i="9" s="1"/>
  <c r="AG393" i="9"/>
  <c r="A393" i="9"/>
  <c r="A392" i="9"/>
  <c r="AG392" i="9" s="1"/>
  <c r="A391" i="9"/>
  <c r="AG391" i="9" s="1"/>
  <c r="AG390" i="9"/>
  <c r="A390" i="9"/>
  <c r="A389" i="9"/>
  <c r="AG389" i="9" s="1"/>
  <c r="A388" i="9"/>
  <c r="AG388" i="9" s="1"/>
  <c r="AG387" i="9"/>
  <c r="A387" i="9"/>
  <c r="A386" i="9"/>
  <c r="AG386" i="9" s="1"/>
  <c r="A385" i="9"/>
  <c r="AG385" i="9" s="1"/>
  <c r="AG384" i="9"/>
  <c r="A384" i="9"/>
  <c r="A383" i="9"/>
  <c r="AG383" i="9" s="1"/>
  <c r="A382" i="9"/>
  <c r="AG382" i="9" s="1"/>
  <c r="AG381" i="9"/>
  <c r="A381" i="9"/>
  <c r="A380" i="9"/>
  <c r="AG380" i="9" s="1"/>
  <c r="A379" i="9"/>
  <c r="AG379" i="9" s="1"/>
  <c r="AG378" i="9"/>
  <c r="A378" i="9"/>
  <c r="AG377" i="9"/>
  <c r="A377" i="9"/>
  <c r="A376" i="9"/>
  <c r="AG376" i="9" s="1"/>
  <c r="A375" i="9"/>
  <c r="AG375" i="9" s="1"/>
  <c r="A374" i="9"/>
  <c r="AG374" i="9" s="1"/>
  <c r="A373" i="9"/>
  <c r="AG373" i="9" s="1"/>
  <c r="AG372" i="9"/>
  <c r="A372" i="9"/>
  <c r="AG371" i="9"/>
  <c r="A371" i="9"/>
  <c r="A370" i="9"/>
  <c r="AG370" i="9" s="1"/>
  <c r="A369" i="9"/>
  <c r="AG369" i="9" s="1"/>
  <c r="A368" i="9"/>
  <c r="AG368" i="9" s="1"/>
  <c r="A367" i="9"/>
  <c r="AG367" i="9" s="1"/>
  <c r="A366" i="9"/>
  <c r="AG366" i="9" s="1"/>
  <c r="AG365" i="9"/>
  <c r="A365" i="9"/>
  <c r="AG364" i="9"/>
  <c r="A364" i="9"/>
  <c r="A363" i="9"/>
  <c r="AG363" i="9" s="1"/>
  <c r="AG362" i="9"/>
  <c r="A362" i="9"/>
  <c r="A361" i="9"/>
  <c r="AG361" i="9" s="1"/>
  <c r="A360" i="9"/>
  <c r="AG360" i="9" s="1"/>
  <c r="AG359" i="9"/>
  <c r="A359" i="9"/>
  <c r="A358" i="9"/>
  <c r="AG358" i="9" s="1"/>
  <c r="A357" i="9"/>
  <c r="AG357" i="9" s="1"/>
  <c r="AG356" i="9"/>
  <c r="A356" i="9"/>
  <c r="A355" i="9"/>
  <c r="AG355" i="9" s="1"/>
  <c r="A354" i="9"/>
  <c r="AG354" i="9" s="1"/>
  <c r="AG353" i="9"/>
  <c r="A353" i="9"/>
  <c r="A352" i="9"/>
  <c r="AG352" i="9" s="1"/>
  <c r="A351" i="9"/>
  <c r="AG351" i="9" s="1"/>
  <c r="AG350" i="9"/>
  <c r="A350" i="9"/>
  <c r="A349" i="9"/>
  <c r="AG349" i="9" s="1"/>
  <c r="A348" i="9"/>
  <c r="AG348" i="9" s="1"/>
  <c r="AG347" i="9"/>
  <c r="A347" i="9"/>
  <c r="A346" i="9"/>
  <c r="AG346" i="9" s="1"/>
  <c r="A345" i="9"/>
  <c r="AG345" i="9" s="1"/>
  <c r="AG344" i="9"/>
  <c r="A344" i="9"/>
  <c r="A343" i="9"/>
  <c r="AG343" i="9" s="1"/>
  <c r="A342" i="9"/>
  <c r="AG342" i="9" s="1"/>
  <c r="AG341" i="9"/>
  <c r="A341" i="9"/>
  <c r="A340" i="9"/>
  <c r="AG340" i="9" s="1"/>
  <c r="A339" i="9"/>
  <c r="AG339" i="9" s="1"/>
  <c r="AG338" i="9"/>
  <c r="A338" i="9"/>
  <c r="A337" i="9"/>
  <c r="AG337" i="9" s="1"/>
  <c r="A336" i="9"/>
  <c r="AG336" i="9" s="1"/>
  <c r="AG335" i="9"/>
  <c r="A335" i="9"/>
  <c r="A334" i="9"/>
  <c r="AG334" i="9" s="1"/>
  <c r="A333" i="9"/>
  <c r="AG333" i="9" s="1"/>
  <c r="AG332" i="9"/>
  <c r="A332" i="9"/>
  <c r="A331" i="9"/>
  <c r="AG331" i="9" s="1"/>
  <c r="A330" i="9"/>
  <c r="AG330" i="9" s="1"/>
  <c r="AG329" i="9"/>
  <c r="A329" i="9"/>
  <c r="A328" i="9"/>
  <c r="AG328" i="9" s="1"/>
  <c r="A327" i="9"/>
  <c r="AG327" i="9" s="1"/>
  <c r="AG326" i="9"/>
  <c r="A326" i="9"/>
  <c r="A325" i="9"/>
  <c r="AG325" i="9" s="1"/>
  <c r="A324" i="9"/>
  <c r="AG324" i="9" s="1"/>
  <c r="AG323" i="9"/>
  <c r="A323" i="9"/>
  <c r="A322" i="9"/>
  <c r="AG322" i="9" s="1"/>
  <c r="A321" i="9"/>
  <c r="AG321" i="9" s="1"/>
  <c r="AG320" i="9"/>
  <c r="A320" i="9"/>
  <c r="A319" i="9"/>
  <c r="AG319" i="9" s="1"/>
  <c r="A318" i="9"/>
  <c r="AG318" i="9" s="1"/>
  <c r="AG317" i="9"/>
  <c r="A317" i="9"/>
  <c r="A316" i="9"/>
  <c r="AG316" i="9" s="1"/>
  <c r="AG315" i="9"/>
  <c r="A315" i="9"/>
  <c r="AG314" i="9"/>
  <c r="A314" i="9"/>
  <c r="AG313" i="9"/>
  <c r="A313" i="9"/>
  <c r="AG312" i="9"/>
  <c r="A312" i="9"/>
  <c r="AG311" i="9"/>
  <c r="A311" i="9"/>
  <c r="AG310" i="9"/>
  <c r="A310" i="9"/>
  <c r="AG309" i="9"/>
  <c r="A309" i="9"/>
  <c r="AG308" i="9"/>
  <c r="A308" i="9"/>
  <c r="AG307" i="9"/>
  <c r="A307" i="9"/>
  <c r="AG306" i="9"/>
  <c r="A306" i="9"/>
  <c r="A305" i="9"/>
  <c r="AG305" i="9" s="1"/>
  <c r="AG304" i="9"/>
  <c r="A304" i="9"/>
  <c r="A303" i="9"/>
  <c r="AG303" i="9" s="1"/>
  <c r="A302" i="9"/>
  <c r="AG302" i="9" s="1"/>
  <c r="A301" i="9"/>
  <c r="AG301" i="9" s="1"/>
  <c r="A300" i="9"/>
  <c r="AG300" i="9" s="1"/>
  <c r="A299" i="9"/>
  <c r="AG299" i="9" s="1"/>
  <c r="A298" i="9"/>
  <c r="AG298" i="9" s="1"/>
  <c r="A297" i="9"/>
  <c r="AG297" i="9" s="1"/>
  <c r="A296" i="9"/>
  <c r="AG296" i="9" s="1"/>
  <c r="A295" i="9"/>
  <c r="AG295" i="9" s="1"/>
  <c r="A294" i="9"/>
  <c r="AG294" i="9" s="1"/>
  <c r="A293" i="9"/>
  <c r="AG293" i="9" s="1"/>
  <c r="A292" i="9"/>
  <c r="AG292" i="9" s="1"/>
  <c r="A291" i="9"/>
  <c r="AG291" i="9" s="1"/>
  <c r="A290" i="9"/>
  <c r="AG290" i="9" s="1"/>
  <c r="AG289" i="9"/>
  <c r="A289" i="9"/>
  <c r="A288" i="9"/>
  <c r="AG288" i="9" s="1"/>
  <c r="A287" i="9"/>
  <c r="AG287" i="9" s="1"/>
  <c r="A286" i="9"/>
  <c r="AG286" i="9" s="1"/>
  <c r="A285" i="9"/>
  <c r="AG285" i="9" s="1"/>
  <c r="A284" i="9"/>
  <c r="AG284" i="9" s="1"/>
  <c r="AG283" i="9"/>
  <c r="A283" i="9"/>
  <c r="A282" i="9"/>
  <c r="AG282" i="9" s="1"/>
  <c r="A281" i="9"/>
  <c r="AG281" i="9" s="1"/>
  <c r="A280" i="9"/>
  <c r="AG280" i="9" s="1"/>
  <c r="A279" i="9"/>
  <c r="AG279" i="9" s="1"/>
  <c r="A278" i="9"/>
  <c r="AG278" i="9" s="1"/>
  <c r="A277" i="9"/>
  <c r="AG277" i="9" s="1"/>
  <c r="A276" i="9"/>
  <c r="AG276" i="9" s="1"/>
  <c r="A275" i="9"/>
  <c r="AG275" i="9" s="1"/>
  <c r="A274" i="9"/>
  <c r="AG274" i="9" s="1"/>
  <c r="A273" i="9"/>
  <c r="AG273" i="9" s="1"/>
  <c r="A272" i="9"/>
  <c r="AG272" i="9" s="1"/>
  <c r="A271" i="9"/>
  <c r="AG271" i="9" s="1"/>
  <c r="A270" i="9"/>
  <c r="AG270" i="9" s="1"/>
  <c r="A269" i="9"/>
  <c r="AG269" i="9" s="1"/>
  <c r="A268" i="9"/>
  <c r="AG268" i="9" s="1"/>
  <c r="AG267" i="9"/>
  <c r="A267" i="9"/>
  <c r="A266" i="9"/>
  <c r="AG266" i="9" s="1"/>
  <c r="A265" i="9"/>
  <c r="AG265" i="9" s="1"/>
  <c r="A264" i="9"/>
  <c r="AG264" i="9" s="1"/>
  <c r="A263" i="9"/>
  <c r="AG263" i="9" s="1"/>
  <c r="A262" i="9"/>
  <c r="AG262" i="9" s="1"/>
  <c r="A261" i="9"/>
  <c r="AG261" i="9" s="1"/>
  <c r="AG260" i="9"/>
  <c r="A260" i="9"/>
  <c r="A259" i="9"/>
  <c r="AG259" i="9" s="1"/>
  <c r="A258" i="9"/>
  <c r="AG258" i="9" s="1"/>
  <c r="AG257" i="9"/>
  <c r="A257" i="9"/>
  <c r="A256" i="9"/>
  <c r="AG256" i="9" s="1"/>
  <c r="A255" i="9"/>
  <c r="AG255" i="9" s="1"/>
  <c r="AG254" i="9"/>
  <c r="A254" i="9"/>
  <c r="A253" i="9"/>
  <c r="AG253" i="9" s="1"/>
  <c r="A252" i="9"/>
  <c r="AG252" i="9" s="1"/>
  <c r="AG251" i="9"/>
  <c r="A251" i="9"/>
  <c r="A250" i="9"/>
  <c r="AG250" i="9" s="1"/>
  <c r="A249" i="9"/>
  <c r="AG249" i="9" s="1"/>
  <c r="A248" i="9"/>
  <c r="AG248" i="9" s="1"/>
  <c r="A247" i="9"/>
  <c r="AG247" i="9" s="1"/>
  <c r="A246" i="9"/>
  <c r="AG246" i="9" s="1"/>
  <c r="A245" i="9"/>
  <c r="AG245" i="9" s="1"/>
  <c r="AG244" i="9"/>
  <c r="A244" i="9"/>
  <c r="AG243" i="9"/>
  <c r="A243" i="9"/>
  <c r="A242" i="9"/>
  <c r="AG242" i="9" s="1"/>
  <c r="AG241" i="9"/>
  <c r="A241" i="9"/>
  <c r="AG240" i="9"/>
  <c r="A240" i="9"/>
  <c r="A239" i="9"/>
  <c r="AG239" i="9" s="1"/>
  <c r="AG238" i="9"/>
  <c r="A238" i="9"/>
  <c r="AG237" i="9"/>
  <c r="A237" i="9"/>
  <c r="A236" i="9"/>
  <c r="AG236" i="9" s="1"/>
  <c r="AG235" i="9"/>
  <c r="A235" i="9"/>
  <c r="AG234" i="9"/>
  <c r="A234" i="9"/>
  <c r="A233" i="9"/>
  <c r="AG233" i="9" s="1"/>
  <c r="AG232" i="9"/>
  <c r="A232" i="9"/>
  <c r="AG231" i="9"/>
  <c r="A231" i="9"/>
  <c r="A230" i="9"/>
  <c r="AG230" i="9" s="1"/>
  <c r="AG229" i="9"/>
  <c r="A229" i="9"/>
  <c r="AG228" i="9"/>
  <c r="A228" i="9"/>
  <c r="A227" i="9"/>
  <c r="AG227" i="9" s="1"/>
  <c r="AG226" i="9"/>
  <c r="A226" i="9"/>
  <c r="AG225" i="9"/>
  <c r="A225" i="9"/>
  <c r="A224" i="9"/>
  <c r="AG224" i="9" s="1"/>
  <c r="AG223" i="9"/>
  <c r="A223" i="9"/>
  <c r="AG222" i="9"/>
  <c r="A222" i="9"/>
  <c r="A221" i="9"/>
  <c r="AG221" i="9" s="1"/>
  <c r="AG220" i="9"/>
  <c r="A220" i="9"/>
  <c r="AG219" i="9"/>
  <c r="A219" i="9"/>
  <c r="A218" i="9"/>
  <c r="AG218" i="9" s="1"/>
  <c r="AG217" i="9"/>
  <c r="A217" i="9"/>
  <c r="AG216" i="9"/>
  <c r="A216" i="9"/>
  <c r="A215" i="9"/>
  <c r="AG215" i="9" s="1"/>
  <c r="AG214" i="9"/>
  <c r="A214" i="9"/>
  <c r="AG213" i="9"/>
  <c r="A213" i="9"/>
  <c r="A212" i="9"/>
  <c r="AG212" i="9" s="1"/>
  <c r="AG211" i="9"/>
  <c r="A211" i="9"/>
  <c r="AG210" i="9"/>
  <c r="A210" i="9"/>
  <c r="A209" i="9"/>
  <c r="AG209" i="9" s="1"/>
  <c r="AG208" i="9"/>
  <c r="A208" i="9"/>
  <c r="AG207" i="9"/>
  <c r="A207" i="9"/>
  <c r="A206" i="9"/>
  <c r="AG206" i="9" s="1"/>
  <c r="AG205" i="9"/>
  <c r="A205" i="9"/>
  <c r="AG204" i="9"/>
  <c r="A204" i="9"/>
  <c r="A203" i="9"/>
  <c r="AG203" i="9" s="1"/>
  <c r="AG202" i="9"/>
  <c r="A202" i="9"/>
  <c r="AG201" i="9"/>
  <c r="A201" i="9"/>
  <c r="A200" i="9"/>
  <c r="AG200" i="9" s="1"/>
  <c r="AG199" i="9"/>
  <c r="A199" i="9"/>
  <c r="A198" i="9"/>
  <c r="AG198" i="9" s="1"/>
  <c r="AG197" i="9"/>
  <c r="A197" i="9"/>
  <c r="A196" i="9"/>
  <c r="AG196" i="9" s="1"/>
  <c r="AG195" i="9"/>
  <c r="A195" i="9"/>
  <c r="AG194" i="9"/>
  <c r="A194" i="9"/>
  <c r="A193" i="9"/>
  <c r="AG193" i="9" s="1"/>
  <c r="AG192" i="9"/>
  <c r="A192" i="9"/>
  <c r="AG191" i="9"/>
  <c r="A191" i="9"/>
  <c r="A190" i="9"/>
  <c r="AG190" i="9" s="1"/>
  <c r="AG189" i="9"/>
  <c r="A189" i="9"/>
  <c r="AG188" i="9"/>
  <c r="A188" i="9"/>
  <c r="A187" i="9"/>
  <c r="AG187" i="9" s="1"/>
  <c r="AG186" i="9"/>
  <c r="A186" i="9"/>
  <c r="AG185" i="9"/>
  <c r="A185" i="9"/>
  <c r="A184" i="9"/>
  <c r="AG184" i="9" s="1"/>
  <c r="AG183" i="9"/>
  <c r="A183" i="9"/>
  <c r="AG182" i="9"/>
  <c r="A182" i="9"/>
  <c r="A181" i="9"/>
  <c r="AG181" i="9" s="1"/>
  <c r="A180" i="9"/>
  <c r="AG180" i="9" s="1"/>
  <c r="AG179" i="9"/>
  <c r="A179" i="9"/>
  <c r="A178" i="9"/>
  <c r="AG178" i="9" s="1"/>
  <c r="A177" i="9"/>
  <c r="AG177" i="9" s="1"/>
  <c r="AG176" i="9"/>
  <c r="A176" i="9"/>
  <c r="A175" i="9"/>
  <c r="AG175" i="9" s="1"/>
  <c r="A174" i="9"/>
  <c r="AG174" i="9" s="1"/>
  <c r="AG173" i="9"/>
  <c r="A173" i="9"/>
  <c r="A172" i="9"/>
  <c r="AG172" i="9" s="1"/>
  <c r="A171" i="9"/>
  <c r="AG171" i="9" s="1"/>
  <c r="AG170" i="9"/>
  <c r="A170" i="9"/>
  <c r="A169" i="9"/>
  <c r="AG169" i="9" s="1"/>
  <c r="A168" i="9"/>
  <c r="AG168" i="9" s="1"/>
  <c r="AG167" i="9"/>
  <c r="A167" i="9"/>
  <c r="A166" i="9"/>
  <c r="AG166" i="9" s="1"/>
  <c r="A165" i="9"/>
  <c r="AG165" i="9" s="1"/>
  <c r="AG164" i="9"/>
  <c r="A164" i="9"/>
  <c r="A163" i="9"/>
  <c r="AG163" i="9" s="1"/>
  <c r="A162" i="9"/>
  <c r="AG162" i="9" s="1"/>
  <c r="AG161" i="9"/>
  <c r="A161" i="9"/>
  <c r="A160" i="9"/>
  <c r="AG160" i="9" s="1"/>
  <c r="A159" i="9"/>
  <c r="AG159" i="9" s="1"/>
  <c r="AG158" i="9"/>
  <c r="A158" i="9"/>
  <c r="A157" i="9"/>
  <c r="AG157" i="9" s="1"/>
  <c r="A156" i="9"/>
  <c r="AG156" i="9" s="1"/>
  <c r="AG155" i="9"/>
  <c r="A155" i="9"/>
  <c r="A154" i="9"/>
  <c r="AG154" i="9" s="1"/>
  <c r="A153" i="9"/>
  <c r="AG153" i="9" s="1"/>
  <c r="AG152" i="9"/>
  <c r="A152" i="9"/>
  <c r="A151" i="9"/>
  <c r="AG151" i="9" s="1"/>
  <c r="A150" i="9"/>
  <c r="AG150" i="9" s="1"/>
  <c r="AG149" i="9"/>
  <c r="A149" i="9"/>
  <c r="A148" i="9"/>
  <c r="AG148" i="9" s="1"/>
  <c r="AG147" i="9"/>
  <c r="A147" i="9"/>
  <c r="A146" i="9"/>
  <c r="AG146" i="9" s="1"/>
  <c r="A145" i="9"/>
  <c r="AG145" i="9" s="1"/>
  <c r="AG144" i="9"/>
  <c r="A144" i="9"/>
  <c r="A143" i="9"/>
  <c r="AG143" i="9" s="1"/>
  <c r="A142" i="9"/>
  <c r="AG142" i="9" s="1"/>
  <c r="AG141" i="9"/>
  <c r="A141" i="9"/>
  <c r="A140" i="9"/>
  <c r="AG140" i="9" s="1"/>
  <c r="A139" i="9"/>
  <c r="AG139" i="9" s="1"/>
  <c r="AG138" i="9"/>
  <c r="A138" i="9"/>
  <c r="A137" i="9"/>
  <c r="AG137" i="9" s="1"/>
  <c r="A136" i="9"/>
  <c r="AG136" i="9" s="1"/>
  <c r="AG135" i="9"/>
  <c r="A135" i="9"/>
  <c r="A134" i="9"/>
  <c r="AG134" i="9" s="1"/>
  <c r="A133" i="9"/>
  <c r="AG133" i="9" s="1"/>
  <c r="AG132" i="9"/>
  <c r="A132" i="9"/>
  <c r="A131" i="9"/>
  <c r="AG131" i="9" s="1"/>
  <c r="A130" i="9"/>
  <c r="AG130" i="9" s="1"/>
  <c r="AG129" i="9"/>
  <c r="A129" i="9"/>
  <c r="A128" i="9"/>
  <c r="AG128" i="9" s="1"/>
  <c r="A127" i="9"/>
  <c r="AG127" i="9" s="1"/>
  <c r="AG126" i="9"/>
  <c r="A126" i="9"/>
  <c r="A125" i="9"/>
  <c r="AG125" i="9" s="1"/>
  <c r="A124" i="9"/>
  <c r="AG124" i="9" s="1"/>
  <c r="AG123" i="9"/>
  <c r="A123" i="9"/>
  <c r="A122" i="9"/>
  <c r="AG122" i="9" s="1"/>
  <c r="A121" i="9"/>
  <c r="AG121" i="9" s="1"/>
  <c r="AG120" i="9"/>
  <c r="A120" i="9"/>
  <c r="A119" i="9"/>
  <c r="AG119" i="9" s="1"/>
  <c r="A118" i="9"/>
  <c r="AG118" i="9" s="1"/>
  <c r="AG117" i="9"/>
  <c r="A117" i="9"/>
  <c r="A116" i="9"/>
  <c r="AG116" i="9" s="1"/>
  <c r="A115" i="9"/>
  <c r="AG115" i="9" s="1"/>
  <c r="AG114" i="9"/>
  <c r="A114" i="9"/>
  <c r="A113" i="9"/>
  <c r="AG113" i="9" s="1"/>
  <c r="A112" i="9"/>
  <c r="AG112" i="9" s="1"/>
  <c r="AG111" i="9"/>
  <c r="A111" i="9"/>
  <c r="A110" i="9"/>
  <c r="AG110" i="9" s="1"/>
  <c r="A109" i="9"/>
  <c r="AG109" i="9" s="1"/>
  <c r="AG108" i="9"/>
  <c r="A108" i="9"/>
  <c r="A107" i="9"/>
  <c r="AG107" i="9" s="1"/>
  <c r="A106" i="9"/>
  <c r="AG106" i="9" s="1"/>
  <c r="AG105" i="9"/>
  <c r="A105" i="9"/>
  <c r="A104" i="9"/>
  <c r="AG104" i="9" s="1"/>
  <c r="A103" i="9"/>
  <c r="AG103" i="9" s="1"/>
  <c r="AG102" i="9"/>
  <c r="A102" i="9"/>
  <c r="A101" i="9"/>
  <c r="AG101" i="9" s="1"/>
  <c r="A100" i="9"/>
  <c r="AG100" i="9" s="1"/>
  <c r="AG99" i="9"/>
  <c r="A99" i="9"/>
  <c r="A98" i="9"/>
  <c r="AG98" i="9" s="1"/>
  <c r="AG97" i="9"/>
  <c r="A97" i="9"/>
  <c r="A96" i="9"/>
  <c r="AG96" i="9" s="1"/>
  <c r="AG95" i="9"/>
  <c r="A95" i="9"/>
  <c r="AG94" i="9"/>
  <c r="A94" i="9"/>
  <c r="A93" i="9"/>
  <c r="AG93" i="9" s="1"/>
  <c r="AG92" i="9"/>
  <c r="A92" i="9"/>
  <c r="AG91" i="9"/>
  <c r="A91" i="9"/>
  <c r="A90" i="9"/>
  <c r="AG90" i="9" s="1"/>
  <c r="AG89" i="9"/>
  <c r="A89" i="9"/>
  <c r="AG88" i="9"/>
  <c r="A88" i="9"/>
  <c r="A87" i="9"/>
  <c r="AG87" i="9" s="1"/>
  <c r="AG86" i="9"/>
  <c r="A86" i="9"/>
  <c r="AG85" i="9"/>
  <c r="A85" i="9"/>
  <c r="A84" i="9"/>
  <c r="AG84" i="9" s="1"/>
  <c r="AG83" i="9"/>
  <c r="A83" i="9"/>
  <c r="AG82" i="9"/>
  <c r="A82" i="9"/>
  <c r="A81" i="9"/>
  <c r="AG81" i="9" s="1"/>
  <c r="AG80" i="9"/>
  <c r="A80" i="9"/>
  <c r="AG79" i="9"/>
  <c r="A79" i="9"/>
  <c r="A78" i="9"/>
  <c r="AG78" i="9" s="1"/>
  <c r="AG77" i="9"/>
  <c r="A77" i="9"/>
  <c r="A76" i="9"/>
  <c r="AG76" i="9" s="1"/>
  <c r="A75" i="9"/>
  <c r="AG75" i="9" s="1"/>
  <c r="AG74" i="9"/>
  <c r="A74" i="9"/>
  <c r="A73" i="9"/>
  <c r="AG73" i="9" s="1"/>
  <c r="A72" i="9"/>
  <c r="AG72" i="9" s="1"/>
  <c r="A71" i="9"/>
  <c r="AG71" i="9" s="1"/>
  <c r="A70" i="9"/>
  <c r="AG70" i="9" s="1"/>
  <c r="A69" i="9"/>
  <c r="AG69" i="9" s="1"/>
  <c r="A68" i="9"/>
  <c r="AG68" i="9" s="1"/>
  <c r="A67" i="9"/>
  <c r="AG67" i="9" s="1"/>
  <c r="AG66" i="9"/>
  <c r="A66" i="9"/>
  <c r="AH65" i="9"/>
  <c r="A65" i="9"/>
  <c r="AG65" i="9" s="1"/>
  <c r="AH64" i="9"/>
  <c r="A64" i="9"/>
  <c r="AG64" i="9" s="1"/>
  <c r="AH63" i="9"/>
  <c r="A63" i="9"/>
  <c r="AG63" i="9" s="1"/>
  <c r="AH62" i="9"/>
  <c r="A62" i="9"/>
  <c r="AG62" i="9" s="1"/>
  <c r="AH61" i="9"/>
  <c r="A61" i="9"/>
  <c r="AG61" i="9" s="1"/>
  <c r="AH60" i="9"/>
  <c r="A60" i="9"/>
  <c r="AG60" i="9" s="1"/>
  <c r="AH59" i="9"/>
  <c r="A59" i="9"/>
  <c r="AG59" i="9" s="1"/>
  <c r="AH58" i="9"/>
  <c r="A58" i="9"/>
  <c r="AG58" i="9" s="1"/>
  <c r="AH57" i="9"/>
  <c r="A57" i="9"/>
  <c r="AG57" i="9" s="1"/>
  <c r="AH56" i="9"/>
  <c r="A56" i="9"/>
  <c r="AG56" i="9" s="1"/>
  <c r="AH55" i="9"/>
  <c r="A55" i="9"/>
  <c r="AG55" i="9" s="1"/>
  <c r="AH54" i="9"/>
  <c r="AG54" i="9"/>
  <c r="A54" i="9"/>
  <c r="AH53" i="9"/>
  <c r="A53" i="9"/>
  <c r="AG53" i="9" s="1"/>
  <c r="AH52" i="9"/>
  <c r="A52" i="9"/>
  <c r="AG52" i="9" s="1"/>
  <c r="AH51" i="9"/>
  <c r="A51" i="9"/>
  <c r="AG51" i="9" s="1"/>
  <c r="AH50" i="9"/>
  <c r="A50" i="9"/>
  <c r="AG50" i="9" s="1"/>
  <c r="AH49" i="9"/>
  <c r="A49" i="9"/>
  <c r="AG49" i="9" s="1"/>
  <c r="AH48" i="9"/>
  <c r="A48" i="9"/>
  <c r="AG48" i="9" s="1"/>
  <c r="AH47" i="9"/>
  <c r="A47" i="9"/>
  <c r="AG47" i="9" s="1"/>
  <c r="AH46" i="9"/>
  <c r="A46" i="9"/>
  <c r="AG46" i="9" s="1"/>
  <c r="AH45" i="9"/>
  <c r="A45" i="9"/>
  <c r="AG45" i="9" s="1"/>
  <c r="AH44" i="9"/>
  <c r="A44" i="9"/>
  <c r="AG44" i="9" s="1"/>
  <c r="AH43" i="9"/>
  <c r="A43" i="9"/>
  <c r="AG43" i="9" s="1"/>
  <c r="AH42" i="9"/>
  <c r="AG42" i="9"/>
  <c r="A42" i="9"/>
  <c r="AH41" i="9"/>
  <c r="A41" i="9"/>
  <c r="AG41" i="9" s="1"/>
  <c r="AH40" i="9"/>
  <c r="A40" i="9"/>
  <c r="AG40" i="9" s="1"/>
  <c r="AH39" i="9"/>
  <c r="A39" i="9"/>
  <c r="AG39" i="9" s="1"/>
  <c r="AH38" i="9"/>
  <c r="A38" i="9"/>
  <c r="AG38" i="9" s="1"/>
  <c r="AH37" i="9"/>
  <c r="A37" i="9"/>
  <c r="AG37" i="9" s="1"/>
  <c r="AH36" i="9"/>
  <c r="A36" i="9"/>
  <c r="AG36" i="9" s="1"/>
  <c r="AH35" i="9"/>
  <c r="A35" i="9"/>
  <c r="AG35" i="9" s="1"/>
  <c r="AG29" i="9"/>
  <c r="AE29" i="9"/>
  <c r="AG28" i="9"/>
  <c r="AE28" i="9"/>
  <c r="AG27" i="9"/>
  <c r="AE27" i="9"/>
  <c r="AB27" i="9"/>
  <c r="AB28" i="9" s="1"/>
  <c r="U27" i="9"/>
  <c r="U28" i="9" s="1"/>
  <c r="C22" i="9"/>
  <c r="E22" i="9" s="1"/>
  <c r="C21" i="9"/>
  <c r="C20" i="9"/>
  <c r="B14" i="9"/>
  <c r="L11" i="9"/>
  <c r="B18" i="8"/>
  <c r="B17" i="8"/>
  <c r="B7" i="8"/>
  <c r="B6" i="8"/>
  <c r="B5" i="8"/>
  <c r="B4" i="8"/>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C66" i="7"/>
  <c r="D66" i="7" s="1"/>
  <c r="C65" i="7"/>
  <c r="D65" i="7" s="1"/>
  <c r="C64" i="7"/>
  <c r="D64" i="7" s="1"/>
  <c r="C63" i="7"/>
  <c r="D63" i="7" s="1"/>
  <c r="C62" i="7"/>
  <c r="D62" i="7" s="1"/>
  <c r="C61" i="7"/>
  <c r="D61" i="7" s="1"/>
  <c r="C60" i="7"/>
  <c r="D60" i="7" s="1"/>
  <c r="AN230" i="7" s="1"/>
  <c r="C59" i="7"/>
  <c r="D59" i="7" s="1"/>
  <c r="C58" i="7"/>
  <c r="D58" i="7" s="1"/>
  <c r="C57" i="7"/>
  <c r="D57" i="7" s="1"/>
  <c r="AL144" i="7" s="1"/>
  <c r="C56" i="7"/>
  <c r="D56" i="7" s="1"/>
  <c r="AL110" i="7" s="1"/>
  <c r="C55" i="7"/>
  <c r="D55" i="7" s="1"/>
  <c r="F45" i="7"/>
  <c r="F46" i="7" s="1"/>
  <c r="F47" i="7" s="1"/>
  <c r="B40" i="7"/>
  <c r="B22" i="7" a="1"/>
  <c r="B22" i="7"/>
  <c r="G9" i="7"/>
  <c r="G10" i="7" s="1"/>
  <c r="C4" i="6"/>
  <c r="C3" i="6"/>
  <c r="E12" i="6" s="1"/>
  <c r="B18" i="5"/>
  <c r="B17" i="5"/>
  <c r="B7" i="5"/>
  <c r="B6" i="5"/>
  <c r="B5" i="5"/>
  <c r="B4" i="5"/>
  <c r="B7" i="4"/>
  <c r="B6" i="4"/>
  <c r="B5" i="4"/>
  <c r="AE258" i="4" s="1"/>
  <c r="B4" i="4"/>
  <c r="Q258" i="4" s="1"/>
  <c r="AI288" i="9" s="1"/>
  <c r="B20" i="3"/>
  <c r="D20" i="3" s="1"/>
  <c r="B19" i="3"/>
  <c r="D19" i="3" s="1"/>
  <c r="B18" i="3"/>
  <c r="B17" i="3"/>
  <c r="C18" i="3" s="1"/>
  <c r="B16" i="3"/>
  <c r="D16" i="3" s="1"/>
  <c r="B15" i="3"/>
  <c r="D15" i="3" s="1"/>
  <c r="B14" i="3"/>
  <c r="D14" i="3" s="1"/>
  <c r="B13" i="3"/>
  <c r="D13" i="3" s="1"/>
  <c r="B12" i="3"/>
  <c r="D12" i="3" s="1"/>
  <c r="B11" i="3"/>
  <c r="D11" i="3" s="1"/>
  <c r="H10" i="3"/>
  <c r="B10" i="3"/>
  <c r="J14" i="3" s="1"/>
  <c r="H8" i="3"/>
  <c r="K8" i="3" s="1"/>
  <c r="B8" i="3"/>
  <c r="J7" i="3"/>
  <c r="B7" i="3"/>
  <c r="D7" i="3" s="1"/>
  <c r="B6" i="3"/>
  <c r="D6" i="3" s="1"/>
  <c r="H5" i="3"/>
  <c r="B5" i="3"/>
  <c r="D5" i="3" s="1"/>
  <c r="B4" i="3"/>
  <c r="D4" i="3" s="1"/>
  <c r="C41" i="2"/>
  <c r="B28" i="2"/>
  <c r="F5" i="2"/>
  <c r="J5" i="2" s="1"/>
  <c r="E21" i="9" l="1"/>
  <c r="D52" i="10"/>
  <c r="D56" i="10" s="1"/>
  <c r="AL120" i="7"/>
  <c r="C40" i="10"/>
  <c r="B52" i="10" s="1"/>
  <c r="B56" i="10" s="1"/>
  <c r="D18" i="3"/>
  <c r="AL103" i="7"/>
  <c r="C52" i="10"/>
  <c r="C56" i="10" s="1"/>
  <c r="AN106" i="7"/>
  <c r="AO106" i="7"/>
  <c r="AN118" i="7"/>
  <c r="AL86" i="7"/>
  <c r="AL98" i="7"/>
  <c r="AL84" i="7"/>
  <c r="AM101" i="7"/>
  <c r="AK91" i="7"/>
  <c r="AK81" i="7"/>
  <c r="AM77" i="7"/>
  <c r="AK105" i="7"/>
  <c r="AO111" i="7"/>
  <c r="AL108" i="7"/>
  <c r="AM108" i="7"/>
  <c r="AM103" i="7"/>
  <c r="E10" i="6"/>
  <c r="E13" i="6"/>
  <c r="E3" i="6"/>
  <c r="D8" i="3"/>
  <c r="E288" i="9"/>
  <c r="L288" i="9" s="1"/>
  <c r="R288" i="9" s="1"/>
  <c r="AE59" i="4"/>
  <c r="E89" i="9" s="1"/>
  <c r="E125" i="7" s="1"/>
  <c r="O6" i="4"/>
  <c r="C36" i="9" s="1"/>
  <c r="J36" i="9" s="1"/>
  <c r="P36" i="9" s="1"/>
  <c r="AM113" i="4"/>
  <c r="F143" i="9" s="1"/>
  <c r="Y143" i="9" s="1"/>
  <c r="AE143" i="9" s="1"/>
  <c r="G96" i="4"/>
  <c r="B126" i="9" s="1"/>
  <c r="I126" i="9" s="1"/>
  <c r="O126" i="9" s="1"/>
  <c r="AM165" i="4"/>
  <c r="F195" i="9" s="1"/>
  <c r="M195" i="9" s="1"/>
  <c r="S195" i="9" s="1"/>
  <c r="AE9" i="4"/>
  <c r="E39" i="9" s="1"/>
  <c r="E75" i="7" s="1"/>
  <c r="W308" i="4"/>
  <c r="D338" i="9" s="1"/>
  <c r="W338" i="9" s="1"/>
  <c r="AC338" i="9" s="1"/>
  <c r="AE15" i="4"/>
  <c r="E45" i="9" s="1"/>
  <c r="L45" i="9" s="1"/>
  <c r="R45" i="9" s="1"/>
  <c r="AM19" i="4"/>
  <c r="F49" i="9" s="1"/>
  <c r="Y49" i="9" s="1"/>
  <c r="AE49" i="9" s="1"/>
  <c r="W24" i="4"/>
  <c r="D54" i="9" s="1"/>
  <c r="W54" i="9" s="1"/>
  <c r="AC54" i="9" s="1"/>
  <c r="AE28" i="4"/>
  <c r="E58" i="9" s="1"/>
  <c r="L58" i="9" s="1"/>
  <c r="R58" i="9" s="1"/>
  <c r="W75" i="4"/>
  <c r="D105" i="9" s="1"/>
  <c r="K105" i="9" s="1"/>
  <c r="Q105" i="9" s="1"/>
  <c r="AE36" i="4"/>
  <c r="E66" i="9" s="1"/>
  <c r="L66" i="9" s="1"/>
  <c r="R66" i="9" s="1"/>
  <c r="O47" i="4"/>
  <c r="C77" i="9" s="1"/>
  <c r="C113" i="7" s="1"/>
  <c r="AE16" i="4"/>
  <c r="E46" i="9" s="1"/>
  <c r="L46" i="9" s="1"/>
  <c r="R46" i="9" s="1"/>
  <c r="AM25" i="4"/>
  <c r="F55" i="9" s="1"/>
  <c r="M55" i="9" s="1"/>
  <c r="S55" i="9" s="1"/>
  <c r="G39" i="4"/>
  <c r="B69" i="9" s="1"/>
  <c r="I69" i="9" s="1"/>
  <c r="O69" i="9" s="1"/>
  <c r="G62" i="4"/>
  <c r="B92" i="9" s="1"/>
  <c r="U92" i="9" s="1"/>
  <c r="AA92" i="9" s="1"/>
  <c r="W100" i="4"/>
  <c r="D130" i="9" s="1"/>
  <c r="D166" i="7" s="1"/>
  <c r="G166" i="4"/>
  <c r="B196" i="9" s="1"/>
  <c r="I196" i="9" s="1"/>
  <c r="O196" i="9" s="1"/>
  <c r="O7" i="4"/>
  <c r="C37" i="9" s="1"/>
  <c r="V37" i="9" s="1"/>
  <c r="AB37" i="9" s="1"/>
  <c r="G17" i="4"/>
  <c r="B47" i="9" s="1"/>
  <c r="I47" i="9" s="1"/>
  <c r="O47" i="9" s="1"/>
  <c r="O26" i="4"/>
  <c r="C56" i="9" s="1"/>
  <c r="V56" i="9" s="1"/>
  <c r="AB56" i="9" s="1"/>
  <c r="W41" i="4"/>
  <c r="D71" i="9" s="1"/>
  <c r="D107" i="7" s="1"/>
  <c r="AM65" i="4"/>
  <c r="F95" i="9" s="1"/>
  <c r="M95" i="9" s="1"/>
  <c r="S95" i="9" s="1"/>
  <c r="O104" i="4"/>
  <c r="C134" i="9" s="1"/>
  <c r="J134" i="9" s="1"/>
  <c r="P134" i="9" s="1"/>
  <c r="W191" i="4"/>
  <c r="D221" i="9" s="1"/>
  <c r="K221" i="9" s="1"/>
  <c r="Q221" i="9" s="1"/>
  <c r="O8" i="4"/>
  <c r="C38" i="9" s="1"/>
  <c r="V38" i="9" s="1"/>
  <c r="AB38" i="9" s="1"/>
  <c r="G18" i="4"/>
  <c r="B48" i="9" s="1"/>
  <c r="I48" i="9" s="1"/>
  <c r="O48" i="9" s="1"/>
  <c r="O27" i="4"/>
  <c r="C57" i="9" s="1"/>
  <c r="J57" i="9" s="1"/>
  <c r="P57" i="9" s="1"/>
  <c r="W42" i="4"/>
  <c r="D72" i="9" s="1"/>
  <c r="K72" i="9" s="1"/>
  <c r="Q72" i="9" s="1"/>
  <c r="O67" i="4"/>
  <c r="C97" i="9" s="1"/>
  <c r="J97" i="9" s="1"/>
  <c r="P97" i="9" s="1"/>
  <c r="AE105" i="4"/>
  <c r="E135" i="9" s="1"/>
  <c r="L135" i="9" s="1"/>
  <c r="R135" i="9" s="1"/>
  <c r="AE199" i="4"/>
  <c r="E229" i="9" s="1"/>
  <c r="L229" i="9" s="1"/>
  <c r="R229" i="9" s="1"/>
  <c r="AE8" i="4"/>
  <c r="E38" i="9" s="1"/>
  <c r="L38" i="9" s="1"/>
  <c r="R38" i="9" s="1"/>
  <c r="W18" i="4"/>
  <c r="D48" i="9" s="1"/>
  <c r="K48" i="9" s="1"/>
  <c r="Q48" i="9" s="1"/>
  <c r="AE27" i="4"/>
  <c r="E57" i="9" s="1"/>
  <c r="L57" i="9" s="1"/>
  <c r="R57" i="9" s="1"/>
  <c r="AM44" i="4"/>
  <c r="F74" i="9" s="1"/>
  <c r="M74" i="9" s="1"/>
  <c r="S74" i="9" s="1"/>
  <c r="AE71" i="4"/>
  <c r="E101" i="9" s="1"/>
  <c r="X101" i="9" s="1"/>
  <c r="AD101" i="9" s="1"/>
  <c r="G110" i="4"/>
  <c r="B140" i="9" s="1"/>
  <c r="I140" i="9" s="1"/>
  <c r="O140" i="9" s="1"/>
  <c r="AM217" i="4"/>
  <c r="F247" i="9" s="1"/>
  <c r="M247" i="9" s="1"/>
  <c r="S247" i="9" s="1"/>
  <c r="G10" i="4"/>
  <c r="B40" i="9" s="1"/>
  <c r="U40" i="9" s="1"/>
  <c r="AA40" i="9" s="1"/>
  <c r="O20" i="4"/>
  <c r="C50" i="9" s="1"/>
  <c r="V50" i="9" s="1"/>
  <c r="AB50" i="9" s="1"/>
  <c r="G29" i="4"/>
  <c r="B59" i="9" s="1"/>
  <c r="I59" i="9" s="1"/>
  <c r="O59" i="9" s="1"/>
  <c r="G48" i="4"/>
  <c r="B78" i="9" s="1"/>
  <c r="I78" i="9" s="1"/>
  <c r="O78" i="9" s="1"/>
  <c r="AM76" i="4"/>
  <c r="F106" i="9" s="1"/>
  <c r="F142" i="7" s="1"/>
  <c r="O115" i="4"/>
  <c r="C145" i="9" s="1"/>
  <c r="J145" i="9" s="1"/>
  <c r="P145" i="9" s="1"/>
  <c r="G11" i="4"/>
  <c r="B41" i="9" s="1"/>
  <c r="I41" i="9" s="1"/>
  <c r="O41" i="9" s="1"/>
  <c r="O21" i="4"/>
  <c r="C51" i="9" s="1"/>
  <c r="J51" i="9" s="1"/>
  <c r="P51" i="9" s="1"/>
  <c r="G30" i="4"/>
  <c r="B60" i="9" s="1"/>
  <c r="I60" i="9" s="1"/>
  <c r="O60" i="9" s="1"/>
  <c r="W50" i="4"/>
  <c r="D80" i="9" s="1"/>
  <c r="K80" i="9" s="1"/>
  <c r="Q80" i="9" s="1"/>
  <c r="O81" i="4"/>
  <c r="C111" i="9" s="1"/>
  <c r="J111" i="9" s="1"/>
  <c r="P111" i="9" s="1"/>
  <c r="G118" i="4"/>
  <c r="B148" i="9" s="1"/>
  <c r="U148" i="9" s="1"/>
  <c r="AA148" i="9" s="1"/>
  <c r="W11" i="4"/>
  <c r="D41" i="9" s="1"/>
  <c r="W41" i="9" s="1"/>
  <c r="AC41" i="9" s="1"/>
  <c r="AE21" i="4"/>
  <c r="E51" i="9" s="1"/>
  <c r="E87" i="7" s="1"/>
  <c r="W30" i="4"/>
  <c r="D60" i="9" s="1"/>
  <c r="D96" i="7" s="1"/>
  <c r="W51" i="4"/>
  <c r="D81" i="9" s="1"/>
  <c r="K81" i="9" s="1"/>
  <c r="Q81" i="9" s="1"/>
  <c r="G85" i="4"/>
  <c r="B115" i="9" s="1"/>
  <c r="I115" i="9" s="1"/>
  <c r="O115" i="9" s="1"/>
  <c r="W127" i="4"/>
  <c r="D157" i="9" s="1"/>
  <c r="K157" i="9" s="1"/>
  <c r="Q157" i="9" s="1"/>
  <c r="AM12" i="4"/>
  <c r="F42" i="9" s="1"/>
  <c r="M42" i="9" s="1"/>
  <c r="S42" i="9" s="1"/>
  <c r="AE22" i="4"/>
  <c r="E52" i="9" s="1"/>
  <c r="L52" i="9" s="1"/>
  <c r="R52" i="9" s="1"/>
  <c r="G31" i="4"/>
  <c r="B61" i="9" s="1"/>
  <c r="I61" i="9" s="1"/>
  <c r="O61" i="9" s="1"/>
  <c r="W52" i="4"/>
  <c r="D82" i="9" s="1"/>
  <c r="K82" i="9" s="1"/>
  <c r="Q82" i="9" s="1"/>
  <c r="W86" i="4"/>
  <c r="D116" i="9" s="1"/>
  <c r="W116" i="9" s="1"/>
  <c r="AC116" i="9" s="1"/>
  <c r="O132" i="4"/>
  <c r="C162" i="9" s="1"/>
  <c r="V162" i="9" s="1"/>
  <c r="AB162" i="9" s="1"/>
  <c r="AM5" i="4"/>
  <c r="F35" i="9" s="1"/>
  <c r="M35" i="9" s="1"/>
  <c r="S35" i="9" s="1"/>
  <c r="O13" i="4"/>
  <c r="C43" i="9" s="1"/>
  <c r="J43" i="9" s="1"/>
  <c r="P43" i="9" s="1"/>
  <c r="G23" i="4"/>
  <c r="B53" i="9" s="1"/>
  <c r="I53" i="9" s="1"/>
  <c r="O53" i="9" s="1"/>
  <c r="W32" i="4"/>
  <c r="D62" i="9" s="1"/>
  <c r="W62" i="9" s="1"/>
  <c r="AC62" i="9" s="1"/>
  <c r="AE57" i="4"/>
  <c r="E87" i="9" s="1"/>
  <c r="L87" i="9" s="1"/>
  <c r="R87" i="9" s="1"/>
  <c r="AM90" i="4"/>
  <c r="F120" i="9" s="1"/>
  <c r="M120" i="9" s="1"/>
  <c r="S120" i="9" s="1"/>
  <c r="AE139" i="4"/>
  <c r="E169" i="9" s="1"/>
  <c r="X169" i="9" s="1"/>
  <c r="AD169" i="9" s="1"/>
  <c r="O14" i="4"/>
  <c r="C44" i="9" s="1"/>
  <c r="V44" i="9" s="1"/>
  <c r="AB44" i="9" s="1"/>
  <c r="G24" i="4"/>
  <c r="B54" i="9" s="1"/>
  <c r="I54" i="9" s="1"/>
  <c r="O54" i="9" s="1"/>
  <c r="AE35" i="4"/>
  <c r="E65" i="9" s="1"/>
  <c r="L65" i="9" s="1"/>
  <c r="R65" i="9" s="1"/>
  <c r="AE58" i="4"/>
  <c r="E88" i="9" s="1"/>
  <c r="L88" i="9" s="1"/>
  <c r="R88" i="9" s="1"/>
  <c r="AE94" i="4"/>
  <c r="E124" i="9" s="1"/>
  <c r="E160" i="7" s="1"/>
  <c r="AM151" i="4"/>
  <c r="F181" i="9" s="1"/>
  <c r="M181" i="9" s="1"/>
  <c r="S181" i="9" s="1"/>
  <c r="AO43" i="4"/>
  <c r="AL73" i="9" s="1"/>
  <c r="I111" i="4"/>
  <c r="AH141" i="9" s="1"/>
  <c r="I216" i="4"/>
  <c r="AH246" i="9" s="1"/>
  <c r="Q16" i="4"/>
  <c r="AI46" i="9" s="1"/>
  <c r="I88" i="4"/>
  <c r="AH118" i="9" s="1"/>
  <c r="Y41" i="4"/>
  <c r="AJ71" i="9" s="1"/>
  <c r="AO6" i="4"/>
  <c r="AL36" i="9" s="1"/>
  <c r="Q21" i="4"/>
  <c r="AI51" i="9" s="1"/>
  <c r="Y54" i="4"/>
  <c r="AJ84" i="9" s="1"/>
  <c r="Q22" i="4"/>
  <c r="AI52" i="9" s="1"/>
  <c r="AG16" i="4"/>
  <c r="AK46" i="9" s="1"/>
  <c r="AO91" i="4"/>
  <c r="AL121" i="9" s="1"/>
  <c r="AG9" i="4"/>
  <c r="AK39" i="9" s="1"/>
  <c r="Y32" i="4"/>
  <c r="AJ62" i="9" s="1"/>
  <c r="AO68" i="4"/>
  <c r="AL98" i="9" s="1"/>
  <c r="Y139" i="4"/>
  <c r="AJ169" i="9" s="1"/>
  <c r="AG10" i="4"/>
  <c r="AK40" i="9" s="1"/>
  <c r="AO33" i="4"/>
  <c r="AL63" i="9" s="1"/>
  <c r="AO5" i="4"/>
  <c r="AL35" i="9" s="1"/>
  <c r="AO26" i="4"/>
  <c r="AL56" i="9" s="1"/>
  <c r="AG72" i="4"/>
  <c r="AK102" i="9" s="1"/>
  <c r="AG148" i="4"/>
  <c r="AK178" i="9" s="1"/>
  <c r="Y52" i="4"/>
  <c r="AJ82" i="9" s="1"/>
  <c r="Q27" i="4"/>
  <c r="AI57" i="9" s="1"/>
  <c r="Y53" i="4"/>
  <c r="AJ83" i="9" s="1"/>
  <c r="Q107" i="4"/>
  <c r="AI137" i="9" s="1"/>
  <c r="AG29" i="4"/>
  <c r="AK59" i="9" s="1"/>
  <c r="I63" i="4"/>
  <c r="AH93" i="9" s="1"/>
  <c r="Q82" i="4"/>
  <c r="AI112" i="9" s="1"/>
  <c r="Y101" i="4"/>
  <c r="AJ131" i="9" s="1"/>
  <c r="AO124" i="4"/>
  <c r="AL154" i="9" s="1"/>
  <c r="Y5" i="4"/>
  <c r="AJ35" i="9" s="1"/>
  <c r="Q9" i="4"/>
  <c r="AI39" i="9" s="1"/>
  <c r="AO14" i="4"/>
  <c r="AL44" i="9" s="1"/>
  <c r="Y25" i="4"/>
  <c r="AJ55" i="9" s="1"/>
  <c r="Y40" i="4"/>
  <c r="AJ70" i="9" s="1"/>
  <c r="Y64" i="4"/>
  <c r="AJ94" i="9" s="1"/>
  <c r="AG83" i="4"/>
  <c r="AK113" i="9" s="1"/>
  <c r="AO102" i="4"/>
  <c r="AL132" i="9" s="1"/>
  <c r="Q15" i="4"/>
  <c r="AI45" i="9" s="1"/>
  <c r="AO20" i="4"/>
  <c r="AL50" i="9" s="1"/>
  <c r="Y127" i="4"/>
  <c r="AJ157" i="9" s="1"/>
  <c r="AO207" i="4"/>
  <c r="AL237" i="9" s="1"/>
  <c r="G12" i="10"/>
  <c r="AO34" i="4"/>
  <c r="AL64" i="9" s="1"/>
  <c r="Q46" i="4"/>
  <c r="AI76" i="9" s="1"/>
  <c r="I74" i="4"/>
  <c r="AH104" i="9" s="1"/>
  <c r="Q93" i="4"/>
  <c r="AI123" i="9" s="1"/>
  <c r="Y112" i="4"/>
  <c r="AJ142" i="9" s="1"/>
  <c r="Y12" i="4"/>
  <c r="AJ42" i="9" s="1"/>
  <c r="AG17" i="4"/>
  <c r="AK47" i="9" s="1"/>
  <c r="AG22" i="4"/>
  <c r="AK52" i="9" s="1"/>
  <c r="Q28" i="4"/>
  <c r="AI58" i="9" s="1"/>
  <c r="I156" i="4"/>
  <c r="AH186" i="9" s="1"/>
  <c r="AO7" i="4"/>
  <c r="AL37" i="9" s="1"/>
  <c r="AG35" i="4"/>
  <c r="AK65" i="9" s="1"/>
  <c r="Q47" i="4"/>
  <c r="AI77" i="9" s="1"/>
  <c r="AG59" i="4"/>
  <c r="AK89" i="9" s="1"/>
  <c r="K5" i="2"/>
  <c r="AG23" i="4"/>
  <c r="AK53" i="9" s="1"/>
  <c r="AG28" i="4"/>
  <c r="AK58" i="9" s="1"/>
  <c r="AG60" i="4"/>
  <c r="AK90" i="9" s="1"/>
  <c r="Y78" i="4"/>
  <c r="AJ108" i="9" s="1"/>
  <c r="AG97" i="4"/>
  <c r="AK127" i="9" s="1"/>
  <c r="AO116" i="4"/>
  <c r="AL146" i="9" s="1"/>
  <c r="Q8" i="4"/>
  <c r="AI38" i="9" s="1"/>
  <c r="AO13" i="4"/>
  <c r="AL43" i="9" s="1"/>
  <c r="Y19" i="4"/>
  <c r="AJ49" i="9" s="1"/>
  <c r="I38" i="4"/>
  <c r="AH68" i="9" s="1"/>
  <c r="AG49" i="4"/>
  <c r="AK79" i="9" s="1"/>
  <c r="I167" i="4"/>
  <c r="AH197" i="9" s="1"/>
  <c r="Y6" i="4"/>
  <c r="AJ36" i="9" s="1"/>
  <c r="AM6" i="4"/>
  <c r="F36" i="9" s="1"/>
  <c r="AO8" i="4"/>
  <c r="AL38" i="9" s="1"/>
  <c r="W12" i="4"/>
  <c r="D42" i="9" s="1"/>
  <c r="Y13" i="4"/>
  <c r="AJ43" i="9" s="1"/>
  <c r="AM13" i="4"/>
  <c r="F43" i="9" s="1"/>
  <c r="O15" i="4"/>
  <c r="C45" i="9" s="1"/>
  <c r="W19" i="4"/>
  <c r="D49" i="9" s="1"/>
  <c r="Y20" i="4"/>
  <c r="AJ50" i="9" s="1"/>
  <c r="AM20" i="4"/>
  <c r="F50" i="9" s="1"/>
  <c r="AO21" i="4"/>
  <c r="AL51" i="9" s="1"/>
  <c r="W25" i="4"/>
  <c r="D55" i="9" s="1"/>
  <c r="Y26" i="4"/>
  <c r="AJ56" i="9" s="1"/>
  <c r="AM26" i="4"/>
  <c r="F56" i="9" s="1"/>
  <c r="AO27" i="4"/>
  <c r="AL57" i="9" s="1"/>
  <c r="AG31" i="4"/>
  <c r="AK61" i="9" s="1"/>
  <c r="AE34" i="4"/>
  <c r="E64" i="9" s="1"/>
  <c r="Q37" i="4"/>
  <c r="AI67" i="9" s="1"/>
  <c r="G38" i="4"/>
  <c r="B68" i="9" s="1"/>
  <c r="AO42" i="4"/>
  <c r="AL72" i="9" s="1"/>
  <c r="AM43" i="4"/>
  <c r="F73" i="9" s="1"/>
  <c r="AG48" i="4"/>
  <c r="AK78" i="9" s="1"/>
  <c r="AE49" i="4"/>
  <c r="E79" i="9" s="1"/>
  <c r="W54" i="4"/>
  <c r="D84" i="9" s="1"/>
  <c r="Y56" i="4"/>
  <c r="AJ86" i="9" s="1"/>
  <c r="AG61" i="4"/>
  <c r="AK91" i="9" s="1"/>
  <c r="W64" i="4"/>
  <c r="D94" i="9" s="1"/>
  <c r="Q71" i="4"/>
  <c r="AI101" i="9" s="1"/>
  <c r="G74" i="4"/>
  <c r="B104" i="9" s="1"/>
  <c r="AO80" i="4"/>
  <c r="AL110" i="9" s="1"/>
  <c r="AE83" i="4"/>
  <c r="E113" i="9" s="1"/>
  <c r="Y90" i="4"/>
  <c r="AJ120" i="9" s="1"/>
  <c r="O93" i="4"/>
  <c r="C123" i="9" s="1"/>
  <c r="I100" i="4"/>
  <c r="AH130" i="9" s="1"/>
  <c r="AM102" i="4"/>
  <c r="F132" i="9" s="1"/>
  <c r="AG109" i="4"/>
  <c r="AK139" i="9" s="1"/>
  <c r="W112" i="4"/>
  <c r="D142" i="9" s="1"/>
  <c r="W139" i="4"/>
  <c r="D169" i="9" s="1"/>
  <c r="AO155" i="4"/>
  <c r="AL185" i="9" s="1"/>
  <c r="O160" i="4"/>
  <c r="C190" i="9" s="1"/>
  <c r="AG176" i="4"/>
  <c r="AK206" i="9" s="1"/>
  <c r="I191" i="4"/>
  <c r="AH221" i="9" s="1"/>
  <c r="AO303" i="4"/>
  <c r="AL333" i="9" s="1"/>
  <c r="C12" i="9"/>
  <c r="B12" i="9"/>
  <c r="D12" i="9"/>
  <c r="D20" i="9" s="1"/>
  <c r="O5" i="4"/>
  <c r="C35" i="9" s="1"/>
  <c r="Q7" i="4"/>
  <c r="AI37" i="9" s="1"/>
  <c r="AE7" i="4"/>
  <c r="E37" i="9" s="1"/>
  <c r="W10" i="4"/>
  <c r="D40" i="9" s="1"/>
  <c r="Y11" i="4"/>
  <c r="AJ41" i="9" s="1"/>
  <c r="AM11" i="4"/>
  <c r="F41" i="9" s="1"/>
  <c r="AO12" i="4"/>
  <c r="AL42" i="9" s="1"/>
  <c r="Q14" i="4"/>
  <c r="AI44" i="9" s="1"/>
  <c r="AE14" i="4"/>
  <c r="E44" i="9" s="1"/>
  <c r="AG15" i="4"/>
  <c r="AK45" i="9" s="1"/>
  <c r="W17" i="4"/>
  <c r="D47" i="9" s="1"/>
  <c r="Y18" i="4"/>
  <c r="AJ48" i="9" s="1"/>
  <c r="AM18" i="4"/>
  <c r="F48" i="9" s="1"/>
  <c r="AO19" i="4"/>
  <c r="AL49" i="9" s="1"/>
  <c r="W23" i="4"/>
  <c r="D53" i="9" s="1"/>
  <c r="Y24" i="4"/>
  <c r="AJ54" i="9" s="1"/>
  <c r="AM24" i="4"/>
  <c r="F54" i="9" s="1"/>
  <c r="AO25" i="4"/>
  <c r="AL55" i="9" s="1"/>
  <c r="W29" i="4"/>
  <c r="D59" i="9" s="1"/>
  <c r="Y30" i="4"/>
  <c r="AJ60" i="9" s="1"/>
  <c r="O33" i="4"/>
  <c r="C63" i="9" s="1"/>
  <c r="I39" i="4"/>
  <c r="AH69" i="9" s="1"/>
  <c r="G40" i="4"/>
  <c r="B70" i="9" s="1"/>
  <c r="AO44" i="4"/>
  <c r="AL74" i="9" s="1"/>
  <c r="AE45" i="4"/>
  <c r="E75" i="9" s="1"/>
  <c r="AG50" i="4"/>
  <c r="AK80" i="9" s="1"/>
  <c r="AG51" i="4"/>
  <c r="AK81" i="9" s="1"/>
  <c r="AM56" i="4"/>
  <c r="F86" i="9" s="1"/>
  <c r="AO58" i="4"/>
  <c r="AL88" i="9" s="1"/>
  <c r="W63" i="4"/>
  <c r="D93" i="9" s="1"/>
  <c r="Q70" i="4"/>
  <c r="AI100" i="9" s="1"/>
  <c r="G73" i="4"/>
  <c r="B103" i="9" s="1"/>
  <c r="AO79" i="4"/>
  <c r="AL109" i="9" s="1"/>
  <c r="AE82" i="4"/>
  <c r="E112" i="9" s="1"/>
  <c r="Y89" i="4"/>
  <c r="AJ119" i="9" s="1"/>
  <c r="O92" i="4"/>
  <c r="C122" i="9" s="1"/>
  <c r="I99" i="4"/>
  <c r="AH129" i="9" s="1"/>
  <c r="AM101" i="4"/>
  <c r="F131" i="9" s="1"/>
  <c r="AG108" i="4"/>
  <c r="AK138" i="9" s="1"/>
  <c r="W111" i="4"/>
  <c r="D141" i="9" s="1"/>
  <c r="Q128" i="4"/>
  <c r="AI158" i="9" s="1"/>
  <c r="Q132" i="4"/>
  <c r="AI162" i="9" s="1"/>
  <c r="AE144" i="4"/>
  <c r="E174" i="9" s="1"/>
  <c r="AG172" i="4"/>
  <c r="AK202" i="9" s="1"/>
  <c r="O185" i="4"/>
  <c r="C215" i="9" s="1"/>
  <c r="AG201" i="4"/>
  <c r="AK231" i="9" s="1"/>
  <c r="I238" i="4"/>
  <c r="AH268" i="9" s="1"/>
  <c r="Q6" i="4"/>
  <c r="AI36" i="9" s="1"/>
  <c r="AE6" i="4"/>
  <c r="E36" i="9" s="1"/>
  <c r="AG8" i="4"/>
  <c r="AK38" i="9" s="1"/>
  <c r="G9" i="4"/>
  <c r="B39" i="9" s="1"/>
  <c r="O12" i="4"/>
  <c r="C42" i="9" s="1"/>
  <c r="Q13" i="4"/>
  <c r="AI43" i="9" s="1"/>
  <c r="AE13" i="4"/>
  <c r="E43" i="9" s="1"/>
  <c r="G16" i="4"/>
  <c r="B46" i="9" s="1"/>
  <c r="O19" i="4"/>
  <c r="C49" i="9" s="1"/>
  <c r="Q20" i="4"/>
  <c r="AI50" i="9" s="1"/>
  <c r="AE20" i="4"/>
  <c r="E50" i="9" s="1"/>
  <c r="AG21" i="4"/>
  <c r="AK51" i="9" s="1"/>
  <c r="G22" i="4"/>
  <c r="B52" i="9" s="1"/>
  <c r="O25" i="4"/>
  <c r="C55" i="9" s="1"/>
  <c r="Q26" i="4"/>
  <c r="AI56" i="9" s="1"/>
  <c r="AE26" i="4"/>
  <c r="E56" i="9" s="1"/>
  <c r="AG27" i="4"/>
  <c r="AK57" i="9" s="1"/>
  <c r="G28" i="4"/>
  <c r="B58" i="9" s="1"/>
  <c r="AO31" i="4"/>
  <c r="AL61" i="9" s="1"/>
  <c r="O34" i="4"/>
  <c r="C64" i="9" s="1"/>
  <c r="AG36" i="4"/>
  <c r="AK66" i="9" s="1"/>
  <c r="AE37" i="4"/>
  <c r="E67" i="9" s="1"/>
  <c r="Y42" i="4"/>
  <c r="AJ72" i="9" s="1"/>
  <c r="O43" i="4"/>
  <c r="C73" i="9" s="1"/>
  <c r="Q48" i="4"/>
  <c r="AI78" i="9" s="1"/>
  <c r="G49" i="4"/>
  <c r="B79" i="9" s="1"/>
  <c r="AM54" i="4"/>
  <c r="F84" i="9" s="1"/>
  <c r="AO56" i="4"/>
  <c r="AL86" i="9" s="1"/>
  <c r="I62" i="4"/>
  <c r="AH92" i="9" s="1"/>
  <c r="AM64" i="4"/>
  <c r="F94" i="9" s="1"/>
  <c r="AG71" i="4"/>
  <c r="AK101" i="9" s="1"/>
  <c r="W74" i="4"/>
  <c r="D104" i="9" s="1"/>
  <c r="Q81" i="4"/>
  <c r="AI111" i="9" s="1"/>
  <c r="G84" i="4"/>
  <c r="B114" i="9" s="1"/>
  <c r="AO90" i="4"/>
  <c r="AL120" i="9" s="1"/>
  <c r="AE93" i="4"/>
  <c r="E123" i="9" s="1"/>
  <c r="Y100" i="4"/>
  <c r="AJ130" i="9" s="1"/>
  <c r="O103" i="4"/>
  <c r="C133" i="9" s="1"/>
  <c r="I110" i="4"/>
  <c r="AH140" i="9" s="1"/>
  <c r="AM112" i="4"/>
  <c r="F142" i="9" s="1"/>
  <c r="AG118" i="4"/>
  <c r="AK148" i="9" s="1"/>
  <c r="G125" i="4"/>
  <c r="B155" i="9" s="1"/>
  <c r="W132" i="4"/>
  <c r="D162" i="9" s="1"/>
  <c r="AO148" i="4"/>
  <c r="AL178" i="9" s="1"/>
  <c r="AO172" i="4"/>
  <c r="AL202" i="9" s="1"/>
  <c r="Y193" i="4"/>
  <c r="AJ223" i="9" s="1"/>
  <c r="Q5" i="4"/>
  <c r="AI35" i="9" s="1"/>
  <c r="AE5" i="4"/>
  <c r="E35" i="9" s="1"/>
  <c r="AG7" i="4"/>
  <c r="AK37" i="9" s="1"/>
  <c r="W9" i="4"/>
  <c r="D39" i="9" s="1"/>
  <c r="Y10" i="4"/>
  <c r="AJ40" i="9" s="1"/>
  <c r="AM10" i="4"/>
  <c r="F40" i="9" s="1"/>
  <c r="AO11" i="4"/>
  <c r="AL41" i="9" s="1"/>
  <c r="AG14" i="4"/>
  <c r="AK44" i="9" s="1"/>
  <c r="G15" i="4"/>
  <c r="B45" i="9" s="1"/>
  <c r="W16" i="4"/>
  <c r="D46" i="9" s="1"/>
  <c r="Y17" i="4"/>
  <c r="AJ47" i="9" s="1"/>
  <c r="AM17" i="4"/>
  <c r="F47" i="9" s="1"/>
  <c r="AO18" i="4"/>
  <c r="AL48" i="9" s="1"/>
  <c r="W22" i="4"/>
  <c r="D52" i="9" s="1"/>
  <c r="Y23" i="4"/>
  <c r="AJ53" i="9" s="1"/>
  <c r="AM23" i="4"/>
  <c r="F53" i="9" s="1"/>
  <c r="AO24" i="4"/>
  <c r="AL54" i="9" s="1"/>
  <c r="W28" i="4"/>
  <c r="D58" i="9" s="1"/>
  <c r="Y29" i="4"/>
  <c r="AJ59" i="9" s="1"/>
  <c r="AM29" i="4"/>
  <c r="F59" i="9" s="1"/>
  <c r="AE30" i="4"/>
  <c r="E60" i="9" s="1"/>
  <c r="G32" i="4"/>
  <c r="B62" i="9" s="1"/>
  <c r="Y33" i="4"/>
  <c r="AJ63" i="9" s="1"/>
  <c r="O35" i="4"/>
  <c r="C65" i="9" s="1"/>
  <c r="I40" i="4"/>
  <c r="AH70" i="9" s="1"/>
  <c r="AM40" i="4"/>
  <c r="F70" i="9" s="1"/>
  <c r="AO45" i="4"/>
  <c r="AL75" i="9" s="1"/>
  <c r="AE46" i="4"/>
  <c r="E76" i="9" s="1"/>
  <c r="AM53" i="4"/>
  <c r="F83" i="9" s="1"/>
  <c r="AO55" i="4"/>
  <c r="AL85" i="9" s="1"/>
  <c r="G61" i="4"/>
  <c r="B91" i="9" s="1"/>
  <c r="Y66" i="4"/>
  <c r="AJ96" i="9" s="1"/>
  <c r="O69" i="4"/>
  <c r="C99" i="9" s="1"/>
  <c r="I76" i="4"/>
  <c r="AH106" i="9" s="1"/>
  <c r="AM78" i="4"/>
  <c r="F108" i="9" s="1"/>
  <c r="AG85" i="4"/>
  <c r="AK115" i="9" s="1"/>
  <c r="W88" i="4"/>
  <c r="D118" i="9" s="1"/>
  <c r="Q95" i="4"/>
  <c r="AI125" i="9" s="1"/>
  <c r="G98" i="4"/>
  <c r="B128" i="9" s="1"/>
  <c r="AO104" i="4"/>
  <c r="AL134" i="9" s="1"/>
  <c r="AE107" i="4"/>
  <c r="E137" i="9" s="1"/>
  <c r="Y114" i="4"/>
  <c r="AJ144" i="9" s="1"/>
  <c r="O117" i="4"/>
  <c r="C147" i="9" s="1"/>
  <c r="Y141" i="4"/>
  <c r="AJ171" i="9" s="1"/>
  <c r="AM153" i="4"/>
  <c r="F183" i="9" s="1"/>
  <c r="W179" i="4"/>
  <c r="D209" i="9" s="1"/>
  <c r="W203" i="4"/>
  <c r="D233" i="9" s="1"/>
  <c r="AO219" i="4"/>
  <c r="AL249" i="9" s="1"/>
  <c r="D10" i="3"/>
  <c r="AG6" i="4"/>
  <c r="AK36" i="9" s="1"/>
  <c r="G8" i="4"/>
  <c r="B38" i="9" s="1"/>
  <c r="O11" i="4"/>
  <c r="C41" i="9" s="1"/>
  <c r="Q12" i="4"/>
  <c r="AI42" i="9" s="1"/>
  <c r="AE12" i="4"/>
  <c r="E42" i="9" s="1"/>
  <c r="AG13" i="4"/>
  <c r="AK43" i="9" s="1"/>
  <c r="W15" i="4"/>
  <c r="D45" i="9" s="1"/>
  <c r="O18" i="4"/>
  <c r="C48" i="9" s="1"/>
  <c r="Q19" i="4"/>
  <c r="AI49" i="9" s="1"/>
  <c r="AE19" i="4"/>
  <c r="E49" i="9" s="1"/>
  <c r="AG20" i="4"/>
  <c r="AK50" i="9" s="1"/>
  <c r="G21" i="4"/>
  <c r="B51" i="9" s="1"/>
  <c r="O24" i="4"/>
  <c r="C54" i="9" s="1"/>
  <c r="Q25" i="4"/>
  <c r="AI55" i="9" s="1"/>
  <c r="AE25" i="4"/>
  <c r="E55" i="9" s="1"/>
  <c r="AG26" i="4"/>
  <c r="AK56" i="9" s="1"/>
  <c r="G27" i="4"/>
  <c r="B57" i="9" s="1"/>
  <c r="O30" i="4"/>
  <c r="C60" i="9" s="1"/>
  <c r="Q34" i="4"/>
  <c r="AI64" i="9" s="1"/>
  <c r="AG37" i="4"/>
  <c r="AK67" i="9" s="1"/>
  <c r="W38" i="4"/>
  <c r="D68" i="9" s="1"/>
  <c r="Y43" i="4"/>
  <c r="AJ73" i="9" s="1"/>
  <c r="O44" i="4"/>
  <c r="C74" i="9" s="1"/>
  <c r="Q49" i="4"/>
  <c r="AI79" i="9" s="1"/>
  <c r="G50" i="4"/>
  <c r="B80" i="9" s="1"/>
  <c r="AM52" i="4"/>
  <c r="F82" i="9" s="1"/>
  <c r="AO54" i="4"/>
  <c r="AL84" i="9" s="1"/>
  <c r="G60" i="4"/>
  <c r="B90" i="9" s="1"/>
  <c r="AO67" i="4"/>
  <c r="AL97" i="9" s="1"/>
  <c r="AE70" i="4"/>
  <c r="E100" i="9" s="1"/>
  <c r="Y77" i="4"/>
  <c r="AJ107" i="9" s="1"/>
  <c r="O80" i="4"/>
  <c r="C110" i="9" s="1"/>
  <c r="I87" i="4"/>
  <c r="AH117" i="9" s="1"/>
  <c r="AM89" i="4"/>
  <c r="F119" i="9" s="1"/>
  <c r="AG96" i="4"/>
  <c r="AK126" i="9" s="1"/>
  <c r="W99" i="4"/>
  <c r="D129" i="9" s="1"/>
  <c r="Q106" i="4"/>
  <c r="AI136" i="9" s="1"/>
  <c r="G109" i="4"/>
  <c r="B139" i="9" s="1"/>
  <c r="AO115" i="4"/>
  <c r="AL145" i="9" s="1"/>
  <c r="Y122" i="4"/>
  <c r="AJ152" i="9" s="1"/>
  <c r="W137" i="4"/>
  <c r="D167" i="9" s="1"/>
  <c r="AO153" i="4"/>
  <c r="AL183" i="9" s="1"/>
  <c r="I163" i="4"/>
  <c r="AH193" i="9" s="1"/>
  <c r="Q187" i="4"/>
  <c r="AI217" i="9" s="1"/>
  <c r="Y368" i="4"/>
  <c r="AJ398" i="9" s="1"/>
  <c r="I366" i="4"/>
  <c r="AH396" i="9" s="1"/>
  <c r="AG363" i="4"/>
  <c r="AK393" i="9" s="1"/>
  <c r="Q361" i="4"/>
  <c r="AI391" i="9" s="1"/>
  <c r="AO358" i="4"/>
  <c r="AL388" i="9" s="1"/>
  <c r="Y356" i="4"/>
  <c r="AJ386" i="9" s="1"/>
  <c r="I354" i="4"/>
  <c r="AH384" i="9" s="1"/>
  <c r="AG351" i="4"/>
  <c r="AK381" i="9" s="1"/>
  <c r="Q349" i="4"/>
  <c r="AI379" i="9" s="1"/>
  <c r="AO346" i="4"/>
  <c r="AL376" i="9" s="1"/>
  <c r="Y344" i="4"/>
  <c r="AJ374" i="9" s="1"/>
  <c r="I342" i="4"/>
  <c r="AH372" i="9" s="1"/>
  <c r="AG339" i="4"/>
  <c r="AK369" i="9" s="1"/>
  <c r="Y369" i="4"/>
  <c r="AJ399" i="9" s="1"/>
  <c r="I367" i="4"/>
  <c r="AH397" i="9" s="1"/>
  <c r="AG364" i="4"/>
  <c r="AK394" i="9" s="1"/>
  <c r="Q362" i="4"/>
  <c r="AI392" i="9" s="1"/>
  <c r="AO359" i="4"/>
  <c r="AL389" i="9" s="1"/>
  <c r="Y357" i="4"/>
  <c r="AJ387" i="9" s="1"/>
  <c r="I355" i="4"/>
  <c r="AH385" i="9" s="1"/>
  <c r="AG352" i="4"/>
  <c r="AK382" i="9" s="1"/>
  <c r="Q350" i="4"/>
  <c r="AI380" i="9" s="1"/>
  <c r="AO347" i="4"/>
  <c r="AL377" i="9" s="1"/>
  <c r="Y345" i="4"/>
  <c r="AJ375" i="9" s="1"/>
  <c r="I343" i="4"/>
  <c r="AH373" i="9" s="1"/>
  <c r="AG340" i="4"/>
  <c r="AK370" i="9" s="1"/>
  <c r="I368" i="4"/>
  <c r="AH398" i="9" s="1"/>
  <c r="AG365" i="4"/>
  <c r="AK395" i="9" s="1"/>
  <c r="Q363" i="4"/>
  <c r="AI393" i="9" s="1"/>
  <c r="AO360" i="4"/>
  <c r="AL390" i="9" s="1"/>
  <c r="Y358" i="4"/>
  <c r="AJ388" i="9" s="1"/>
  <c r="I356" i="4"/>
  <c r="AH386" i="9" s="1"/>
  <c r="AG353" i="4"/>
  <c r="AK383" i="9" s="1"/>
  <c r="Q351" i="4"/>
  <c r="AI381" i="9" s="1"/>
  <c r="AO348" i="4"/>
  <c r="AL378" i="9" s="1"/>
  <c r="Y346" i="4"/>
  <c r="AJ376" i="9" s="1"/>
  <c r="I344" i="4"/>
  <c r="AH374" i="9" s="1"/>
  <c r="I369" i="4"/>
  <c r="AH399" i="9" s="1"/>
  <c r="AG366" i="4"/>
  <c r="AK396" i="9" s="1"/>
  <c r="Q364" i="4"/>
  <c r="AI394" i="9" s="1"/>
  <c r="AO361" i="4"/>
  <c r="AL391" i="9" s="1"/>
  <c r="Y359" i="4"/>
  <c r="AJ389" i="9" s="1"/>
  <c r="I357" i="4"/>
  <c r="AH387" i="9" s="1"/>
  <c r="AG354" i="4"/>
  <c r="AK384" i="9" s="1"/>
  <c r="Q352" i="4"/>
  <c r="AI382" i="9" s="1"/>
  <c r="AO349" i="4"/>
  <c r="AL379" i="9" s="1"/>
  <c r="Y347" i="4"/>
  <c r="AJ377" i="9" s="1"/>
  <c r="I345" i="4"/>
  <c r="AH375" i="9" s="1"/>
  <c r="AG342" i="4"/>
  <c r="AK372" i="9" s="1"/>
  <c r="Q340" i="4"/>
  <c r="AI370" i="9" s="1"/>
  <c r="AG367" i="4"/>
  <c r="AK397" i="9" s="1"/>
  <c r="Q365" i="4"/>
  <c r="AI395" i="9" s="1"/>
  <c r="AO362" i="4"/>
  <c r="AL392" i="9" s="1"/>
  <c r="Y360" i="4"/>
  <c r="AJ390" i="9" s="1"/>
  <c r="I358" i="4"/>
  <c r="AH388" i="9" s="1"/>
  <c r="AG355" i="4"/>
  <c r="AK385" i="9" s="1"/>
  <c r="Q353" i="4"/>
  <c r="AI383" i="9" s="1"/>
  <c r="AO350" i="4"/>
  <c r="AL380" i="9" s="1"/>
  <c r="Y348" i="4"/>
  <c r="AJ378" i="9" s="1"/>
  <c r="I346" i="4"/>
  <c r="AH376" i="9" s="1"/>
  <c r="AG343" i="4"/>
  <c r="AK373" i="9" s="1"/>
  <c r="Q341" i="4"/>
  <c r="AI371" i="9" s="1"/>
  <c r="AO338" i="4"/>
  <c r="AL368" i="9" s="1"/>
  <c r="AG368" i="4"/>
  <c r="AK398" i="9" s="1"/>
  <c r="Q366" i="4"/>
  <c r="AI396" i="9" s="1"/>
  <c r="AO363" i="4"/>
  <c r="AL393" i="9" s="1"/>
  <c r="Y361" i="4"/>
  <c r="AJ391" i="9" s="1"/>
  <c r="I359" i="4"/>
  <c r="AH389" i="9" s="1"/>
  <c r="AG356" i="4"/>
  <c r="AK386" i="9" s="1"/>
  <c r="Q354" i="4"/>
  <c r="AI384" i="9" s="1"/>
  <c r="AO351" i="4"/>
  <c r="AL381" i="9" s="1"/>
  <c r="Y349" i="4"/>
  <c r="AJ379" i="9" s="1"/>
  <c r="I347" i="4"/>
  <c r="AH377" i="9" s="1"/>
  <c r="AG344" i="4"/>
  <c r="AK374" i="9" s="1"/>
  <c r="Q342" i="4"/>
  <c r="AI372" i="9" s="1"/>
  <c r="AO339" i="4"/>
  <c r="AL369" i="9" s="1"/>
  <c r="AG369" i="4"/>
  <c r="AK399" i="9" s="1"/>
  <c r="Q367" i="4"/>
  <c r="AI397" i="9" s="1"/>
  <c r="AO364" i="4"/>
  <c r="AL394" i="9" s="1"/>
  <c r="Y362" i="4"/>
  <c r="AJ392" i="9" s="1"/>
  <c r="I360" i="4"/>
  <c r="AH390" i="9" s="1"/>
  <c r="AG357" i="4"/>
  <c r="AK387" i="9" s="1"/>
  <c r="Q355" i="4"/>
  <c r="AI385" i="9" s="1"/>
  <c r="AO352" i="4"/>
  <c r="AL382" i="9" s="1"/>
  <c r="Y350" i="4"/>
  <c r="AJ380" i="9" s="1"/>
  <c r="I348" i="4"/>
  <c r="AH378" i="9" s="1"/>
  <c r="AG345" i="4"/>
  <c r="AK375" i="9" s="1"/>
  <c r="Q343" i="4"/>
  <c r="AI373" i="9" s="1"/>
  <c r="AO340" i="4"/>
  <c r="AL370" i="9" s="1"/>
  <c r="Y338" i="4"/>
  <c r="AJ368" i="9" s="1"/>
  <c r="AO368" i="4"/>
  <c r="AL398" i="9" s="1"/>
  <c r="Y366" i="4"/>
  <c r="AJ396" i="9" s="1"/>
  <c r="I364" i="4"/>
  <c r="AH394" i="9" s="1"/>
  <c r="AG361" i="4"/>
  <c r="AK391" i="9" s="1"/>
  <c r="Q359" i="4"/>
  <c r="AI389" i="9" s="1"/>
  <c r="AO356" i="4"/>
  <c r="AL386" i="9" s="1"/>
  <c r="Y354" i="4"/>
  <c r="AJ384" i="9" s="1"/>
  <c r="I352" i="4"/>
  <c r="AH382" i="9" s="1"/>
  <c r="AG349" i="4"/>
  <c r="AK379" i="9" s="1"/>
  <c r="Q347" i="4"/>
  <c r="AI377" i="9" s="1"/>
  <c r="AO344" i="4"/>
  <c r="AL374" i="9" s="1"/>
  <c r="Y342" i="4"/>
  <c r="AJ372" i="9" s="1"/>
  <c r="I340" i="4"/>
  <c r="AH370" i="9" s="1"/>
  <c r="AO369" i="4"/>
  <c r="AL399" i="9" s="1"/>
  <c r="Y364" i="4"/>
  <c r="AJ394" i="9" s="1"/>
  <c r="Q357" i="4"/>
  <c r="AI387" i="9" s="1"/>
  <c r="I350" i="4"/>
  <c r="AH380" i="9" s="1"/>
  <c r="Q338" i="4"/>
  <c r="AI368" i="9" s="1"/>
  <c r="AO336" i="4"/>
  <c r="AL366" i="9" s="1"/>
  <c r="Y334" i="4"/>
  <c r="AJ364" i="9" s="1"/>
  <c r="I332" i="4"/>
  <c r="AH362" i="9" s="1"/>
  <c r="AG329" i="4"/>
  <c r="AK359" i="9" s="1"/>
  <c r="Q327" i="4"/>
  <c r="AI357" i="9" s="1"/>
  <c r="AO324" i="4"/>
  <c r="AL354" i="9" s="1"/>
  <c r="Y322" i="4"/>
  <c r="AJ352" i="9" s="1"/>
  <c r="I320" i="4"/>
  <c r="AH350" i="9" s="1"/>
  <c r="AG317" i="4"/>
  <c r="AK347" i="9" s="1"/>
  <c r="Q315" i="4"/>
  <c r="AI345" i="9" s="1"/>
  <c r="AO312" i="4"/>
  <c r="AL342" i="9" s="1"/>
  <c r="Y365" i="4"/>
  <c r="AJ395" i="9" s="1"/>
  <c r="Q358" i="4"/>
  <c r="AI388" i="9" s="1"/>
  <c r="I351" i="4"/>
  <c r="AH381" i="9" s="1"/>
  <c r="AO343" i="4"/>
  <c r="AL373" i="9" s="1"/>
  <c r="Y340" i="4"/>
  <c r="AJ370" i="9" s="1"/>
  <c r="AO337" i="4"/>
  <c r="AL367" i="9" s="1"/>
  <c r="Y335" i="4"/>
  <c r="AJ365" i="9" s="1"/>
  <c r="I333" i="4"/>
  <c r="AH363" i="9" s="1"/>
  <c r="AG330" i="4"/>
  <c r="AK360" i="9" s="1"/>
  <c r="Q328" i="4"/>
  <c r="AI358" i="9" s="1"/>
  <c r="AO325" i="4"/>
  <c r="AL355" i="9" s="1"/>
  <c r="Y323" i="4"/>
  <c r="AJ353" i="9" s="1"/>
  <c r="I321" i="4"/>
  <c r="AH351" i="9" s="1"/>
  <c r="AG318" i="4"/>
  <c r="AK348" i="9" s="1"/>
  <c r="Q316" i="4"/>
  <c r="AI346" i="9" s="1"/>
  <c r="AO313" i="4"/>
  <c r="AL343" i="9" s="1"/>
  <c r="Y311" i="4"/>
  <c r="AJ341" i="9" s="1"/>
  <c r="I309" i="4"/>
  <c r="AH339" i="9" s="1"/>
  <c r="AG306" i="4"/>
  <c r="AK336" i="9" s="1"/>
  <c r="Y367" i="4"/>
  <c r="AJ397" i="9" s="1"/>
  <c r="Q360" i="4"/>
  <c r="AI390" i="9" s="1"/>
  <c r="I353" i="4"/>
  <c r="AH383" i="9" s="1"/>
  <c r="AO345" i="4"/>
  <c r="AL375" i="9" s="1"/>
  <c r="AO342" i="4"/>
  <c r="AL372" i="9" s="1"/>
  <c r="Y336" i="4"/>
  <c r="AJ366" i="9" s="1"/>
  <c r="I334" i="4"/>
  <c r="AH364" i="9" s="1"/>
  <c r="AG331" i="4"/>
  <c r="AK361" i="9" s="1"/>
  <c r="Q329" i="4"/>
  <c r="AI359" i="9" s="1"/>
  <c r="AO326" i="4"/>
  <c r="AL356" i="9" s="1"/>
  <c r="Y324" i="4"/>
  <c r="AJ354" i="9" s="1"/>
  <c r="Q368" i="4"/>
  <c r="AI398" i="9" s="1"/>
  <c r="Q369" i="4"/>
  <c r="AI399" i="9" s="1"/>
  <c r="I362" i="4"/>
  <c r="AH392" i="9" s="1"/>
  <c r="AO354" i="4"/>
  <c r="AL384" i="9" s="1"/>
  <c r="AG347" i="4"/>
  <c r="AK377" i="9" s="1"/>
  <c r="AO341" i="4"/>
  <c r="AL371" i="9" s="1"/>
  <c r="AG338" i="4"/>
  <c r="AK368" i="9" s="1"/>
  <c r="I336" i="4"/>
  <c r="AH366" i="9" s="1"/>
  <c r="AG333" i="4"/>
  <c r="AK363" i="9" s="1"/>
  <c r="Q331" i="4"/>
  <c r="AI361" i="9" s="1"/>
  <c r="AO328" i="4"/>
  <c r="AL358" i="9" s="1"/>
  <c r="Y326" i="4"/>
  <c r="AJ356" i="9" s="1"/>
  <c r="I324" i="4"/>
  <c r="AH354" i="9" s="1"/>
  <c r="AG321" i="4"/>
  <c r="AK351" i="9" s="1"/>
  <c r="Q319" i="4"/>
  <c r="AI349" i="9" s="1"/>
  <c r="AO316" i="4"/>
  <c r="AL346" i="9" s="1"/>
  <c r="AO365" i="4"/>
  <c r="AL395" i="9" s="1"/>
  <c r="AG358" i="4"/>
  <c r="AK388" i="9" s="1"/>
  <c r="Y351" i="4"/>
  <c r="AJ381" i="9" s="1"/>
  <c r="Q344" i="4"/>
  <c r="AI374" i="9" s="1"/>
  <c r="Q339" i="4"/>
  <c r="AI369" i="9" s="1"/>
  <c r="AG336" i="4"/>
  <c r="AK366" i="9" s="1"/>
  <c r="Q334" i="4"/>
  <c r="AI364" i="9" s="1"/>
  <c r="AO331" i="4"/>
  <c r="AL361" i="9" s="1"/>
  <c r="Y329" i="4"/>
  <c r="AJ359" i="9" s="1"/>
  <c r="I327" i="4"/>
  <c r="AH357" i="9" s="1"/>
  <c r="AG324" i="4"/>
  <c r="AK354" i="9" s="1"/>
  <c r="Q322" i="4"/>
  <c r="AI352" i="9" s="1"/>
  <c r="AO319" i="4"/>
  <c r="AL349" i="9" s="1"/>
  <c r="Y317" i="4"/>
  <c r="AJ347" i="9" s="1"/>
  <c r="I315" i="4"/>
  <c r="AH345" i="9" s="1"/>
  <c r="AG312" i="4"/>
  <c r="AK342" i="9" s="1"/>
  <c r="Q310" i="4"/>
  <c r="AI340" i="9" s="1"/>
  <c r="AO307" i="4"/>
  <c r="AL337" i="9" s="1"/>
  <c r="AO367" i="4"/>
  <c r="AL397" i="9" s="1"/>
  <c r="AG360" i="4"/>
  <c r="AK390" i="9" s="1"/>
  <c r="Y353" i="4"/>
  <c r="AJ383" i="9" s="1"/>
  <c r="Q346" i="4"/>
  <c r="AI376" i="9" s="1"/>
  <c r="Q336" i="4"/>
  <c r="AI366" i="9" s="1"/>
  <c r="AO333" i="4"/>
  <c r="AL363" i="9" s="1"/>
  <c r="Y331" i="4"/>
  <c r="AJ361" i="9" s="1"/>
  <c r="I329" i="4"/>
  <c r="AH359" i="9" s="1"/>
  <c r="AG326" i="4"/>
  <c r="AK356" i="9" s="1"/>
  <c r="Q324" i="4"/>
  <c r="AI354" i="9" s="1"/>
  <c r="AG350" i="4"/>
  <c r="AK380" i="9" s="1"/>
  <c r="I338" i="4"/>
  <c r="AH368" i="9" s="1"/>
  <c r="Q333" i="4"/>
  <c r="AI363" i="9" s="1"/>
  <c r="Y328" i="4"/>
  <c r="AJ358" i="9" s="1"/>
  <c r="AG323" i="4"/>
  <c r="AK353" i="9" s="1"/>
  <c r="AO320" i="4"/>
  <c r="AL350" i="9" s="1"/>
  <c r="Q317" i="4"/>
  <c r="AI347" i="9" s="1"/>
  <c r="AO314" i="4"/>
  <c r="AL344" i="9" s="1"/>
  <c r="I313" i="4"/>
  <c r="AH343" i="9" s="1"/>
  <c r="Q306" i="4"/>
  <c r="AI336" i="9" s="1"/>
  <c r="AO305" i="4"/>
  <c r="AL335" i="9" s="1"/>
  <c r="Y303" i="4"/>
  <c r="AJ333" i="9" s="1"/>
  <c r="I301" i="4"/>
  <c r="AH331" i="9" s="1"/>
  <c r="AG298" i="4"/>
  <c r="AK328" i="9" s="1"/>
  <c r="Q296" i="4"/>
  <c r="AI326" i="9" s="1"/>
  <c r="AO293" i="4"/>
  <c r="AL323" i="9" s="1"/>
  <c r="Y291" i="4"/>
  <c r="AJ321" i="9" s="1"/>
  <c r="I289" i="4"/>
  <c r="AH319" i="9" s="1"/>
  <c r="AG286" i="4"/>
  <c r="AK316" i="9" s="1"/>
  <c r="Q284" i="4"/>
  <c r="AI314" i="9" s="1"/>
  <c r="AO281" i="4"/>
  <c r="AL311" i="9" s="1"/>
  <c r="Y279" i="4"/>
  <c r="AJ309" i="9" s="1"/>
  <c r="I277" i="4"/>
  <c r="AH307" i="9" s="1"/>
  <c r="AG274" i="4"/>
  <c r="AK304" i="9" s="1"/>
  <c r="Q272" i="4"/>
  <c r="AI302" i="9" s="1"/>
  <c r="AO269" i="4"/>
  <c r="AL299" i="9" s="1"/>
  <c r="Y267" i="4"/>
  <c r="AJ297" i="9" s="1"/>
  <c r="I265" i="4"/>
  <c r="AH295" i="9" s="1"/>
  <c r="AG262" i="4"/>
  <c r="AK292" i="9" s="1"/>
  <c r="Q260" i="4"/>
  <c r="AI290" i="9" s="1"/>
  <c r="AO257" i="4"/>
  <c r="AL287" i="9" s="1"/>
  <c r="Y255" i="4"/>
  <c r="AJ285" i="9" s="1"/>
  <c r="I253" i="4"/>
  <c r="AH283" i="9" s="1"/>
  <c r="AG250" i="4"/>
  <c r="AK280" i="9" s="1"/>
  <c r="Q248" i="4"/>
  <c r="AI278" i="9" s="1"/>
  <c r="AO245" i="4"/>
  <c r="AL275" i="9" s="1"/>
  <c r="Y243" i="4"/>
  <c r="AJ273" i="9" s="1"/>
  <c r="I241" i="4"/>
  <c r="AH271" i="9" s="1"/>
  <c r="AG238" i="4"/>
  <c r="AK268" i="9" s="1"/>
  <c r="Q236" i="4"/>
  <c r="AI266" i="9" s="1"/>
  <c r="AO233" i="4"/>
  <c r="AL263" i="9" s="1"/>
  <c r="Y231" i="4"/>
  <c r="AJ261" i="9" s="1"/>
  <c r="I229" i="4"/>
  <c r="AH259" i="9" s="1"/>
  <c r="AG226" i="4"/>
  <c r="AK256" i="9" s="1"/>
  <c r="Q224" i="4"/>
  <c r="AI254" i="9" s="1"/>
  <c r="AO221" i="4"/>
  <c r="AL251" i="9" s="1"/>
  <c r="Y352" i="4"/>
  <c r="AJ382" i="9" s="1"/>
  <c r="Q335" i="4"/>
  <c r="AI365" i="9" s="1"/>
  <c r="Y330" i="4"/>
  <c r="AJ360" i="9" s="1"/>
  <c r="AG325" i="4"/>
  <c r="AK355" i="9" s="1"/>
  <c r="AO321" i="4"/>
  <c r="AL351" i="9" s="1"/>
  <c r="Q318" i="4"/>
  <c r="AI348" i="9" s="1"/>
  <c r="Y313" i="4"/>
  <c r="AJ343" i="9" s="1"/>
  <c r="AG311" i="4"/>
  <c r="AK341" i="9" s="1"/>
  <c r="Y307" i="4"/>
  <c r="AJ337" i="9" s="1"/>
  <c r="I307" i="4"/>
  <c r="AH337" i="9" s="1"/>
  <c r="Y304" i="4"/>
  <c r="AJ334" i="9" s="1"/>
  <c r="I302" i="4"/>
  <c r="AH332" i="9" s="1"/>
  <c r="AG299" i="4"/>
  <c r="AK329" i="9" s="1"/>
  <c r="Q297" i="4"/>
  <c r="AI327" i="9" s="1"/>
  <c r="AO294" i="4"/>
  <c r="AL324" i="9" s="1"/>
  <c r="Y292" i="4"/>
  <c r="AJ322" i="9" s="1"/>
  <c r="I290" i="4"/>
  <c r="AH320" i="9" s="1"/>
  <c r="AG287" i="4"/>
  <c r="AK317" i="9" s="1"/>
  <c r="Q285" i="4"/>
  <c r="AI315" i="9" s="1"/>
  <c r="AO282" i="4"/>
  <c r="AL312" i="9" s="1"/>
  <c r="Y280" i="4"/>
  <c r="AJ310" i="9" s="1"/>
  <c r="I278" i="4"/>
  <c r="AH308" i="9" s="1"/>
  <c r="AG275" i="4"/>
  <c r="AK305" i="9" s="1"/>
  <c r="Q273" i="4"/>
  <c r="AI303" i="9" s="1"/>
  <c r="AO270" i="4"/>
  <c r="AL300" i="9" s="1"/>
  <c r="Y268" i="4"/>
  <c r="AJ298" i="9" s="1"/>
  <c r="I266" i="4"/>
  <c r="AH296" i="9" s="1"/>
  <c r="AG263" i="4"/>
  <c r="AK293" i="9" s="1"/>
  <c r="Q261" i="4"/>
  <c r="AI291" i="9" s="1"/>
  <c r="AO258" i="4"/>
  <c r="AL288" i="9" s="1"/>
  <c r="Y256" i="4"/>
  <c r="AJ286" i="9" s="1"/>
  <c r="I254" i="4"/>
  <c r="AH284" i="9" s="1"/>
  <c r="AG251" i="4"/>
  <c r="AK281" i="9" s="1"/>
  <c r="Q249" i="4"/>
  <c r="AI279" i="9" s="1"/>
  <c r="AO246" i="4"/>
  <c r="AL276" i="9" s="1"/>
  <c r="Y244" i="4"/>
  <c r="AJ274" i="9" s="1"/>
  <c r="I242" i="4"/>
  <c r="AH272" i="9" s="1"/>
  <c r="AG239" i="4"/>
  <c r="AK269" i="9" s="1"/>
  <c r="Q237" i="4"/>
  <c r="AI267" i="9" s="1"/>
  <c r="AO234" i="4"/>
  <c r="AL264" i="9" s="1"/>
  <c r="Y232" i="4"/>
  <c r="AJ262" i="9" s="1"/>
  <c r="I230" i="4"/>
  <c r="AH260" i="9" s="1"/>
  <c r="AG227" i="4"/>
  <c r="AK257" i="9" s="1"/>
  <c r="Q225" i="4"/>
  <c r="AI255" i="9" s="1"/>
  <c r="AO222" i="4"/>
  <c r="AL252" i="9" s="1"/>
  <c r="AG362" i="4"/>
  <c r="AK392" i="9" s="1"/>
  <c r="Q348" i="4"/>
  <c r="AI378" i="9" s="1"/>
  <c r="I339" i="4"/>
  <c r="AH369" i="9" s="1"/>
  <c r="Q337" i="4"/>
  <c r="AI367" i="9" s="1"/>
  <c r="Y332" i="4"/>
  <c r="AJ362" i="9" s="1"/>
  <c r="AG327" i="4"/>
  <c r="AK357" i="9" s="1"/>
  <c r="Q320" i="4"/>
  <c r="AI350" i="9" s="1"/>
  <c r="I312" i="4"/>
  <c r="AH342" i="9" s="1"/>
  <c r="AG308" i="4"/>
  <c r="AK338" i="9" s="1"/>
  <c r="Q308" i="4"/>
  <c r="AI338" i="9" s="1"/>
  <c r="Y305" i="4"/>
  <c r="AJ335" i="9" s="1"/>
  <c r="I303" i="4"/>
  <c r="AH333" i="9" s="1"/>
  <c r="AG300" i="4"/>
  <c r="AK330" i="9" s="1"/>
  <c r="Q298" i="4"/>
  <c r="AI328" i="9" s="1"/>
  <c r="AO295" i="4"/>
  <c r="AL325" i="9" s="1"/>
  <c r="Y293" i="4"/>
  <c r="AJ323" i="9" s="1"/>
  <c r="I291" i="4"/>
  <c r="AH321" i="9" s="1"/>
  <c r="AG288" i="4"/>
  <c r="AK318" i="9" s="1"/>
  <c r="Q286" i="4"/>
  <c r="AI316" i="9" s="1"/>
  <c r="AO283" i="4"/>
  <c r="AL313" i="9" s="1"/>
  <c r="Y281" i="4"/>
  <c r="AJ311" i="9" s="1"/>
  <c r="I279" i="4"/>
  <c r="AH309" i="9" s="1"/>
  <c r="AG276" i="4"/>
  <c r="AK306" i="9" s="1"/>
  <c r="Q274" i="4"/>
  <c r="AI304" i="9" s="1"/>
  <c r="AO271" i="4"/>
  <c r="AL301" i="9" s="1"/>
  <c r="Y269" i="4"/>
  <c r="AJ299" i="9" s="1"/>
  <c r="I267" i="4"/>
  <c r="AH297" i="9" s="1"/>
  <c r="AG264" i="4"/>
  <c r="AK294" i="9" s="1"/>
  <c r="Q262" i="4"/>
  <c r="AI292" i="9" s="1"/>
  <c r="AO259" i="4"/>
  <c r="AL289" i="9" s="1"/>
  <c r="Y257" i="4"/>
  <c r="AJ287" i="9" s="1"/>
  <c r="I255" i="4"/>
  <c r="AH285" i="9" s="1"/>
  <c r="AG252" i="4"/>
  <c r="AK282" i="9" s="1"/>
  <c r="Q250" i="4"/>
  <c r="AI280" i="9" s="1"/>
  <c r="AO247" i="4"/>
  <c r="AL277" i="9" s="1"/>
  <c r="Y245" i="4"/>
  <c r="AJ275" i="9" s="1"/>
  <c r="I243" i="4"/>
  <c r="AH273" i="9" s="1"/>
  <c r="AG240" i="4"/>
  <c r="AK270" i="9" s="1"/>
  <c r="Q238" i="4"/>
  <c r="AI268" i="9" s="1"/>
  <c r="AO235" i="4"/>
  <c r="AL265" i="9" s="1"/>
  <c r="Y233" i="4"/>
  <c r="AJ263" i="9" s="1"/>
  <c r="I231" i="4"/>
  <c r="AH261" i="9" s="1"/>
  <c r="AG228" i="4"/>
  <c r="AK258" i="9" s="1"/>
  <c r="Q226" i="4"/>
  <c r="AI256" i="9" s="1"/>
  <c r="AO223" i="4"/>
  <c r="AL253" i="9" s="1"/>
  <c r="Y221" i="4"/>
  <c r="AJ251" i="9" s="1"/>
  <c r="Q356" i="4"/>
  <c r="AI386" i="9" s="1"/>
  <c r="AO335" i="4"/>
  <c r="AL365" i="9" s="1"/>
  <c r="I331" i="4"/>
  <c r="AH361" i="9" s="1"/>
  <c r="Q326" i="4"/>
  <c r="AI356" i="9" s="1"/>
  <c r="AO322" i="4"/>
  <c r="AL352" i="9" s="1"/>
  <c r="Q321" i="4"/>
  <c r="AI351" i="9" s="1"/>
  <c r="AG316" i="4"/>
  <c r="AK346" i="9" s="1"/>
  <c r="Y312" i="4"/>
  <c r="AJ342" i="9" s="1"/>
  <c r="AO309" i="4"/>
  <c r="AL339" i="9" s="1"/>
  <c r="Y309" i="4"/>
  <c r="AJ339" i="9" s="1"/>
  <c r="I304" i="4"/>
  <c r="AH334" i="9" s="1"/>
  <c r="AG301" i="4"/>
  <c r="AK331" i="9" s="1"/>
  <c r="Q299" i="4"/>
  <c r="AI329" i="9" s="1"/>
  <c r="AO296" i="4"/>
  <c r="AL326" i="9" s="1"/>
  <c r="Y294" i="4"/>
  <c r="AJ324" i="9" s="1"/>
  <c r="I292" i="4"/>
  <c r="AH322" i="9" s="1"/>
  <c r="AG289" i="4"/>
  <c r="AK319" i="9" s="1"/>
  <c r="Q287" i="4"/>
  <c r="AI317" i="9" s="1"/>
  <c r="AO284" i="4"/>
  <c r="AL314" i="9" s="1"/>
  <c r="Y282" i="4"/>
  <c r="AJ312" i="9" s="1"/>
  <c r="I280" i="4"/>
  <c r="AH310" i="9" s="1"/>
  <c r="AG277" i="4"/>
  <c r="AK307" i="9" s="1"/>
  <c r="Q275" i="4"/>
  <c r="AI305" i="9" s="1"/>
  <c r="AO272" i="4"/>
  <c r="AL302" i="9" s="1"/>
  <c r="Y270" i="4"/>
  <c r="AJ300" i="9" s="1"/>
  <c r="I268" i="4"/>
  <c r="AH298" i="9" s="1"/>
  <c r="AG265" i="4"/>
  <c r="AK295" i="9" s="1"/>
  <c r="Q263" i="4"/>
  <c r="AI293" i="9" s="1"/>
  <c r="AO260" i="4"/>
  <c r="AL290" i="9" s="1"/>
  <c r="Y258" i="4"/>
  <c r="AJ288" i="9" s="1"/>
  <c r="I256" i="4"/>
  <c r="AH286" i="9" s="1"/>
  <c r="AG253" i="4"/>
  <c r="AK283" i="9" s="1"/>
  <c r="Q251" i="4"/>
  <c r="AI281" i="9" s="1"/>
  <c r="AO248" i="4"/>
  <c r="AL278" i="9" s="1"/>
  <c r="Y246" i="4"/>
  <c r="AJ276" i="9" s="1"/>
  <c r="I244" i="4"/>
  <c r="AH274" i="9" s="1"/>
  <c r="AG241" i="4"/>
  <c r="AK271" i="9" s="1"/>
  <c r="Q239" i="4"/>
  <c r="AI269" i="9" s="1"/>
  <c r="AO236" i="4"/>
  <c r="AL266" i="9" s="1"/>
  <c r="Y234" i="4"/>
  <c r="AJ264" i="9" s="1"/>
  <c r="I232" i="4"/>
  <c r="AH262" i="9" s="1"/>
  <c r="AG229" i="4"/>
  <c r="AK259" i="9" s="1"/>
  <c r="I365" i="4"/>
  <c r="AH395" i="9" s="1"/>
  <c r="AO353" i="4"/>
  <c r="AL383" i="9" s="1"/>
  <c r="I335" i="4"/>
  <c r="AH365" i="9" s="1"/>
  <c r="Q330" i="4"/>
  <c r="AI360" i="9" s="1"/>
  <c r="Y325" i="4"/>
  <c r="AJ355" i="9" s="1"/>
  <c r="AG319" i="4"/>
  <c r="AK349" i="9" s="1"/>
  <c r="AG315" i="4"/>
  <c r="AK345" i="9" s="1"/>
  <c r="I311" i="4"/>
  <c r="AH341" i="9" s="1"/>
  <c r="AG310" i="4"/>
  <c r="AK340" i="9" s="1"/>
  <c r="I305" i="4"/>
  <c r="AH335" i="9" s="1"/>
  <c r="AG302" i="4"/>
  <c r="AK332" i="9" s="1"/>
  <c r="Q300" i="4"/>
  <c r="AI330" i="9" s="1"/>
  <c r="AO297" i="4"/>
  <c r="AL327" i="9" s="1"/>
  <c r="Y295" i="4"/>
  <c r="AJ325" i="9" s="1"/>
  <c r="I293" i="4"/>
  <c r="AH323" i="9" s="1"/>
  <c r="AG290" i="4"/>
  <c r="AK320" i="9" s="1"/>
  <c r="Q288" i="4"/>
  <c r="AI318" i="9" s="1"/>
  <c r="AO285" i="4"/>
  <c r="AL315" i="9" s="1"/>
  <c r="Y283" i="4"/>
  <c r="AJ313" i="9" s="1"/>
  <c r="I281" i="4"/>
  <c r="AH311" i="9" s="1"/>
  <c r="AG278" i="4"/>
  <c r="AK308" i="9" s="1"/>
  <c r="Q276" i="4"/>
  <c r="AI306" i="9" s="1"/>
  <c r="AO273" i="4"/>
  <c r="AL303" i="9" s="1"/>
  <c r="Y271" i="4"/>
  <c r="AJ301" i="9" s="1"/>
  <c r="I269" i="4"/>
  <c r="AH299" i="9" s="1"/>
  <c r="AG266" i="4"/>
  <c r="AK296" i="9" s="1"/>
  <c r="Q264" i="4"/>
  <c r="AI294" i="9" s="1"/>
  <c r="AO261" i="4"/>
  <c r="AL291" i="9" s="1"/>
  <c r="Y259" i="4"/>
  <c r="AJ289" i="9" s="1"/>
  <c r="I257" i="4"/>
  <c r="AH287" i="9" s="1"/>
  <c r="AG254" i="4"/>
  <c r="AK284" i="9" s="1"/>
  <c r="Q252" i="4"/>
  <c r="AI282" i="9" s="1"/>
  <c r="AO249" i="4"/>
  <c r="AL279" i="9" s="1"/>
  <c r="Y247" i="4"/>
  <c r="AJ277" i="9" s="1"/>
  <c r="I245" i="4"/>
  <c r="AH275" i="9" s="1"/>
  <c r="AG242" i="4"/>
  <c r="AK272" i="9" s="1"/>
  <c r="Q240" i="4"/>
  <c r="AI270" i="9" s="1"/>
  <c r="AO237" i="4"/>
  <c r="AL267" i="9" s="1"/>
  <c r="Y235" i="4"/>
  <c r="AJ265" i="9" s="1"/>
  <c r="I233" i="4"/>
  <c r="AH263" i="9" s="1"/>
  <c r="AG230" i="4"/>
  <c r="AK260" i="9" s="1"/>
  <c r="Q228" i="4"/>
  <c r="AI258" i="9" s="1"/>
  <c r="AO225" i="4"/>
  <c r="AL255" i="9" s="1"/>
  <c r="Y223" i="4"/>
  <c r="AJ253" i="9" s="1"/>
  <c r="I221" i="4"/>
  <c r="AH251" i="9" s="1"/>
  <c r="AO355" i="4"/>
  <c r="AL385" i="9" s="1"/>
  <c r="I337" i="4"/>
  <c r="AH367" i="9" s="1"/>
  <c r="Q332" i="4"/>
  <c r="AI362" i="9" s="1"/>
  <c r="Y327" i="4"/>
  <c r="AJ357" i="9" s="1"/>
  <c r="AG320" i="4"/>
  <c r="AK350" i="9" s="1"/>
  <c r="I317" i="4"/>
  <c r="AH347" i="9" s="1"/>
  <c r="I316" i="4"/>
  <c r="AH346" i="9" s="1"/>
  <c r="Q314" i="4"/>
  <c r="AI344" i="9" s="1"/>
  <c r="AG303" i="4"/>
  <c r="AK333" i="9" s="1"/>
  <c r="Q301" i="4"/>
  <c r="AI331" i="9" s="1"/>
  <c r="AO298" i="4"/>
  <c r="AL328" i="9" s="1"/>
  <c r="Y296" i="4"/>
  <c r="AJ326" i="9" s="1"/>
  <c r="I294" i="4"/>
  <c r="AH324" i="9" s="1"/>
  <c r="AG291" i="4"/>
  <c r="AK321" i="9" s="1"/>
  <c r="Q289" i="4"/>
  <c r="AI319" i="9" s="1"/>
  <c r="AO286" i="4"/>
  <c r="AL316" i="9" s="1"/>
  <c r="Y284" i="4"/>
  <c r="AJ314" i="9" s="1"/>
  <c r="I282" i="4"/>
  <c r="AH312" i="9" s="1"/>
  <c r="AG279" i="4"/>
  <c r="AK309" i="9" s="1"/>
  <c r="Q277" i="4"/>
  <c r="AI307" i="9" s="1"/>
  <c r="AO274" i="4"/>
  <c r="AL304" i="9" s="1"/>
  <c r="Y272" i="4"/>
  <c r="AJ302" i="9" s="1"/>
  <c r="I270" i="4"/>
  <c r="AH300" i="9" s="1"/>
  <c r="AG267" i="4"/>
  <c r="AK297" i="9" s="1"/>
  <c r="Q265" i="4"/>
  <c r="AI295" i="9" s="1"/>
  <c r="AO262" i="4"/>
  <c r="AL292" i="9" s="1"/>
  <c r="Y260" i="4"/>
  <c r="AJ290" i="9" s="1"/>
  <c r="I258" i="4"/>
  <c r="AH288" i="9" s="1"/>
  <c r="AG255" i="4"/>
  <c r="AK285" i="9" s="1"/>
  <c r="Q253" i="4"/>
  <c r="AI283" i="9" s="1"/>
  <c r="AO250" i="4"/>
  <c r="AL280" i="9" s="1"/>
  <c r="Y248" i="4"/>
  <c r="AJ278" i="9" s="1"/>
  <c r="I246" i="4"/>
  <c r="AH276" i="9" s="1"/>
  <c r="AG243" i="4"/>
  <c r="AK273" i="9" s="1"/>
  <c r="Q241" i="4"/>
  <c r="AI271" i="9" s="1"/>
  <c r="AO238" i="4"/>
  <c r="AL268" i="9" s="1"/>
  <c r="Y236" i="4"/>
  <c r="AJ266" i="9" s="1"/>
  <c r="I234" i="4"/>
  <c r="AH264" i="9" s="1"/>
  <c r="AG231" i="4"/>
  <c r="AK261" i="9" s="1"/>
  <c r="Q229" i="4"/>
  <c r="AI259" i="9" s="1"/>
  <c r="AO226" i="4"/>
  <c r="AL256" i="9" s="1"/>
  <c r="Y224" i="4"/>
  <c r="AJ254" i="9" s="1"/>
  <c r="I222" i="4"/>
  <c r="AH252" i="9" s="1"/>
  <c r="AO357" i="4"/>
  <c r="AL387" i="9" s="1"/>
  <c r="Y343" i="4"/>
  <c r="AJ373" i="9" s="1"/>
  <c r="AG335" i="4"/>
  <c r="AK365" i="9" s="1"/>
  <c r="AO330" i="4"/>
  <c r="AL360" i="9" s="1"/>
  <c r="I326" i="4"/>
  <c r="AH356" i="9" s="1"/>
  <c r="AG322" i="4"/>
  <c r="AK352" i="9" s="1"/>
  <c r="I318" i="4"/>
  <c r="AH348" i="9" s="1"/>
  <c r="AG314" i="4"/>
  <c r="AK344" i="9" s="1"/>
  <c r="Y306" i="4"/>
  <c r="AJ336" i="9" s="1"/>
  <c r="I306" i="4"/>
  <c r="AH336" i="9" s="1"/>
  <c r="AG304" i="4"/>
  <c r="AK334" i="9" s="1"/>
  <c r="Q302" i="4"/>
  <c r="AI332" i="9" s="1"/>
  <c r="AO299" i="4"/>
  <c r="AL329" i="9" s="1"/>
  <c r="Y297" i="4"/>
  <c r="AJ327" i="9" s="1"/>
  <c r="I295" i="4"/>
  <c r="AH325" i="9" s="1"/>
  <c r="AG292" i="4"/>
  <c r="AK322" i="9" s="1"/>
  <c r="Q290" i="4"/>
  <c r="AI320" i="9" s="1"/>
  <c r="AO287" i="4"/>
  <c r="AL317" i="9" s="1"/>
  <c r="Y285" i="4"/>
  <c r="AJ315" i="9" s="1"/>
  <c r="I283" i="4"/>
  <c r="AH313" i="9" s="1"/>
  <c r="AG280" i="4"/>
  <c r="AK310" i="9" s="1"/>
  <c r="Q278" i="4"/>
  <c r="AI308" i="9" s="1"/>
  <c r="AO275" i="4"/>
  <c r="AL305" i="9" s="1"/>
  <c r="Y273" i="4"/>
  <c r="AJ303" i="9" s="1"/>
  <c r="I271" i="4"/>
  <c r="AH301" i="9" s="1"/>
  <c r="AG268" i="4"/>
  <c r="AK298" i="9" s="1"/>
  <c r="Q266" i="4"/>
  <c r="AI296" i="9" s="1"/>
  <c r="AO263" i="4"/>
  <c r="AL293" i="9" s="1"/>
  <c r="Y261" i="4"/>
  <c r="AJ291" i="9" s="1"/>
  <c r="I259" i="4"/>
  <c r="AH289" i="9" s="1"/>
  <c r="AG256" i="4"/>
  <c r="AK286" i="9" s="1"/>
  <c r="Q254" i="4"/>
  <c r="AI284" i="9" s="1"/>
  <c r="AO251" i="4"/>
  <c r="AL281" i="9" s="1"/>
  <c r="Y249" i="4"/>
  <c r="AJ279" i="9" s="1"/>
  <c r="I247" i="4"/>
  <c r="AH277" i="9" s="1"/>
  <c r="AG244" i="4"/>
  <c r="AK274" i="9" s="1"/>
  <c r="Q242" i="4"/>
  <c r="AI272" i="9" s="1"/>
  <c r="AO239" i="4"/>
  <c r="AL269" i="9" s="1"/>
  <c r="Y237" i="4"/>
  <c r="AJ267" i="9" s="1"/>
  <c r="I235" i="4"/>
  <c r="AH265" i="9" s="1"/>
  <c r="AG232" i="4"/>
  <c r="AK262" i="9" s="1"/>
  <c r="AG359" i="4"/>
  <c r="AK389" i="9" s="1"/>
  <c r="Q345" i="4"/>
  <c r="AI375" i="9" s="1"/>
  <c r="AG341" i="4"/>
  <c r="AK371" i="9" s="1"/>
  <c r="AG337" i="4"/>
  <c r="AK367" i="9" s="1"/>
  <c r="AO332" i="4"/>
  <c r="AL362" i="9" s="1"/>
  <c r="I328" i="4"/>
  <c r="AH358" i="9" s="1"/>
  <c r="Q323" i="4"/>
  <c r="AI353" i="9" s="1"/>
  <c r="I319" i="4"/>
  <c r="AH349" i="9" s="1"/>
  <c r="Y316" i="4"/>
  <c r="AJ346" i="9" s="1"/>
  <c r="Q313" i="4"/>
  <c r="AI343" i="9" s="1"/>
  <c r="AG307" i="4"/>
  <c r="AK337" i="9" s="1"/>
  <c r="Q307" i="4"/>
  <c r="AI337" i="9" s="1"/>
  <c r="AO306" i="4"/>
  <c r="AL336" i="9" s="1"/>
  <c r="AG305" i="4"/>
  <c r="AK335" i="9" s="1"/>
  <c r="Q303" i="4"/>
  <c r="AI333" i="9" s="1"/>
  <c r="AO300" i="4"/>
  <c r="AL330" i="9" s="1"/>
  <c r="Y298" i="4"/>
  <c r="AJ328" i="9" s="1"/>
  <c r="I296" i="4"/>
  <c r="AH326" i="9" s="1"/>
  <c r="AG293" i="4"/>
  <c r="AK323" i="9" s="1"/>
  <c r="Q291" i="4"/>
  <c r="AI321" i="9" s="1"/>
  <c r="AO288" i="4"/>
  <c r="AL318" i="9" s="1"/>
  <c r="Y286" i="4"/>
  <c r="AJ316" i="9" s="1"/>
  <c r="I284" i="4"/>
  <c r="AH314" i="9" s="1"/>
  <c r="AG281" i="4"/>
  <c r="AK311" i="9" s="1"/>
  <c r="Q279" i="4"/>
  <c r="AI309" i="9" s="1"/>
  <c r="AO276" i="4"/>
  <c r="AL306" i="9" s="1"/>
  <c r="Y274" i="4"/>
  <c r="AJ304" i="9" s="1"/>
  <c r="I272" i="4"/>
  <c r="AH302" i="9" s="1"/>
  <c r="AG269" i="4"/>
  <c r="AK299" i="9" s="1"/>
  <c r="Q267" i="4"/>
  <c r="AI297" i="9" s="1"/>
  <c r="AO264" i="4"/>
  <c r="AL294" i="9" s="1"/>
  <c r="Y262" i="4"/>
  <c r="AJ292" i="9" s="1"/>
  <c r="I260" i="4"/>
  <c r="AH290" i="9" s="1"/>
  <c r="AG257" i="4"/>
  <c r="AK287" i="9" s="1"/>
  <c r="Q255" i="4"/>
  <c r="AI285" i="9" s="1"/>
  <c r="AO252" i="4"/>
  <c r="AL282" i="9" s="1"/>
  <c r="Y250" i="4"/>
  <c r="AJ280" i="9" s="1"/>
  <c r="I248" i="4"/>
  <c r="AH278" i="9" s="1"/>
  <c r="AG245" i="4"/>
  <c r="AK275" i="9" s="1"/>
  <c r="Q243" i="4"/>
  <c r="AI273" i="9" s="1"/>
  <c r="AO240" i="4"/>
  <c r="AL270" i="9" s="1"/>
  <c r="Y238" i="4"/>
  <c r="AJ268" i="9" s="1"/>
  <c r="I236" i="4"/>
  <c r="AH266" i="9" s="1"/>
  <c r="AG233" i="4"/>
  <c r="AK263" i="9" s="1"/>
  <c r="Y355" i="4"/>
  <c r="AJ385" i="9" s="1"/>
  <c r="AO334" i="4"/>
  <c r="AL364" i="9" s="1"/>
  <c r="I330" i="4"/>
  <c r="AH360" i="9" s="1"/>
  <c r="Q325" i="4"/>
  <c r="AI355" i="9" s="1"/>
  <c r="I322" i="4"/>
  <c r="AH352" i="9" s="1"/>
  <c r="Y318" i="4"/>
  <c r="AJ348" i="9" s="1"/>
  <c r="AG313" i="4"/>
  <c r="AK343" i="9" s="1"/>
  <c r="AO311" i="4"/>
  <c r="AL341" i="9" s="1"/>
  <c r="AO308" i="4"/>
  <c r="AL338" i="9" s="1"/>
  <c r="Y308" i="4"/>
  <c r="AJ338" i="9" s="1"/>
  <c r="I308" i="4"/>
  <c r="AH338" i="9" s="1"/>
  <c r="Q304" i="4"/>
  <c r="AI334" i="9" s="1"/>
  <c r="AO301" i="4"/>
  <c r="AL331" i="9" s="1"/>
  <c r="Y299" i="4"/>
  <c r="AJ329" i="9" s="1"/>
  <c r="I297" i="4"/>
  <c r="AH327" i="9" s="1"/>
  <c r="AG294" i="4"/>
  <c r="AK324" i="9" s="1"/>
  <c r="Q292" i="4"/>
  <c r="AI322" i="9" s="1"/>
  <c r="AO289" i="4"/>
  <c r="AL319" i="9" s="1"/>
  <c r="Y287" i="4"/>
  <c r="AJ317" i="9" s="1"/>
  <c r="I285" i="4"/>
  <c r="AH315" i="9" s="1"/>
  <c r="AG282" i="4"/>
  <c r="AK312" i="9" s="1"/>
  <c r="Q280" i="4"/>
  <c r="AI310" i="9" s="1"/>
  <c r="AO277" i="4"/>
  <c r="AL307" i="9" s="1"/>
  <c r="Y275" i="4"/>
  <c r="AJ305" i="9" s="1"/>
  <c r="I273" i="4"/>
  <c r="AH303" i="9" s="1"/>
  <c r="AG270" i="4"/>
  <c r="AK300" i="9" s="1"/>
  <c r="Q268" i="4"/>
  <c r="AI298" i="9" s="1"/>
  <c r="AO265" i="4"/>
  <c r="AL295" i="9" s="1"/>
  <c r="Y263" i="4"/>
  <c r="AJ293" i="9" s="1"/>
  <c r="I261" i="4"/>
  <c r="AH291" i="9" s="1"/>
  <c r="AG258" i="4"/>
  <c r="AK288" i="9" s="1"/>
  <c r="Q256" i="4"/>
  <c r="AI286" i="9" s="1"/>
  <c r="AO253" i="4"/>
  <c r="AL283" i="9" s="1"/>
  <c r="Y251" i="4"/>
  <c r="AJ281" i="9" s="1"/>
  <c r="I249" i="4"/>
  <c r="AH279" i="9" s="1"/>
  <c r="AG246" i="4"/>
  <c r="AK276" i="9" s="1"/>
  <c r="Q244" i="4"/>
  <c r="AI274" i="9" s="1"/>
  <c r="AO241" i="4"/>
  <c r="AL271" i="9" s="1"/>
  <c r="Y239" i="4"/>
  <c r="AJ269" i="9" s="1"/>
  <c r="I237" i="4"/>
  <c r="AH267" i="9" s="1"/>
  <c r="AG234" i="4"/>
  <c r="AK264" i="9" s="1"/>
  <c r="Q232" i="4"/>
  <c r="AI262" i="9" s="1"/>
  <c r="AO229" i="4"/>
  <c r="AL259" i="9" s="1"/>
  <c r="Y227" i="4"/>
  <c r="AJ257" i="9" s="1"/>
  <c r="I225" i="4"/>
  <c r="AH255" i="9" s="1"/>
  <c r="AO366" i="4"/>
  <c r="AL396" i="9" s="1"/>
  <c r="I349" i="4"/>
  <c r="AH379" i="9" s="1"/>
  <c r="Y341" i="4"/>
  <c r="AJ371" i="9" s="1"/>
  <c r="Y333" i="4"/>
  <c r="AJ363" i="9" s="1"/>
  <c r="AG328" i="4"/>
  <c r="AK358" i="9" s="1"/>
  <c r="AO323" i="4"/>
  <c r="AL353" i="9" s="1"/>
  <c r="Y319" i="4"/>
  <c r="AJ349" i="9" s="1"/>
  <c r="Y315" i="4"/>
  <c r="AJ345" i="9" s="1"/>
  <c r="Q312" i="4"/>
  <c r="AI342" i="9" s="1"/>
  <c r="I310" i="4"/>
  <c r="AH340" i="9" s="1"/>
  <c r="AG309" i="4"/>
  <c r="AK339" i="9" s="1"/>
  <c r="Q309" i="4"/>
  <c r="AI339" i="9" s="1"/>
  <c r="Q305" i="4"/>
  <c r="AI335" i="9" s="1"/>
  <c r="AO302" i="4"/>
  <c r="AL332" i="9" s="1"/>
  <c r="Y300" i="4"/>
  <c r="AJ330" i="9" s="1"/>
  <c r="I298" i="4"/>
  <c r="AH328" i="9" s="1"/>
  <c r="AG295" i="4"/>
  <c r="AK325" i="9" s="1"/>
  <c r="Q293" i="4"/>
  <c r="AI323" i="9" s="1"/>
  <c r="AO290" i="4"/>
  <c r="AL320" i="9" s="1"/>
  <c r="Y288" i="4"/>
  <c r="AJ318" i="9" s="1"/>
  <c r="I286" i="4"/>
  <c r="AH316" i="9" s="1"/>
  <c r="AG283" i="4"/>
  <c r="AK313" i="9" s="1"/>
  <c r="Q281" i="4"/>
  <c r="AI311" i="9" s="1"/>
  <c r="AO278" i="4"/>
  <c r="AL308" i="9" s="1"/>
  <c r="Y276" i="4"/>
  <c r="AJ306" i="9" s="1"/>
  <c r="I274" i="4"/>
  <c r="AH304" i="9" s="1"/>
  <c r="AG271" i="4"/>
  <c r="AK301" i="9" s="1"/>
  <c r="Q269" i="4"/>
  <c r="AI299" i="9" s="1"/>
  <c r="AO266" i="4"/>
  <c r="AL296" i="9" s="1"/>
  <c r="Y264" i="4"/>
  <c r="AJ294" i="9" s="1"/>
  <c r="I262" i="4"/>
  <c r="AH292" i="9" s="1"/>
  <c r="AG259" i="4"/>
  <c r="AK289" i="9" s="1"/>
  <c r="Q257" i="4"/>
  <c r="AI287" i="9" s="1"/>
  <c r="AO254" i="4"/>
  <c r="AL284" i="9" s="1"/>
  <c r="Y252" i="4"/>
  <c r="AJ282" i="9" s="1"/>
  <c r="I250" i="4"/>
  <c r="AH280" i="9" s="1"/>
  <c r="AG247" i="4"/>
  <c r="AK277" i="9" s="1"/>
  <c r="Q245" i="4"/>
  <c r="AI275" i="9" s="1"/>
  <c r="AO242" i="4"/>
  <c r="AL272" i="9" s="1"/>
  <c r="I363" i="4"/>
  <c r="AH393" i="9" s="1"/>
  <c r="AG348" i="4"/>
  <c r="AK378" i="9" s="1"/>
  <c r="I341" i="4"/>
  <c r="AH371" i="9" s="1"/>
  <c r="AG334" i="4"/>
  <c r="AK364" i="9" s="1"/>
  <c r="AO329" i="4"/>
  <c r="AL359" i="9" s="1"/>
  <c r="I325" i="4"/>
  <c r="AH355" i="9" s="1"/>
  <c r="Y321" i="4"/>
  <c r="AJ351" i="9" s="1"/>
  <c r="AO318" i="4"/>
  <c r="AL348" i="9" s="1"/>
  <c r="Y314" i="4"/>
  <c r="AJ344" i="9" s="1"/>
  <c r="Q311" i="4"/>
  <c r="AI341" i="9" s="1"/>
  <c r="AO304" i="4"/>
  <c r="AL334" i="9" s="1"/>
  <c r="Y302" i="4"/>
  <c r="AJ332" i="9" s="1"/>
  <c r="I300" i="4"/>
  <c r="AH330" i="9" s="1"/>
  <c r="AG297" i="4"/>
  <c r="AK327" i="9" s="1"/>
  <c r="Q295" i="4"/>
  <c r="AI325" i="9" s="1"/>
  <c r="AO292" i="4"/>
  <c r="AL322" i="9" s="1"/>
  <c r="Y290" i="4"/>
  <c r="AJ320" i="9" s="1"/>
  <c r="I288" i="4"/>
  <c r="AH318" i="9" s="1"/>
  <c r="AG285" i="4"/>
  <c r="AK315" i="9" s="1"/>
  <c r="Q283" i="4"/>
  <c r="AI313" i="9" s="1"/>
  <c r="AO280" i="4"/>
  <c r="AL310" i="9" s="1"/>
  <c r="Y278" i="4"/>
  <c r="AJ308" i="9" s="1"/>
  <c r="I276" i="4"/>
  <c r="AH306" i="9" s="1"/>
  <c r="AG273" i="4"/>
  <c r="AK303" i="9" s="1"/>
  <c r="Q271" i="4"/>
  <c r="AI301" i="9" s="1"/>
  <c r="AO268" i="4"/>
  <c r="AL298" i="9" s="1"/>
  <c r="Y266" i="4"/>
  <c r="AJ296" i="9" s="1"/>
  <c r="I264" i="4"/>
  <c r="AH294" i="9" s="1"/>
  <c r="AG261" i="4"/>
  <c r="AK291" i="9" s="1"/>
  <c r="Q259" i="4"/>
  <c r="AI289" i="9" s="1"/>
  <c r="AO256" i="4"/>
  <c r="AL286" i="9" s="1"/>
  <c r="Y254" i="4"/>
  <c r="AJ284" i="9" s="1"/>
  <c r="I252" i="4"/>
  <c r="AH282" i="9" s="1"/>
  <c r="AG249" i="4"/>
  <c r="AK279" i="9" s="1"/>
  <c r="Q247" i="4"/>
  <c r="AI277" i="9" s="1"/>
  <c r="AO244" i="4"/>
  <c r="AL274" i="9" s="1"/>
  <c r="Y242" i="4"/>
  <c r="AJ272" i="9" s="1"/>
  <c r="I240" i="4"/>
  <c r="AH270" i="9" s="1"/>
  <c r="AG237" i="4"/>
  <c r="AK267" i="9" s="1"/>
  <c r="Q235" i="4"/>
  <c r="AI265" i="9" s="1"/>
  <c r="AO232" i="4"/>
  <c r="AL262" i="9" s="1"/>
  <c r="Y230" i="4"/>
  <c r="AJ260" i="9" s="1"/>
  <c r="I228" i="4"/>
  <c r="AH258" i="9" s="1"/>
  <c r="AG225" i="4"/>
  <c r="AK255" i="9" s="1"/>
  <c r="Q223" i="4"/>
  <c r="AI253" i="9" s="1"/>
  <c r="AO220" i="4"/>
  <c r="AL250" i="9" s="1"/>
  <c r="AG332" i="4"/>
  <c r="AK362" i="9" s="1"/>
  <c r="AO317" i="4"/>
  <c r="AL347" i="9" s="1"/>
  <c r="Q282" i="4"/>
  <c r="AI312" i="9" s="1"/>
  <c r="Y253" i="4"/>
  <c r="AJ283" i="9" s="1"/>
  <c r="AG235" i="4"/>
  <c r="AK265" i="9" s="1"/>
  <c r="AO230" i="4"/>
  <c r="AL260" i="9" s="1"/>
  <c r="AO227" i="4"/>
  <c r="AL257" i="9" s="1"/>
  <c r="AG224" i="4"/>
  <c r="AK254" i="9" s="1"/>
  <c r="Y220" i="4"/>
  <c r="AJ250" i="9" s="1"/>
  <c r="I218" i="4"/>
  <c r="AH248" i="9" s="1"/>
  <c r="AG215" i="4"/>
  <c r="AK245" i="9" s="1"/>
  <c r="Q213" i="4"/>
  <c r="AI243" i="9" s="1"/>
  <c r="AO210" i="4"/>
  <c r="AL240" i="9" s="1"/>
  <c r="Y208" i="4"/>
  <c r="AJ238" i="9" s="1"/>
  <c r="I206" i="4"/>
  <c r="AH236" i="9" s="1"/>
  <c r="AG203" i="4"/>
  <c r="AK233" i="9" s="1"/>
  <c r="Q201" i="4"/>
  <c r="AI231" i="9" s="1"/>
  <c r="AO198" i="4"/>
  <c r="AL228" i="9" s="1"/>
  <c r="Y196" i="4"/>
  <c r="AJ226" i="9" s="1"/>
  <c r="I194" i="4"/>
  <c r="AH224" i="9" s="1"/>
  <c r="AG191" i="4"/>
  <c r="AK221" i="9" s="1"/>
  <c r="Q189" i="4"/>
  <c r="AI219" i="9" s="1"/>
  <c r="AO186" i="4"/>
  <c r="AL216" i="9" s="1"/>
  <c r="Y184" i="4"/>
  <c r="AJ214" i="9" s="1"/>
  <c r="I182" i="4"/>
  <c r="AH212" i="9" s="1"/>
  <c r="AG179" i="4"/>
  <c r="AK209" i="9" s="1"/>
  <c r="Q177" i="4"/>
  <c r="AI207" i="9" s="1"/>
  <c r="AO174" i="4"/>
  <c r="AL204" i="9" s="1"/>
  <c r="Y172" i="4"/>
  <c r="AJ202" i="9" s="1"/>
  <c r="I170" i="4"/>
  <c r="AH200" i="9" s="1"/>
  <c r="AG167" i="4"/>
  <c r="AK197" i="9" s="1"/>
  <c r="Q165" i="4"/>
  <c r="AI195" i="9" s="1"/>
  <c r="AO162" i="4"/>
  <c r="AL192" i="9" s="1"/>
  <c r="Y160" i="4"/>
  <c r="AJ190" i="9" s="1"/>
  <c r="I158" i="4"/>
  <c r="AH188" i="9" s="1"/>
  <c r="AG155" i="4"/>
  <c r="AK185" i="9" s="1"/>
  <c r="Q153" i="4"/>
  <c r="AI183" i="9" s="1"/>
  <c r="AO150" i="4"/>
  <c r="AL180" i="9" s="1"/>
  <c r="Y148" i="4"/>
  <c r="AJ178" i="9" s="1"/>
  <c r="I146" i="4"/>
  <c r="AH176" i="9" s="1"/>
  <c r="AG143" i="4"/>
  <c r="AK173" i="9" s="1"/>
  <c r="Q141" i="4"/>
  <c r="AI171" i="9" s="1"/>
  <c r="AO138" i="4"/>
  <c r="AL168" i="9" s="1"/>
  <c r="Y136" i="4"/>
  <c r="AJ166" i="9" s="1"/>
  <c r="I134" i="4"/>
  <c r="AH164" i="9" s="1"/>
  <c r="AG131" i="4"/>
  <c r="AK161" i="9" s="1"/>
  <c r="Q129" i="4"/>
  <c r="AI159" i="9" s="1"/>
  <c r="AO126" i="4"/>
  <c r="AL156" i="9" s="1"/>
  <c r="Y124" i="4"/>
  <c r="AJ154" i="9" s="1"/>
  <c r="I122" i="4"/>
  <c r="AH152" i="9" s="1"/>
  <c r="Q294" i="4"/>
  <c r="AI324" i="9" s="1"/>
  <c r="Y265" i="4"/>
  <c r="AJ295" i="9" s="1"/>
  <c r="AO231" i="4"/>
  <c r="AL261" i="9" s="1"/>
  <c r="I227" i="4"/>
  <c r="AH257" i="9" s="1"/>
  <c r="Q222" i="4"/>
  <c r="AI252" i="9" s="1"/>
  <c r="I219" i="4"/>
  <c r="AH249" i="9" s="1"/>
  <c r="AG216" i="4"/>
  <c r="AK246" i="9" s="1"/>
  <c r="Q214" i="4"/>
  <c r="AI244" i="9" s="1"/>
  <c r="AO211" i="4"/>
  <c r="AL241" i="9" s="1"/>
  <c r="Y209" i="4"/>
  <c r="AJ239" i="9" s="1"/>
  <c r="I207" i="4"/>
  <c r="AH237" i="9" s="1"/>
  <c r="AG204" i="4"/>
  <c r="AK234" i="9" s="1"/>
  <c r="Q202" i="4"/>
  <c r="AI232" i="9" s="1"/>
  <c r="AO199" i="4"/>
  <c r="AL229" i="9" s="1"/>
  <c r="Y197" i="4"/>
  <c r="AJ227" i="9" s="1"/>
  <c r="I195" i="4"/>
  <c r="AH225" i="9" s="1"/>
  <c r="AG192" i="4"/>
  <c r="AK222" i="9" s="1"/>
  <c r="Q190" i="4"/>
  <c r="AI220" i="9" s="1"/>
  <c r="AO187" i="4"/>
  <c r="AL217" i="9" s="1"/>
  <c r="Y185" i="4"/>
  <c r="AJ215" i="9" s="1"/>
  <c r="I183" i="4"/>
  <c r="AH213" i="9" s="1"/>
  <c r="AG180" i="4"/>
  <c r="AK210" i="9" s="1"/>
  <c r="Q178" i="4"/>
  <c r="AI208" i="9" s="1"/>
  <c r="AO175" i="4"/>
  <c r="AL205" i="9" s="1"/>
  <c r="Y173" i="4"/>
  <c r="AJ203" i="9" s="1"/>
  <c r="I171" i="4"/>
  <c r="AH201" i="9" s="1"/>
  <c r="AG168" i="4"/>
  <c r="AK198" i="9" s="1"/>
  <c r="Q166" i="4"/>
  <c r="AI196" i="9" s="1"/>
  <c r="AO163" i="4"/>
  <c r="AL193" i="9" s="1"/>
  <c r="Y161" i="4"/>
  <c r="AJ191" i="9" s="1"/>
  <c r="I159" i="4"/>
  <c r="AH189" i="9" s="1"/>
  <c r="AG156" i="4"/>
  <c r="AK186" i="9" s="1"/>
  <c r="Q154" i="4"/>
  <c r="AI184" i="9" s="1"/>
  <c r="AO151" i="4"/>
  <c r="AL181" i="9" s="1"/>
  <c r="Y149" i="4"/>
  <c r="AJ179" i="9" s="1"/>
  <c r="I147" i="4"/>
  <c r="AH177" i="9" s="1"/>
  <c r="AG144" i="4"/>
  <c r="AK174" i="9" s="1"/>
  <c r="Q142" i="4"/>
  <c r="AI172" i="9" s="1"/>
  <c r="AO139" i="4"/>
  <c r="AL169" i="9" s="1"/>
  <c r="Y137" i="4"/>
  <c r="AJ167" i="9" s="1"/>
  <c r="I135" i="4"/>
  <c r="AH165" i="9" s="1"/>
  <c r="AG132" i="4"/>
  <c r="AK162" i="9" s="1"/>
  <c r="Q130" i="4"/>
  <c r="AI160" i="9" s="1"/>
  <c r="AO127" i="4"/>
  <c r="AL157" i="9" s="1"/>
  <c r="Y125" i="4"/>
  <c r="AJ155" i="9" s="1"/>
  <c r="I123" i="4"/>
  <c r="AH153" i="9" s="1"/>
  <c r="AG120" i="4"/>
  <c r="AK150" i="9" s="1"/>
  <c r="Q118" i="4"/>
  <c r="AI148" i="9" s="1"/>
  <c r="I323" i="4"/>
  <c r="AH353" i="9" s="1"/>
  <c r="Y277" i="4"/>
  <c r="AJ307" i="9" s="1"/>
  <c r="AG248" i="4"/>
  <c r="AK278" i="9" s="1"/>
  <c r="Q233" i="4"/>
  <c r="AI263" i="9" s="1"/>
  <c r="AG223" i="4"/>
  <c r="AK253" i="9" s="1"/>
  <c r="I220" i="4"/>
  <c r="AH250" i="9" s="1"/>
  <c r="AG217" i="4"/>
  <c r="AK247" i="9" s="1"/>
  <c r="Q215" i="4"/>
  <c r="AI245" i="9" s="1"/>
  <c r="AO212" i="4"/>
  <c r="AL242" i="9" s="1"/>
  <c r="Y210" i="4"/>
  <c r="AJ240" i="9" s="1"/>
  <c r="I208" i="4"/>
  <c r="AH238" i="9" s="1"/>
  <c r="AG205" i="4"/>
  <c r="AK235" i="9" s="1"/>
  <c r="Q203" i="4"/>
  <c r="AI233" i="9" s="1"/>
  <c r="AO200" i="4"/>
  <c r="AL230" i="9" s="1"/>
  <c r="Y198" i="4"/>
  <c r="AJ228" i="9" s="1"/>
  <c r="I196" i="4"/>
  <c r="AH226" i="9" s="1"/>
  <c r="AG193" i="4"/>
  <c r="AK223" i="9" s="1"/>
  <c r="Q191" i="4"/>
  <c r="AI221" i="9" s="1"/>
  <c r="AO188" i="4"/>
  <c r="AL218" i="9" s="1"/>
  <c r="Y186" i="4"/>
  <c r="AJ216" i="9" s="1"/>
  <c r="I184" i="4"/>
  <c r="AH214" i="9" s="1"/>
  <c r="AG181" i="4"/>
  <c r="AK211" i="9" s="1"/>
  <c r="Q179" i="4"/>
  <c r="AI209" i="9" s="1"/>
  <c r="AO176" i="4"/>
  <c r="AL206" i="9" s="1"/>
  <c r="Y174" i="4"/>
  <c r="AJ204" i="9" s="1"/>
  <c r="I172" i="4"/>
  <c r="AH202" i="9" s="1"/>
  <c r="AG169" i="4"/>
  <c r="AK199" i="9" s="1"/>
  <c r="Q167" i="4"/>
  <c r="AI197" i="9" s="1"/>
  <c r="AO164" i="4"/>
  <c r="AL194" i="9" s="1"/>
  <c r="Y162" i="4"/>
  <c r="AJ192" i="9" s="1"/>
  <c r="I160" i="4"/>
  <c r="AH190" i="9" s="1"/>
  <c r="AG157" i="4"/>
  <c r="AK187" i="9" s="1"/>
  <c r="Q155" i="4"/>
  <c r="AI185" i="9" s="1"/>
  <c r="AO152" i="4"/>
  <c r="AL182" i="9" s="1"/>
  <c r="Y150" i="4"/>
  <c r="AJ180" i="9" s="1"/>
  <c r="I148" i="4"/>
  <c r="AH178" i="9" s="1"/>
  <c r="AG145" i="4"/>
  <c r="AK175" i="9" s="1"/>
  <c r="Q143" i="4"/>
  <c r="AI173" i="9" s="1"/>
  <c r="AO140" i="4"/>
  <c r="AL170" i="9" s="1"/>
  <c r="Y138" i="4"/>
  <c r="AJ168" i="9" s="1"/>
  <c r="I136" i="4"/>
  <c r="AH166" i="9" s="1"/>
  <c r="AG133" i="4"/>
  <c r="AK163" i="9" s="1"/>
  <c r="Q131" i="4"/>
  <c r="AI161" i="9" s="1"/>
  <c r="AO128" i="4"/>
  <c r="AL158" i="9" s="1"/>
  <c r="Y126" i="4"/>
  <c r="AJ156" i="9" s="1"/>
  <c r="I124" i="4"/>
  <c r="AH154" i="9" s="1"/>
  <c r="AG121" i="4"/>
  <c r="AK151" i="9" s="1"/>
  <c r="Q119" i="4"/>
  <c r="AI149" i="9" s="1"/>
  <c r="Y363" i="4"/>
  <c r="AJ393" i="9" s="1"/>
  <c r="Y339" i="4"/>
  <c r="AJ369" i="9" s="1"/>
  <c r="AO310" i="4"/>
  <c r="AL340" i="9" s="1"/>
  <c r="Y289" i="4"/>
  <c r="AJ319" i="9" s="1"/>
  <c r="AG260" i="4"/>
  <c r="AK290" i="9" s="1"/>
  <c r="Y241" i="4"/>
  <c r="AJ271" i="9" s="1"/>
  <c r="I226" i="4"/>
  <c r="AH256" i="9" s="1"/>
  <c r="AG218" i="4"/>
  <c r="AK248" i="9" s="1"/>
  <c r="Q216" i="4"/>
  <c r="AI246" i="9" s="1"/>
  <c r="AO213" i="4"/>
  <c r="AL243" i="9" s="1"/>
  <c r="Y211" i="4"/>
  <c r="AJ241" i="9" s="1"/>
  <c r="I209" i="4"/>
  <c r="AH239" i="9" s="1"/>
  <c r="AG206" i="4"/>
  <c r="AK236" i="9" s="1"/>
  <c r="Q204" i="4"/>
  <c r="AI234" i="9" s="1"/>
  <c r="AO201" i="4"/>
  <c r="AL231" i="9" s="1"/>
  <c r="Y199" i="4"/>
  <c r="AJ229" i="9" s="1"/>
  <c r="I197" i="4"/>
  <c r="AH227" i="9" s="1"/>
  <c r="AG194" i="4"/>
  <c r="AK224" i="9" s="1"/>
  <c r="Q192" i="4"/>
  <c r="AI222" i="9" s="1"/>
  <c r="AO189" i="4"/>
  <c r="AL219" i="9" s="1"/>
  <c r="Y187" i="4"/>
  <c r="AJ217" i="9" s="1"/>
  <c r="I185" i="4"/>
  <c r="AH215" i="9" s="1"/>
  <c r="AG182" i="4"/>
  <c r="AK212" i="9" s="1"/>
  <c r="Q180" i="4"/>
  <c r="AI210" i="9" s="1"/>
  <c r="AO177" i="4"/>
  <c r="AL207" i="9" s="1"/>
  <c r="Y175" i="4"/>
  <c r="AJ205" i="9" s="1"/>
  <c r="I173" i="4"/>
  <c r="AH203" i="9" s="1"/>
  <c r="AG170" i="4"/>
  <c r="AK200" i="9" s="1"/>
  <c r="Q168" i="4"/>
  <c r="AI198" i="9" s="1"/>
  <c r="AO165" i="4"/>
  <c r="AL195" i="9" s="1"/>
  <c r="Y163" i="4"/>
  <c r="AJ193" i="9" s="1"/>
  <c r="I161" i="4"/>
  <c r="AH191" i="9" s="1"/>
  <c r="I361" i="4"/>
  <c r="AH391" i="9" s="1"/>
  <c r="AO315" i="4"/>
  <c r="AL345" i="9" s="1"/>
  <c r="Y310" i="4"/>
  <c r="AJ340" i="9" s="1"/>
  <c r="Y301" i="4"/>
  <c r="AJ331" i="9" s="1"/>
  <c r="AG272" i="4"/>
  <c r="AK302" i="9" s="1"/>
  <c r="AO243" i="4"/>
  <c r="AL273" i="9" s="1"/>
  <c r="Y228" i="4"/>
  <c r="AJ258" i="9" s="1"/>
  <c r="AG219" i="4"/>
  <c r="AK249" i="9" s="1"/>
  <c r="Q217" i="4"/>
  <c r="AI247" i="9" s="1"/>
  <c r="AO214" i="4"/>
  <c r="AL244" i="9" s="1"/>
  <c r="Y212" i="4"/>
  <c r="AJ242" i="9" s="1"/>
  <c r="I210" i="4"/>
  <c r="AH240" i="9" s="1"/>
  <c r="AG207" i="4"/>
  <c r="AK237" i="9" s="1"/>
  <c r="Q205" i="4"/>
  <c r="AI235" i="9" s="1"/>
  <c r="AO202" i="4"/>
  <c r="AL232" i="9" s="1"/>
  <c r="Y200" i="4"/>
  <c r="AJ230" i="9" s="1"/>
  <c r="I198" i="4"/>
  <c r="AH228" i="9" s="1"/>
  <c r="AG195" i="4"/>
  <c r="AK225" i="9" s="1"/>
  <c r="Q193" i="4"/>
  <c r="AI223" i="9" s="1"/>
  <c r="AO190" i="4"/>
  <c r="AL220" i="9" s="1"/>
  <c r="Y188" i="4"/>
  <c r="AJ218" i="9" s="1"/>
  <c r="I186" i="4"/>
  <c r="AH216" i="9" s="1"/>
  <c r="AG183" i="4"/>
  <c r="AK213" i="9" s="1"/>
  <c r="Q181" i="4"/>
  <c r="AI211" i="9" s="1"/>
  <c r="AO178" i="4"/>
  <c r="AL208" i="9" s="1"/>
  <c r="Y176" i="4"/>
  <c r="AJ206" i="9" s="1"/>
  <c r="I174" i="4"/>
  <c r="AH204" i="9" s="1"/>
  <c r="AG171" i="4"/>
  <c r="AK201" i="9" s="1"/>
  <c r="Q169" i="4"/>
  <c r="AI199" i="9" s="1"/>
  <c r="AO166" i="4"/>
  <c r="AL196" i="9" s="1"/>
  <c r="Y164" i="4"/>
  <c r="AJ194" i="9" s="1"/>
  <c r="I162" i="4"/>
  <c r="AH192" i="9" s="1"/>
  <c r="AG159" i="4"/>
  <c r="AK189" i="9" s="1"/>
  <c r="Q157" i="4"/>
  <c r="AI187" i="9" s="1"/>
  <c r="AO154" i="4"/>
  <c r="AL184" i="9" s="1"/>
  <c r="Y152" i="4"/>
  <c r="AJ182" i="9" s="1"/>
  <c r="I150" i="4"/>
  <c r="AH180" i="9" s="1"/>
  <c r="AG147" i="4"/>
  <c r="AK177" i="9" s="1"/>
  <c r="Q145" i="4"/>
  <c r="AI175" i="9" s="1"/>
  <c r="AO142" i="4"/>
  <c r="AL172" i="9" s="1"/>
  <c r="Y140" i="4"/>
  <c r="AJ170" i="9" s="1"/>
  <c r="I138" i="4"/>
  <c r="AH168" i="9" s="1"/>
  <c r="AG135" i="4"/>
  <c r="AK165" i="9" s="1"/>
  <c r="Q133" i="4"/>
  <c r="AI163" i="9" s="1"/>
  <c r="AO130" i="4"/>
  <c r="AL160" i="9" s="1"/>
  <c r="Y128" i="4"/>
  <c r="AJ158" i="9" s="1"/>
  <c r="I126" i="4"/>
  <c r="AH156" i="9" s="1"/>
  <c r="AG123" i="4"/>
  <c r="AK153" i="9" s="1"/>
  <c r="Q121" i="4"/>
  <c r="AI151" i="9" s="1"/>
  <c r="AO118" i="4"/>
  <c r="AL148" i="9" s="1"/>
  <c r="Y337" i="4"/>
  <c r="AJ367" i="9" s="1"/>
  <c r="AG284" i="4"/>
  <c r="AK314" i="9" s="1"/>
  <c r="AO255" i="4"/>
  <c r="AL285" i="9" s="1"/>
  <c r="I239" i="4"/>
  <c r="AH269" i="9" s="1"/>
  <c r="Y229" i="4"/>
  <c r="AJ259" i="9" s="1"/>
  <c r="AG222" i="4"/>
  <c r="AK252" i="9" s="1"/>
  <c r="AG220" i="4"/>
  <c r="AK250" i="9" s="1"/>
  <c r="Q218" i="4"/>
  <c r="AI248" i="9" s="1"/>
  <c r="AO215" i="4"/>
  <c r="AL245" i="9" s="1"/>
  <c r="Y213" i="4"/>
  <c r="AJ243" i="9" s="1"/>
  <c r="I211" i="4"/>
  <c r="AH241" i="9" s="1"/>
  <c r="AG208" i="4"/>
  <c r="AK238" i="9" s="1"/>
  <c r="Q206" i="4"/>
  <c r="AI236" i="9" s="1"/>
  <c r="AO203" i="4"/>
  <c r="AL233" i="9" s="1"/>
  <c r="Y201" i="4"/>
  <c r="AJ231" i="9" s="1"/>
  <c r="I199" i="4"/>
  <c r="AH229" i="9" s="1"/>
  <c r="AG196" i="4"/>
  <c r="AK226" i="9" s="1"/>
  <c r="Q194" i="4"/>
  <c r="AI224" i="9" s="1"/>
  <c r="AO191" i="4"/>
  <c r="AL221" i="9" s="1"/>
  <c r="Y189" i="4"/>
  <c r="AJ219" i="9" s="1"/>
  <c r="I187" i="4"/>
  <c r="AH217" i="9" s="1"/>
  <c r="AG184" i="4"/>
  <c r="AK214" i="9" s="1"/>
  <c r="Q182" i="4"/>
  <c r="AI212" i="9" s="1"/>
  <c r="AG296" i="4"/>
  <c r="AK326" i="9" s="1"/>
  <c r="AO267" i="4"/>
  <c r="AL297" i="9" s="1"/>
  <c r="Q230" i="4"/>
  <c r="AI260" i="9" s="1"/>
  <c r="Q221" i="4"/>
  <c r="AI251" i="9" s="1"/>
  <c r="Q219" i="4"/>
  <c r="AI249" i="9" s="1"/>
  <c r="AO216" i="4"/>
  <c r="AL246" i="9" s="1"/>
  <c r="Y214" i="4"/>
  <c r="AJ244" i="9" s="1"/>
  <c r="I212" i="4"/>
  <c r="AH242" i="9" s="1"/>
  <c r="AG209" i="4"/>
  <c r="AK239" i="9" s="1"/>
  <c r="Q207" i="4"/>
  <c r="AI237" i="9" s="1"/>
  <c r="AO204" i="4"/>
  <c r="AL234" i="9" s="1"/>
  <c r="Y202" i="4"/>
  <c r="AJ232" i="9" s="1"/>
  <c r="I200" i="4"/>
  <c r="AH230" i="9" s="1"/>
  <c r="AG197" i="4"/>
  <c r="AK227" i="9" s="1"/>
  <c r="Q195" i="4"/>
  <c r="AI225" i="9" s="1"/>
  <c r="AO192" i="4"/>
  <c r="AL222" i="9" s="1"/>
  <c r="Y190" i="4"/>
  <c r="AJ220" i="9" s="1"/>
  <c r="I188" i="4"/>
  <c r="AH218" i="9" s="1"/>
  <c r="AG185" i="4"/>
  <c r="AK215" i="9" s="1"/>
  <c r="Q183" i="4"/>
  <c r="AI213" i="9" s="1"/>
  <c r="AO180" i="4"/>
  <c r="AL210" i="9" s="1"/>
  <c r="Y178" i="4"/>
  <c r="AJ208" i="9" s="1"/>
  <c r="I176" i="4"/>
  <c r="AH206" i="9" s="1"/>
  <c r="AG173" i="4"/>
  <c r="AK203" i="9" s="1"/>
  <c r="Q171" i="4"/>
  <c r="AI201" i="9" s="1"/>
  <c r="AO168" i="4"/>
  <c r="AL198" i="9" s="1"/>
  <c r="Y166" i="4"/>
  <c r="AJ196" i="9" s="1"/>
  <c r="I164" i="4"/>
  <c r="AH194" i="9" s="1"/>
  <c r="AG161" i="4"/>
  <c r="AK191" i="9" s="1"/>
  <c r="Q159" i="4"/>
  <c r="AI189" i="9" s="1"/>
  <c r="AO156" i="4"/>
  <c r="AL186" i="9" s="1"/>
  <c r="Y154" i="4"/>
  <c r="AJ184" i="9" s="1"/>
  <c r="I152" i="4"/>
  <c r="AH182" i="9" s="1"/>
  <c r="AG149" i="4"/>
  <c r="AK179" i="9" s="1"/>
  <c r="Q147" i="4"/>
  <c r="AI177" i="9" s="1"/>
  <c r="AO144" i="4"/>
  <c r="AL174" i="9" s="1"/>
  <c r="Y142" i="4"/>
  <c r="AJ172" i="9" s="1"/>
  <c r="I140" i="4"/>
  <c r="AH170" i="9" s="1"/>
  <c r="AG137" i="4"/>
  <c r="AK167" i="9" s="1"/>
  <c r="Q135" i="4"/>
  <c r="AI165" i="9" s="1"/>
  <c r="AO132" i="4"/>
  <c r="AL162" i="9" s="1"/>
  <c r="Y130" i="4"/>
  <c r="AJ160" i="9" s="1"/>
  <c r="I128" i="4"/>
  <c r="AH158" i="9" s="1"/>
  <c r="AG125" i="4"/>
  <c r="AK155" i="9" s="1"/>
  <c r="Q123" i="4"/>
  <c r="AI153" i="9" s="1"/>
  <c r="AO120" i="4"/>
  <c r="AL150" i="9" s="1"/>
  <c r="Y118" i="4"/>
  <c r="AJ148" i="9" s="1"/>
  <c r="AO327" i="4"/>
  <c r="AL357" i="9" s="1"/>
  <c r="Y320" i="4"/>
  <c r="AJ350" i="9" s="1"/>
  <c r="AO279" i="4"/>
  <c r="AL309" i="9" s="1"/>
  <c r="I251" i="4"/>
  <c r="AH281" i="9" s="1"/>
  <c r="AG236" i="4"/>
  <c r="AK266" i="9" s="1"/>
  <c r="Q231" i="4"/>
  <c r="AI261" i="9" s="1"/>
  <c r="Q220" i="4"/>
  <c r="AI250" i="9" s="1"/>
  <c r="AO217" i="4"/>
  <c r="AL247" i="9" s="1"/>
  <c r="Y215" i="4"/>
  <c r="AJ245" i="9" s="1"/>
  <c r="I213" i="4"/>
  <c r="AH243" i="9" s="1"/>
  <c r="AG210" i="4"/>
  <c r="AK240" i="9" s="1"/>
  <c r="Q208" i="4"/>
  <c r="AI238" i="9" s="1"/>
  <c r="AO205" i="4"/>
  <c r="AL235" i="9" s="1"/>
  <c r="Y203" i="4"/>
  <c r="AJ233" i="9" s="1"/>
  <c r="I201" i="4"/>
  <c r="AH231" i="9" s="1"/>
  <c r="AG198" i="4"/>
  <c r="AK228" i="9" s="1"/>
  <c r="Q196" i="4"/>
  <c r="AI226" i="9" s="1"/>
  <c r="AO193" i="4"/>
  <c r="AL223" i="9" s="1"/>
  <c r="Y191" i="4"/>
  <c r="AJ221" i="9" s="1"/>
  <c r="I189" i="4"/>
  <c r="AH219" i="9" s="1"/>
  <c r="AG186" i="4"/>
  <c r="AK216" i="9" s="1"/>
  <c r="Q184" i="4"/>
  <c r="AI214" i="9" s="1"/>
  <c r="AO181" i="4"/>
  <c r="AL211" i="9" s="1"/>
  <c r="Y179" i="4"/>
  <c r="AJ209" i="9" s="1"/>
  <c r="I177" i="4"/>
  <c r="AH207" i="9" s="1"/>
  <c r="AG174" i="4"/>
  <c r="AK204" i="9" s="1"/>
  <c r="Q172" i="4"/>
  <c r="AI202" i="9" s="1"/>
  <c r="AO169" i="4"/>
  <c r="AL199" i="9" s="1"/>
  <c r="Y167" i="4"/>
  <c r="AJ197" i="9" s="1"/>
  <c r="I165" i="4"/>
  <c r="AH195" i="9" s="1"/>
  <c r="AG162" i="4"/>
  <c r="AK192" i="9" s="1"/>
  <c r="Q160" i="4"/>
  <c r="AI190" i="9" s="1"/>
  <c r="AO157" i="4"/>
  <c r="AL187" i="9" s="1"/>
  <c r="Y155" i="4"/>
  <c r="AJ185" i="9" s="1"/>
  <c r="I153" i="4"/>
  <c r="AH183" i="9" s="1"/>
  <c r="AG150" i="4"/>
  <c r="AK180" i="9" s="1"/>
  <c r="Q148" i="4"/>
  <c r="AI178" i="9" s="1"/>
  <c r="AO145" i="4"/>
  <c r="AL175" i="9" s="1"/>
  <c r="Y143" i="4"/>
  <c r="AJ173" i="9" s="1"/>
  <c r="I141" i="4"/>
  <c r="AH171" i="9" s="1"/>
  <c r="AG138" i="4"/>
  <c r="AK168" i="9" s="1"/>
  <c r="Q136" i="4"/>
  <c r="AI166" i="9" s="1"/>
  <c r="AO133" i="4"/>
  <c r="AL163" i="9" s="1"/>
  <c r="Y131" i="4"/>
  <c r="AJ161" i="9" s="1"/>
  <c r="I129" i="4"/>
  <c r="AH159" i="9" s="1"/>
  <c r="AG126" i="4"/>
  <c r="AK156" i="9" s="1"/>
  <c r="Q124" i="4"/>
  <c r="AI154" i="9" s="1"/>
  <c r="AO121" i="4"/>
  <c r="AL151" i="9" s="1"/>
  <c r="Y119" i="4"/>
  <c r="AJ149" i="9" s="1"/>
  <c r="I314" i="4"/>
  <c r="AH344" i="9" s="1"/>
  <c r="AO291" i="4"/>
  <c r="AL321" i="9" s="1"/>
  <c r="I263" i="4"/>
  <c r="AH293" i="9" s="1"/>
  <c r="Y240" i="4"/>
  <c r="AJ270" i="9" s="1"/>
  <c r="AO224" i="4"/>
  <c r="AL254" i="9" s="1"/>
  <c r="I224" i="4"/>
  <c r="AH254" i="9" s="1"/>
  <c r="Y222" i="4"/>
  <c r="AJ252" i="9" s="1"/>
  <c r="AO218" i="4"/>
  <c r="AL248" i="9" s="1"/>
  <c r="Y216" i="4"/>
  <c r="AJ246" i="9" s="1"/>
  <c r="I214" i="4"/>
  <c r="AH244" i="9" s="1"/>
  <c r="AG211" i="4"/>
  <c r="AK241" i="9" s="1"/>
  <c r="Q209" i="4"/>
  <c r="AI239" i="9" s="1"/>
  <c r="AO206" i="4"/>
  <c r="AL236" i="9" s="1"/>
  <c r="Y204" i="4"/>
  <c r="AJ234" i="9" s="1"/>
  <c r="I202" i="4"/>
  <c r="AH232" i="9" s="1"/>
  <c r="AG199" i="4"/>
  <c r="AK229" i="9" s="1"/>
  <c r="Q197" i="4"/>
  <c r="AI227" i="9" s="1"/>
  <c r="AO194" i="4"/>
  <c r="AL224" i="9" s="1"/>
  <c r="Y192" i="4"/>
  <c r="AJ222" i="9" s="1"/>
  <c r="I190" i="4"/>
  <c r="AH220" i="9" s="1"/>
  <c r="AG187" i="4"/>
  <c r="AK217" i="9" s="1"/>
  <c r="Q185" i="4"/>
  <c r="AI215" i="9" s="1"/>
  <c r="AO182" i="4"/>
  <c r="AL212" i="9" s="1"/>
  <c r="Y180" i="4"/>
  <c r="AJ210" i="9" s="1"/>
  <c r="I178" i="4"/>
  <c r="AH208" i="9" s="1"/>
  <c r="AG175" i="4"/>
  <c r="AK205" i="9" s="1"/>
  <c r="Q173" i="4"/>
  <c r="AI203" i="9" s="1"/>
  <c r="AO170" i="4"/>
  <c r="AL200" i="9" s="1"/>
  <c r="Y168" i="4"/>
  <c r="AJ198" i="9" s="1"/>
  <c r="I166" i="4"/>
  <c r="AH196" i="9" s="1"/>
  <c r="AG163" i="4"/>
  <c r="AK193" i="9" s="1"/>
  <c r="Q161" i="4"/>
  <c r="AI191" i="9" s="1"/>
  <c r="AO158" i="4"/>
  <c r="AL188" i="9" s="1"/>
  <c r="Y156" i="4"/>
  <c r="AJ186" i="9" s="1"/>
  <c r="I154" i="4"/>
  <c r="AH184" i="9" s="1"/>
  <c r="AG151" i="4"/>
  <c r="AK181" i="9" s="1"/>
  <c r="Q149" i="4"/>
  <c r="AI179" i="9" s="1"/>
  <c r="AO146" i="4"/>
  <c r="AL176" i="9" s="1"/>
  <c r="Y144" i="4"/>
  <c r="AJ174" i="9" s="1"/>
  <c r="I142" i="4"/>
  <c r="AH172" i="9" s="1"/>
  <c r="AG139" i="4"/>
  <c r="AK169" i="9" s="1"/>
  <c r="Q137" i="4"/>
  <c r="AI167" i="9" s="1"/>
  <c r="AO134" i="4"/>
  <c r="AL164" i="9" s="1"/>
  <c r="Y132" i="4"/>
  <c r="AJ162" i="9" s="1"/>
  <c r="I130" i="4"/>
  <c r="AH160" i="9" s="1"/>
  <c r="AG127" i="4"/>
  <c r="AK157" i="9" s="1"/>
  <c r="Q125" i="4"/>
  <c r="AI155" i="9" s="1"/>
  <c r="AO122" i="4"/>
  <c r="AL152" i="9" s="1"/>
  <c r="Y120" i="4"/>
  <c r="AJ150" i="9" s="1"/>
  <c r="AG346" i="4"/>
  <c r="AK376" i="9" s="1"/>
  <c r="I299" i="4"/>
  <c r="AH329" i="9" s="1"/>
  <c r="Q270" i="4"/>
  <c r="AI300" i="9" s="1"/>
  <c r="AO228" i="4"/>
  <c r="AL258" i="9" s="1"/>
  <c r="Y225" i="4"/>
  <c r="AJ255" i="9" s="1"/>
  <c r="Y219" i="4"/>
  <c r="AJ249" i="9" s="1"/>
  <c r="I217" i="4"/>
  <c r="AH247" i="9" s="1"/>
  <c r="AG214" i="4"/>
  <c r="AK244" i="9" s="1"/>
  <c r="Q212" i="4"/>
  <c r="AI242" i="9" s="1"/>
  <c r="AO209" i="4"/>
  <c r="AL239" i="9" s="1"/>
  <c r="Y207" i="4"/>
  <c r="AJ237" i="9" s="1"/>
  <c r="I205" i="4"/>
  <c r="AH235" i="9" s="1"/>
  <c r="AG202" i="4"/>
  <c r="AK232" i="9" s="1"/>
  <c r="Q200" i="4"/>
  <c r="AI230" i="9" s="1"/>
  <c r="AO197" i="4"/>
  <c r="AL227" i="9" s="1"/>
  <c r="Y195" i="4"/>
  <c r="AJ225" i="9" s="1"/>
  <c r="I193" i="4"/>
  <c r="AH223" i="9" s="1"/>
  <c r="AG190" i="4"/>
  <c r="AK220" i="9" s="1"/>
  <c r="Q188" i="4"/>
  <c r="AI218" i="9" s="1"/>
  <c r="AO185" i="4"/>
  <c r="AL215" i="9" s="1"/>
  <c r="Y183" i="4"/>
  <c r="AJ213" i="9" s="1"/>
  <c r="I181" i="4"/>
  <c r="AH211" i="9" s="1"/>
  <c r="AG178" i="4"/>
  <c r="AK208" i="9" s="1"/>
  <c r="Q176" i="4"/>
  <c r="AI206" i="9" s="1"/>
  <c r="AO173" i="4"/>
  <c r="AL203" i="9" s="1"/>
  <c r="Y171" i="4"/>
  <c r="AJ201" i="9" s="1"/>
  <c r="I169" i="4"/>
  <c r="AH199" i="9" s="1"/>
  <c r="AG166" i="4"/>
  <c r="AK196" i="9" s="1"/>
  <c r="Q164" i="4"/>
  <c r="AI194" i="9" s="1"/>
  <c r="AO161" i="4"/>
  <c r="AL191" i="9" s="1"/>
  <c r="Y159" i="4"/>
  <c r="AJ189" i="9" s="1"/>
  <c r="I157" i="4"/>
  <c r="AH187" i="9" s="1"/>
  <c r="AG154" i="4"/>
  <c r="AK184" i="9" s="1"/>
  <c r="Q152" i="4"/>
  <c r="AI182" i="9" s="1"/>
  <c r="AO149" i="4"/>
  <c r="AL179" i="9" s="1"/>
  <c r="Y147" i="4"/>
  <c r="AJ177" i="9" s="1"/>
  <c r="I145" i="4"/>
  <c r="AH175" i="9" s="1"/>
  <c r="AG142" i="4"/>
  <c r="AK172" i="9" s="1"/>
  <c r="Q140" i="4"/>
  <c r="AI170" i="9" s="1"/>
  <c r="AO137" i="4"/>
  <c r="AL167" i="9" s="1"/>
  <c r="Y135" i="4"/>
  <c r="AJ165" i="9" s="1"/>
  <c r="I133" i="4"/>
  <c r="AH163" i="9" s="1"/>
  <c r="AG130" i="4"/>
  <c r="AK160" i="9" s="1"/>
  <c r="I275" i="4"/>
  <c r="AH305" i="9" s="1"/>
  <c r="Q234" i="4"/>
  <c r="AI264" i="9" s="1"/>
  <c r="Q227" i="4"/>
  <c r="AI257" i="9" s="1"/>
  <c r="Y217" i="4"/>
  <c r="AJ247" i="9" s="1"/>
  <c r="I203" i="4"/>
  <c r="AH233" i="9" s="1"/>
  <c r="AG188" i="4"/>
  <c r="AK218" i="9" s="1"/>
  <c r="I175" i="4"/>
  <c r="AH205" i="9" s="1"/>
  <c r="Y165" i="4"/>
  <c r="AJ195" i="9" s="1"/>
  <c r="AG153" i="4"/>
  <c r="AK183" i="9" s="1"/>
  <c r="Y146" i="4"/>
  <c r="AJ176" i="9" s="1"/>
  <c r="Q139" i="4"/>
  <c r="AI169" i="9" s="1"/>
  <c r="I132" i="4"/>
  <c r="AH162" i="9" s="1"/>
  <c r="AO123" i="4"/>
  <c r="AL153" i="9" s="1"/>
  <c r="Q122" i="4"/>
  <c r="AI152" i="9" s="1"/>
  <c r="I119" i="4"/>
  <c r="AH149" i="9" s="1"/>
  <c r="AO117" i="4"/>
  <c r="AL147" i="9" s="1"/>
  <c r="Y116" i="4"/>
  <c r="AJ146" i="9" s="1"/>
  <c r="I114" i="4"/>
  <c r="AH144" i="9" s="1"/>
  <c r="AG111" i="4"/>
  <c r="AK141" i="9" s="1"/>
  <c r="Q109" i="4"/>
  <c r="AI139" i="9" s="1"/>
  <c r="AO106" i="4"/>
  <c r="AL136" i="9" s="1"/>
  <c r="Y104" i="4"/>
  <c r="AJ134" i="9" s="1"/>
  <c r="I102" i="4"/>
  <c r="AH132" i="9" s="1"/>
  <c r="AG99" i="4"/>
  <c r="AK129" i="9" s="1"/>
  <c r="Q97" i="4"/>
  <c r="AI127" i="9" s="1"/>
  <c r="AO94" i="4"/>
  <c r="AL124" i="9" s="1"/>
  <c r="Y92" i="4"/>
  <c r="AJ122" i="9" s="1"/>
  <c r="I90" i="4"/>
  <c r="AH120" i="9" s="1"/>
  <c r="AG87" i="4"/>
  <c r="AK117" i="9" s="1"/>
  <c r="Q85" i="4"/>
  <c r="AI115" i="9" s="1"/>
  <c r="AO82" i="4"/>
  <c r="AL112" i="9" s="1"/>
  <c r="Y80" i="4"/>
  <c r="AJ110" i="9" s="1"/>
  <c r="I78" i="4"/>
  <c r="AH108" i="9" s="1"/>
  <c r="AG75" i="4"/>
  <c r="AK105" i="9" s="1"/>
  <c r="Q73" i="4"/>
  <c r="AI103" i="9" s="1"/>
  <c r="AO70" i="4"/>
  <c r="AL100" i="9" s="1"/>
  <c r="Y68" i="4"/>
  <c r="AJ98" i="9" s="1"/>
  <c r="I66" i="4"/>
  <c r="AH96" i="9" s="1"/>
  <c r="AG63" i="4"/>
  <c r="AK93" i="9" s="1"/>
  <c r="Q211" i="4"/>
  <c r="AI241" i="9" s="1"/>
  <c r="AO196" i="4"/>
  <c r="AL226" i="9" s="1"/>
  <c r="Y182" i="4"/>
  <c r="AJ212" i="9" s="1"/>
  <c r="I179" i="4"/>
  <c r="AH209" i="9" s="1"/>
  <c r="Y169" i="4"/>
  <c r="AJ199" i="9" s="1"/>
  <c r="AO159" i="4"/>
  <c r="AL189" i="9" s="1"/>
  <c r="AG158" i="4"/>
  <c r="AK188" i="9" s="1"/>
  <c r="Y151" i="4"/>
  <c r="AJ181" i="9" s="1"/>
  <c r="Q144" i="4"/>
  <c r="AI174" i="9" s="1"/>
  <c r="I137" i="4"/>
  <c r="AH167" i="9" s="1"/>
  <c r="AO129" i="4"/>
  <c r="AL159" i="9" s="1"/>
  <c r="Q126" i="4"/>
  <c r="AI156" i="9" s="1"/>
  <c r="AG124" i="4"/>
  <c r="AK154" i="9" s="1"/>
  <c r="Y117" i="4"/>
  <c r="AJ147" i="9" s="1"/>
  <c r="I115" i="4"/>
  <c r="AH145" i="9" s="1"/>
  <c r="AG112" i="4"/>
  <c r="AK142" i="9" s="1"/>
  <c r="Q110" i="4"/>
  <c r="AI140" i="9" s="1"/>
  <c r="AO107" i="4"/>
  <c r="AL137" i="9" s="1"/>
  <c r="Y105" i="4"/>
  <c r="AJ135" i="9" s="1"/>
  <c r="I103" i="4"/>
  <c r="AH133" i="9" s="1"/>
  <c r="AG100" i="4"/>
  <c r="AK130" i="9" s="1"/>
  <c r="Q98" i="4"/>
  <c r="AI128" i="9" s="1"/>
  <c r="AO95" i="4"/>
  <c r="AL125" i="9" s="1"/>
  <c r="Y93" i="4"/>
  <c r="AJ123" i="9" s="1"/>
  <c r="I91" i="4"/>
  <c r="AH121" i="9" s="1"/>
  <c r="AG88" i="4"/>
  <c r="AK118" i="9" s="1"/>
  <c r="Q86" i="4"/>
  <c r="AI116" i="9" s="1"/>
  <c r="AO83" i="4"/>
  <c r="AL113" i="9" s="1"/>
  <c r="Y81" i="4"/>
  <c r="AJ111" i="9" s="1"/>
  <c r="I79" i="4"/>
  <c r="AH109" i="9" s="1"/>
  <c r="AG76" i="4"/>
  <c r="AK106" i="9" s="1"/>
  <c r="Q74" i="4"/>
  <c r="AI104" i="9" s="1"/>
  <c r="AO71" i="4"/>
  <c r="AL101" i="9" s="1"/>
  <c r="Y69" i="4"/>
  <c r="AJ99" i="9" s="1"/>
  <c r="I67" i="4"/>
  <c r="AH97" i="9" s="1"/>
  <c r="AG64" i="4"/>
  <c r="AK94" i="9" s="1"/>
  <c r="Q62" i="4"/>
  <c r="AI92" i="9" s="1"/>
  <c r="AO59" i="4"/>
  <c r="AL89" i="9" s="1"/>
  <c r="Y57" i="4"/>
  <c r="AJ87" i="9" s="1"/>
  <c r="I55" i="4"/>
  <c r="AH85" i="9" s="1"/>
  <c r="AG52" i="4"/>
  <c r="AK82" i="9" s="1"/>
  <c r="Q50" i="4"/>
  <c r="AI80" i="9" s="1"/>
  <c r="AO47" i="4"/>
  <c r="AL77" i="9" s="1"/>
  <c r="Y45" i="4"/>
  <c r="AJ75" i="9" s="1"/>
  <c r="I43" i="4"/>
  <c r="AH73" i="9" s="1"/>
  <c r="AG40" i="4"/>
  <c r="AK70" i="9" s="1"/>
  <c r="Q38" i="4"/>
  <c r="AI68" i="9" s="1"/>
  <c r="AO35" i="4"/>
  <c r="AL65" i="9" s="1"/>
  <c r="Y34" i="4"/>
  <c r="AJ64" i="9" s="1"/>
  <c r="Q246" i="4"/>
  <c r="AI276" i="9" s="1"/>
  <c r="Y226" i="4"/>
  <c r="AJ256" i="9" s="1"/>
  <c r="I215" i="4"/>
  <c r="AH245" i="9" s="1"/>
  <c r="AG200" i="4"/>
  <c r="AK230" i="9" s="1"/>
  <c r="Q186" i="4"/>
  <c r="AI216" i="9" s="1"/>
  <c r="AG177" i="4"/>
  <c r="AK207" i="9" s="1"/>
  <c r="I168" i="4"/>
  <c r="AH198" i="9" s="1"/>
  <c r="Y153" i="4"/>
  <c r="AJ183" i="9" s="1"/>
  <c r="Q146" i="4"/>
  <c r="AI176" i="9" s="1"/>
  <c r="I139" i="4"/>
  <c r="AH169" i="9" s="1"/>
  <c r="AO131" i="4"/>
  <c r="AL161" i="9" s="1"/>
  <c r="I127" i="4"/>
  <c r="AH157" i="9" s="1"/>
  <c r="I116" i="4"/>
  <c r="AH146" i="9" s="1"/>
  <c r="AG113" i="4"/>
  <c r="AK143" i="9" s="1"/>
  <c r="Q111" i="4"/>
  <c r="AI141" i="9" s="1"/>
  <c r="AO108" i="4"/>
  <c r="AL138" i="9" s="1"/>
  <c r="Y106" i="4"/>
  <c r="AJ136" i="9" s="1"/>
  <c r="I104" i="4"/>
  <c r="AH134" i="9" s="1"/>
  <c r="AG101" i="4"/>
  <c r="AK131" i="9" s="1"/>
  <c r="Q99" i="4"/>
  <c r="AI129" i="9" s="1"/>
  <c r="AO96" i="4"/>
  <c r="AL126" i="9" s="1"/>
  <c r="Y94" i="4"/>
  <c r="AJ124" i="9" s="1"/>
  <c r="I92" i="4"/>
  <c r="AH122" i="9" s="1"/>
  <c r="AG89" i="4"/>
  <c r="AK119" i="9" s="1"/>
  <c r="Q87" i="4"/>
  <c r="AI117" i="9" s="1"/>
  <c r="AO84" i="4"/>
  <c r="AL114" i="9" s="1"/>
  <c r="Y82" i="4"/>
  <c r="AJ112" i="9" s="1"/>
  <c r="I80" i="4"/>
  <c r="AH110" i="9" s="1"/>
  <c r="AG77" i="4"/>
  <c r="AK107" i="9" s="1"/>
  <c r="Q75" i="4"/>
  <c r="AI105" i="9" s="1"/>
  <c r="AO72" i="4"/>
  <c r="AL102" i="9" s="1"/>
  <c r="Y70" i="4"/>
  <c r="AJ100" i="9" s="1"/>
  <c r="I68" i="4"/>
  <c r="AH98" i="9" s="1"/>
  <c r="AG65" i="4"/>
  <c r="AK95" i="9" s="1"/>
  <c r="Q63" i="4"/>
  <c r="AI93" i="9" s="1"/>
  <c r="AO60" i="4"/>
  <c r="AL90" i="9" s="1"/>
  <c r="Y58" i="4"/>
  <c r="AJ88" i="9" s="1"/>
  <c r="I56" i="4"/>
  <c r="AH86" i="9" s="1"/>
  <c r="AG53" i="4"/>
  <c r="AK83" i="9" s="1"/>
  <c r="Q51" i="4"/>
  <c r="AI81" i="9" s="1"/>
  <c r="AO48" i="4"/>
  <c r="AL78" i="9" s="1"/>
  <c r="Y46" i="4"/>
  <c r="AJ76" i="9" s="1"/>
  <c r="I44" i="4"/>
  <c r="AH74" i="9" s="1"/>
  <c r="AG41" i="4"/>
  <c r="AK71" i="9" s="1"/>
  <c r="Q39" i="4"/>
  <c r="AI69" i="9" s="1"/>
  <c r="AO36" i="4"/>
  <c r="AL66" i="9" s="1"/>
  <c r="AG32" i="4"/>
  <c r="AK62" i="9" s="1"/>
  <c r="Q31" i="4"/>
  <c r="AI61" i="9" s="1"/>
  <c r="AG221" i="4"/>
  <c r="AK251" i="9" s="1"/>
  <c r="AO208" i="4"/>
  <c r="AL238" i="9" s="1"/>
  <c r="Y194" i="4"/>
  <c r="AJ224" i="9" s="1"/>
  <c r="Y177" i="4"/>
  <c r="AJ207" i="9" s="1"/>
  <c r="AO167" i="4"/>
  <c r="AL197" i="9" s="1"/>
  <c r="Y157" i="4"/>
  <c r="AJ187" i="9" s="1"/>
  <c r="Q150" i="4"/>
  <c r="AI180" i="9" s="1"/>
  <c r="I143" i="4"/>
  <c r="AH173" i="9" s="1"/>
  <c r="AO135" i="4"/>
  <c r="AL165" i="9" s="1"/>
  <c r="AG128" i="4"/>
  <c r="AK158" i="9" s="1"/>
  <c r="AG119" i="4"/>
  <c r="AK149" i="9" s="1"/>
  <c r="I117" i="4"/>
  <c r="AH147" i="9" s="1"/>
  <c r="AG114" i="4"/>
  <c r="AK144" i="9" s="1"/>
  <c r="Q112" i="4"/>
  <c r="AI142" i="9" s="1"/>
  <c r="AO109" i="4"/>
  <c r="AL139" i="9" s="1"/>
  <c r="Y107" i="4"/>
  <c r="AJ137" i="9" s="1"/>
  <c r="I105" i="4"/>
  <c r="AH135" i="9" s="1"/>
  <c r="AG102" i="4"/>
  <c r="AK132" i="9" s="1"/>
  <c r="Q100" i="4"/>
  <c r="AI130" i="9" s="1"/>
  <c r="AO97" i="4"/>
  <c r="AL127" i="9" s="1"/>
  <c r="Y95" i="4"/>
  <c r="AJ125" i="9" s="1"/>
  <c r="I93" i="4"/>
  <c r="AH123" i="9" s="1"/>
  <c r="AG90" i="4"/>
  <c r="AK120" i="9" s="1"/>
  <c r="Q88" i="4"/>
  <c r="AI118" i="9" s="1"/>
  <c r="AO85" i="4"/>
  <c r="AL115" i="9" s="1"/>
  <c r="Y83" i="4"/>
  <c r="AJ113" i="9" s="1"/>
  <c r="I81" i="4"/>
  <c r="AH111" i="9" s="1"/>
  <c r="AG78" i="4"/>
  <c r="AK108" i="9" s="1"/>
  <c r="Q76" i="4"/>
  <c r="AI106" i="9" s="1"/>
  <c r="AO73" i="4"/>
  <c r="AL103" i="9" s="1"/>
  <c r="Y71" i="4"/>
  <c r="AJ101" i="9" s="1"/>
  <c r="I69" i="4"/>
  <c r="AH99" i="9" s="1"/>
  <c r="AG66" i="4"/>
  <c r="AK96" i="9" s="1"/>
  <c r="Q64" i="4"/>
  <c r="AI94" i="9" s="1"/>
  <c r="AO61" i="4"/>
  <c r="AL91" i="9" s="1"/>
  <c r="Y59" i="4"/>
  <c r="AJ89" i="9" s="1"/>
  <c r="I57" i="4"/>
  <c r="AH87" i="9" s="1"/>
  <c r="AG54" i="4"/>
  <c r="AK84" i="9" s="1"/>
  <c r="Q52" i="4"/>
  <c r="AI82" i="9" s="1"/>
  <c r="AO49" i="4"/>
  <c r="AL79" i="9" s="1"/>
  <c r="Y47" i="4"/>
  <c r="AJ77" i="9" s="1"/>
  <c r="I45" i="4"/>
  <c r="AH75" i="9" s="1"/>
  <c r="AG42" i="4"/>
  <c r="AK72" i="9" s="1"/>
  <c r="Q40" i="4"/>
  <c r="AI70" i="9" s="1"/>
  <c r="AO37" i="4"/>
  <c r="AL67" i="9" s="1"/>
  <c r="Y35" i="4"/>
  <c r="AJ65" i="9" s="1"/>
  <c r="AO30" i="4"/>
  <c r="AL60" i="9" s="1"/>
  <c r="AG212" i="4"/>
  <c r="AK242" i="9" s="1"/>
  <c r="Q198" i="4"/>
  <c r="AI228" i="9" s="1"/>
  <c r="AO183" i="4"/>
  <c r="AL213" i="9" s="1"/>
  <c r="AO171" i="4"/>
  <c r="AL201" i="9" s="1"/>
  <c r="Q162" i="4"/>
  <c r="AI192" i="9" s="1"/>
  <c r="Y158" i="4"/>
  <c r="AJ188" i="9" s="1"/>
  <c r="Q151" i="4"/>
  <c r="AI181" i="9" s="1"/>
  <c r="I144" i="4"/>
  <c r="AH174" i="9" s="1"/>
  <c r="AO136" i="4"/>
  <c r="AL166" i="9" s="1"/>
  <c r="AG129" i="4"/>
  <c r="AK159" i="9" s="1"/>
  <c r="AG115" i="4"/>
  <c r="AK145" i="9" s="1"/>
  <c r="Q113" i="4"/>
  <c r="AI143" i="9" s="1"/>
  <c r="AO110" i="4"/>
  <c r="AL140" i="9" s="1"/>
  <c r="Y108" i="4"/>
  <c r="AJ138" i="9" s="1"/>
  <c r="I106" i="4"/>
  <c r="AH136" i="9" s="1"/>
  <c r="AG103" i="4"/>
  <c r="AK133" i="9" s="1"/>
  <c r="Q101" i="4"/>
  <c r="AI131" i="9" s="1"/>
  <c r="AO98" i="4"/>
  <c r="AL128" i="9" s="1"/>
  <c r="Y96" i="4"/>
  <c r="AJ126" i="9" s="1"/>
  <c r="I94" i="4"/>
  <c r="AH124" i="9" s="1"/>
  <c r="AG91" i="4"/>
  <c r="AK121" i="9" s="1"/>
  <c r="Q89" i="4"/>
  <c r="AI119" i="9" s="1"/>
  <c r="AO86" i="4"/>
  <c r="AL116" i="9" s="1"/>
  <c r="Y84" i="4"/>
  <c r="AJ114" i="9" s="1"/>
  <c r="I82" i="4"/>
  <c r="AH112" i="9" s="1"/>
  <c r="AG79" i="4"/>
  <c r="AK109" i="9" s="1"/>
  <c r="Q77" i="4"/>
  <c r="AI107" i="9" s="1"/>
  <c r="AO74" i="4"/>
  <c r="AL104" i="9" s="1"/>
  <c r="Y72" i="4"/>
  <c r="AJ102" i="9" s="1"/>
  <c r="I70" i="4"/>
  <c r="AH100" i="9" s="1"/>
  <c r="AG67" i="4"/>
  <c r="AK97" i="9" s="1"/>
  <c r="Q65" i="4"/>
  <c r="AI95" i="9" s="1"/>
  <c r="AO62" i="4"/>
  <c r="AL92" i="9" s="1"/>
  <c r="Y60" i="4"/>
  <c r="AJ90" i="9" s="1"/>
  <c r="I58" i="4"/>
  <c r="AH88" i="9" s="1"/>
  <c r="AG55" i="4"/>
  <c r="AK85" i="9" s="1"/>
  <c r="Q53" i="4"/>
  <c r="AI83" i="9" s="1"/>
  <c r="AO50" i="4"/>
  <c r="AL80" i="9" s="1"/>
  <c r="Y48" i="4"/>
  <c r="AJ78" i="9" s="1"/>
  <c r="I46" i="4"/>
  <c r="AH76" i="9" s="1"/>
  <c r="AG43" i="4"/>
  <c r="AK73" i="9" s="1"/>
  <c r="Q41" i="4"/>
  <c r="AI71" i="9" s="1"/>
  <c r="AO38" i="4"/>
  <c r="AL68" i="9" s="1"/>
  <c r="Y36" i="4"/>
  <c r="AJ66" i="9" s="1"/>
  <c r="AG33" i="4"/>
  <c r="AK63" i="9" s="1"/>
  <c r="Q32" i="4"/>
  <c r="AI62" i="9" s="1"/>
  <c r="Y206" i="4"/>
  <c r="AJ236" i="9" s="1"/>
  <c r="I192" i="4"/>
  <c r="AH222" i="9" s="1"/>
  <c r="I180" i="4"/>
  <c r="AH210" i="9" s="1"/>
  <c r="Y170" i="4"/>
  <c r="AJ200" i="9" s="1"/>
  <c r="AO160" i="4"/>
  <c r="AL190" i="9" s="1"/>
  <c r="Q156" i="4"/>
  <c r="AI186" i="9" s="1"/>
  <c r="I149" i="4"/>
  <c r="AH179" i="9" s="1"/>
  <c r="AO141" i="4"/>
  <c r="AL171" i="9" s="1"/>
  <c r="AG134" i="4"/>
  <c r="AK164" i="9" s="1"/>
  <c r="Q120" i="4"/>
  <c r="AI150" i="9" s="1"/>
  <c r="AG116" i="4"/>
  <c r="AK146" i="9" s="1"/>
  <c r="Q114" i="4"/>
  <c r="AI144" i="9" s="1"/>
  <c r="AO111" i="4"/>
  <c r="AL141" i="9" s="1"/>
  <c r="Y109" i="4"/>
  <c r="AJ139" i="9" s="1"/>
  <c r="I107" i="4"/>
  <c r="AH137" i="9" s="1"/>
  <c r="AG104" i="4"/>
  <c r="AK134" i="9" s="1"/>
  <c r="Q102" i="4"/>
  <c r="AI132" i="9" s="1"/>
  <c r="AO99" i="4"/>
  <c r="AL129" i="9" s="1"/>
  <c r="Y97" i="4"/>
  <c r="AJ127" i="9" s="1"/>
  <c r="I95" i="4"/>
  <c r="AH125" i="9" s="1"/>
  <c r="AG92" i="4"/>
  <c r="AK122" i="9" s="1"/>
  <c r="Q90" i="4"/>
  <c r="AI120" i="9" s="1"/>
  <c r="AO87" i="4"/>
  <c r="AL117" i="9" s="1"/>
  <c r="Y85" i="4"/>
  <c r="AJ115" i="9" s="1"/>
  <c r="I83" i="4"/>
  <c r="AH113" i="9" s="1"/>
  <c r="AG80" i="4"/>
  <c r="AK110" i="9" s="1"/>
  <c r="Q78" i="4"/>
  <c r="AI108" i="9" s="1"/>
  <c r="AO75" i="4"/>
  <c r="AL105" i="9" s="1"/>
  <c r="Y73" i="4"/>
  <c r="AJ103" i="9" s="1"/>
  <c r="I71" i="4"/>
  <c r="AH101" i="9" s="1"/>
  <c r="AG68" i="4"/>
  <c r="AK98" i="9" s="1"/>
  <c r="Q66" i="4"/>
  <c r="AI96" i="9" s="1"/>
  <c r="AO63" i="4"/>
  <c r="AL93" i="9" s="1"/>
  <c r="Y61" i="4"/>
  <c r="AJ91" i="9" s="1"/>
  <c r="I59" i="4"/>
  <c r="AH89" i="9" s="1"/>
  <c r="AG56" i="4"/>
  <c r="AK86" i="9" s="1"/>
  <c r="Q54" i="4"/>
  <c r="AI84" i="9" s="1"/>
  <c r="AO51" i="4"/>
  <c r="AL81" i="9" s="1"/>
  <c r="Y49" i="4"/>
  <c r="AJ79" i="9" s="1"/>
  <c r="I47" i="4"/>
  <c r="AH77" i="9" s="1"/>
  <c r="AG44" i="4"/>
  <c r="AK74" i="9" s="1"/>
  <c r="Q42" i="4"/>
  <c r="AI72" i="9" s="1"/>
  <c r="AO39" i="4"/>
  <c r="AL69" i="9" s="1"/>
  <c r="Y37" i="4"/>
  <c r="AJ67" i="9" s="1"/>
  <c r="Q210" i="4"/>
  <c r="AI240" i="9" s="1"/>
  <c r="AO195" i="4"/>
  <c r="AL225" i="9" s="1"/>
  <c r="Y181" i="4"/>
  <c r="AJ211" i="9" s="1"/>
  <c r="AO179" i="4"/>
  <c r="AL209" i="9" s="1"/>
  <c r="Q170" i="4"/>
  <c r="AI200" i="9" s="1"/>
  <c r="AG160" i="4"/>
  <c r="AK190" i="9" s="1"/>
  <c r="Q158" i="4"/>
  <c r="AI188" i="9" s="1"/>
  <c r="I151" i="4"/>
  <c r="AH181" i="9" s="1"/>
  <c r="AO143" i="4"/>
  <c r="AL173" i="9" s="1"/>
  <c r="AG136" i="4"/>
  <c r="AK166" i="9" s="1"/>
  <c r="Y129" i="4"/>
  <c r="AJ159" i="9" s="1"/>
  <c r="AG122" i="4"/>
  <c r="AK152" i="9" s="1"/>
  <c r="I121" i="4"/>
  <c r="AH151" i="9" s="1"/>
  <c r="I118" i="4"/>
  <c r="AH148" i="9" s="1"/>
  <c r="AG117" i="4"/>
  <c r="AK147" i="9" s="1"/>
  <c r="Q115" i="4"/>
  <c r="AI145" i="9" s="1"/>
  <c r="AO112" i="4"/>
  <c r="AL142" i="9" s="1"/>
  <c r="Y110" i="4"/>
  <c r="AJ140" i="9" s="1"/>
  <c r="I108" i="4"/>
  <c r="AH138" i="9" s="1"/>
  <c r="AG105" i="4"/>
  <c r="AK135" i="9" s="1"/>
  <c r="Q103" i="4"/>
  <c r="AI133" i="9" s="1"/>
  <c r="AO100" i="4"/>
  <c r="AL130" i="9" s="1"/>
  <c r="Y98" i="4"/>
  <c r="AJ128" i="9" s="1"/>
  <c r="I96" i="4"/>
  <c r="AH126" i="9" s="1"/>
  <c r="AG93" i="4"/>
  <c r="AK123" i="9" s="1"/>
  <c r="Q91" i="4"/>
  <c r="AI121" i="9" s="1"/>
  <c r="AO88" i="4"/>
  <c r="AL118" i="9" s="1"/>
  <c r="Y86" i="4"/>
  <c r="AJ116" i="9" s="1"/>
  <c r="I84" i="4"/>
  <c r="AH114" i="9" s="1"/>
  <c r="AG81" i="4"/>
  <c r="AK111" i="9" s="1"/>
  <c r="Q79" i="4"/>
  <c r="AI109" i="9" s="1"/>
  <c r="AO76" i="4"/>
  <c r="AL106" i="9" s="1"/>
  <c r="Y74" i="4"/>
  <c r="AJ104" i="9" s="1"/>
  <c r="I72" i="4"/>
  <c r="AH102" i="9" s="1"/>
  <c r="AG69" i="4"/>
  <c r="AK99" i="9" s="1"/>
  <c r="Q67" i="4"/>
  <c r="AI97" i="9" s="1"/>
  <c r="AO64" i="4"/>
  <c r="AL94" i="9" s="1"/>
  <c r="Y62" i="4"/>
  <c r="AJ92" i="9" s="1"/>
  <c r="I60" i="4"/>
  <c r="AH90" i="9" s="1"/>
  <c r="AG57" i="4"/>
  <c r="AK87" i="9" s="1"/>
  <c r="Q55" i="4"/>
  <c r="AI85" i="9" s="1"/>
  <c r="AO52" i="4"/>
  <c r="AL82" i="9" s="1"/>
  <c r="Y50" i="4"/>
  <c r="AJ80" i="9" s="1"/>
  <c r="I48" i="4"/>
  <c r="AH78" i="9" s="1"/>
  <c r="AG45" i="4"/>
  <c r="AK75" i="9" s="1"/>
  <c r="Q43" i="4"/>
  <c r="AI73" i="9" s="1"/>
  <c r="AO40" i="4"/>
  <c r="AL70" i="9" s="1"/>
  <c r="Y38" i="4"/>
  <c r="AJ68" i="9" s="1"/>
  <c r="I36" i="4"/>
  <c r="AH66" i="9" s="1"/>
  <c r="AG34" i="4"/>
  <c r="AK64" i="9" s="1"/>
  <c r="Q33" i="4"/>
  <c r="AI63" i="9" s="1"/>
  <c r="I287" i="4"/>
  <c r="AH317" i="9" s="1"/>
  <c r="Y218" i="4"/>
  <c r="AJ248" i="9" s="1"/>
  <c r="I204" i="4"/>
  <c r="AH234" i="9" s="1"/>
  <c r="AG189" i="4"/>
  <c r="AK219" i="9" s="1"/>
  <c r="Q174" i="4"/>
  <c r="AI204" i="9" s="1"/>
  <c r="AG164" i="4"/>
  <c r="AK194" i="9" s="1"/>
  <c r="I155" i="4"/>
  <c r="AH185" i="9" s="1"/>
  <c r="AO147" i="4"/>
  <c r="AL177" i="9" s="1"/>
  <c r="AG140" i="4"/>
  <c r="AK170" i="9" s="1"/>
  <c r="Y133" i="4"/>
  <c r="AJ163" i="9" s="1"/>
  <c r="I125" i="4"/>
  <c r="AH155" i="9" s="1"/>
  <c r="Y123" i="4"/>
  <c r="AJ153" i="9" s="1"/>
  <c r="Q116" i="4"/>
  <c r="AI146" i="9" s="1"/>
  <c r="AO113" i="4"/>
  <c r="AL143" i="9" s="1"/>
  <c r="Y111" i="4"/>
  <c r="AJ141" i="9" s="1"/>
  <c r="I109" i="4"/>
  <c r="AH139" i="9" s="1"/>
  <c r="AG106" i="4"/>
  <c r="AK136" i="9" s="1"/>
  <c r="Q104" i="4"/>
  <c r="AI134" i="9" s="1"/>
  <c r="AO101" i="4"/>
  <c r="AL131" i="9" s="1"/>
  <c r="Y99" i="4"/>
  <c r="AJ129" i="9" s="1"/>
  <c r="I97" i="4"/>
  <c r="AH127" i="9" s="1"/>
  <c r="AG94" i="4"/>
  <c r="AK124" i="9" s="1"/>
  <c r="Q92" i="4"/>
  <c r="AI122" i="9" s="1"/>
  <c r="AO89" i="4"/>
  <c r="AL119" i="9" s="1"/>
  <c r="Y87" i="4"/>
  <c r="AJ117" i="9" s="1"/>
  <c r="I85" i="4"/>
  <c r="AH115" i="9" s="1"/>
  <c r="AG82" i="4"/>
  <c r="AK112" i="9" s="1"/>
  <c r="Q80" i="4"/>
  <c r="AI110" i="9" s="1"/>
  <c r="AO77" i="4"/>
  <c r="AL107" i="9" s="1"/>
  <c r="Y75" i="4"/>
  <c r="AJ105" i="9" s="1"/>
  <c r="I73" i="4"/>
  <c r="AH103" i="9" s="1"/>
  <c r="AG70" i="4"/>
  <c r="AK100" i="9" s="1"/>
  <c r="Q68" i="4"/>
  <c r="AI98" i="9" s="1"/>
  <c r="AO65" i="4"/>
  <c r="AL95" i="9" s="1"/>
  <c r="Y63" i="4"/>
  <c r="AJ93" i="9" s="1"/>
  <c r="I61" i="4"/>
  <c r="AH91" i="9" s="1"/>
  <c r="AG58" i="4"/>
  <c r="AK88" i="9" s="1"/>
  <c r="Q56" i="4"/>
  <c r="AI86" i="9" s="1"/>
  <c r="AO53" i="4"/>
  <c r="AL83" i="9" s="1"/>
  <c r="Y51" i="4"/>
  <c r="AJ81" i="9" s="1"/>
  <c r="I49" i="4"/>
  <c r="AH79" i="9" s="1"/>
  <c r="AG46" i="4"/>
  <c r="AK76" i="9" s="1"/>
  <c r="Q44" i="4"/>
  <c r="AI74" i="9" s="1"/>
  <c r="AO41" i="4"/>
  <c r="AL71" i="9" s="1"/>
  <c r="Y39" i="4"/>
  <c r="AJ69" i="9" s="1"/>
  <c r="I37" i="4"/>
  <c r="AH67" i="9" s="1"/>
  <c r="AO32" i="4"/>
  <c r="AL62" i="9" s="1"/>
  <c r="Y31" i="4"/>
  <c r="AJ61" i="9" s="1"/>
  <c r="I223" i="4"/>
  <c r="AH253" i="9" s="1"/>
  <c r="AG213" i="4"/>
  <c r="AK243" i="9" s="1"/>
  <c r="Q199" i="4"/>
  <c r="AI229" i="9" s="1"/>
  <c r="AO184" i="4"/>
  <c r="AL214" i="9" s="1"/>
  <c r="Q175" i="4"/>
  <c r="AI205" i="9" s="1"/>
  <c r="AG165" i="4"/>
  <c r="AK195" i="9" s="1"/>
  <c r="AG152" i="4"/>
  <c r="AK182" i="9" s="1"/>
  <c r="Y145" i="4"/>
  <c r="AJ175" i="9" s="1"/>
  <c r="Q138" i="4"/>
  <c r="AI168" i="9" s="1"/>
  <c r="I131" i="4"/>
  <c r="AH161" i="9" s="1"/>
  <c r="Q127" i="4"/>
  <c r="AI157" i="9" s="1"/>
  <c r="Y121" i="4"/>
  <c r="AJ151" i="9" s="1"/>
  <c r="AO119" i="4"/>
  <c r="AL149" i="9" s="1"/>
  <c r="Y115" i="4"/>
  <c r="AJ145" i="9" s="1"/>
  <c r="I113" i="4"/>
  <c r="AH143" i="9" s="1"/>
  <c r="AG110" i="4"/>
  <c r="AK140" i="9" s="1"/>
  <c r="Q108" i="4"/>
  <c r="AI138" i="9" s="1"/>
  <c r="AO105" i="4"/>
  <c r="AL135" i="9" s="1"/>
  <c r="Y103" i="4"/>
  <c r="AJ133" i="9" s="1"/>
  <c r="I101" i="4"/>
  <c r="AH131" i="9" s="1"/>
  <c r="AG98" i="4"/>
  <c r="AK128" i="9" s="1"/>
  <c r="Q96" i="4"/>
  <c r="AI126" i="9" s="1"/>
  <c r="AO93" i="4"/>
  <c r="AL123" i="9" s="1"/>
  <c r="Y91" i="4"/>
  <c r="AJ121" i="9" s="1"/>
  <c r="I89" i="4"/>
  <c r="AH119" i="9" s="1"/>
  <c r="AG86" i="4"/>
  <c r="AK116" i="9" s="1"/>
  <c r="Q84" i="4"/>
  <c r="AI114" i="9" s="1"/>
  <c r="AO81" i="4"/>
  <c r="AL111" i="9" s="1"/>
  <c r="Y79" i="4"/>
  <c r="AJ109" i="9" s="1"/>
  <c r="I77" i="4"/>
  <c r="AH107" i="9" s="1"/>
  <c r="AG74" i="4"/>
  <c r="AK104" i="9" s="1"/>
  <c r="Q72" i="4"/>
  <c r="AI102" i="9" s="1"/>
  <c r="AO69" i="4"/>
  <c r="AL99" i="9" s="1"/>
  <c r="Y67" i="4"/>
  <c r="AJ97" i="9" s="1"/>
  <c r="I65" i="4"/>
  <c r="AH95" i="9" s="1"/>
  <c r="AG62" i="4"/>
  <c r="AK92" i="9" s="1"/>
  <c r="Q60" i="4"/>
  <c r="AI90" i="9" s="1"/>
  <c r="AO57" i="4"/>
  <c r="AL87" i="9" s="1"/>
  <c r="Y55" i="4"/>
  <c r="AJ85" i="9" s="1"/>
  <c r="I53" i="4"/>
  <c r="AH83" i="9" s="1"/>
  <c r="AG5" i="4"/>
  <c r="AK35" i="9" s="1"/>
  <c r="G7" i="4"/>
  <c r="B37" i="9" s="1"/>
  <c r="W8" i="4"/>
  <c r="D38" i="9" s="1"/>
  <c r="Y9" i="4"/>
  <c r="AJ39" i="9" s="1"/>
  <c r="AM9" i="4"/>
  <c r="F39" i="9" s="1"/>
  <c r="AO10" i="4"/>
  <c r="AL40" i="9" s="1"/>
  <c r="G14" i="4"/>
  <c r="B44" i="9" s="1"/>
  <c r="Y16" i="4"/>
  <c r="AJ46" i="9" s="1"/>
  <c r="AM16" i="4"/>
  <c r="F46" i="9" s="1"/>
  <c r="AO17" i="4"/>
  <c r="AL47" i="9" s="1"/>
  <c r="W21" i="4"/>
  <c r="D51" i="9" s="1"/>
  <c r="Y22" i="4"/>
  <c r="AJ52" i="9" s="1"/>
  <c r="AM22" i="4"/>
  <c r="F52" i="9" s="1"/>
  <c r="AO23" i="4"/>
  <c r="AL53" i="9" s="1"/>
  <c r="W27" i="4"/>
  <c r="D57" i="9" s="1"/>
  <c r="Y28" i="4"/>
  <c r="AJ58" i="9" s="1"/>
  <c r="AM28" i="4"/>
  <c r="F58" i="9" s="1"/>
  <c r="AO29" i="4"/>
  <c r="AL59" i="9" s="1"/>
  <c r="AG30" i="4"/>
  <c r="AK60" i="9" s="1"/>
  <c r="Q35" i="4"/>
  <c r="AI65" i="9" s="1"/>
  <c r="G36" i="4"/>
  <c r="B66" i="9" s="1"/>
  <c r="I41" i="4"/>
  <c r="AH71" i="9" s="1"/>
  <c r="AM41" i="4"/>
  <c r="F71" i="9" s="1"/>
  <c r="AO46" i="4"/>
  <c r="AL76" i="9" s="1"/>
  <c r="AE47" i="4"/>
  <c r="E77" i="9" s="1"/>
  <c r="G52" i="4"/>
  <c r="B82" i="9" s="1"/>
  <c r="I54" i="4"/>
  <c r="AH84" i="9" s="1"/>
  <c r="O59" i="4"/>
  <c r="C89" i="9" s="1"/>
  <c r="Q61" i="4"/>
  <c r="AI91" i="9" s="1"/>
  <c r="W62" i="4"/>
  <c r="D92" i="9" s="1"/>
  <c r="Q69" i="4"/>
  <c r="AI99" i="9" s="1"/>
  <c r="G72" i="4"/>
  <c r="B102" i="9" s="1"/>
  <c r="AO78" i="4"/>
  <c r="AL108" i="9" s="1"/>
  <c r="AE81" i="4"/>
  <c r="E111" i="9" s="1"/>
  <c r="Y88" i="4"/>
  <c r="AJ118" i="9" s="1"/>
  <c r="O91" i="4"/>
  <c r="C121" i="9" s="1"/>
  <c r="I98" i="4"/>
  <c r="AH128" i="9" s="1"/>
  <c r="AM100" i="4"/>
  <c r="F130" i="9" s="1"/>
  <c r="AG107" i="4"/>
  <c r="AK137" i="9" s="1"/>
  <c r="W110" i="4"/>
  <c r="D140" i="9" s="1"/>
  <c r="Q117" i="4"/>
  <c r="AI147" i="9" s="1"/>
  <c r="AO125" i="4"/>
  <c r="AL155" i="9" s="1"/>
  <c r="AG141" i="4"/>
  <c r="AK171" i="9" s="1"/>
  <c r="G154" i="4"/>
  <c r="B184" i="9" s="1"/>
  <c r="Q163" i="4"/>
  <c r="AI193" i="9" s="1"/>
  <c r="O220" i="4"/>
  <c r="C250" i="9" s="1"/>
  <c r="AM368" i="4"/>
  <c r="F398" i="9" s="1"/>
  <c r="W366" i="4"/>
  <c r="D396" i="9" s="1"/>
  <c r="G364" i="4"/>
  <c r="B394" i="9" s="1"/>
  <c r="AE361" i="4"/>
  <c r="E391" i="9" s="1"/>
  <c r="O359" i="4"/>
  <c r="C389" i="9" s="1"/>
  <c r="AM356" i="4"/>
  <c r="F386" i="9" s="1"/>
  <c r="W354" i="4"/>
  <c r="D384" i="9" s="1"/>
  <c r="G352" i="4"/>
  <c r="B382" i="9" s="1"/>
  <c r="AE349" i="4"/>
  <c r="E379" i="9" s="1"/>
  <c r="O347" i="4"/>
  <c r="C377" i="9" s="1"/>
  <c r="AM344" i="4"/>
  <c r="F374" i="9" s="1"/>
  <c r="W342" i="4"/>
  <c r="D372" i="9" s="1"/>
  <c r="G340" i="4"/>
  <c r="B370" i="9" s="1"/>
  <c r="AM369" i="4"/>
  <c r="F399" i="9" s="1"/>
  <c r="W367" i="4"/>
  <c r="D397" i="9" s="1"/>
  <c r="G365" i="4"/>
  <c r="B395" i="9" s="1"/>
  <c r="AE362" i="4"/>
  <c r="E392" i="9" s="1"/>
  <c r="O360" i="4"/>
  <c r="C390" i="9" s="1"/>
  <c r="AM357" i="4"/>
  <c r="F387" i="9" s="1"/>
  <c r="W355" i="4"/>
  <c r="D385" i="9" s="1"/>
  <c r="G353" i="4"/>
  <c r="B383" i="9" s="1"/>
  <c r="AE350" i="4"/>
  <c r="E380" i="9" s="1"/>
  <c r="O348" i="4"/>
  <c r="C378" i="9" s="1"/>
  <c r="AM345" i="4"/>
  <c r="F375" i="9" s="1"/>
  <c r="W343" i="4"/>
  <c r="D373" i="9" s="1"/>
  <c r="G341" i="4"/>
  <c r="B371" i="9" s="1"/>
  <c r="AE338" i="4"/>
  <c r="E368" i="9" s="1"/>
  <c r="W368" i="4"/>
  <c r="D398" i="9" s="1"/>
  <c r="G366" i="4"/>
  <c r="B396" i="9" s="1"/>
  <c r="AE363" i="4"/>
  <c r="E393" i="9" s="1"/>
  <c r="O361" i="4"/>
  <c r="C391" i="9" s="1"/>
  <c r="AM358" i="4"/>
  <c r="F388" i="9" s="1"/>
  <c r="W356" i="4"/>
  <c r="D386" i="9" s="1"/>
  <c r="G354" i="4"/>
  <c r="B384" i="9" s="1"/>
  <c r="AE351" i="4"/>
  <c r="E381" i="9" s="1"/>
  <c r="O349" i="4"/>
  <c r="C379" i="9" s="1"/>
  <c r="AM346" i="4"/>
  <c r="F376" i="9" s="1"/>
  <c r="W344" i="4"/>
  <c r="D374" i="9" s="1"/>
  <c r="W369" i="4"/>
  <c r="D399" i="9" s="1"/>
  <c r="G367" i="4"/>
  <c r="B397" i="9" s="1"/>
  <c r="AE364" i="4"/>
  <c r="E394" i="9" s="1"/>
  <c r="O362" i="4"/>
  <c r="C392" i="9" s="1"/>
  <c r="AM359" i="4"/>
  <c r="F389" i="9" s="1"/>
  <c r="W357" i="4"/>
  <c r="D387" i="9" s="1"/>
  <c r="G355" i="4"/>
  <c r="B385" i="9" s="1"/>
  <c r="AE352" i="4"/>
  <c r="E382" i="9" s="1"/>
  <c r="O350" i="4"/>
  <c r="C380" i="9" s="1"/>
  <c r="AM347" i="4"/>
  <c r="F377" i="9" s="1"/>
  <c r="W345" i="4"/>
  <c r="D375" i="9" s="1"/>
  <c r="G343" i="4"/>
  <c r="B373" i="9" s="1"/>
  <c r="AE340" i="4"/>
  <c r="E370" i="9" s="1"/>
  <c r="O338" i="4"/>
  <c r="C368" i="9" s="1"/>
  <c r="G368" i="4"/>
  <c r="B398" i="9" s="1"/>
  <c r="AE365" i="4"/>
  <c r="E395" i="9" s="1"/>
  <c r="O363" i="4"/>
  <c r="C393" i="9" s="1"/>
  <c r="AM360" i="4"/>
  <c r="F390" i="9" s="1"/>
  <c r="W358" i="4"/>
  <c r="D388" i="9" s="1"/>
  <c r="G356" i="4"/>
  <c r="B386" i="9" s="1"/>
  <c r="AE353" i="4"/>
  <c r="E383" i="9" s="1"/>
  <c r="O351" i="4"/>
  <c r="C381" i="9" s="1"/>
  <c r="AM348" i="4"/>
  <c r="F378" i="9" s="1"/>
  <c r="W346" i="4"/>
  <c r="D376" i="9" s="1"/>
  <c r="G344" i="4"/>
  <c r="B374" i="9" s="1"/>
  <c r="AE341" i="4"/>
  <c r="E371" i="9" s="1"/>
  <c r="O339" i="4"/>
  <c r="C369" i="9" s="1"/>
  <c r="G369" i="4"/>
  <c r="B399" i="9" s="1"/>
  <c r="AE366" i="4"/>
  <c r="E396" i="9" s="1"/>
  <c r="O364" i="4"/>
  <c r="C394" i="9" s="1"/>
  <c r="AM361" i="4"/>
  <c r="F391" i="9" s="1"/>
  <c r="W359" i="4"/>
  <c r="D389" i="9" s="1"/>
  <c r="G357" i="4"/>
  <c r="B387" i="9" s="1"/>
  <c r="AE354" i="4"/>
  <c r="E384" i="9" s="1"/>
  <c r="O352" i="4"/>
  <c r="C382" i="9" s="1"/>
  <c r="AM349" i="4"/>
  <c r="F379" i="9" s="1"/>
  <c r="W347" i="4"/>
  <c r="D377" i="9" s="1"/>
  <c r="G345" i="4"/>
  <c r="B375" i="9" s="1"/>
  <c r="AE342" i="4"/>
  <c r="E372" i="9" s="1"/>
  <c r="O340" i="4"/>
  <c r="C370" i="9" s="1"/>
  <c r="AE367" i="4"/>
  <c r="E397" i="9" s="1"/>
  <c r="O365" i="4"/>
  <c r="C395" i="9" s="1"/>
  <c r="AM362" i="4"/>
  <c r="F392" i="9" s="1"/>
  <c r="W360" i="4"/>
  <c r="D390" i="9" s="1"/>
  <c r="G358" i="4"/>
  <c r="B388" i="9" s="1"/>
  <c r="AE355" i="4"/>
  <c r="E385" i="9" s="1"/>
  <c r="O353" i="4"/>
  <c r="C383" i="9" s="1"/>
  <c r="AM350" i="4"/>
  <c r="F380" i="9" s="1"/>
  <c r="W348" i="4"/>
  <c r="D378" i="9" s="1"/>
  <c r="G346" i="4"/>
  <c r="B376" i="9" s="1"/>
  <c r="AE343" i="4"/>
  <c r="E373" i="9" s="1"/>
  <c r="O341" i="4"/>
  <c r="C371" i="9" s="1"/>
  <c r="AM338" i="4"/>
  <c r="F368" i="9" s="1"/>
  <c r="O369" i="4"/>
  <c r="C399" i="9" s="1"/>
  <c r="AM366" i="4"/>
  <c r="F396" i="9" s="1"/>
  <c r="W364" i="4"/>
  <c r="D394" i="9" s="1"/>
  <c r="G362" i="4"/>
  <c r="B392" i="9" s="1"/>
  <c r="AE359" i="4"/>
  <c r="E389" i="9" s="1"/>
  <c r="O357" i="4"/>
  <c r="C387" i="9" s="1"/>
  <c r="AM354" i="4"/>
  <c r="F384" i="9" s="1"/>
  <c r="W352" i="4"/>
  <c r="D382" i="9" s="1"/>
  <c r="G350" i="4"/>
  <c r="B380" i="9" s="1"/>
  <c r="AE347" i="4"/>
  <c r="E377" i="9" s="1"/>
  <c r="O345" i="4"/>
  <c r="C375" i="9" s="1"/>
  <c r="AM342" i="4"/>
  <c r="F372" i="9" s="1"/>
  <c r="W340" i="4"/>
  <c r="D370" i="9" s="1"/>
  <c r="AM367" i="4"/>
  <c r="F397" i="9" s="1"/>
  <c r="AE369" i="4"/>
  <c r="E399" i="9" s="1"/>
  <c r="W362" i="4"/>
  <c r="D392" i="9" s="1"/>
  <c r="O355" i="4"/>
  <c r="C385" i="9" s="1"/>
  <c r="G348" i="4"/>
  <c r="B378" i="9" s="1"/>
  <c r="W341" i="4"/>
  <c r="D371" i="9" s="1"/>
  <c r="O337" i="4"/>
  <c r="C367" i="9" s="1"/>
  <c r="AM334" i="4"/>
  <c r="F364" i="9" s="1"/>
  <c r="W332" i="4"/>
  <c r="D362" i="9" s="1"/>
  <c r="G330" i="4"/>
  <c r="B360" i="9" s="1"/>
  <c r="AE327" i="4"/>
  <c r="E357" i="9" s="1"/>
  <c r="O325" i="4"/>
  <c r="C355" i="9" s="1"/>
  <c r="AM322" i="4"/>
  <c r="F352" i="9" s="1"/>
  <c r="W320" i="4"/>
  <c r="D350" i="9" s="1"/>
  <c r="G318" i="4"/>
  <c r="B348" i="9" s="1"/>
  <c r="AE315" i="4"/>
  <c r="E345" i="9" s="1"/>
  <c r="O313" i="4"/>
  <c r="C343" i="9" s="1"/>
  <c r="W363" i="4"/>
  <c r="D393" i="9" s="1"/>
  <c r="O356" i="4"/>
  <c r="C386" i="9" s="1"/>
  <c r="G349" i="4"/>
  <c r="B379" i="9" s="1"/>
  <c r="AM335" i="4"/>
  <c r="F365" i="9" s="1"/>
  <c r="W333" i="4"/>
  <c r="D363" i="9" s="1"/>
  <c r="G331" i="4"/>
  <c r="B361" i="9" s="1"/>
  <c r="AE328" i="4"/>
  <c r="E358" i="9" s="1"/>
  <c r="O326" i="4"/>
  <c r="C356" i="9" s="1"/>
  <c r="AM323" i="4"/>
  <c r="F353" i="9" s="1"/>
  <c r="W321" i="4"/>
  <c r="D351" i="9" s="1"/>
  <c r="G319" i="4"/>
  <c r="B349" i="9" s="1"/>
  <c r="AE316" i="4"/>
  <c r="E346" i="9" s="1"/>
  <c r="O314" i="4"/>
  <c r="C344" i="9" s="1"/>
  <c r="AM311" i="4"/>
  <c r="F341" i="9" s="1"/>
  <c r="W309" i="4"/>
  <c r="D339" i="9" s="1"/>
  <c r="G307" i="4"/>
  <c r="B337" i="9" s="1"/>
  <c r="W365" i="4"/>
  <c r="D395" i="9" s="1"/>
  <c r="O358" i="4"/>
  <c r="C388" i="9" s="1"/>
  <c r="G351" i="4"/>
  <c r="B381" i="9" s="1"/>
  <c r="AM343" i="4"/>
  <c r="F373" i="9" s="1"/>
  <c r="AE339" i="4"/>
  <c r="E369" i="9" s="1"/>
  <c r="AM336" i="4"/>
  <c r="F366" i="9" s="1"/>
  <c r="W334" i="4"/>
  <c r="D364" i="9" s="1"/>
  <c r="G332" i="4"/>
  <c r="B362" i="9" s="1"/>
  <c r="AE329" i="4"/>
  <c r="E359" i="9" s="1"/>
  <c r="O327" i="4"/>
  <c r="C357" i="9" s="1"/>
  <c r="AM324" i="4"/>
  <c r="F354" i="9" s="1"/>
  <c r="O366" i="4"/>
  <c r="C396" i="9" s="1"/>
  <c r="O367" i="4"/>
  <c r="C397" i="9" s="1"/>
  <c r="G360" i="4"/>
  <c r="B390" i="9" s="1"/>
  <c r="AM352" i="4"/>
  <c r="F382" i="9" s="1"/>
  <c r="AE345" i="4"/>
  <c r="E375" i="9" s="1"/>
  <c r="W336" i="4"/>
  <c r="D366" i="9" s="1"/>
  <c r="G334" i="4"/>
  <c r="B364" i="9" s="1"/>
  <c r="AE331" i="4"/>
  <c r="E361" i="9" s="1"/>
  <c r="O329" i="4"/>
  <c r="C359" i="9" s="1"/>
  <c r="AM326" i="4"/>
  <c r="F356" i="9" s="1"/>
  <c r="W324" i="4"/>
  <c r="D354" i="9" s="1"/>
  <c r="G322" i="4"/>
  <c r="B352" i="9" s="1"/>
  <c r="AE319" i="4"/>
  <c r="E349" i="9" s="1"/>
  <c r="O317" i="4"/>
  <c r="C347" i="9" s="1"/>
  <c r="AM363" i="4"/>
  <c r="F393" i="9" s="1"/>
  <c r="AE356" i="4"/>
  <c r="E386" i="9" s="1"/>
  <c r="W349" i="4"/>
  <c r="D379" i="9" s="1"/>
  <c r="G337" i="4"/>
  <c r="B367" i="9" s="1"/>
  <c r="AE334" i="4"/>
  <c r="E364" i="9" s="1"/>
  <c r="O332" i="4"/>
  <c r="C362" i="9" s="1"/>
  <c r="AM329" i="4"/>
  <c r="F359" i="9" s="1"/>
  <c r="W327" i="4"/>
  <c r="D357" i="9" s="1"/>
  <c r="G325" i="4"/>
  <c r="B355" i="9" s="1"/>
  <c r="AE322" i="4"/>
  <c r="E352" i="9" s="1"/>
  <c r="O320" i="4"/>
  <c r="C350" i="9" s="1"/>
  <c r="AM317" i="4"/>
  <c r="F347" i="9" s="1"/>
  <c r="W315" i="4"/>
  <c r="D345" i="9" s="1"/>
  <c r="G313" i="4"/>
  <c r="B343" i="9" s="1"/>
  <c r="AE310" i="4"/>
  <c r="E340" i="9" s="1"/>
  <c r="O308" i="4"/>
  <c r="C338" i="9" s="1"/>
  <c r="AM365" i="4"/>
  <c r="F395" i="9" s="1"/>
  <c r="AE358" i="4"/>
  <c r="E388" i="9" s="1"/>
  <c r="W351" i="4"/>
  <c r="D381" i="9" s="1"/>
  <c r="O344" i="4"/>
  <c r="C374" i="9" s="1"/>
  <c r="O343" i="4"/>
  <c r="C373" i="9" s="1"/>
  <c r="AE336" i="4"/>
  <c r="E366" i="9" s="1"/>
  <c r="O334" i="4"/>
  <c r="C364" i="9" s="1"/>
  <c r="AM331" i="4"/>
  <c r="F361" i="9" s="1"/>
  <c r="W329" i="4"/>
  <c r="D359" i="9" s="1"/>
  <c r="G327" i="4"/>
  <c r="B357" i="9" s="1"/>
  <c r="AE324" i="4"/>
  <c r="E354" i="9" s="1"/>
  <c r="G363" i="4"/>
  <c r="B393" i="9" s="1"/>
  <c r="AE348" i="4"/>
  <c r="E378" i="9" s="1"/>
  <c r="G336" i="4"/>
  <c r="B366" i="9" s="1"/>
  <c r="O331" i="4"/>
  <c r="C361" i="9" s="1"/>
  <c r="W326" i="4"/>
  <c r="D356" i="9" s="1"/>
  <c r="W322" i="4"/>
  <c r="D352" i="9" s="1"/>
  <c r="AM318" i="4"/>
  <c r="F348" i="9" s="1"/>
  <c r="AM315" i="4"/>
  <c r="F345" i="9" s="1"/>
  <c r="AE312" i="4"/>
  <c r="E342" i="9" s="1"/>
  <c r="AM310" i="4"/>
  <c r="F340" i="9" s="1"/>
  <c r="AM303" i="4"/>
  <c r="F333" i="9" s="1"/>
  <c r="W301" i="4"/>
  <c r="D331" i="9" s="1"/>
  <c r="G299" i="4"/>
  <c r="B329" i="9" s="1"/>
  <c r="AE296" i="4"/>
  <c r="E326" i="9" s="1"/>
  <c r="O294" i="4"/>
  <c r="C324" i="9" s="1"/>
  <c r="AM291" i="4"/>
  <c r="F321" i="9" s="1"/>
  <c r="W289" i="4"/>
  <c r="D319" i="9" s="1"/>
  <c r="G287" i="4"/>
  <c r="B317" i="9" s="1"/>
  <c r="AE284" i="4"/>
  <c r="E314" i="9" s="1"/>
  <c r="O282" i="4"/>
  <c r="C312" i="9" s="1"/>
  <c r="AM279" i="4"/>
  <c r="F309" i="9" s="1"/>
  <c r="W277" i="4"/>
  <c r="D307" i="9" s="1"/>
  <c r="G275" i="4"/>
  <c r="B305" i="9" s="1"/>
  <c r="AE272" i="4"/>
  <c r="E302" i="9" s="1"/>
  <c r="O270" i="4"/>
  <c r="C300" i="9" s="1"/>
  <c r="AM267" i="4"/>
  <c r="F297" i="9" s="1"/>
  <c r="W265" i="4"/>
  <c r="D295" i="9" s="1"/>
  <c r="G263" i="4"/>
  <c r="B293" i="9" s="1"/>
  <c r="AE260" i="4"/>
  <c r="E290" i="9" s="1"/>
  <c r="O258" i="4"/>
  <c r="C288" i="9" s="1"/>
  <c r="AM255" i="4"/>
  <c r="F285" i="9" s="1"/>
  <c r="W253" i="4"/>
  <c r="D283" i="9" s="1"/>
  <c r="G251" i="4"/>
  <c r="B281" i="9" s="1"/>
  <c r="AE248" i="4"/>
  <c r="E278" i="9" s="1"/>
  <c r="O246" i="4"/>
  <c r="C276" i="9" s="1"/>
  <c r="AM243" i="4"/>
  <c r="F273" i="9" s="1"/>
  <c r="W241" i="4"/>
  <c r="D271" i="9" s="1"/>
  <c r="G239" i="4"/>
  <c r="B269" i="9" s="1"/>
  <c r="AE236" i="4"/>
  <c r="E266" i="9" s="1"/>
  <c r="O234" i="4"/>
  <c r="C264" i="9" s="1"/>
  <c r="AM231" i="4"/>
  <c r="F261" i="9" s="1"/>
  <c r="W229" i="4"/>
  <c r="D259" i="9" s="1"/>
  <c r="G227" i="4"/>
  <c r="B257" i="9" s="1"/>
  <c r="AE224" i="4"/>
  <c r="E254" i="9" s="1"/>
  <c r="O222" i="4"/>
  <c r="C252" i="9" s="1"/>
  <c r="W350" i="4"/>
  <c r="D380" i="9" s="1"/>
  <c r="AM340" i="4"/>
  <c r="F370" i="9" s="1"/>
  <c r="G338" i="4"/>
  <c r="B368" i="9" s="1"/>
  <c r="O333" i="4"/>
  <c r="C363" i="9" s="1"/>
  <c r="W328" i="4"/>
  <c r="D358" i="9" s="1"/>
  <c r="AE323" i="4"/>
  <c r="E353" i="9" s="1"/>
  <c r="AM319" i="4"/>
  <c r="F349" i="9" s="1"/>
  <c r="O316" i="4"/>
  <c r="C346" i="9" s="1"/>
  <c r="W314" i="4"/>
  <c r="D344" i="9" s="1"/>
  <c r="O311" i="4"/>
  <c r="C341" i="9" s="1"/>
  <c r="AM304" i="4"/>
  <c r="F334" i="9" s="1"/>
  <c r="W302" i="4"/>
  <c r="D332" i="9" s="1"/>
  <c r="G300" i="4"/>
  <c r="B330" i="9" s="1"/>
  <c r="AE297" i="4"/>
  <c r="E327" i="9" s="1"/>
  <c r="O295" i="4"/>
  <c r="C325" i="9" s="1"/>
  <c r="AM292" i="4"/>
  <c r="F322" i="9" s="1"/>
  <c r="W290" i="4"/>
  <c r="D320" i="9" s="1"/>
  <c r="G288" i="4"/>
  <c r="B318" i="9" s="1"/>
  <c r="AE285" i="4"/>
  <c r="E315" i="9" s="1"/>
  <c r="O283" i="4"/>
  <c r="C313" i="9" s="1"/>
  <c r="AM280" i="4"/>
  <c r="F310" i="9" s="1"/>
  <c r="W278" i="4"/>
  <c r="D308" i="9" s="1"/>
  <c r="G276" i="4"/>
  <c r="B306" i="9" s="1"/>
  <c r="AE273" i="4"/>
  <c r="E303" i="9" s="1"/>
  <c r="O271" i="4"/>
  <c r="C301" i="9" s="1"/>
  <c r="AM268" i="4"/>
  <c r="F298" i="9" s="1"/>
  <c r="W266" i="4"/>
  <c r="D296" i="9" s="1"/>
  <c r="G264" i="4"/>
  <c r="B294" i="9" s="1"/>
  <c r="AE261" i="4"/>
  <c r="E291" i="9" s="1"/>
  <c r="O259" i="4"/>
  <c r="C289" i="9" s="1"/>
  <c r="AM256" i="4"/>
  <c r="F286" i="9" s="1"/>
  <c r="W254" i="4"/>
  <c r="D284" i="9" s="1"/>
  <c r="G252" i="4"/>
  <c r="B282" i="9" s="1"/>
  <c r="AE249" i="4"/>
  <c r="E279" i="9" s="1"/>
  <c r="O247" i="4"/>
  <c r="C277" i="9" s="1"/>
  <c r="AM244" i="4"/>
  <c r="F274" i="9" s="1"/>
  <c r="W242" i="4"/>
  <c r="D272" i="9" s="1"/>
  <c r="G240" i="4"/>
  <c r="B270" i="9" s="1"/>
  <c r="AE237" i="4"/>
  <c r="E267" i="9" s="1"/>
  <c r="O235" i="4"/>
  <c r="C265" i="9" s="1"/>
  <c r="AM232" i="4"/>
  <c r="F262" i="9" s="1"/>
  <c r="W230" i="4"/>
  <c r="D260" i="9" s="1"/>
  <c r="G228" i="4"/>
  <c r="B258" i="9" s="1"/>
  <c r="AE225" i="4"/>
  <c r="E255" i="9" s="1"/>
  <c r="O223" i="4"/>
  <c r="C253" i="9" s="1"/>
  <c r="AM220" i="4"/>
  <c r="F250" i="9" s="1"/>
  <c r="AE368" i="4"/>
  <c r="E398" i="9" s="1"/>
  <c r="AE360" i="4"/>
  <c r="E390" i="9" s="1"/>
  <c r="O346" i="4"/>
  <c r="C376" i="9" s="1"/>
  <c r="O335" i="4"/>
  <c r="C365" i="9" s="1"/>
  <c r="W330" i="4"/>
  <c r="D360" i="9" s="1"/>
  <c r="AE325" i="4"/>
  <c r="E355" i="9" s="1"/>
  <c r="AM320" i="4"/>
  <c r="F350" i="9" s="1"/>
  <c r="O318" i="4"/>
  <c r="C348" i="9" s="1"/>
  <c r="AM314" i="4"/>
  <c r="F344" i="9" s="1"/>
  <c r="AE311" i="4"/>
  <c r="E341" i="9" s="1"/>
  <c r="AE306" i="4"/>
  <c r="E336" i="9" s="1"/>
  <c r="O306" i="4"/>
  <c r="C336" i="9" s="1"/>
  <c r="AM305" i="4"/>
  <c r="F335" i="9" s="1"/>
  <c r="W303" i="4"/>
  <c r="D333" i="9" s="1"/>
  <c r="G301" i="4"/>
  <c r="B331" i="9" s="1"/>
  <c r="AE298" i="4"/>
  <c r="E328" i="9" s="1"/>
  <c r="O296" i="4"/>
  <c r="C326" i="9" s="1"/>
  <c r="AM293" i="4"/>
  <c r="F323" i="9" s="1"/>
  <c r="W291" i="4"/>
  <c r="D321" i="9" s="1"/>
  <c r="G289" i="4"/>
  <c r="B319" i="9" s="1"/>
  <c r="AE286" i="4"/>
  <c r="E316" i="9" s="1"/>
  <c r="O284" i="4"/>
  <c r="C314" i="9" s="1"/>
  <c r="AM281" i="4"/>
  <c r="F311" i="9" s="1"/>
  <c r="W279" i="4"/>
  <c r="D309" i="9" s="1"/>
  <c r="G277" i="4"/>
  <c r="B307" i="9" s="1"/>
  <c r="AE274" i="4"/>
  <c r="E304" i="9" s="1"/>
  <c r="O272" i="4"/>
  <c r="C302" i="9" s="1"/>
  <c r="AM269" i="4"/>
  <c r="F299" i="9" s="1"/>
  <c r="W267" i="4"/>
  <c r="D297" i="9" s="1"/>
  <c r="G265" i="4"/>
  <c r="B295" i="9" s="1"/>
  <c r="AE262" i="4"/>
  <c r="E292" i="9" s="1"/>
  <c r="O260" i="4"/>
  <c r="C290" i="9" s="1"/>
  <c r="AM257" i="4"/>
  <c r="F287" i="9" s="1"/>
  <c r="W255" i="4"/>
  <c r="D285" i="9" s="1"/>
  <c r="G253" i="4"/>
  <c r="B283" i="9" s="1"/>
  <c r="AE250" i="4"/>
  <c r="E280" i="9" s="1"/>
  <c r="O248" i="4"/>
  <c r="C278" i="9" s="1"/>
  <c r="AM245" i="4"/>
  <c r="F275" i="9" s="1"/>
  <c r="W243" i="4"/>
  <c r="D273" i="9" s="1"/>
  <c r="G241" i="4"/>
  <c r="B271" i="9" s="1"/>
  <c r="AE238" i="4"/>
  <c r="E268" i="9" s="1"/>
  <c r="O236" i="4"/>
  <c r="C266" i="9" s="1"/>
  <c r="AM233" i="4"/>
  <c r="F263" i="9" s="1"/>
  <c r="W231" i="4"/>
  <c r="D261" i="9" s="1"/>
  <c r="G229" i="4"/>
  <c r="B259" i="9" s="1"/>
  <c r="AE226" i="4"/>
  <c r="E256" i="9" s="1"/>
  <c r="O224" i="4"/>
  <c r="C254" i="9" s="1"/>
  <c r="AM221" i="4"/>
  <c r="F251" i="9" s="1"/>
  <c r="O368" i="4"/>
  <c r="C398" i="9" s="1"/>
  <c r="O354" i="4"/>
  <c r="C384" i="9" s="1"/>
  <c r="O342" i="4"/>
  <c r="C372" i="9" s="1"/>
  <c r="G339" i="4"/>
  <c r="B369" i="9" s="1"/>
  <c r="AM333" i="4"/>
  <c r="F363" i="9" s="1"/>
  <c r="G329" i="4"/>
  <c r="B359" i="9" s="1"/>
  <c r="O324" i="4"/>
  <c r="C354" i="9" s="1"/>
  <c r="AM321" i="4"/>
  <c r="F351" i="9" s="1"/>
  <c r="O319" i="4"/>
  <c r="C349" i="9" s="1"/>
  <c r="O315" i="4"/>
  <c r="C345" i="9" s="1"/>
  <c r="W313" i="4"/>
  <c r="D343" i="9" s="1"/>
  <c r="AM307" i="4"/>
  <c r="F337" i="9" s="1"/>
  <c r="W307" i="4"/>
  <c r="D337" i="9" s="1"/>
  <c r="W304" i="4"/>
  <c r="D334" i="9" s="1"/>
  <c r="G302" i="4"/>
  <c r="B332" i="9" s="1"/>
  <c r="AE299" i="4"/>
  <c r="E329" i="9" s="1"/>
  <c r="O297" i="4"/>
  <c r="C327" i="9" s="1"/>
  <c r="AM294" i="4"/>
  <c r="F324" i="9" s="1"/>
  <c r="W292" i="4"/>
  <c r="D322" i="9" s="1"/>
  <c r="G290" i="4"/>
  <c r="B320" i="9" s="1"/>
  <c r="AE287" i="4"/>
  <c r="E317" i="9" s="1"/>
  <c r="O285" i="4"/>
  <c r="C315" i="9" s="1"/>
  <c r="AM282" i="4"/>
  <c r="F312" i="9" s="1"/>
  <c r="W280" i="4"/>
  <c r="D310" i="9" s="1"/>
  <c r="G278" i="4"/>
  <c r="B308" i="9" s="1"/>
  <c r="AE275" i="4"/>
  <c r="E305" i="9" s="1"/>
  <c r="O273" i="4"/>
  <c r="C303" i="9" s="1"/>
  <c r="AM270" i="4"/>
  <c r="F300" i="9" s="1"/>
  <c r="W268" i="4"/>
  <c r="D298" i="9" s="1"/>
  <c r="G266" i="4"/>
  <c r="B296" i="9" s="1"/>
  <c r="AE263" i="4"/>
  <c r="E293" i="9" s="1"/>
  <c r="O261" i="4"/>
  <c r="C291" i="9" s="1"/>
  <c r="AM258" i="4"/>
  <c r="F288" i="9" s="1"/>
  <c r="W256" i="4"/>
  <c r="D286" i="9" s="1"/>
  <c r="G254" i="4"/>
  <c r="B284" i="9" s="1"/>
  <c r="AE251" i="4"/>
  <c r="E281" i="9" s="1"/>
  <c r="O249" i="4"/>
  <c r="C279" i="9" s="1"/>
  <c r="AM246" i="4"/>
  <c r="F276" i="9" s="1"/>
  <c r="W244" i="4"/>
  <c r="D274" i="9" s="1"/>
  <c r="G242" i="4"/>
  <c r="B272" i="9" s="1"/>
  <c r="AE239" i="4"/>
  <c r="E269" i="9" s="1"/>
  <c r="O237" i="4"/>
  <c r="C267" i="9" s="1"/>
  <c r="AM234" i="4"/>
  <c r="F264" i="9" s="1"/>
  <c r="W232" i="4"/>
  <c r="D262" i="9" s="1"/>
  <c r="G230" i="4"/>
  <c r="B260" i="9" s="1"/>
  <c r="AM351" i="4"/>
  <c r="F381" i="9" s="1"/>
  <c r="G342" i="4"/>
  <c r="B372" i="9" s="1"/>
  <c r="AM337" i="4"/>
  <c r="F367" i="9" s="1"/>
  <c r="G333" i="4"/>
  <c r="B363" i="9" s="1"/>
  <c r="O328" i="4"/>
  <c r="C358" i="9" s="1"/>
  <c r="W323" i="4"/>
  <c r="D353" i="9" s="1"/>
  <c r="O321" i="4"/>
  <c r="C351" i="9" s="1"/>
  <c r="AE317" i="4"/>
  <c r="E347" i="9" s="1"/>
  <c r="AM313" i="4"/>
  <c r="F343" i="9" s="1"/>
  <c r="G312" i="4"/>
  <c r="B342" i="9" s="1"/>
  <c r="G309" i="4"/>
  <c r="B339" i="9" s="1"/>
  <c r="AE308" i="4"/>
  <c r="E338" i="9" s="1"/>
  <c r="W305" i="4"/>
  <c r="D335" i="9" s="1"/>
  <c r="G303" i="4"/>
  <c r="B333" i="9" s="1"/>
  <c r="AE300" i="4"/>
  <c r="E330" i="9" s="1"/>
  <c r="O298" i="4"/>
  <c r="C328" i="9" s="1"/>
  <c r="AM295" i="4"/>
  <c r="F325" i="9" s="1"/>
  <c r="W293" i="4"/>
  <c r="D323" i="9" s="1"/>
  <c r="G291" i="4"/>
  <c r="B321" i="9" s="1"/>
  <c r="AE288" i="4"/>
  <c r="E318" i="9" s="1"/>
  <c r="O286" i="4"/>
  <c r="C316" i="9" s="1"/>
  <c r="AM283" i="4"/>
  <c r="F313" i="9" s="1"/>
  <c r="W281" i="4"/>
  <c r="D311" i="9" s="1"/>
  <c r="G279" i="4"/>
  <c r="B309" i="9" s="1"/>
  <c r="AE276" i="4"/>
  <c r="E306" i="9" s="1"/>
  <c r="O274" i="4"/>
  <c r="C304" i="9" s="1"/>
  <c r="AM271" i="4"/>
  <c r="F301" i="9" s="1"/>
  <c r="W269" i="4"/>
  <c r="D299" i="9" s="1"/>
  <c r="G267" i="4"/>
  <c r="B297" i="9" s="1"/>
  <c r="AE264" i="4"/>
  <c r="E294" i="9" s="1"/>
  <c r="O262" i="4"/>
  <c r="C292" i="9" s="1"/>
  <c r="AM259" i="4"/>
  <c r="F289" i="9" s="1"/>
  <c r="W257" i="4"/>
  <c r="D287" i="9" s="1"/>
  <c r="G255" i="4"/>
  <c r="B285" i="9" s="1"/>
  <c r="AE252" i="4"/>
  <c r="E282" i="9" s="1"/>
  <c r="O250" i="4"/>
  <c r="C280" i="9" s="1"/>
  <c r="AM247" i="4"/>
  <c r="F277" i="9" s="1"/>
  <c r="W245" i="4"/>
  <c r="D275" i="9" s="1"/>
  <c r="G243" i="4"/>
  <c r="B273" i="9" s="1"/>
  <c r="AE240" i="4"/>
  <c r="E270" i="9" s="1"/>
  <c r="O238" i="4"/>
  <c r="C268" i="9" s="1"/>
  <c r="AM235" i="4"/>
  <c r="F265" i="9" s="1"/>
  <c r="W233" i="4"/>
  <c r="D263" i="9" s="1"/>
  <c r="G231" i="4"/>
  <c r="B261" i="9" s="1"/>
  <c r="AE228" i="4"/>
  <c r="E258" i="9" s="1"/>
  <c r="O226" i="4"/>
  <c r="C256" i="9" s="1"/>
  <c r="AM223" i="4"/>
  <c r="F253" i="9" s="1"/>
  <c r="W221" i="4"/>
  <c r="D251" i="9" s="1"/>
  <c r="AM364" i="4"/>
  <c r="F394" i="9" s="1"/>
  <c r="AM353" i="4"/>
  <c r="F383" i="9" s="1"/>
  <c r="G335" i="4"/>
  <c r="B365" i="9" s="1"/>
  <c r="O330" i="4"/>
  <c r="C360" i="9" s="1"/>
  <c r="W325" i="4"/>
  <c r="D355" i="9" s="1"/>
  <c r="O322" i="4"/>
  <c r="C352" i="9" s="1"/>
  <c r="AE318" i="4"/>
  <c r="E348" i="9" s="1"/>
  <c r="W312" i="4"/>
  <c r="D342" i="9" s="1"/>
  <c r="O310" i="4"/>
  <c r="C340" i="9" s="1"/>
  <c r="AM309" i="4"/>
  <c r="F339" i="9" s="1"/>
  <c r="G304" i="4"/>
  <c r="B334" i="9" s="1"/>
  <c r="AE301" i="4"/>
  <c r="E331" i="9" s="1"/>
  <c r="O299" i="4"/>
  <c r="C329" i="9" s="1"/>
  <c r="AM296" i="4"/>
  <c r="F326" i="9" s="1"/>
  <c r="W294" i="4"/>
  <c r="D324" i="9" s="1"/>
  <c r="G292" i="4"/>
  <c r="B322" i="9" s="1"/>
  <c r="AE289" i="4"/>
  <c r="E319" i="9" s="1"/>
  <c r="O287" i="4"/>
  <c r="C317" i="9" s="1"/>
  <c r="AM284" i="4"/>
  <c r="F314" i="9" s="1"/>
  <c r="W282" i="4"/>
  <c r="D312" i="9" s="1"/>
  <c r="G280" i="4"/>
  <c r="B310" i="9" s="1"/>
  <c r="AE277" i="4"/>
  <c r="E307" i="9" s="1"/>
  <c r="O275" i="4"/>
  <c r="C305" i="9" s="1"/>
  <c r="AM272" i="4"/>
  <c r="F302" i="9" s="1"/>
  <c r="W270" i="4"/>
  <c r="D300" i="9" s="1"/>
  <c r="G268" i="4"/>
  <c r="B298" i="9" s="1"/>
  <c r="AE265" i="4"/>
  <c r="E295" i="9" s="1"/>
  <c r="O263" i="4"/>
  <c r="C293" i="9" s="1"/>
  <c r="AM260" i="4"/>
  <c r="F290" i="9" s="1"/>
  <c r="W258" i="4"/>
  <c r="D288" i="9" s="1"/>
  <c r="G256" i="4"/>
  <c r="B286" i="9" s="1"/>
  <c r="AE253" i="4"/>
  <c r="E283" i="9" s="1"/>
  <c r="O251" i="4"/>
  <c r="C281" i="9" s="1"/>
  <c r="AM248" i="4"/>
  <c r="F278" i="9" s="1"/>
  <c r="W246" i="4"/>
  <c r="D276" i="9" s="1"/>
  <c r="G244" i="4"/>
  <c r="B274" i="9" s="1"/>
  <c r="AE241" i="4"/>
  <c r="E271" i="9" s="1"/>
  <c r="O239" i="4"/>
  <c r="C269" i="9" s="1"/>
  <c r="AM236" i="4"/>
  <c r="F266" i="9" s="1"/>
  <c r="W234" i="4"/>
  <c r="D264" i="9" s="1"/>
  <c r="G232" i="4"/>
  <c r="B262" i="9" s="1"/>
  <c r="AE229" i="4"/>
  <c r="E259" i="9" s="1"/>
  <c r="O227" i="4"/>
  <c r="C257" i="9" s="1"/>
  <c r="AM224" i="4"/>
  <c r="F254" i="9" s="1"/>
  <c r="W222" i="4"/>
  <c r="D252" i="9" s="1"/>
  <c r="AM355" i="4"/>
  <c r="F385" i="9" s="1"/>
  <c r="AM341" i="4"/>
  <c r="F371" i="9" s="1"/>
  <c r="AE333" i="4"/>
  <c r="E363" i="9" s="1"/>
  <c r="AM328" i="4"/>
  <c r="F358" i="9" s="1"/>
  <c r="G324" i="4"/>
  <c r="B354" i="9" s="1"/>
  <c r="AE320" i="4"/>
  <c r="E350" i="9" s="1"/>
  <c r="AM312" i="4"/>
  <c r="F342" i="9" s="1"/>
  <c r="G311" i="4"/>
  <c r="B341" i="9" s="1"/>
  <c r="G305" i="4"/>
  <c r="B335" i="9" s="1"/>
  <c r="AE302" i="4"/>
  <c r="E332" i="9" s="1"/>
  <c r="O300" i="4"/>
  <c r="C330" i="9" s="1"/>
  <c r="AM297" i="4"/>
  <c r="F327" i="9" s="1"/>
  <c r="W295" i="4"/>
  <c r="D325" i="9" s="1"/>
  <c r="G293" i="4"/>
  <c r="B323" i="9" s="1"/>
  <c r="AE290" i="4"/>
  <c r="E320" i="9" s="1"/>
  <c r="O288" i="4"/>
  <c r="C318" i="9" s="1"/>
  <c r="AM285" i="4"/>
  <c r="F315" i="9" s="1"/>
  <c r="W283" i="4"/>
  <c r="D313" i="9" s="1"/>
  <c r="G281" i="4"/>
  <c r="B311" i="9" s="1"/>
  <c r="AE278" i="4"/>
  <c r="E308" i="9" s="1"/>
  <c r="O276" i="4"/>
  <c r="C306" i="9" s="1"/>
  <c r="AM273" i="4"/>
  <c r="F303" i="9" s="1"/>
  <c r="W271" i="4"/>
  <c r="D301" i="9" s="1"/>
  <c r="G269" i="4"/>
  <c r="B299" i="9" s="1"/>
  <c r="AE266" i="4"/>
  <c r="E296" i="9" s="1"/>
  <c r="O264" i="4"/>
  <c r="C294" i="9" s="1"/>
  <c r="AM261" i="4"/>
  <c r="F291" i="9" s="1"/>
  <c r="W259" i="4"/>
  <c r="D289" i="9" s="1"/>
  <c r="G257" i="4"/>
  <c r="B287" i="9" s="1"/>
  <c r="AE254" i="4"/>
  <c r="E284" i="9" s="1"/>
  <c r="O252" i="4"/>
  <c r="C282" i="9" s="1"/>
  <c r="AM249" i="4"/>
  <c r="F279" i="9" s="1"/>
  <c r="W247" i="4"/>
  <c r="D277" i="9" s="1"/>
  <c r="G245" i="4"/>
  <c r="B275" i="9" s="1"/>
  <c r="AE242" i="4"/>
  <c r="E272" i="9" s="1"/>
  <c r="O240" i="4"/>
  <c r="C270" i="9" s="1"/>
  <c r="AM237" i="4"/>
  <c r="F267" i="9" s="1"/>
  <c r="W235" i="4"/>
  <c r="D265" i="9" s="1"/>
  <c r="G233" i="4"/>
  <c r="B263" i="9" s="1"/>
  <c r="AE357" i="4"/>
  <c r="E387" i="9" s="1"/>
  <c r="W338" i="4"/>
  <c r="D368" i="9" s="1"/>
  <c r="AE335" i="4"/>
  <c r="E365" i="9" s="1"/>
  <c r="AM330" i="4"/>
  <c r="F360" i="9" s="1"/>
  <c r="G326" i="4"/>
  <c r="B356" i="9" s="1"/>
  <c r="AE321" i="4"/>
  <c r="E351" i="9" s="1"/>
  <c r="G317" i="4"/>
  <c r="B347" i="9" s="1"/>
  <c r="G316" i="4"/>
  <c r="B346" i="9" s="1"/>
  <c r="W311" i="4"/>
  <c r="D341" i="9" s="1"/>
  <c r="AE303" i="4"/>
  <c r="E333" i="9" s="1"/>
  <c r="O301" i="4"/>
  <c r="C331" i="9" s="1"/>
  <c r="AM298" i="4"/>
  <c r="F328" i="9" s="1"/>
  <c r="W296" i="4"/>
  <c r="D326" i="9" s="1"/>
  <c r="G294" i="4"/>
  <c r="B324" i="9" s="1"/>
  <c r="AE291" i="4"/>
  <c r="E321" i="9" s="1"/>
  <c r="O289" i="4"/>
  <c r="C319" i="9" s="1"/>
  <c r="AM286" i="4"/>
  <c r="F316" i="9" s="1"/>
  <c r="W284" i="4"/>
  <c r="D314" i="9" s="1"/>
  <c r="G282" i="4"/>
  <c r="B312" i="9" s="1"/>
  <c r="AE279" i="4"/>
  <c r="E309" i="9" s="1"/>
  <c r="O277" i="4"/>
  <c r="C307" i="9" s="1"/>
  <c r="AM274" i="4"/>
  <c r="F304" i="9" s="1"/>
  <c r="W272" i="4"/>
  <c r="D302" i="9" s="1"/>
  <c r="G270" i="4"/>
  <c r="B300" i="9" s="1"/>
  <c r="AE267" i="4"/>
  <c r="E297" i="9" s="1"/>
  <c r="O265" i="4"/>
  <c r="C295" i="9" s="1"/>
  <c r="AM262" i="4"/>
  <c r="F292" i="9" s="1"/>
  <c r="W260" i="4"/>
  <c r="D290" i="9" s="1"/>
  <c r="G258" i="4"/>
  <c r="B288" i="9" s="1"/>
  <c r="AE255" i="4"/>
  <c r="E285" i="9" s="1"/>
  <c r="O253" i="4"/>
  <c r="C283" i="9" s="1"/>
  <c r="AM250" i="4"/>
  <c r="F280" i="9" s="1"/>
  <c r="W248" i="4"/>
  <c r="D278" i="9" s="1"/>
  <c r="G246" i="4"/>
  <c r="B276" i="9" s="1"/>
  <c r="AE243" i="4"/>
  <c r="E273" i="9" s="1"/>
  <c r="O241" i="4"/>
  <c r="C271" i="9" s="1"/>
  <c r="AM238" i="4"/>
  <c r="F268" i="9" s="1"/>
  <c r="W236" i="4"/>
  <c r="D266" i="9" s="1"/>
  <c r="G234" i="4"/>
  <c r="B264" i="9" s="1"/>
  <c r="W353" i="4"/>
  <c r="D383" i="9" s="1"/>
  <c r="AM339" i="4"/>
  <c r="F369" i="9" s="1"/>
  <c r="AE337" i="4"/>
  <c r="E367" i="9" s="1"/>
  <c r="AM332" i="4"/>
  <c r="F362" i="9" s="1"/>
  <c r="G328" i="4"/>
  <c r="B358" i="9" s="1"/>
  <c r="O323" i="4"/>
  <c r="C353" i="9" s="1"/>
  <c r="G320" i="4"/>
  <c r="B350" i="9" s="1"/>
  <c r="W316" i="4"/>
  <c r="D346" i="9" s="1"/>
  <c r="AE314" i="4"/>
  <c r="E344" i="9" s="1"/>
  <c r="AM306" i="4"/>
  <c r="F336" i="9" s="1"/>
  <c r="W306" i="4"/>
  <c r="D336" i="9" s="1"/>
  <c r="G306" i="4"/>
  <c r="B336" i="9" s="1"/>
  <c r="AE304" i="4"/>
  <c r="E334" i="9" s="1"/>
  <c r="O302" i="4"/>
  <c r="C332" i="9" s="1"/>
  <c r="AM299" i="4"/>
  <c r="F329" i="9" s="1"/>
  <c r="W297" i="4"/>
  <c r="D327" i="9" s="1"/>
  <c r="G295" i="4"/>
  <c r="B325" i="9" s="1"/>
  <c r="AE292" i="4"/>
  <c r="E322" i="9" s="1"/>
  <c r="O290" i="4"/>
  <c r="C320" i="9" s="1"/>
  <c r="AM287" i="4"/>
  <c r="F317" i="9" s="1"/>
  <c r="W285" i="4"/>
  <c r="D315" i="9" s="1"/>
  <c r="G283" i="4"/>
  <c r="B313" i="9" s="1"/>
  <c r="AE280" i="4"/>
  <c r="E310" i="9" s="1"/>
  <c r="O278" i="4"/>
  <c r="C308" i="9" s="1"/>
  <c r="AM275" i="4"/>
  <c r="F305" i="9" s="1"/>
  <c r="W273" i="4"/>
  <c r="D303" i="9" s="1"/>
  <c r="G271" i="4"/>
  <c r="B301" i="9" s="1"/>
  <c r="AE268" i="4"/>
  <c r="E298" i="9" s="1"/>
  <c r="O266" i="4"/>
  <c r="C296" i="9" s="1"/>
  <c r="AM263" i="4"/>
  <c r="F293" i="9" s="1"/>
  <c r="W261" i="4"/>
  <c r="D291" i="9" s="1"/>
  <c r="G259" i="4"/>
  <c r="B289" i="9" s="1"/>
  <c r="AE256" i="4"/>
  <c r="E286" i="9" s="1"/>
  <c r="O254" i="4"/>
  <c r="C284" i="9" s="1"/>
  <c r="AM251" i="4"/>
  <c r="F281" i="9" s="1"/>
  <c r="W249" i="4"/>
  <c r="D279" i="9" s="1"/>
  <c r="G247" i="4"/>
  <c r="B277" i="9" s="1"/>
  <c r="AE244" i="4"/>
  <c r="E274" i="9" s="1"/>
  <c r="O242" i="4"/>
  <c r="C272" i="9" s="1"/>
  <c r="AM239" i="4"/>
  <c r="F269" i="9" s="1"/>
  <c r="W237" i="4"/>
  <c r="D267" i="9" s="1"/>
  <c r="G235" i="4"/>
  <c r="B265" i="9" s="1"/>
  <c r="AE232" i="4"/>
  <c r="E262" i="9" s="1"/>
  <c r="O230" i="4"/>
  <c r="C260" i="9" s="1"/>
  <c r="AM227" i="4"/>
  <c r="F257" i="9" s="1"/>
  <c r="W225" i="4"/>
  <c r="D255" i="9" s="1"/>
  <c r="G223" i="4"/>
  <c r="B253" i="9" s="1"/>
  <c r="W361" i="4"/>
  <c r="D391" i="9" s="1"/>
  <c r="G347" i="4"/>
  <c r="B377" i="9" s="1"/>
  <c r="O336" i="4"/>
  <c r="C366" i="9" s="1"/>
  <c r="W331" i="4"/>
  <c r="D361" i="9" s="1"/>
  <c r="AE326" i="4"/>
  <c r="E356" i="9" s="1"/>
  <c r="G321" i="4"/>
  <c r="B351" i="9" s="1"/>
  <c r="W317" i="4"/>
  <c r="D347" i="9" s="1"/>
  <c r="G315" i="4"/>
  <c r="B345" i="9" s="1"/>
  <c r="G308" i="4"/>
  <c r="B338" i="9" s="1"/>
  <c r="AE307" i="4"/>
  <c r="E337" i="9" s="1"/>
  <c r="O307" i="4"/>
  <c r="C337" i="9" s="1"/>
  <c r="AE305" i="4"/>
  <c r="E335" i="9" s="1"/>
  <c r="O303" i="4"/>
  <c r="C333" i="9" s="1"/>
  <c r="AM300" i="4"/>
  <c r="F330" i="9" s="1"/>
  <c r="W298" i="4"/>
  <c r="D328" i="9" s="1"/>
  <c r="G296" i="4"/>
  <c r="B326" i="9" s="1"/>
  <c r="AE293" i="4"/>
  <c r="E323" i="9" s="1"/>
  <c r="O291" i="4"/>
  <c r="C321" i="9" s="1"/>
  <c r="AM288" i="4"/>
  <c r="F318" i="9" s="1"/>
  <c r="W286" i="4"/>
  <c r="D316" i="9" s="1"/>
  <c r="G284" i="4"/>
  <c r="B314" i="9" s="1"/>
  <c r="AE281" i="4"/>
  <c r="E311" i="9" s="1"/>
  <c r="O279" i="4"/>
  <c r="C309" i="9" s="1"/>
  <c r="AM276" i="4"/>
  <c r="F306" i="9" s="1"/>
  <c r="W274" i="4"/>
  <c r="D304" i="9" s="1"/>
  <c r="G272" i="4"/>
  <c r="B302" i="9" s="1"/>
  <c r="AE269" i="4"/>
  <c r="E299" i="9" s="1"/>
  <c r="O267" i="4"/>
  <c r="C297" i="9" s="1"/>
  <c r="AM264" i="4"/>
  <c r="F294" i="9" s="1"/>
  <c r="W262" i="4"/>
  <c r="D292" i="9" s="1"/>
  <c r="G260" i="4"/>
  <c r="B290" i="9" s="1"/>
  <c r="AE257" i="4"/>
  <c r="E287" i="9" s="1"/>
  <c r="O255" i="4"/>
  <c r="C285" i="9" s="1"/>
  <c r="AM252" i="4"/>
  <c r="F282" i="9" s="1"/>
  <c r="W250" i="4"/>
  <c r="D280" i="9" s="1"/>
  <c r="G248" i="4"/>
  <c r="B278" i="9" s="1"/>
  <c r="AE245" i="4"/>
  <c r="E275" i="9" s="1"/>
  <c r="O243" i="4"/>
  <c r="C273" i="9" s="1"/>
  <c r="G361" i="4"/>
  <c r="B391" i="9" s="1"/>
  <c r="AE346" i="4"/>
  <c r="E376" i="9" s="1"/>
  <c r="W339" i="4"/>
  <c r="D369" i="9" s="1"/>
  <c r="W337" i="4"/>
  <c r="D367" i="9" s="1"/>
  <c r="AE332" i="4"/>
  <c r="E362" i="9" s="1"/>
  <c r="AM327" i="4"/>
  <c r="F357" i="9" s="1"/>
  <c r="G323" i="4"/>
  <c r="B353" i="9" s="1"/>
  <c r="W319" i="4"/>
  <c r="D349" i="9" s="1"/>
  <c r="AM316" i="4"/>
  <c r="F346" i="9" s="1"/>
  <c r="G314" i="4"/>
  <c r="B344" i="9" s="1"/>
  <c r="O312" i="4"/>
  <c r="C342" i="9" s="1"/>
  <c r="W310" i="4"/>
  <c r="D340" i="9" s="1"/>
  <c r="G310" i="4"/>
  <c r="B340" i="9" s="1"/>
  <c r="AE309" i="4"/>
  <c r="E339" i="9" s="1"/>
  <c r="O305" i="4"/>
  <c r="C335" i="9" s="1"/>
  <c r="AM302" i="4"/>
  <c r="F332" i="9" s="1"/>
  <c r="W300" i="4"/>
  <c r="D330" i="9" s="1"/>
  <c r="G298" i="4"/>
  <c r="B328" i="9" s="1"/>
  <c r="AE295" i="4"/>
  <c r="E325" i="9" s="1"/>
  <c r="O293" i="4"/>
  <c r="C323" i="9" s="1"/>
  <c r="AM290" i="4"/>
  <c r="F320" i="9" s="1"/>
  <c r="W288" i="4"/>
  <c r="D318" i="9" s="1"/>
  <c r="G286" i="4"/>
  <c r="B316" i="9" s="1"/>
  <c r="AE283" i="4"/>
  <c r="E313" i="9" s="1"/>
  <c r="O281" i="4"/>
  <c r="C311" i="9" s="1"/>
  <c r="AM278" i="4"/>
  <c r="F308" i="9" s="1"/>
  <c r="W276" i="4"/>
  <c r="D306" i="9" s="1"/>
  <c r="G274" i="4"/>
  <c r="B304" i="9" s="1"/>
  <c r="AE271" i="4"/>
  <c r="E301" i="9" s="1"/>
  <c r="O269" i="4"/>
  <c r="C299" i="9" s="1"/>
  <c r="AM266" i="4"/>
  <c r="F296" i="9" s="1"/>
  <c r="W264" i="4"/>
  <c r="D294" i="9" s="1"/>
  <c r="G262" i="4"/>
  <c r="B292" i="9" s="1"/>
  <c r="AE259" i="4"/>
  <c r="E289" i="9" s="1"/>
  <c r="O257" i="4"/>
  <c r="C287" i="9" s="1"/>
  <c r="AM254" i="4"/>
  <c r="F284" i="9" s="1"/>
  <c r="W252" i="4"/>
  <c r="D282" i="9" s="1"/>
  <c r="G250" i="4"/>
  <c r="B280" i="9" s="1"/>
  <c r="AE247" i="4"/>
  <c r="E277" i="9" s="1"/>
  <c r="O245" i="4"/>
  <c r="C275" i="9" s="1"/>
  <c r="AM242" i="4"/>
  <c r="F272" i="9" s="1"/>
  <c r="W240" i="4"/>
  <c r="D270" i="9" s="1"/>
  <c r="G238" i="4"/>
  <c r="B268" i="9" s="1"/>
  <c r="AE235" i="4"/>
  <c r="E265" i="9" s="1"/>
  <c r="O233" i="4"/>
  <c r="C263" i="9" s="1"/>
  <c r="AM230" i="4"/>
  <c r="F260" i="9" s="1"/>
  <c r="W228" i="4"/>
  <c r="D258" i="9" s="1"/>
  <c r="G226" i="4"/>
  <c r="B256" i="9" s="1"/>
  <c r="AE223" i="4"/>
  <c r="E253" i="9" s="1"/>
  <c r="O221" i="4"/>
  <c r="C251" i="9" s="1"/>
  <c r="AE344" i="4"/>
  <c r="E374" i="9" s="1"/>
  <c r="AE294" i="4"/>
  <c r="E324" i="9" s="1"/>
  <c r="AM265" i="4"/>
  <c r="F295" i="9" s="1"/>
  <c r="AE233" i="4"/>
  <c r="E263" i="9" s="1"/>
  <c r="AM228" i="4"/>
  <c r="F258" i="9" s="1"/>
  <c r="AE221" i="4"/>
  <c r="E251" i="9" s="1"/>
  <c r="W218" i="4"/>
  <c r="D248" i="9" s="1"/>
  <c r="G216" i="4"/>
  <c r="B246" i="9" s="1"/>
  <c r="AE213" i="4"/>
  <c r="E243" i="9" s="1"/>
  <c r="O211" i="4"/>
  <c r="C241" i="9" s="1"/>
  <c r="AM208" i="4"/>
  <c r="F238" i="9" s="1"/>
  <c r="W206" i="4"/>
  <c r="D236" i="9" s="1"/>
  <c r="G204" i="4"/>
  <c r="B234" i="9" s="1"/>
  <c r="AE201" i="4"/>
  <c r="E231" i="9" s="1"/>
  <c r="O199" i="4"/>
  <c r="C229" i="9" s="1"/>
  <c r="AM196" i="4"/>
  <c r="F226" i="9" s="1"/>
  <c r="W194" i="4"/>
  <c r="D224" i="9" s="1"/>
  <c r="G192" i="4"/>
  <c r="B222" i="9" s="1"/>
  <c r="AE189" i="4"/>
  <c r="E219" i="9" s="1"/>
  <c r="O187" i="4"/>
  <c r="C217" i="9" s="1"/>
  <c r="AM184" i="4"/>
  <c r="F214" i="9" s="1"/>
  <c r="W182" i="4"/>
  <c r="D212" i="9" s="1"/>
  <c r="G180" i="4"/>
  <c r="B210" i="9" s="1"/>
  <c r="AE177" i="4"/>
  <c r="E207" i="9" s="1"/>
  <c r="O175" i="4"/>
  <c r="C205" i="9" s="1"/>
  <c r="AM172" i="4"/>
  <c r="F202" i="9" s="1"/>
  <c r="W170" i="4"/>
  <c r="D200" i="9" s="1"/>
  <c r="G168" i="4"/>
  <c r="B198" i="9" s="1"/>
  <c r="AE165" i="4"/>
  <c r="E195" i="9" s="1"/>
  <c r="O163" i="4"/>
  <c r="C193" i="9" s="1"/>
  <c r="AM160" i="4"/>
  <c r="F190" i="9" s="1"/>
  <c r="W158" i="4"/>
  <c r="D188" i="9" s="1"/>
  <c r="G156" i="4"/>
  <c r="B186" i="9" s="1"/>
  <c r="AE153" i="4"/>
  <c r="E183" i="9" s="1"/>
  <c r="O151" i="4"/>
  <c r="C181" i="9" s="1"/>
  <c r="AM148" i="4"/>
  <c r="F178" i="9" s="1"/>
  <c r="W146" i="4"/>
  <c r="D176" i="9" s="1"/>
  <c r="G144" i="4"/>
  <c r="B174" i="9" s="1"/>
  <c r="AE141" i="4"/>
  <c r="E171" i="9" s="1"/>
  <c r="O139" i="4"/>
  <c r="C169" i="9" s="1"/>
  <c r="AM136" i="4"/>
  <c r="F166" i="9" s="1"/>
  <c r="W134" i="4"/>
  <c r="D164" i="9" s="1"/>
  <c r="G132" i="4"/>
  <c r="B162" i="9" s="1"/>
  <c r="AE129" i="4"/>
  <c r="E159" i="9" s="1"/>
  <c r="O127" i="4"/>
  <c r="C157" i="9" s="1"/>
  <c r="AM124" i="4"/>
  <c r="F154" i="9" s="1"/>
  <c r="W122" i="4"/>
  <c r="D152" i="9" s="1"/>
  <c r="G120" i="4"/>
  <c r="B150" i="9" s="1"/>
  <c r="AM277" i="4"/>
  <c r="F307" i="9" s="1"/>
  <c r="G249" i="4"/>
  <c r="B279" i="9" s="1"/>
  <c r="AM241" i="4"/>
  <c r="F271" i="9" s="1"/>
  <c r="AM229" i="4"/>
  <c r="F259" i="9" s="1"/>
  <c r="W219" i="4"/>
  <c r="D249" i="9" s="1"/>
  <c r="G217" i="4"/>
  <c r="B247" i="9" s="1"/>
  <c r="AE214" i="4"/>
  <c r="E244" i="9" s="1"/>
  <c r="O212" i="4"/>
  <c r="C242" i="9" s="1"/>
  <c r="AM209" i="4"/>
  <c r="F239" i="9" s="1"/>
  <c r="W207" i="4"/>
  <c r="D237" i="9" s="1"/>
  <c r="G205" i="4"/>
  <c r="B235" i="9" s="1"/>
  <c r="AE202" i="4"/>
  <c r="E232" i="9" s="1"/>
  <c r="O200" i="4"/>
  <c r="C230" i="9" s="1"/>
  <c r="AM197" i="4"/>
  <c r="F227" i="9" s="1"/>
  <c r="W195" i="4"/>
  <c r="D225" i="9" s="1"/>
  <c r="G193" i="4"/>
  <c r="B223" i="9" s="1"/>
  <c r="AE190" i="4"/>
  <c r="E220" i="9" s="1"/>
  <c r="O188" i="4"/>
  <c r="C218" i="9" s="1"/>
  <c r="AM185" i="4"/>
  <c r="F215" i="9" s="1"/>
  <c r="W183" i="4"/>
  <c r="D213" i="9" s="1"/>
  <c r="G181" i="4"/>
  <c r="B211" i="9" s="1"/>
  <c r="AE178" i="4"/>
  <c r="E208" i="9" s="1"/>
  <c r="O176" i="4"/>
  <c r="C206" i="9" s="1"/>
  <c r="AM173" i="4"/>
  <c r="F203" i="9" s="1"/>
  <c r="W171" i="4"/>
  <c r="D201" i="9" s="1"/>
  <c r="G169" i="4"/>
  <c r="B199" i="9" s="1"/>
  <c r="AE166" i="4"/>
  <c r="E196" i="9" s="1"/>
  <c r="O164" i="4"/>
  <c r="C194" i="9" s="1"/>
  <c r="AM161" i="4"/>
  <c r="F191" i="9" s="1"/>
  <c r="W159" i="4"/>
  <c r="D189" i="9" s="1"/>
  <c r="G157" i="4"/>
  <c r="B187" i="9" s="1"/>
  <c r="AE154" i="4"/>
  <c r="E184" i="9" s="1"/>
  <c r="O152" i="4"/>
  <c r="C182" i="9" s="1"/>
  <c r="AM149" i="4"/>
  <c r="F179" i="9" s="1"/>
  <c r="W147" i="4"/>
  <c r="D177" i="9" s="1"/>
  <c r="G145" i="4"/>
  <c r="B175" i="9" s="1"/>
  <c r="AE142" i="4"/>
  <c r="E172" i="9" s="1"/>
  <c r="O140" i="4"/>
  <c r="C170" i="9" s="1"/>
  <c r="AM137" i="4"/>
  <c r="F167" i="9" s="1"/>
  <c r="W135" i="4"/>
  <c r="D165" i="9" s="1"/>
  <c r="G133" i="4"/>
  <c r="B163" i="9" s="1"/>
  <c r="AE130" i="4"/>
  <c r="E160" i="9" s="1"/>
  <c r="O128" i="4"/>
  <c r="C158" i="9" s="1"/>
  <c r="AM125" i="4"/>
  <c r="F155" i="9" s="1"/>
  <c r="W123" i="4"/>
  <c r="D153" i="9" s="1"/>
  <c r="G121" i="4"/>
  <c r="B151" i="9" s="1"/>
  <c r="AE118" i="4"/>
  <c r="E148" i="9" s="1"/>
  <c r="AM289" i="4"/>
  <c r="F319" i="9" s="1"/>
  <c r="G261" i="4"/>
  <c r="B291" i="9" s="1"/>
  <c r="AE230" i="4"/>
  <c r="E260" i="9" s="1"/>
  <c r="AM222" i="4"/>
  <c r="F252" i="9" s="1"/>
  <c r="W220" i="4"/>
  <c r="D250" i="9" s="1"/>
  <c r="G218" i="4"/>
  <c r="B248" i="9" s="1"/>
  <c r="AE215" i="4"/>
  <c r="E245" i="9" s="1"/>
  <c r="O213" i="4"/>
  <c r="C243" i="9" s="1"/>
  <c r="AM210" i="4"/>
  <c r="F240" i="9" s="1"/>
  <c r="W208" i="4"/>
  <c r="D238" i="9" s="1"/>
  <c r="G206" i="4"/>
  <c r="B236" i="9" s="1"/>
  <c r="AE203" i="4"/>
  <c r="E233" i="9" s="1"/>
  <c r="O201" i="4"/>
  <c r="C231" i="9" s="1"/>
  <c r="AM198" i="4"/>
  <c r="F228" i="9" s="1"/>
  <c r="W196" i="4"/>
  <c r="D226" i="9" s="1"/>
  <c r="G194" i="4"/>
  <c r="B224" i="9" s="1"/>
  <c r="AE191" i="4"/>
  <c r="E221" i="9" s="1"/>
  <c r="O189" i="4"/>
  <c r="C219" i="9" s="1"/>
  <c r="AM186" i="4"/>
  <c r="F216" i="9" s="1"/>
  <c r="W184" i="4"/>
  <c r="D214" i="9" s="1"/>
  <c r="G182" i="4"/>
  <c r="B212" i="9" s="1"/>
  <c r="AE179" i="4"/>
  <c r="E209" i="9" s="1"/>
  <c r="O177" i="4"/>
  <c r="C207" i="9" s="1"/>
  <c r="AM174" i="4"/>
  <c r="F204" i="9" s="1"/>
  <c r="W172" i="4"/>
  <c r="D202" i="9" s="1"/>
  <c r="G170" i="4"/>
  <c r="B200" i="9" s="1"/>
  <c r="AE167" i="4"/>
  <c r="E197" i="9" s="1"/>
  <c r="O165" i="4"/>
  <c r="C195" i="9" s="1"/>
  <c r="AM162" i="4"/>
  <c r="F192" i="9" s="1"/>
  <c r="W160" i="4"/>
  <c r="D190" i="9" s="1"/>
  <c r="G158" i="4"/>
  <c r="B188" i="9" s="1"/>
  <c r="AE155" i="4"/>
  <c r="E185" i="9" s="1"/>
  <c r="O153" i="4"/>
  <c r="C183" i="9" s="1"/>
  <c r="AM150" i="4"/>
  <c r="F180" i="9" s="1"/>
  <c r="W148" i="4"/>
  <c r="D178" i="9" s="1"/>
  <c r="G146" i="4"/>
  <c r="B176" i="9" s="1"/>
  <c r="AE143" i="4"/>
  <c r="E173" i="9" s="1"/>
  <c r="O141" i="4"/>
  <c r="C171" i="9" s="1"/>
  <c r="AM138" i="4"/>
  <c r="F168" i="9" s="1"/>
  <c r="W136" i="4"/>
  <c r="D166" i="9" s="1"/>
  <c r="G134" i="4"/>
  <c r="B164" i="9" s="1"/>
  <c r="AE131" i="4"/>
  <c r="E161" i="9" s="1"/>
  <c r="O129" i="4"/>
  <c r="C159" i="9" s="1"/>
  <c r="AM126" i="4"/>
  <c r="F156" i="9" s="1"/>
  <c r="W124" i="4"/>
  <c r="D154" i="9" s="1"/>
  <c r="G122" i="4"/>
  <c r="B152" i="9" s="1"/>
  <c r="AE119" i="4"/>
  <c r="E149" i="9" s="1"/>
  <c r="AE330" i="4"/>
  <c r="E360" i="9" s="1"/>
  <c r="AM301" i="4"/>
  <c r="F331" i="9" s="1"/>
  <c r="G273" i="4"/>
  <c r="B303" i="9" s="1"/>
  <c r="O244" i="4"/>
  <c r="C274" i="9" s="1"/>
  <c r="W239" i="4"/>
  <c r="D269" i="9" s="1"/>
  <c r="AE231" i="4"/>
  <c r="E261" i="9" s="1"/>
  <c r="O225" i="4"/>
  <c r="C255" i="9" s="1"/>
  <c r="W224" i="4"/>
  <c r="D254" i="9" s="1"/>
  <c r="G219" i="4"/>
  <c r="B249" i="9" s="1"/>
  <c r="AE216" i="4"/>
  <c r="E246" i="9" s="1"/>
  <c r="O214" i="4"/>
  <c r="C244" i="9" s="1"/>
  <c r="AM211" i="4"/>
  <c r="F241" i="9" s="1"/>
  <c r="W209" i="4"/>
  <c r="D239" i="9" s="1"/>
  <c r="G207" i="4"/>
  <c r="B237" i="9" s="1"/>
  <c r="AE204" i="4"/>
  <c r="E234" i="9" s="1"/>
  <c r="O202" i="4"/>
  <c r="C232" i="9" s="1"/>
  <c r="AM199" i="4"/>
  <c r="F229" i="9" s="1"/>
  <c r="W197" i="4"/>
  <c r="D227" i="9" s="1"/>
  <c r="G195" i="4"/>
  <c r="B225" i="9" s="1"/>
  <c r="AE192" i="4"/>
  <c r="E222" i="9" s="1"/>
  <c r="O190" i="4"/>
  <c r="C220" i="9" s="1"/>
  <c r="AM187" i="4"/>
  <c r="F217" i="9" s="1"/>
  <c r="W185" i="4"/>
  <c r="D215" i="9" s="1"/>
  <c r="G183" i="4"/>
  <c r="B213" i="9" s="1"/>
  <c r="AE180" i="4"/>
  <c r="E210" i="9" s="1"/>
  <c r="O178" i="4"/>
  <c r="C208" i="9" s="1"/>
  <c r="AM175" i="4"/>
  <c r="F205" i="9" s="1"/>
  <c r="W173" i="4"/>
  <c r="D203" i="9" s="1"/>
  <c r="G171" i="4"/>
  <c r="B201" i="9" s="1"/>
  <c r="AE168" i="4"/>
  <c r="E198" i="9" s="1"/>
  <c r="O166" i="4"/>
  <c r="C196" i="9" s="1"/>
  <c r="AM163" i="4"/>
  <c r="F193" i="9" s="1"/>
  <c r="W161" i="4"/>
  <c r="D191" i="9" s="1"/>
  <c r="G285" i="4"/>
  <c r="B315" i="9" s="1"/>
  <c r="O256" i="4"/>
  <c r="C286" i="9" s="1"/>
  <c r="AE227" i="4"/>
  <c r="E257" i="9" s="1"/>
  <c r="AM226" i="4"/>
  <c r="F256" i="9" s="1"/>
  <c r="G222" i="4"/>
  <c r="B252" i="9" s="1"/>
  <c r="G220" i="4"/>
  <c r="B250" i="9" s="1"/>
  <c r="AE217" i="4"/>
  <c r="E247" i="9" s="1"/>
  <c r="O215" i="4"/>
  <c r="C245" i="9" s="1"/>
  <c r="AM212" i="4"/>
  <c r="F242" i="9" s="1"/>
  <c r="W210" i="4"/>
  <c r="D240" i="9" s="1"/>
  <c r="G208" i="4"/>
  <c r="B238" i="9" s="1"/>
  <c r="AE205" i="4"/>
  <c r="E235" i="9" s="1"/>
  <c r="O203" i="4"/>
  <c r="C233" i="9" s="1"/>
  <c r="AM200" i="4"/>
  <c r="F230" i="9" s="1"/>
  <c r="W198" i="4"/>
  <c r="D228" i="9" s="1"/>
  <c r="G196" i="4"/>
  <c r="B226" i="9" s="1"/>
  <c r="AE193" i="4"/>
  <c r="E223" i="9" s="1"/>
  <c r="O191" i="4"/>
  <c r="C221" i="9" s="1"/>
  <c r="AM188" i="4"/>
  <c r="F218" i="9" s="1"/>
  <c r="W186" i="4"/>
  <c r="D216" i="9" s="1"/>
  <c r="G184" i="4"/>
  <c r="B214" i="9" s="1"/>
  <c r="AE181" i="4"/>
  <c r="E211" i="9" s="1"/>
  <c r="O179" i="4"/>
  <c r="C209" i="9" s="1"/>
  <c r="AM176" i="4"/>
  <c r="F206" i="9" s="1"/>
  <c r="W174" i="4"/>
  <c r="D204" i="9" s="1"/>
  <c r="G172" i="4"/>
  <c r="B202" i="9" s="1"/>
  <c r="AE169" i="4"/>
  <c r="E199" i="9" s="1"/>
  <c r="O167" i="4"/>
  <c r="C197" i="9" s="1"/>
  <c r="AM164" i="4"/>
  <c r="F194" i="9" s="1"/>
  <c r="W162" i="4"/>
  <c r="D192" i="9" s="1"/>
  <c r="G160" i="4"/>
  <c r="B190" i="9" s="1"/>
  <c r="AE157" i="4"/>
  <c r="E187" i="9" s="1"/>
  <c r="O155" i="4"/>
  <c r="C185" i="9" s="1"/>
  <c r="AM152" i="4"/>
  <c r="F182" i="9" s="1"/>
  <c r="W150" i="4"/>
  <c r="D180" i="9" s="1"/>
  <c r="G148" i="4"/>
  <c r="B178" i="9" s="1"/>
  <c r="AE145" i="4"/>
  <c r="E175" i="9" s="1"/>
  <c r="O143" i="4"/>
  <c r="C173" i="9" s="1"/>
  <c r="AM140" i="4"/>
  <c r="F170" i="9" s="1"/>
  <c r="W138" i="4"/>
  <c r="D168" i="9" s="1"/>
  <c r="G136" i="4"/>
  <c r="B166" i="9" s="1"/>
  <c r="AE133" i="4"/>
  <c r="E163" i="9" s="1"/>
  <c r="O131" i="4"/>
  <c r="C161" i="9" s="1"/>
  <c r="AM128" i="4"/>
  <c r="F158" i="9" s="1"/>
  <c r="W126" i="4"/>
  <c r="D156" i="9" s="1"/>
  <c r="G124" i="4"/>
  <c r="B154" i="9" s="1"/>
  <c r="AE121" i="4"/>
  <c r="E151" i="9" s="1"/>
  <c r="O119" i="4"/>
  <c r="C149" i="9" s="1"/>
  <c r="G359" i="4"/>
  <c r="B389" i="9" s="1"/>
  <c r="G297" i="4"/>
  <c r="B327" i="9" s="1"/>
  <c r="O268" i="4"/>
  <c r="C298" i="9" s="1"/>
  <c r="G237" i="4"/>
  <c r="B267" i="9" s="1"/>
  <c r="W223" i="4"/>
  <c r="D253" i="9" s="1"/>
  <c r="AE218" i="4"/>
  <c r="E248" i="9" s="1"/>
  <c r="O216" i="4"/>
  <c r="C246" i="9" s="1"/>
  <c r="AM213" i="4"/>
  <c r="F243" i="9" s="1"/>
  <c r="W211" i="4"/>
  <c r="D241" i="9" s="1"/>
  <c r="G209" i="4"/>
  <c r="B239" i="9" s="1"/>
  <c r="AE206" i="4"/>
  <c r="E236" i="9" s="1"/>
  <c r="O204" i="4"/>
  <c r="C234" i="9" s="1"/>
  <c r="AM201" i="4"/>
  <c r="F231" i="9" s="1"/>
  <c r="W199" i="4"/>
  <c r="D229" i="9" s="1"/>
  <c r="G197" i="4"/>
  <c r="B227" i="9" s="1"/>
  <c r="AE194" i="4"/>
  <c r="E224" i="9" s="1"/>
  <c r="O192" i="4"/>
  <c r="C222" i="9" s="1"/>
  <c r="AM189" i="4"/>
  <c r="F219" i="9" s="1"/>
  <c r="W187" i="4"/>
  <c r="D217" i="9" s="1"/>
  <c r="G185" i="4"/>
  <c r="B215" i="9" s="1"/>
  <c r="AE182" i="4"/>
  <c r="E212" i="9" s="1"/>
  <c r="O280" i="4"/>
  <c r="C310" i="9" s="1"/>
  <c r="W251" i="4"/>
  <c r="D281" i="9" s="1"/>
  <c r="AM240" i="4"/>
  <c r="F270" i="9" s="1"/>
  <c r="AM225" i="4"/>
  <c r="F255" i="9" s="1"/>
  <c r="AE219" i="4"/>
  <c r="E249" i="9" s="1"/>
  <c r="O217" i="4"/>
  <c r="C247" i="9" s="1"/>
  <c r="AM214" i="4"/>
  <c r="F244" i="9" s="1"/>
  <c r="W212" i="4"/>
  <c r="D242" i="9" s="1"/>
  <c r="G210" i="4"/>
  <c r="B240" i="9" s="1"/>
  <c r="AE207" i="4"/>
  <c r="E237" i="9" s="1"/>
  <c r="O205" i="4"/>
  <c r="C235" i="9" s="1"/>
  <c r="AM202" i="4"/>
  <c r="F232" i="9" s="1"/>
  <c r="W200" i="4"/>
  <c r="D230" i="9" s="1"/>
  <c r="G198" i="4"/>
  <c r="B228" i="9" s="1"/>
  <c r="AE195" i="4"/>
  <c r="E225" i="9" s="1"/>
  <c r="O193" i="4"/>
  <c r="C223" i="9" s="1"/>
  <c r="AM190" i="4"/>
  <c r="F220" i="9" s="1"/>
  <c r="W188" i="4"/>
  <c r="D218" i="9" s="1"/>
  <c r="G186" i="4"/>
  <c r="B216" i="9" s="1"/>
  <c r="AE183" i="4"/>
  <c r="E213" i="9" s="1"/>
  <c r="O181" i="4"/>
  <c r="C211" i="9" s="1"/>
  <c r="AM178" i="4"/>
  <c r="F208" i="9" s="1"/>
  <c r="W176" i="4"/>
  <c r="D206" i="9" s="1"/>
  <c r="G174" i="4"/>
  <c r="B204" i="9" s="1"/>
  <c r="AE171" i="4"/>
  <c r="E201" i="9" s="1"/>
  <c r="O169" i="4"/>
  <c r="C199" i="9" s="1"/>
  <c r="AM166" i="4"/>
  <c r="F196" i="9" s="1"/>
  <c r="W164" i="4"/>
  <c r="D194" i="9" s="1"/>
  <c r="G162" i="4"/>
  <c r="B192" i="9" s="1"/>
  <c r="AE159" i="4"/>
  <c r="E189" i="9" s="1"/>
  <c r="O157" i="4"/>
  <c r="C187" i="9" s="1"/>
  <c r="AM154" i="4"/>
  <c r="F184" i="9" s="1"/>
  <c r="W152" i="4"/>
  <c r="D182" i="9" s="1"/>
  <c r="G150" i="4"/>
  <c r="B180" i="9" s="1"/>
  <c r="AE147" i="4"/>
  <c r="E177" i="9" s="1"/>
  <c r="O145" i="4"/>
  <c r="C175" i="9" s="1"/>
  <c r="AM142" i="4"/>
  <c r="F172" i="9" s="1"/>
  <c r="W140" i="4"/>
  <c r="D170" i="9" s="1"/>
  <c r="G138" i="4"/>
  <c r="B168" i="9" s="1"/>
  <c r="AE135" i="4"/>
  <c r="E165" i="9" s="1"/>
  <c r="O133" i="4"/>
  <c r="C163" i="9" s="1"/>
  <c r="AM130" i="4"/>
  <c r="F160" i="9" s="1"/>
  <c r="W128" i="4"/>
  <c r="D158" i="9" s="1"/>
  <c r="G126" i="4"/>
  <c r="B156" i="9" s="1"/>
  <c r="AE123" i="4"/>
  <c r="E153" i="9" s="1"/>
  <c r="O121" i="4"/>
  <c r="C151" i="9" s="1"/>
  <c r="AM118" i="4"/>
  <c r="F148" i="9" s="1"/>
  <c r="O309" i="4"/>
  <c r="C339" i="9" s="1"/>
  <c r="O292" i="4"/>
  <c r="C322" i="9" s="1"/>
  <c r="W263" i="4"/>
  <c r="D293" i="9" s="1"/>
  <c r="AE234" i="4"/>
  <c r="E264" i="9" s="1"/>
  <c r="O229" i="4"/>
  <c r="C259" i="9" s="1"/>
  <c r="O228" i="4"/>
  <c r="C258" i="9" s="1"/>
  <c r="G225" i="4"/>
  <c r="B255" i="9" s="1"/>
  <c r="AE222" i="4"/>
  <c r="E252" i="9" s="1"/>
  <c r="AE220" i="4"/>
  <c r="E250" i="9" s="1"/>
  <c r="O218" i="4"/>
  <c r="C248" i="9" s="1"/>
  <c r="AM215" i="4"/>
  <c r="F245" i="9" s="1"/>
  <c r="W213" i="4"/>
  <c r="D243" i="9" s="1"/>
  <c r="G211" i="4"/>
  <c r="B241" i="9" s="1"/>
  <c r="AE208" i="4"/>
  <c r="E238" i="9" s="1"/>
  <c r="O206" i="4"/>
  <c r="C236" i="9" s="1"/>
  <c r="AM203" i="4"/>
  <c r="F233" i="9" s="1"/>
  <c r="W201" i="4"/>
  <c r="D231" i="9" s="1"/>
  <c r="G199" i="4"/>
  <c r="B229" i="9" s="1"/>
  <c r="AE196" i="4"/>
  <c r="E226" i="9" s="1"/>
  <c r="O194" i="4"/>
  <c r="C224" i="9" s="1"/>
  <c r="AM191" i="4"/>
  <c r="F221" i="9" s="1"/>
  <c r="W189" i="4"/>
  <c r="D219" i="9" s="1"/>
  <c r="G187" i="4"/>
  <c r="B217" i="9" s="1"/>
  <c r="AE184" i="4"/>
  <c r="E214" i="9" s="1"/>
  <c r="O182" i="4"/>
  <c r="C212" i="9" s="1"/>
  <c r="AM179" i="4"/>
  <c r="F209" i="9" s="1"/>
  <c r="W177" i="4"/>
  <c r="D207" i="9" s="1"/>
  <c r="G175" i="4"/>
  <c r="B205" i="9" s="1"/>
  <c r="AE172" i="4"/>
  <c r="E202" i="9" s="1"/>
  <c r="O170" i="4"/>
  <c r="C200" i="9" s="1"/>
  <c r="AM167" i="4"/>
  <c r="F197" i="9" s="1"/>
  <c r="W165" i="4"/>
  <c r="D195" i="9" s="1"/>
  <c r="G163" i="4"/>
  <c r="B193" i="9" s="1"/>
  <c r="AE160" i="4"/>
  <c r="E190" i="9" s="1"/>
  <c r="O158" i="4"/>
  <c r="C188" i="9" s="1"/>
  <c r="AM155" i="4"/>
  <c r="F185" i="9" s="1"/>
  <c r="W153" i="4"/>
  <c r="D183" i="9" s="1"/>
  <c r="G151" i="4"/>
  <c r="B181" i="9" s="1"/>
  <c r="AE148" i="4"/>
  <c r="E178" i="9" s="1"/>
  <c r="O146" i="4"/>
  <c r="C176" i="9" s="1"/>
  <c r="AM143" i="4"/>
  <c r="F173" i="9" s="1"/>
  <c r="W141" i="4"/>
  <c r="D171" i="9" s="1"/>
  <c r="G139" i="4"/>
  <c r="B169" i="9" s="1"/>
  <c r="AE136" i="4"/>
  <c r="E166" i="9" s="1"/>
  <c r="O134" i="4"/>
  <c r="C164" i="9" s="1"/>
  <c r="AM131" i="4"/>
  <c r="F161" i="9" s="1"/>
  <c r="W129" i="4"/>
  <c r="D159" i="9" s="1"/>
  <c r="G127" i="4"/>
  <c r="B157" i="9" s="1"/>
  <c r="AE124" i="4"/>
  <c r="E154" i="9" s="1"/>
  <c r="O122" i="4"/>
  <c r="C152" i="9" s="1"/>
  <c r="AM119" i="4"/>
  <c r="F149" i="9" s="1"/>
  <c r="W335" i="4"/>
  <c r="D365" i="9" s="1"/>
  <c r="AM308" i="4"/>
  <c r="F338" i="9" s="1"/>
  <c r="O304" i="4"/>
  <c r="C334" i="9" s="1"/>
  <c r="W275" i="4"/>
  <c r="D305" i="9" s="1"/>
  <c r="AE246" i="4"/>
  <c r="E276" i="9" s="1"/>
  <c r="W238" i="4"/>
  <c r="D268" i="9" s="1"/>
  <c r="O231" i="4"/>
  <c r="C261" i="9" s="1"/>
  <c r="W227" i="4"/>
  <c r="D257" i="9" s="1"/>
  <c r="O219" i="4"/>
  <c r="C249" i="9" s="1"/>
  <c r="AM216" i="4"/>
  <c r="F246" i="9" s="1"/>
  <c r="W214" i="4"/>
  <c r="D244" i="9" s="1"/>
  <c r="G212" i="4"/>
  <c r="B242" i="9" s="1"/>
  <c r="AE209" i="4"/>
  <c r="E239" i="9" s="1"/>
  <c r="O207" i="4"/>
  <c r="C237" i="9" s="1"/>
  <c r="AM204" i="4"/>
  <c r="F234" i="9" s="1"/>
  <c r="W202" i="4"/>
  <c r="D232" i="9" s="1"/>
  <c r="G200" i="4"/>
  <c r="B230" i="9" s="1"/>
  <c r="AE197" i="4"/>
  <c r="E227" i="9" s="1"/>
  <c r="O195" i="4"/>
  <c r="C225" i="9" s="1"/>
  <c r="AM192" i="4"/>
  <c r="F222" i="9" s="1"/>
  <c r="W190" i="4"/>
  <c r="D220" i="9" s="1"/>
  <c r="G188" i="4"/>
  <c r="B218" i="9" s="1"/>
  <c r="AE185" i="4"/>
  <c r="E215" i="9" s="1"/>
  <c r="O183" i="4"/>
  <c r="C213" i="9" s="1"/>
  <c r="AM180" i="4"/>
  <c r="F210" i="9" s="1"/>
  <c r="W178" i="4"/>
  <c r="D208" i="9" s="1"/>
  <c r="G176" i="4"/>
  <c r="B206" i="9" s="1"/>
  <c r="AE173" i="4"/>
  <c r="E203" i="9" s="1"/>
  <c r="O171" i="4"/>
  <c r="C201" i="9" s="1"/>
  <c r="AM168" i="4"/>
  <c r="F198" i="9" s="1"/>
  <c r="W166" i="4"/>
  <c r="D196" i="9" s="1"/>
  <c r="G164" i="4"/>
  <c r="B194" i="9" s="1"/>
  <c r="AE161" i="4"/>
  <c r="E191" i="9" s="1"/>
  <c r="O159" i="4"/>
  <c r="C189" i="9" s="1"/>
  <c r="AM156" i="4"/>
  <c r="F186" i="9" s="1"/>
  <c r="W154" i="4"/>
  <c r="D184" i="9" s="1"/>
  <c r="G152" i="4"/>
  <c r="B182" i="9" s="1"/>
  <c r="AE149" i="4"/>
  <c r="E179" i="9" s="1"/>
  <c r="O147" i="4"/>
  <c r="C177" i="9" s="1"/>
  <c r="AM144" i="4"/>
  <c r="F174" i="9" s="1"/>
  <c r="W142" i="4"/>
  <c r="D172" i="9" s="1"/>
  <c r="G140" i="4"/>
  <c r="B170" i="9" s="1"/>
  <c r="AE137" i="4"/>
  <c r="E167" i="9" s="1"/>
  <c r="O135" i="4"/>
  <c r="C165" i="9" s="1"/>
  <c r="AM132" i="4"/>
  <c r="F162" i="9" s="1"/>
  <c r="W130" i="4"/>
  <c r="D160" i="9" s="1"/>
  <c r="G128" i="4"/>
  <c r="B158" i="9" s="1"/>
  <c r="AE125" i="4"/>
  <c r="E155" i="9" s="1"/>
  <c r="O123" i="4"/>
  <c r="C153" i="9" s="1"/>
  <c r="AM120" i="4"/>
  <c r="F150" i="9" s="1"/>
  <c r="W118" i="4"/>
  <c r="D148" i="9" s="1"/>
  <c r="W318" i="4"/>
  <c r="D348" i="9" s="1"/>
  <c r="AE282" i="4"/>
  <c r="E312" i="9" s="1"/>
  <c r="AM253" i="4"/>
  <c r="F283" i="9" s="1"/>
  <c r="AM219" i="4"/>
  <c r="F249" i="9" s="1"/>
  <c r="W217" i="4"/>
  <c r="D247" i="9" s="1"/>
  <c r="G215" i="4"/>
  <c r="B245" i="9" s="1"/>
  <c r="AE212" i="4"/>
  <c r="E242" i="9" s="1"/>
  <c r="O210" i="4"/>
  <c r="C240" i="9" s="1"/>
  <c r="AM207" i="4"/>
  <c r="F237" i="9" s="1"/>
  <c r="W205" i="4"/>
  <c r="D235" i="9" s="1"/>
  <c r="G203" i="4"/>
  <c r="B233" i="9" s="1"/>
  <c r="AE200" i="4"/>
  <c r="E230" i="9" s="1"/>
  <c r="O198" i="4"/>
  <c r="C228" i="9" s="1"/>
  <c r="AM195" i="4"/>
  <c r="F225" i="9" s="1"/>
  <c r="W193" i="4"/>
  <c r="D223" i="9" s="1"/>
  <c r="G191" i="4"/>
  <c r="B221" i="9" s="1"/>
  <c r="AE188" i="4"/>
  <c r="E218" i="9" s="1"/>
  <c r="O186" i="4"/>
  <c r="C216" i="9" s="1"/>
  <c r="AM183" i="4"/>
  <c r="F213" i="9" s="1"/>
  <c r="W181" i="4"/>
  <c r="D211" i="9" s="1"/>
  <c r="G179" i="4"/>
  <c r="B209" i="9" s="1"/>
  <c r="AE176" i="4"/>
  <c r="E206" i="9" s="1"/>
  <c r="O174" i="4"/>
  <c r="C204" i="9" s="1"/>
  <c r="AM171" i="4"/>
  <c r="F201" i="9" s="1"/>
  <c r="W169" i="4"/>
  <c r="D199" i="9" s="1"/>
  <c r="G167" i="4"/>
  <c r="B197" i="9" s="1"/>
  <c r="AE164" i="4"/>
  <c r="E194" i="9" s="1"/>
  <c r="O162" i="4"/>
  <c r="C192" i="9" s="1"/>
  <c r="AM159" i="4"/>
  <c r="F189" i="9" s="1"/>
  <c r="W157" i="4"/>
  <c r="D187" i="9" s="1"/>
  <c r="G155" i="4"/>
  <c r="B185" i="9" s="1"/>
  <c r="AE152" i="4"/>
  <c r="E182" i="9" s="1"/>
  <c r="O150" i="4"/>
  <c r="C180" i="9" s="1"/>
  <c r="AM147" i="4"/>
  <c r="F177" i="9" s="1"/>
  <c r="W145" i="4"/>
  <c r="D175" i="9" s="1"/>
  <c r="G143" i="4"/>
  <c r="B173" i="9" s="1"/>
  <c r="AE140" i="4"/>
  <c r="E170" i="9" s="1"/>
  <c r="O138" i="4"/>
  <c r="C168" i="9" s="1"/>
  <c r="AM135" i="4"/>
  <c r="F165" i="9" s="1"/>
  <c r="W133" i="4"/>
  <c r="D163" i="9" s="1"/>
  <c r="G131" i="4"/>
  <c r="B161" i="9" s="1"/>
  <c r="AE128" i="4"/>
  <c r="E158" i="9" s="1"/>
  <c r="W215" i="4"/>
  <c r="D245" i="9" s="1"/>
  <c r="G201" i="4"/>
  <c r="B231" i="9" s="1"/>
  <c r="AE186" i="4"/>
  <c r="E216" i="9" s="1"/>
  <c r="AM177" i="4"/>
  <c r="F207" i="9" s="1"/>
  <c r="O168" i="4"/>
  <c r="C198" i="9" s="1"/>
  <c r="AM158" i="4"/>
  <c r="F188" i="9" s="1"/>
  <c r="AE151" i="4"/>
  <c r="E181" i="9" s="1"/>
  <c r="W144" i="4"/>
  <c r="D174" i="9" s="1"/>
  <c r="O137" i="4"/>
  <c r="C167" i="9" s="1"/>
  <c r="G130" i="4"/>
  <c r="B160" i="9" s="1"/>
  <c r="AE120" i="4"/>
  <c r="E150" i="9" s="1"/>
  <c r="AM116" i="4"/>
  <c r="F146" i="9" s="1"/>
  <c r="W114" i="4"/>
  <c r="D144" i="9" s="1"/>
  <c r="G112" i="4"/>
  <c r="B142" i="9" s="1"/>
  <c r="AE109" i="4"/>
  <c r="E139" i="9" s="1"/>
  <c r="O107" i="4"/>
  <c r="C137" i="9" s="1"/>
  <c r="AM104" i="4"/>
  <c r="F134" i="9" s="1"/>
  <c r="W102" i="4"/>
  <c r="D132" i="9" s="1"/>
  <c r="G100" i="4"/>
  <c r="B130" i="9" s="1"/>
  <c r="AE97" i="4"/>
  <c r="E127" i="9" s="1"/>
  <c r="O95" i="4"/>
  <c r="C125" i="9" s="1"/>
  <c r="AM92" i="4"/>
  <c r="F122" i="9" s="1"/>
  <c r="W90" i="4"/>
  <c r="D120" i="9" s="1"/>
  <c r="G88" i="4"/>
  <c r="B118" i="9" s="1"/>
  <c r="AE85" i="4"/>
  <c r="E115" i="9" s="1"/>
  <c r="O83" i="4"/>
  <c r="C113" i="9" s="1"/>
  <c r="AM80" i="4"/>
  <c r="F110" i="9" s="1"/>
  <c r="W78" i="4"/>
  <c r="D108" i="9" s="1"/>
  <c r="G76" i="4"/>
  <c r="B106" i="9" s="1"/>
  <c r="AE73" i="4"/>
  <c r="E103" i="9" s="1"/>
  <c r="O71" i="4"/>
  <c r="C101" i="9" s="1"/>
  <c r="AM68" i="4"/>
  <c r="F98" i="9" s="1"/>
  <c r="W66" i="4"/>
  <c r="D96" i="9" s="1"/>
  <c r="G64" i="4"/>
  <c r="B94" i="9" s="1"/>
  <c r="AE61" i="4"/>
  <c r="E91" i="9" s="1"/>
  <c r="W299" i="4"/>
  <c r="D329" i="9" s="1"/>
  <c r="O209" i="4"/>
  <c r="C239" i="9" s="1"/>
  <c r="AM194" i="4"/>
  <c r="F224" i="9" s="1"/>
  <c r="O172" i="4"/>
  <c r="C202" i="9" s="1"/>
  <c r="AE162" i="4"/>
  <c r="E192" i="9" s="1"/>
  <c r="AE156" i="4"/>
  <c r="E186" i="9" s="1"/>
  <c r="W149" i="4"/>
  <c r="D179" i="9" s="1"/>
  <c r="O142" i="4"/>
  <c r="C172" i="9" s="1"/>
  <c r="G135" i="4"/>
  <c r="B165" i="9" s="1"/>
  <c r="G123" i="4"/>
  <c r="B153" i="9" s="1"/>
  <c r="W121" i="4"/>
  <c r="D151" i="9" s="1"/>
  <c r="W115" i="4"/>
  <c r="D145" i="9" s="1"/>
  <c r="G113" i="4"/>
  <c r="B143" i="9" s="1"/>
  <c r="AE110" i="4"/>
  <c r="E140" i="9" s="1"/>
  <c r="O108" i="4"/>
  <c r="C138" i="9" s="1"/>
  <c r="AM105" i="4"/>
  <c r="F135" i="9" s="1"/>
  <c r="W103" i="4"/>
  <c r="D133" i="9" s="1"/>
  <c r="G101" i="4"/>
  <c r="B131" i="9" s="1"/>
  <c r="AE98" i="4"/>
  <c r="E128" i="9" s="1"/>
  <c r="O96" i="4"/>
  <c r="C126" i="9" s="1"/>
  <c r="AM93" i="4"/>
  <c r="F123" i="9" s="1"/>
  <c r="W91" i="4"/>
  <c r="D121" i="9" s="1"/>
  <c r="G89" i="4"/>
  <c r="B119" i="9" s="1"/>
  <c r="AE86" i="4"/>
  <c r="E116" i="9" s="1"/>
  <c r="O84" i="4"/>
  <c r="C114" i="9" s="1"/>
  <c r="AM81" i="4"/>
  <c r="F111" i="9" s="1"/>
  <c r="W79" i="4"/>
  <c r="D109" i="9" s="1"/>
  <c r="G77" i="4"/>
  <c r="B107" i="9" s="1"/>
  <c r="AE74" i="4"/>
  <c r="E104" i="9" s="1"/>
  <c r="O72" i="4"/>
  <c r="C102" i="9" s="1"/>
  <c r="AM69" i="4"/>
  <c r="F99" i="9" s="1"/>
  <c r="W67" i="4"/>
  <c r="D97" i="9" s="1"/>
  <c r="G65" i="4"/>
  <c r="B95" i="9" s="1"/>
  <c r="AE62" i="4"/>
  <c r="E92" i="9" s="1"/>
  <c r="O60" i="4"/>
  <c r="C90" i="9" s="1"/>
  <c r="AM57" i="4"/>
  <c r="F87" i="9" s="1"/>
  <c r="W55" i="4"/>
  <c r="D85" i="9" s="1"/>
  <c r="G53" i="4"/>
  <c r="B83" i="9" s="1"/>
  <c r="AE50" i="4"/>
  <c r="E80" i="9" s="1"/>
  <c r="O48" i="4"/>
  <c r="C78" i="9" s="1"/>
  <c r="AM45" i="4"/>
  <c r="F75" i="9" s="1"/>
  <c r="W43" i="4"/>
  <c r="D73" i="9" s="1"/>
  <c r="G41" i="4"/>
  <c r="B71" i="9" s="1"/>
  <c r="AE38" i="4"/>
  <c r="E68" i="9" s="1"/>
  <c r="O36" i="4"/>
  <c r="C66" i="9" s="1"/>
  <c r="AM34" i="4"/>
  <c r="F64" i="9" s="1"/>
  <c r="W33" i="4"/>
  <c r="D63" i="9" s="1"/>
  <c r="G213" i="4"/>
  <c r="B243" i="9" s="1"/>
  <c r="AE198" i="4"/>
  <c r="E228" i="9" s="1"/>
  <c r="O184" i="4"/>
  <c r="C214" i="9" s="1"/>
  <c r="W180" i="4"/>
  <c r="D210" i="9" s="1"/>
  <c r="AM170" i="4"/>
  <c r="F200" i="9" s="1"/>
  <c r="O161" i="4"/>
  <c r="C191" i="9" s="1"/>
  <c r="AE158" i="4"/>
  <c r="E188" i="9" s="1"/>
  <c r="W151" i="4"/>
  <c r="D181" i="9" s="1"/>
  <c r="O144" i="4"/>
  <c r="C174" i="9" s="1"/>
  <c r="G137" i="4"/>
  <c r="B167" i="9" s="1"/>
  <c r="AM129" i="4"/>
  <c r="F159" i="9" s="1"/>
  <c r="W125" i="4"/>
  <c r="D155" i="9" s="1"/>
  <c r="AM123" i="4"/>
  <c r="F153" i="9" s="1"/>
  <c r="G119" i="4"/>
  <c r="B149" i="9" s="1"/>
  <c r="AM117" i="4"/>
  <c r="F147" i="9" s="1"/>
  <c r="W116" i="4"/>
  <c r="D146" i="9" s="1"/>
  <c r="G114" i="4"/>
  <c r="B144" i="9" s="1"/>
  <c r="AE111" i="4"/>
  <c r="E141" i="9" s="1"/>
  <c r="O109" i="4"/>
  <c r="C139" i="9" s="1"/>
  <c r="AM106" i="4"/>
  <c r="F136" i="9" s="1"/>
  <c r="W104" i="4"/>
  <c r="D134" i="9" s="1"/>
  <c r="G102" i="4"/>
  <c r="B132" i="9" s="1"/>
  <c r="AE99" i="4"/>
  <c r="E129" i="9" s="1"/>
  <c r="O97" i="4"/>
  <c r="C127" i="9" s="1"/>
  <c r="AM94" i="4"/>
  <c r="F124" i="9" s="1"/>
  <c r="W92" i="4"/>
  <c r="D122" i="9" s="1"/>
  <c r="G90" i="4"/>
  <c r="B120" i="9" s="1"/>
  <c r="AE87" i="4"/>
  <c r="E117" i="9" s="1"/>
  <c r="O85" i="4"/>
  <c r="C115" i="9" s="1"/>
  <c r="AM82" i="4"/>
  <c r="F112" i="9" s="1"/>
  <c r="W80" i="4"/>
  <c r="D110" i="9" s="1"/>
  <c r="G78" i="4"/>
  <c r="B108" i="9" s="1"/>
  <c r="AE75" i="4"/>
  <c r="E105" i="9" s="1"/>
  <c r="O73" i="4"/>
  <c r="C103" i="9" s="1"/>
  <c r="AM70" i="4"/>
  <c r="F100" i="9" s="1"/>
  <c r="W68" i="4"/>
  <c r="D98" i="9" s="1"/>
  <c r="G66" i="4"/>
  <c r="B96" i="9" s="1"/>
  <c r="AE63" i="4"/>
  <c r="E93" i="9" s="1"/>
  <c r="O61" i="4"/>
  <c r="C91" i="9" s="1"/>
  <c r="AM58" i="4"/>
  <c r="F88" i="9" s="1"/>
  <c r="W56" i="4"/>
  <c r="D86" i="9" s="1"/>
  <c r="G54" i="4"/>
  <c r="B84" i="9" s="1"/>
  <c r="AE51" i="4"/>
  <c r="E81" i="9" s="1"/>
  <c r="O49" i="4"/>
  <c r="C79" i="9" s="1"/>
  <c r="AM46" i="4"/>
  <c r="F76" i="9" s="1"/>
  <c r="W44" i="4"/>
  <c r="D74" i="9" s="1"/>
  <c r="G42" i="4"/>
  <c r="B72" i="9" s="1"/>
  <c r="AE39" i="4"/>
  <c r="E69" i="9" s="1"/>
  <c r="O37" i="4"/>
  <c r="C67" i="9" s="1"/>
  <c r="G33" i="4"/>
  <c r="B63" i="9" s="1"/>
  <c r="AE31" i="4"/>
  <c r="E61" i="9" s="1"/>
  <c r="AM325" i="4"/>
  <c r="F355" i="9" s="1"/>
  <c r="AE270" i="4"/>
  <c r="E300" i="9" s="1"/>
  <c r="O232" i="4"/>
  <c r="C262" i="9" s="1"/>
  <c r="W226" i="4"/>
  <c r="D256" i="9" s="1"/>
  <c r="AM206" i="4"/>
  <c r="F236" i="9" s="1"/>
  <c r="W192" i="4"/>
  <c r="D222" i="9" s="1"/>
  <c r="O180" i="4"/>
  <c r="C210" i="9" s="1"/>
  <c r="AE170" i="4"/>
  <c r="E200" i="9" s="1"/>
  <c r="G161" i="4"/>
  <c r="B191" i="9" s="1"/>
  <c r="W155" i="4"/>
  <c r="D185" i="9" s="1"/>
  <c r="O148" i="4"/>
  <c r="C178" i="9" s="1"/>
  <c r="G141" i="4"/>
  <c r="B171" i="9" s="1"/>
  <c r="AM133" i="4"/>
  <c r="F163" i="9" s="1"/>
  <c r="AM127" i="4"/>
  <c r="F157" i="9" s="1"/>
  <c r="O126" i="4"/>
  <c r="C156" i="9" s="1"/>
  <c r="W120" i="4"/>
  <c r="D150" i="9" s="1"/>
  <c r="W117" i="4"/>
  <c r="D147" i="9" s="1"/>
  <c r="G115" i="4"/>
  <c r="B145" i="9" s="1"/>
  <c r="AE112" i="4"/>
  <c r="E142" i="9" s="1"/>
  <c r="O110" i="4"/>
  <c r="C140" i="9" s="1"/>
  <c r="AM107" i="4"/>
  <c r="F137" i="9" s="1"/>
  <c r="W105" i="4"/>
  <c r="D135" i="9" s="1"/>
  <c r="G103" i="4"/>
  <c r="B133" i="9" s="1"/>
  <c r="AE100" i="4"/>
  <c r="E130" i="9" s="1"/>
  <c r="O98" i="4"/>
  <c r="C128" i="9" s="1"/>
  <c r="AM95" i="4"/>
  <c r="F125" i="9" s="1"/>
  <c r="W93" i="4"/>
  <c r="D123" i="9" s="1"/>
  <c r="G91" i="4"/>
  <c r="B121" i="9" s="1"/>
  <c r="AE88" i="4"/>
  <c r="E118" i="9" s="1"/>
  <c r="O86" i="4"/>
  <c r="C116" i="9" s="1"/>
  <c r="AM83" i="4"/>
  <c r="F113" i="9" s="1"/>
  <c r="W81" i="4"/>
  <c r="D111" i="9" s="1"/>
  <c r="G79" i="4"/>
  <c r="B109" i="9" s="1"/>
  <c r="AE76" i="4"/>
  <c r="E106" i="9" s="1"/>
  <c r="O74" i="4"/>
  <c r="C104" i="9" s="1"/>
  <c r="AM71" i="4"/>
  <c r="F101" i="9" s="1"/>
  <c r="W69" i="4"/>
  <c r="D99" i="9" s="1"/>
  <c r="G67" i="4"/>
  <c r="B97" i="9" s="1"/>
  <c r="AE64" i="4"/>
  <c r="E94" i="9" s="1"/>
  <c r="O62" i="4"/>
  <c r="C92" i="9" s="1"/>
  <c r="AM59" i="4"/>
  <c r="F89" i="9" s="1"/>
  <c r="W57" i="4"/>
  <c r="D87" i="9" s="1"/>
  <c r="G55" i="4"/>
  <c r="B85" i="9" s="1"/>
  <c r="AE52" i="4"/>
  <c r="E82" i="9" s="1"/>
  <c r="O50" i="4"/>
  <c r="C80" i="9" s="1"/>
  <c r="AM47" i="4"/>
  <c r="F77" i="9" s="1"/>
  <c r="W45" i="4"/>
  <c r="D75" i="9" s="1"/>
  <c r="G43" i="4"/>
  <c r="B73" i="9" s="1"/>
  <c r="AE40" i="4"/>
  <c r="E70" i="9" s="1"/>
  <c r="O38" i="4"/>
  <c r="C68" i="9" s="1"/>
  <c r="AM35" i="4"/>
  <c r="F65" i="9" s="1"/>
  <c r="W34" i="4"/>
  <c r="D64" i="9" s="1"/>
  <c r="G221" i="4"/>
  <c r="B251" i="9" s="1"/>
  <c r="AE210" i="4"/>
  <c r="E240" i="9" s="1"/>
  <c r="O196" i="4"/>
  <c r="C226" i="9" s="1"/>
  <c r="AM181" i="4"/>
  <c r="F211" i="9" s="1"/>
  <c r="AE174" i="4"/>
  <c r="E204" i="9" s="1"/>
  <c r="G165" i="4"/>
  <c r="B195" i="9" s="1"/>
  <c r="W156" i="4"/>
  <c r="D186" i="9" s="1"/>
  <c r="O149" i="4"/>
  <c r="C179" i="9" s="1"/>
  <c r="G142" i="4"/>
  <c r="B172" i="9" s="1"/>
  <c r="AM134" i="4"/>
  <c r="F164" i="9" s="1"/>
  <c r="AM122" i="4"/>
  <c r="F152" i="9" s="1"/>
  <c r="O118" i="4"/>
  <c r="C148" i="9" s="1"/>
  <c r="G116" i="4"/>
  <c r="B146" i="9" s="1"/>
  <c r="AE113" i="4"/>
  <c r="E143" i="9" s="1"/>
  <c r="O111" i="4"/>
  <c r="C141" i="9" s="1"/>
  <c r="AM108" i="4"/>
  <c r="F138" i="9" s="1"/>
  <c r="W106" i="4"/>
  <c r="D136" i="9" s="1"/>
  <c r="G104" i="4"/>
  <c r="B134" i="9" s="1"/>
  <c r="AE101" i="4"/>
  <c r="E131" i="9" s="1"/>
  <c r="O99" i="4"/>
  <c r="C129" i="9" s="1"/>
  <c r="AM96" i="4"/>
  <c r="F126" i="9" s="1"/>
  <c r="W94" i="4"/>
  <c r="D124" i="9" s="1"/>
  <c r="G92" i="4"/>
  <c r="B122" i="9" s="1"/>
  <c r="AE89" i="4"/>
  <c r="E119" i="9" s="1"/>
  <c r="O87" i="4"/>
  <c r="C117" i="9" s="1"/>
  <c r="AM84" i="4"/>
  <c r="F114" i="9" s="1"/>
  <c r="W82" i="4"/>
  <c r="D112" i="9" s="1"/>
  <c r="G80" i="4"/>
  <c r="B110" i="9" s="1"/>
  <c r="AE77" i="4"/>
  <c r="E107" i="9" s="1"/>
  <c r="O75" i="4"/>
  <c r="C105" i="9" s="1"/>
  <c r="AM72" i="4"/>
  <c r="F102" i="9" s="1"/>
  <c r="W70" i="4"/>
  <c r="D100" i="9" s="1"/>
  <c r="G68" i="4"/>
  <c r="B98" i="9" s="1"/>
  <c r="AE65" i="4"/>
  <c r="E95" i="9" s="1"/>
  <c r="O63" i="4"/>
  <c r="C93" i="9" s="1"/>
  <c r="AM60" i="4"/>
  <c r="F90" i="9" s="1"/>
  <c r="W58" i="4"/>
  <c r="D88" i="9" s="1"/>
  <c r="G56" i="4"/>
  <c r="B86" i="9" s="1"/>
  <c r="AE53" i="4"/>
  <c r="E83" i="9" s="1"/>
  <c r="O51" i="4"/>
  <c r="C81" i="9" s="1"/>
  <c r="AM48" i="4"/>
  <c r="F78" i="9" s="1"/>
  <c r="W46" i="4"/>
  <c r="D76" i="9" s="1"/>
  <c r="G44" i="4"/>
  <c r="B74" i="9" s="1"/>
  <c r="AE41" i="4"/>
  <c r="E71" i="9" s="1"/>
  <c r="O39" i="4"/>
  <c r="C69" i="9" s="1"/>
  <c r="AM36" i="4"/>
  <c r="F66" i="9" s="1"/>
  <c r="G34" i="4"/>
  <c r="B64" i="9" s="1"/>
  <c r="AE32" i="4"/>
  <c r="E62" i="9" s="1"/>
  <c r="O31" i="4"/>
  <c r="C61" i="9" s="1"/>
  <c r="AM218" i="4"/>
  <c r="F248" i="9" s="1"/>
  <c r="W204" i="4"/>
  <c r="D234" i="9" s="1"/>
  <c r="G190" i="4"/>
  <c r="B220" i="9" s="1"/>
  <c r="O173" i="4"/>
  <c r="C203" i="9" s="1"/>
  <c r="AE163" i="4"/>
  <c r="E193" i="9" s="1"/>
  <c r="O154" i="4"/>
  <c r="C184" i="9" s="1"/>
  <c r="G147" i="4"/>
  <c r="B177" i="9" s="1"/>
  <c r="AM139" i="4"/>
  <c r="F169" i="9" s="1"/>
  <c r="AE132" i="4"/>
  <c r="E162" i="9" s="1"/>
  <c r="O125" i="4"/>
  <c r="C155" i="9" s="1"/>
  <c r="G117" i="4"/>
  <c r="B147" i="9" s="1"/>
  <c r="AE114" i="4"/>
  <c r="E144" i="9" s="1"/>
  <c r="O112" i="4"/>
  <c r="C142" i="9" s="1"/>
  <c r="AM109" i="4"/>
  <c r="F139" i="9" s="1"/>
  <c r="W107" i="4"/>
  <c r="D137" i="9" s="1"/>
  <c r="G105" i="4"/>
  <c r="B135" i="9" s="1"/>
  <c r="AE102" i="4"/>
  <c r="E132" i="9" s="1"/>
  <c r="O100" i="4"/>
  <c r="C130" i="9" s="1"/>
  <c r="AM97" i="4"/>
  <c r="F127" i="9" s="1"/>
  <c r="W95" i="4"/>
  <c r="D125" i="9" s="1"/>
  <c r="G93" i="4"/>
  <c r="B123" i="9" s="1"/>
  <c r="AE90" i="4"/>
  <c r="E120" i="9" s="1"/>
  <c r="O88" i="4"/>
  <c r="C118" i="9" s="1"/>
  <c r="AM85" i="4"/>
  <c r="F115" i="9" s="1"/>
  <c r="W83" i="4"/>
  <c r="D113" i="9" s="1"/>
  <c r="G81" i="4"/>
  <c r="B111" i="9" s="1"/>
  <c r="AE78" i="4"/>
  <c r="E108" i="9" s="1"/>
  <c r="O76" i="4"/>
  <c r="C106" i="9" s="1"/>
  <c r="AM73" i="4"/>
  <c r="F103" i="9" s="1"/>
  <c r="W71" i="4"/>
  <c r="D101" i="9" s="1"/>
  <c r="G69" i="4"/>
  <c r="B99" i="9" s="1"/>
  <c r="AE66" i="4"/>
  <c r="E96" i="9" s="1"/>
  <c r="O64" i="4"/>
  <c r="C94" i="9" s="1"/>
  <c r="AM61" i="4"/>
  <c r="F91" i="9" s="1"/>
  <c r="W59" i="4"/>
  <c r="D89" i="9" s="1"/>
  <c r="G57" i="4"/>
  <c r="B87" i="9" s="1"/>
  <c r="AE54" i="4"/>
  <c r="E84" i="9" s="1"/>
  <c r="O52" i="4"/>
  <c r="C82" i="9" s="1"/>
  <c r="AM49" i="4"/>
  <c r="F79" i="9" s="1"/>
  <c r="W47" i="4"/>
  <c r="D77" i="9" s="1"/>
  <c r="G45" i="4"/>
  <c r="B75" i="9" s="1"/>
  <c r="AE42" i="4"/>
  <c r="E72" i="9" s="1"/>
  <c r="O40" i="4"/>
  <c r="C70" i="9" s="1"/>
  <c r="AM37" i="4"/>
  <c r="F67" i="9" s="1"/>
  <c r="W35" i="4"/>
  <c r="D65" i="9" s="1"/>
  <c r="AE313" i="4"/>
  <c r="E343" i="9" s="1"/>
  <c r="W287" i="4"/>
  <c r="D317" i="9" s="1"/>
  <c r="O208" i="4"/>
  <c r="C238" i="9" s="1"/>
  <c r="AM193" i="4"/>
  <c r="F223" i="9" s="1"/>
  <c r="G173" i="4"/>
  <c r="B203" i="9" s="1"/>
  <c r="W163" i="4"/>
  <c r="D193" i="9" s="1"/>
  <c r="O156" i="4"/>
  <c r="C186" i="9" s="1"/>
  <c r="G149" i="4"/>
  <c r="B179" i="9" s="1"/>
  <c r="AM141" i="4"/>
  <c r="F171" i="9" s="1"/>
  <c r="AE134" i="4"/>
  <c r="E164" i="9" s="1"/>
  <c r="AE127" i="4"/>
  <c r="E157" i="9" s="1"/>
  <c r="AM121" i="4"/>
  <c r="F151" i="9" s="1"/>
  <c r="O120" i="4"/>
  <c r="C150" i="9" s="1"/>
  <c r="W119" i="4"/>
  <c r="D149" i="9" s="1"/>
  <c r="AE115" i="4"/>
  <c r="E145" i="9" s="1"/>
  <c r="O113" i="4"/>
  <c r="C143" i="9" s="1"/>
  <c r="AM110" i="4"/>
  <c r="F140" i="9" s="1"/>
  <c r="W108" i="4"/>
  <c r="D138" i="9" s="1"/>
  <c r="G106" i="4"/>
  <c r="B136" i="9" s="1"/>
  <c r="AE103" i="4"/>
  <c r="E133" i="9" s="1"/>
  <c r="O101" i="4"/>
  <c r="C131" i="9" s="1"/>
  <c r="AM98" i="4"/>
  <c r="F128" i="9" s="1"/>
  <c r="W96" i="4"/>
  <c r="D126" i="9" s="1"/>
  <c r="G94" i="4"/>
  <c r="B124" i="9" s="1"/>
  <c r="AE91" i="4"/>
  <c r="E121" i="9" s="1"/>
  <c r="O89" i="4"/>
  <c r="C119" i="9" s="1"/>
  <c r="AM86" i="4"/>
  <c r="F116" i="9" s="1"/>
  <c r="W84" i="4"/>
  <c r="D114" i="9" s="1"/>
  <c r="G82" i="4"/>
  <c r="B112" i="9" s="1"/>
  <c r="AE79" i="4"/>
  <c r="E109" i="9" s="1"/>
  <c r="O77" i="4"/>
  <c r="C107" i="9" s="1"/>
  <c r="AM74" i="4"/>
  <c r="F104" i="9" s="1"/>
  <c r="W72" i="4"/>
  <c r="D102" i="9" s="1"/>
  <c r="G70" i="4"/>
  <c r="B100" i="9" s="1"/>
  <c r="AE67" i="4"/>
  <c r="E97" i="9" s="1"/>
  <c r="O65" i="4"/>
  <c r="C95" i="9" s="1"/>
  <c r="AM62" i="4"/>
  <c r="F92" i="9" s="1"/>
  <c r="W60" i="4"/>
  <c r="D90" i="9" s="1"/>
  <c r="G58" i="4"/>
  <c r="B88" i="9" s="1"/>
  <c r="AE55" i="4"/>
  <c r="E85" i="9" s="1"/>
  <c r="O53" i="4"/>
  <c r="C83" i="9" s="1"/>
  <c r="AM50" i="4"/>
  <c r="F80" i="9" s="1"/>
  <c r="W48" i="4"/>
  <c r="D78" i="9" s="1"/>
  <c r="G46" i="4"/>
  <c r="B76" i="9" s="1"/>
  <c r="AE43" i="4"/>
  <c r="E73" i="9" s="1"/>
  <c r="O41" i="4"/>
  <c r="C71" i="9" s="1"/>
  <c r="AM38" i="4"/>
  <c r="F68" i="9" s="1"/>
  <c r="W36" i="4"/>
  <c r="D66" i="9" s="1"/>
  <c r="G35" i="4"/>
  <c r="B65" i="9" s="1"/>
  <c r="AE33" i="4"/>
  <c r="E63" i="9" s="1"/>
  <c r="O32" i="4"/>
  <c r="C62" i="9" s="1"/>
  <c r="W216" i="4"/>
  <c r="D246" i="9" s="1"/>
  <c r="G202" i="4"/>
  <c r="B232" i="9" s="1"/>
  <c r="AE187" i="4"/>
  <c r="E217" i="9" s="1"/>
  <c r="G177" i="4"/>
  <c r="B207" i="9" s="1"/>
  <c r="W167" i="4"/>
  <c r="D197" i="9" s="1"/>
  <c r="G153" i="4"/>
  <c r="B183" i="9" s="1"/>
  <c r="AM145" i="4"/>
  <c r="F175" i="9" s="1"/>
  <c r="AE138" i="4"/>
  <c r="E168" i="9" s="1"/>
  <c r="W131" i="4"/>
  <c r="D161" i="9" s="1"/>
  <c r="O124" i="4"/>
  <c r="C154" i="9" s="1"/>
  <c r="AE122" i="4"/>
  <c r="E152" i="9" s="1"/>
  <c r="AE116" i="4"/>
  <c r="E146" i="9" s="1"/>
  <c r="O114" i="4"/>
  <c r="C144" i="9" s="1"/>
  <c r="AM111" i="4"/>
  <c r="F141" i="9" s="1"/>
  <c r="W109" i="4"/>
  <c r="D139" i="9" s="1"/>
  <c r="G107" i="4"/>
  <c r="B137" i="9" s="1"/>
  <c r="AE104" i="4"/>
  <c r="E134" i="9" s="1"/>
  <c r="O102" i="4"/>
  <c r="C132" i="9" s="1"/>
  <c r="AM99" i="4"/>
  <c r="F129" i="9" s="1"/>
  <c r="W97" i="4"/>
  <c r="D127" i="9" s="1"/>
  <c r="G95" i="4"/>
  <c r="B125" i="9" s="1"/>
  <c r="AE92" i="4"/>
  <c r="E122" i="9" s="1"/>
  <c r="O90" i="4"/>
  <c r="C120" i="9" s="1"/>
  <c r="AM87" i="4"/>
  <c r="F117" i="9" s="1"/>
  <c r="W85" i="4"/>
  <c r="D115" i="9" s="1"/>
  <c r="G83" i="4"/>
  <c r="B113" i="9" s="1"/>
  <c r="AE80" i="4"/>
  <c r="E110" i="9" s="1"/>
  <c r="O78" i="4"/>
  <c r="C108" i="9" s="1"/>
  <c r="AM75" i="4"/>
  <c r="F105" i="9" s="1"/>
  <c r="W73" i="4"/>
  <c r="D103" i="9" s="1"/>
  <c r="G71" i="4"/>
  <c r="B101" i="9" s="1"/>
  <c r="AE68" i="4"/>
  <c r="E98" i="9" s="1"/>
  <c r="O66" i="4"/>
  <c r="C96" i="9" s="1"/>
  <c r="AM63" i="4"/>
  <c r="F93" i="9" s="1"/>
  <c r="W61" i="4"/>
  <c r="D91" i="9" s="1"/>
  <c r="G59" i="4"/>
  <c r="B89" i="9" s="1"/>
  <c r="AE56" i="4"/>
  <c r="E86" i="9" s="1"/>
  <c r="O54" i="4"/>
  <c r="C84" i="9" s="1"/>
  <c r="AM51" i="4"/>
  <c r="F81" i="9" s="1"/>
  <c r="W49" i="4"/>
  <c r="D79" i="9" s="1"/>
  <c r="G47" i="4"/>
  <c r="B77" i="9" s="1"/>
  <c r="AE44" i="4"/>
  <c r="E74" i="9" s="1"/>
  <c r="O42" i="4"/>
  <c r="C72" i="9" s="1"/>
  <c r="AM39" i="4"/>
  <c r="F69" i="9" s="1"/>
  <c r="W37" i="4"/>
  <c r="D67" i="9" s="1"/>
  <c r="AM31" i="4"/>
  <c r="F61" i="9" s="1"/>
  <c r="G236" i="4"/>
  <c r="B266" i="9" s="1"/>
  <c r="AE211" i="4"/>
  <c r="E241" i="9" s="1"/>
  <c r="O197" i="4"/>
  <c r="C227" i="9" s="1"/>
  <c r="AM182" i="4"/>
  <c r="F212" i="9" s="1"/>
  <c r="G178" i="4"/>
  <c r="B208" i="9" s="1"/>
  <c r="W168" i="4"/>
  <c r="D198" i="9" s="1"/>
  <c r="AM157" i="4"/>
  <c r="F187" i="9" s="1"/>
  <c r="AE150" i="4"/>
  <c r="E180" i="9" s="1"/>
  <c r="W143" i="4"/>
  <c r="D173" i="9" s="1"/>
  <c r="O136" i="4"/>
  <c r="C166" i="9" s="1"/>
  <c r="G129" i="4"/>
  <c r="B159" i="9" s="1"/>
  <c r="AM115" i="4"/>
  <c r="F145" i="9" s="1"/>
  <c r="W113" i="4"/>
  <c r="D143" i="9" s="1"/>
  <c r="G111" i="4"/>
  <c r="B141" i="9" s="1"/>
  <c r="AE108" i="4"/>
  <c r="E138" i="9" s="1"/>
  <c r="O106" i="4"/>
  <c r="C136" i="9" s="1"/>
  <c r="AM103" i="4"/>
  <c r="F133" i="9" s="1"/>
  <c r="W101" i="4"/>
  <c r="D131" i="9" s="1"/>
  <c r="G99" i="4"/>
  <c r="B129" i="9" s="1"/>
  <c r="AE96" i="4"/>
  <c r="E126" i="9" s="1"/>
  <c r="O94" i="4"/>
  <c r="C124" i="9" s="1"/>
  <c r="AM91" i="4"/>
  <c r="F121" i="9" s="1"/>
  <c r="W89" i="4"/>
  <c r="D119" i="9" s="1"/>
  <c r="G87" i="4"/>
  <c r="B117" i="9" s="1"/>
  <c r="AE84" i="4"/>
  <c r="E114" i="9" s="1"/>
  <c r="O82" i="4"/>
  <c r="C112" i="9" s="1"/>
  <c r="AM79" i="4"/>
  <c r="F109" i="9" s="1"/>
  <c r="W77" i="4"/>
  <c r="D107" i="9" s="1"/>
  <c r="G75" i="4"/>
  <c r="B105" i="9" s="1"/>
  <c r="AE72" i="4"/>
  <c r="E102" i="9" s="1"/>
  <c r="O70" i="4"/>
  <c r="C100" i="9" s="1"/>
  <c r="AM67" i="4"/>
  <c r="F97" i="9" s="1"/>
  <c r="W65" i="4"/>
  <c r="D95" i="9" s="1"/>
  <c r="G63" i="4"/>
  <c r="B93" i="9" s="1"/>
  <c r="AE60" i="4"/>
  <c r="E90" i="9" s="1"/>
  <c r="O58" i="4"/>
  <c r="C88" i="9" s="1"/>
  <c r="AM55" i="4"/>
  <c r="F85" i="9" s="1"/>
  <c r="W53" i="4"/>
  <c r="D83" i="9" s="1"/>
  <c r="G51" i="4"/>
  <c r="B81" i="9" s="1"/>
  <c r="G6" i="4"/>
  <c r="B36" i="9" s="1"/>
  <c r="W7" i="4"/>
  <c r="D37" i="9" s="1"/>
  <c r="O10" i="4"/>
  <c r="C40" i="9" s="1"/>
  <c r="Q11" i="4"/>
  <c r="AI41" i="9" s="1"/>
  <c r="AE11" i="4"/>
  <c r="E41" i="9" s="1"/>
  <c r="AG12" i="4"/>
  <c r="AK42" i="9" s="1"/>
  <c r="G13" i="4"/>
  <c r="B43" i="9" s="1"/>
  <c r="W14" i="4"/>
  <c r="D44" i="9" s="1"/>
  <c r="Y15" i="4"/>
  <c r="AJ45" i="9" s="1"/>
  <c r="AM15" i="4"/>
  <c r="F45" i="9" s="1"/>
  <c r="O17" i="4"/>
  <c r="C47" i="9" s="1"/>
  <c r="Q18" i="4"/>
  <c r="AI48" i="9" s="1"/>
  <c r="AE18" i="4"/>
  <c r="E48" i="9" s="1"/>
  <c r="AG19" i="4"/>
  <c r="AK49" i="9" s="1"/>
  <c r="G20" i="4"/>
  <c r="B50" i="9" s="1"/>
  <c r="O23" i="4"/>
  <c r="C53" i="9" s="1"/>
  <c r="Q24" i="4"/>
  <c r="AI54" i="9" s="1"/>
  <c r="AE24" i="4"/>
  <c r="E54" i="9" s="1"/>
  <c r="AG25" i="4"/>
  <c r="AK55" i="9" s="1"/>
  <c r="G26" i="4"/>
  <c r="B56" i="9" s="1"/>
  <c r="O29" i="4"/>
  <c r="C59" i="9" s="1"/>
  <c r="Q30" i="4"/>
  <c r="AI60" i="9" s="1"/>
  <c r="W31" i="4"/>
  <c r="D61" i="9" s="1"/>
  <c r="AM32" i="4"/>
  <c r="F62" i="9" s="1"/>
  <c r="AG38" i="4"/>
  <c r="AK68" i="9" s="1"/>
  <c r="W39" i="4"/>
  <c r="D69" i="9" s="1"/>
  <c r="Y44" i="4"/>
  <c r="AJ74" i="9" s="1"/>
  <c r="O45" i="4"/>
  <c r="C75" i="9" s="1"/>
  <c r="I50" i="4"/>
  <c r="AH80" i="9" s="1"/>
  <c r="I52" i="4"/>
  <c r="AH82" i="9" s="1"/>
  <c r="O57" i="4"/>
  <c r="C87" i="9" s="1"/>
  <c r="Q59" i="4"/>
  <c r="AI89" i="9" s="1"/>
  <c r="I64" i="4"/>
  <c r="AH94" i="9" s="1"/>
  <c r="AM66" i="4"/>
  <c r="F96" i="9" s="1"/>
  <c r="AG73" i="4"/>
  <c r="AK103" i="9" s="1"/>
  <c r="W76" i="4"/>
  <c r="D106" i="9" s="1"/>
  <c r="Q83" i="4"/>
  <c r="AI113" i="9" s="1"/>
  <c r="G86" i="4"/>
  <c r="B116" i="9" s="1"/>
  <c r="AO92" i="4"/>
  <c r="AL122" i="9" s="1"/>
  <c r="AE95" i="4"/>
  <c r="E125" i="9" s="1"/>
  <c r="Y102" i="4"/>
  <c r="AJ132" i="9" s="1"/>
  <c r="O105" i="4"/>
  <c r="C135" i="9" s="1"/>
  <c r="I112" i="4"/>
  <c r="AH142" i="9" s="1"/>
  <c r="AM114" i="4"/>
  <c r="F144" i="9" s="1"/>
  <c r="Q134" i="4"/>
  <c r="AI164" i="9" s="1"/>
  <c r="AE146" i="4"/>
  <c r="E176" i="9" s="1"/>
  <c r="AM169" i="4"/>
  <c r="F199" i="9" s="1"/>
  <c r="G189" i="4"/>
  <c r="B219" i="9" s="1"/>
  <c r="Y205" i="4"/>
  <c r="AJ235" i="9" s="1"/>
  <c r="W6" i="4"/>
  <c r="D36" i="9" s="1"/>
  <c r="Y8" i="4"/>
  <c r="AJ38" i="9" s="1"/>
  <c r="AM8" i="4"/>
  <c r="F38" i="9" s="1"/>
  <c r="AO9" i="4"/>
  <c r="AL39" i="9" s="1"/>
  <c r="W13" i="4"/>
  <c r="D43" i="9" s="1"/>
  <c r="AO16" i="4"/>
  <c r="AL46" i="9" s="1"/>
  <c r="W20" i="4"/>
  <c r="D50" i="9" s="1"/>
  <c r="Y21" i="4"/>
  <c r="AJ51" i="9" s="1"/>
  <c r="AM21" i="4"/>
  <c r="F51" i="9" s="1"/>
  <c r="AO22" i="4"/>
  <c r="AL52" i="9" s="1"/>
  <c r="W26" i="4"/>
  <c r="D56" i="9" s="1"/>
  <c r="Y27" i="4"/>
  <c r="AJ57" i="9" s="1"/>
  <c r="AM27" i="4"/>
  <c r="F57" i="9" s="1"/>
  <c r="AO28" i="4"/>
  <c r="AL58" i="9" s="1"/>
  <c r="Q36" i="4"/>
  <c r="AI66" i="9" s="1"/>
  <c r="G37" i="4"/>
  <c r="B67" i="9" s="1"/>
  <c r="I42" i="4"/>
  <c r="AH72" i="9" s="1"/>
  <c r="AM42" i="4"/>
  <c r="F72" i="9" s="1"/>
  <c r="AG47" i="4"/>
  <c r="AK77" i="9" s="1"/>
  <c r="AE48" i="4"/>
  <c r="E78" i="9" s="1"/>
  <c r="I51" i="4"/>
  <c r="AH81" i="9" s="1"/>
  <c r="O56" i="4"/>
  <c r="C86" i="9" s="1"/>
  <c r="Q58" i="4"/>
  <c r="AI88" i="9" s="1"/>
  <c r="Y65" i="4"/>
  <c r="AJ95" i="9" s="1"/>
  <c r="O68" i="4"/>
  <c r="C98" i="9" s="1"/>
  <c r="I75" i="4"/>
  <c r="AH105" i="9" s="1"/>
  <c r="AM77" i="4"/>
  <c r="F107" i="9" s="1"/>
  <c r="AG84" i="4"/>
  <c r="AK114" i="9" s="1"/>
  <c r="W87" i="4"/>
  <c r="D117" i="9" s="1"/>
  <c r="Q94" i="4"/>
  <c r="AI124" i="9" s="1"/>
  <c r="G97" i="4"/>
  <c r="B127" i="9" s="1"/>
  <c r="AO103" i="4"/>
  <c r="AL133" i="9" s="1"/>
  <c r="AE106" i="4"/>
  <c r="E136" i="9" s="1"/>
  <c r="Y113" i="4"/>
  <c r="AJ143" i="9" s="1"/>
  <c r="O116" i="4"/>
  <c r="C146" i="9" s="1"/>
  <c r="O130" i="4"/>
  <c r="C160" i="9" s="1"/>
  <c r="AG146" i="4"/>
  <c r="AK176" i="9" s="1"/>
  <c r="G159" i="4"/>
  <c r="B189" i="9" s="1"/>
  <c r="W175" i="4"/>
  <c r="D205" i="9" s="1"/>
  <c r="G214" i="4"/>
  <c r="B244" i="9" s="1"/>
  <c r="G5" i="4"/>
  <c r="B35" i="9" s="1"/>
  <c r="W5" i="4"/>
  <c r="D35" i="9" s="1"/>
  <c r="Y7" i="4"/>
  <c r="AJ37" i="9" s="1"/>
  <c r="AM7" i="4"/>
  <c r="F37" i="9" s="1"/>
  <c r="O9" i="4"/>
  <c r="C39" i="9" s="1"/>
  <c r="Q10" i="4"/>
  <c r="AI40" i="9" s="1"/>
  <c r="AE10" i="4"/>
  <c r="E40" i="9" s="1"/>
  <c r="AG11" i="4"/>
  <c r="AK41" i="9" s="1"/>
  <c r="G12" i="4"/>
  <c r="B42" i="9" s="1"/>
  <c r="Y14" i="4"/>
  <c r="AJ44" i="9" s="1"/>
  <c r="AM14" i="4"/>
  <c r="F44" i="9" s="1"/>
  <c r="AO15" i="4"/>
  <c r="AL45" i="9" s="1"/>
  <c r="O16" i="4"/>
  <c r="C46" i="9" s="1"/>
  <c r="Q17" i="4"/>
  <c r="AI47" i="9" s="1"/>
  <c r="AE17" i="4"/>
  <c r="E47" i="9" s="1"/>
  <c r="AG18" i="4"/>
  <c r="AK48" i="9" s="1"/>
  <c r="G19" i="4"/>
  <c r="B49" i="9" s="1"/>
  <c r="O22" i="4"/>
  <c r="C52" i="9" s="1"/>
  <c r="Q23" i="4"/>
  <c r="AI53" i="9" s="1"/>
  <c r="AE23" i="4"/>
  <c r="E53" i="9" s="1"/>
  <c r="AG24" i="4"/>
  <c r="AK54" i="9" s="1"/>
  <c r="G25" i="4"/>
  <c r="B55" i="9" s="1"/>
  <c r="O28" i="4"/>
  <c r="C58" i="9" s="1"/>
  <c r="Q29" i="4"/>
  <c r="AI59" i="9" s="1"/>
  <c r="AE29" i="4"/>
  <c r="E59" i="9" s="1"/>
  <c r="AM30" i="4"/>
  <c r="F60" i="9" s="1"/>
  <c r="AM33" i="4"/>
  <c r="F63" i="9" s="1"/>
  <c r="AG39" i="4"/>
  <c r="AK69" i="9" s="1"/>
  <c r="W40" i="4"/>
  <c r="D70" i="9" s="1"/>
  <c r="Q45" i="4"/>
  <c r="AI75" i="9" s="1"/>
  <c r="O46" i="4"/>
  <c r="C76" i="9" s="1"/>
  <c r="O55" i="4"/>
  <c r="C85" i="9" s="1"/>
  <c r="Q57" i="4"/>
  <c r="AI87" i="9" s="1"/>
  <c r="AO66" i="4"/>
  <c r="AL96" i="9" s="1"/>
  <c r="AE69" i="4"/>
  <c r="E99" i="9" s="1"/>
  <c r="Y76" i="4"/>
  <c r="AJ106" i="9" s="1"/>
  <c r="O79" i="4"/>
  <c r="C109" i="9" s="1"/>
  <c r="I86" i="4"/>
  <c r="AH116" i="9" s="1"/>
  <c r="AM88" i="4"/>
  <c r="F118" i="9" s="1"/>
  <c r="AG95" i="4"/>
  <c r="AK125" i="9" s="1"/>
  <c r="W98" i="4"/>
  <c r="D128" i="9" s="1"/>
  <c r="Q105" i="4"/>
  <c r="AI135" i="9" s="1"/>
  <c r="G108" i="4"/>
  <c r="B138" i="9" s="1"/>
  <c r="AO114" i="4"/>
  <c r="AL144" i="9" s="1"/>
  <c r="AE117" i="4"/>
  <c r="E147" i="9" s="1"/>
  <c r="I120" i="4"/>
  <c r="AH150" i="9" s="1"/>
  <c r="AE126" i="4"/>
  <c r="E156" i="9" s="1"/>
  <c r="Y134" i="4"/>
  <c r="AJ164" i="9" s="1"/>
  <c r="AM146" i="4"/>
  <c r="F176" i="9" s="1"/>
  <c r="AE175" i="4"/>
  <c r="E205" i="9" s="1"/>
  <c r="AM205" i="4"/>
  <c r="F235" i="9" s="1"/>
  <c r="G224" i="4"/>
  <c r="B254" i="9" s="1"/>
  <c r="AM159" i="7"/>
  <c r="AO157" i="7"/>
  <c r="AL154" i="7"/>
  <c r="AN152" i="7"/>
  <c r="AK149" i="7"/>
  <c r="AM147" i="7"/>
  <c r="AL159" i="7"/>
  <c r="AN157" i="7"/>
  <c r="AK154" i="7"/>
  <c r="AM152" i="7"/>
  <c r="AO150" i="7"/>
  <c r="AL147" i="7"/>
  <c r="AO160" i="7"/>
  <c r="AL157" i="7"/>
  <c r="AN155" i="7"/>
  <c r="AK152" i="7"/>
  <c r="AM150" i="7"/>
  <c r="AO148" i="7"/>
  <c r="AN160" i="7"/>
  <c r="AK157" i="7"/>
  <c r="AM155" i="7"/>
  <c r="AO153" i="7"/>
  <c r="AL150" i="7"/>
  <c r="AN148" i="7"/>
  <c r="AM160" i="7"/>
  <c r="AO158" i="7"/>
  <c r="AL155" i="7"/>
  <c r="AN153" i="7"/>
  <c r="AK150" i="7"/>
  <c r="AM148" i="7"/>
  <c r="AO146" i="7"/>
  <c r="AL160" i="7"/>
  <c r="AN158" i="7"/>
  <c r="AK155" i="7"/>
  <c r="AM153" i="7"/>
  <c r="AO151" i="7"/>
  <c r="AL148" i="7"/>
  <c r="AN146" i="7"/>
  <c r="AK160" i="7"/>
  <c r="AM158" i="7"/>
  <c r="AO156" i="7"/>
  <c r="AL153" i="7"/>
  <c r="AN151" i="7"/>
  <c r="AK148" i="7"/>
  <c r="AM146" i="7"/>
  <c r="AO159" i="7"/>
  <c r="AL156" i="7"/>
  <c r="AN154" i="7"/>
  <c r="AK151" i="7"/>
  <c r="AM149" i="7"/>
  <c r="AO147" i="7"/>
  <c r="AK159" i="7"/>
  <c r="AK147" i="7"/>
  <c r="AO145" i="7"/>
  <c r="AL142" i="7"/>
  <c r="AN140" i="7"/>
  <c r="AK137" i="7"/>
  <c r="AM135" i="7"/>
  <c r="AO133" i="7"/>
  <c r="AL130" i="7"/>
  <c r="AO149" i="7"/>
  <c r="AN145" i="7"/>
  <c r="AK142" i="7"/>
  <c r="AM140" i="7"/>
  <c r="AO138" i="7"/>
  <c r="AL135" i="7"/>
  <c r="AN133" i="7"/>
  <c r="AK130" i="7"/>
  <c r="AN149" i="7"/>
  <c r="AM145" i="7"/>
  <c r="AO143" i="7"/>
  <c r="AL140" i="7"/>
  <c r="AN138" i="7"/>
  <c r="AK135" i="7"/>
  <c r="AM133" i="7"/>
  <c r="AO131" i="7"/>
  <c r="AM151" i="7"/>
  <c r="AN150" i="7"/>
  <c r="AL149" i="7"/>
  <c r="AL145" i="7"/>
  <c r="AN143" i="7"/>
  <c r="AK140" i="7"/>
  <c r="AM138" i="7"/>
  <c r="AO136" i="7"/>
  <c r="AL133" i="7"/>
  <c r="AN131" i="7"/>
  <c r="AO152" i="7"/>
  <c r="AL151" i="7"/>
  <c r="AK145" i="7"/>
  <c r="AM143" i="7"/>
  <c r="AO141" i="7"/>
  <c r="AL138" i="7"/>
  <c r="AN136" i="7"/>
  <c r="AK133" i="7"/>
  <c r="AM131" i="7"/>
  <c r="AO154" i="7"/>
  <c r="AK153" i="7"/>
  <c r="AL152" i="7"/>
  <c r="AL143" i="7"/>
  <c r="AN141" i="7"/>
  <c r="AK138" i="7"/>
  <c r="AM136" i="7"/>
  <c r="AO134" i="7"/>
  <c r="AL131" i="7"/>
  <c r="AM154" i="7"/>
  <c r="AK143" i="7"/>
  <c r="AM141" i="7"/>
  <c r="AO139" i="7"/>
  <c r="AL136" i="7"/>
  <c r="AN134" i="7"/>
  <c r="AK131" i="7"/>
  <c r="AN156" i="7"/>
  <c r="AO155" i="7"/>
  <c r="AO144" i="7"/>
  <c r="AL141" i="7"/>
  <c r="AN139" i="7"/>
  <c r="AK136" i="7"/>
  <c r="AM134" i="7"/>
  <c r="AO132" i="7"/>
  <c r="AM156" i="7"/>
  <c r="AN144" i="7"/>
  <c r="AK141" i="7"/>
  <c r="AM139" i="7"/>
  <c r="AO137" i="7"/>
  <c r="AL134" i="7"/>
  <c r="AN132" i="7"/>
  <c r="AN159" i="7"/>
  <c r="AK158" i="7"/>
  <c r="AN147" i="7"/>
  <c r="AK146" i="7"/>
  <c r="AK144" i="7"/>
  <c r="AM142" i="7"/>
  <c r="AO140" i="7"/>
  <c r="AL137" i="7"/>
  <c r="AN135" i="7"/>
  <c r="AK132" i="7"/>
  <c r="AM130" i="7"/>
  <c r="AL158" i="7"/>
  <c r="AL139" i="7"/>
  <c r="AN137" i="7"/>
  <c r="AO135" i="7"/>
  <c r="AM157" i="7"/>
  <c r="AK139" i="7"/>
  <c r="AM137" i="7"/>
  <c r="AM144" i="7"/>
  <c r="AO142" i="7"/>
  <c r="AK134" i="7"/>
  <c r="AM132" i="7"/>
  <c r="AO130" i="7"/>
  <c r="AN130" i="7"/>
  <c r="AN142" i="7"/>
  <c r="AL146" i="7"/>
  <c r="AL132" i="7"/>
  <c r="AK156" i="7"/>
  <c r="AM190" i="7"/>
  <c r="AO188" i="7"/>
  <c r="AL185" i="7"/>
  <c r="AN183" i="7"/>
  <c r="AK180" i="7"/>
  <c r="AM178" i="7"/>
  <c r="AO176" i="7"/>
  <c r="AL190" i="7"/>
  <c r="AN188" i="7"/>
  <c r="AK185" i="7"/>
  <c r="AM183" i="7"/>
  <c r="AO181" i="7"/>
  <c r="AL178" i="7"/>
  <c r="AN176" i="7"/>
  <c r="AK173" i="7"/>
  <c r="AM171" i="7"/>
  <c r="AO169" i="7"/>
  <c r="AL166" i="7"/>
  <c r="AN164" i="7"/>
  <c r="AK161" i="7"/>
  <c r="AK190" i="7"/>
  <c r="AM188" i="7"/>
  <c r="AO186" i="7"/>
  <c r="AL183" i="7"/>
  <c r="AN181" i="7"/>
  <c r="AK178" i="7"/>
  <c r="AM176" i="7"/>
  <c r="AO174" i="7"/>
  <c r="AL171" i="7"/>
  <c r="AN169" i="7"/>
  <c r="AK166" i="7"/>
  <c r="AM164" i="7"/>
  <c r="AO162" i="7"/>
  <c r="AL188" i="7"/>
  <c r="AN186" i="7"/>
  <c r="AK183" i="7"/>
  <c r="AM181" i="7"/>
  <c r="AO179" i="7"/>
  <c r="AL176" i="7"/>
  <c r="AN174" i="7"/>
  <c r="AK188" i="7"/>
  <c r="AM186" i="7"/>
  <c r="AO184" i="7"/>
  <c r="AL181" i="7"/>
  <c r="AN179" i="7"/>
  <c r="AK176" i="7"/>
  <c r="AM174" i="7"/>
  <c r="AO172" i="7"/>
  <c r="AL169" i="7"/>
  <c r="AN167" i="7"/>
  <c r="AK164" i="7"/>
  <c r="AM162" i="7"/>
  <c r="AO189" i="7"/>
  <c r="AL186" i="7"/>
  <c r="AN184" i="7"/>
  <c r="AK181" i="7"/>
  <c r="AM179" i="7"/>
  <c r="AO177" i="7"/>
  <c r="AL174" i="7"/>
  <c r="AN172" i="7"/>
  <c r="AK169" i="7"/>
  <c r="AM167" i="7"/>
  <c r="AO165" i="7"/>
  <c r="AL162" i="7"/>
  <c r="AN189" i="7"/>
  <c r="AK186" i="7"/>
  <c r="AM184" i="7"/>
  <c r="AO182" i="7"/>
  <c r="AL179" i="7"/>
  <c r="AN177" i="7"/>
  <c r="AK174" i="7"/>
  <c r="AM172" i="7"/>
  <c r="AO170" i="7"/>
  <c r="AL167" i="7"/>
  <c r="AN165" i="7"/>
  <c r="AK162" i="7"/>
  <c r="AM189" i="7"/>
  <c r="AO187" i="7"/>
  <c r="AL184" i="7"/>
  <c r="AN182" i="7"/>
  <c r="AK179" i="7"/>
  <c r="AM177" i="7"/>
  <c r="AO175" i="7"/>
  <c r="AL172" i="7"/>
  <c r="AN170" i="7"/>
  <c r="AK167" i="7"/>
  <c r="AM165" i="7"/>
  <c r="AO163" i="7"/>
  <c r="AL189" i="7"/>
  <c r="AN187" i="7"/>
  <c r="AK184" i="7"/>
  <c r="AM182" i="7"/>
  <c r="AO180" i="7"/>
  <c r="AL177" i="7"/>
  <c r="AN175" i="7"/>
  <c r="AK172" i="7"/>
  <c r="AM170" i="7"/>
  <c r="AO168" i="7"/>
  <c r="AL165" i="7"/>
  <c r="AN163" i="7"/>
  <c r="AN190" i="7"/>
  <c r="AK187" i="7"/>
  <c r="AM185" i="7"/>
  <c r="AO183" i="7"/>
  <c r="AL180" i="7"/>
  <c r="AN178" i="7"/>
  <c r="AK175" i="7"/>
  <c r="AM173" i="7"/>
  <c r="AO171" i="7"/>
  <c r="AL168" i="7"/>
  <c r="AN166" i="7"/>
  <c r="AK163" i="7"/>
  <c r="AM161" i="7"/>
  <c r="AK171" i="7"/>
  <c r="AO173" i="7"/>
  <c r="AO161" i="7"/>
  <c r="AN173" i="7"/>
  <c r="AN161" i="7"/>
  <c r="AO190" i="7"/>
  <c r="AL182" i="7"/>
  <c r="AN180" i="7"/>
  <c r="AO178" i="7"/>
  <c r="AL173" i="7"/>
  <c r="AM163" i="7"/>
  <c r="AN162" i="7"/>
  <c r="AL161" i="7"/>
  <c r="AK182" i="7"/>
  <c r="AM180" i="7"/>
  <c r="AO164" i="7"/>
  <c r="AL163" i="7"/>
  <c r="AO166" i="7"/>
  <c r="AK165" i="7"/>
  <c r="AL164" i="7"/>
  <c r="AM166" i="7"/>
  <c r="AN168" i="7"/>
  <c r="AO167" i="7"/>
  <c r="AM168" i="7"/>
  <c r="AN171" i="7"/>
  <c r="AK170" i="7"/>
  <c r="AN185" i="7"/>
  <c r="AK177" i="7"/>
  <c r="AK189" i="7"/>
  <c r="AM175" i="7"/>
  <c r="AL170" i="7"/>
  <c r="AM187" i="7"/>
  <c r="AK168" i="7"/>
  <c r="AL175" i="7"/>
  <c r="AO185" i="7"/>
  <c r="AO221" i="7"/>
  <c r="AL218" i="7"/>
  <c r="AN216" i="7"/>
  <c r="AK213" i="7"/>
  <c r="AM211" i="7"/>
  <c r="AO209" i="7"/>
  <c r="AL206" i="7"/>
  <c r="AN204" i="7"/>
  <c r="AN221" i="7"/>
  <c r="AK218" i="7"/>
  <c r="AM216" i="7"/>
  <c r="AO214" i="7"/>
  <c r="AL211" i="7"/>
  <c r="AN209" i="7"/>
  <c r="AK206" i="7"/>
  <c r="AM204" i="7"/>
  <c r="AM221" i="7"/>
  <c r="AO219" i="7"/>
  <c r="AL216" i="7"/>
  <c r="AN214" i="7"/>
  <c r="AK211" i="7"/>
  <c r="AM209" i="7"/>
  <c r="AO207" i="7"/>
  <c r="AL204" i="7"/>
  <c r="AN202" i="7"/>
  <c r="AL221" i="7"/>
  <c r="AN219" i="7"/>
  <c r="AK216" i="7"/>
  <c r="AM214" i="7"/>
  <c r="AO212" i="7"/>
  <c r="AL209" i="7"/>
  <c r="AN207" i="7"/>
  <c r="AK204" i="7"/>
  <c r="AK221" i="7"/>
  <c r="AM219" i="7"/>
  <c r="AO217" i="7"/>
  <c r="AL214" i="7"/>
  <c r="AN212" i="7"/>
  <c r="AK209" i="7"/>
  <c r="AM207" i="7"/>
  <c r="AO205" i="7"/>
  <c r="AL219" i="7"/>
  <c r="AN217" i="7"/>
  <c r="AK214" i="7"/>
  <c r="AM212" i="7"/>
  <c r="AO210" i="7"/>
  <c r="AL207" i="7"/>
  <c r="AN205" i="7"/>
  <c r="AK219" i="7"/>
  <c r="AM217" i="7"/>
  <c r="AO215" i="7"/>
  <c r="AL212" i="7"/>
  <c r="AN210" i="7"/>
  <c r="AK207" i="7"/>
  <c r="AM205" i="7"/>
  <c r="AO203" i="7"/>
  <c r="AO220" i="7"/>
  <c r="AL217" i="7"/>
  <c r="AN215" i="7"/>
  <c r="AK212" i="7"/>
  <c r="AM210" i="7"/>
  <c r="AO208" i="7"/>
  <c r="AK220" i="7"/>
  <c r="AM218" i="7"/>
  <c r="AO216" i="7"/>
  <c r="AL213" i="7"/>
  <c r="AN211" i="7"/>
  <c r="AK208" i="7"/>
  <c r="AM206" i="7"/>
  <c r="AO204" i="7"/>
  <c r="AO206" i="7"/>
  <c r="AK205" i="7"/>
  <c r="AM202" i="7"/>
  <c r="AO200" i="7"/>
  <c r="AL197" i="7"/>
  <c r="AN195" i="7"/>
  <c r="AK192" i="7"/>
  <c r="AN206" i="7"/>
  <c r="AL202" i="7"/>
  <c r="AN200" i="7"/>
  <c r="AK197" i="7"/>
  <c r="AM195" i="7"/>
  <c r="AO193" i="7"/>
  <c r="AO218" i="7"/>
  <c r="AO211" i="7"/>
  <c r="AK202" i="7"/>
  <c r="AM200" i="7"/>
  <c r="AO198" i="7"/>
  <c r="AL195" i="7"/>
  <c r="AN193" i="7"/>
  <c r="AN218" i="7"/>
  <c r="AM215" i="7"/>
  <c r="AN208" i="7"/>
  <c r="AL200" i="7"/>
  <c r="AN198" i="7"/>
  <c r="AK195" i="7"/>
  <c r="AM193" i="7"/>
  <c r="AO191" i="7"/>
  <c r="AL215" i="7"/>
  <c r="AM208" i="7"/>
  <c r="AK200" i="7"/>
  <c r="AM198" i="7"/>
  <c r="AO196" i="7"/>
  <c r="AL193" i="7"/>
  <c r="AN191" i="7"/>
  <c r="AK215" i="7"/>
  <c r="AL208" i="7"/>
  <c r="AO201" i="7"/>
  <c r="AL198" i="7"/>
  <c r="AN196" i="7"/>
  <c r="AK193" i="7"/>
  <c r="AM191" i="7"/>
  <c r="AN201" i="7"/>
  <c r="AK198" i="7"/>
  <c r="AM196" i="7"/>
  <c r="AO194" i="7"/>
  <c r="AL191" i="7"/>
  <c r="AM201" i="7"/>
  <c r="AO199" i="7"/>
  <c r="AL196" i="7"/>
  <c r="AN194" i="7"/>
  <c r="AK191" i="7"/>
  <c r="AO213" i="7"/>
  <c r="AN203" i="7"/>
  <c r="AL201" i="7"/>
  <c r="AN199" i="7"/>
  <c r="AK196" i="7"/>
  <c r="AM194" i="7"/>
  <c r="AO192" i="7"/>
  <c r="AL220" i="7"/>
  <c r="AK217" i="7"/>
  <c r="AK210" i="7"/>
  <c r="AL205" i="7"/>
  <c r="AK203" i="7"/>
  <c r="AO202" i="7"/>
  <c r="AK199" i="7"/>
  <c r="AM197" i="7"/>
  <c r="AO195" i="7"/>
  <c r="AL192" i="7"/>
  <c r="AM203" i="7"/>
  <c r="AN213" i="7"/>
  <c r="AL203" i="7"/>
  <c r="AM213" i="7"/>
  <c r="AL194" i="7"/>
  <c r="AN192" i="7"/>
  <c r="AK194" i="7"/>
  <c r="AM192" i="7"/>
  <c r="AL210" i="7"/>
  <c r="AM199" i="7"/>
  <c r="AO197" i="7"/>
  <c r="AN197" i="7"/>
  <c r="AK74" i="7"/>
  <c r="AM84" i="7"/>
  <c r="AL91" i="7"/>
  <c r="AK98" i="7"/>
  <c r="AM169" i="7"/>
  <c r="AL187" i="7"/>
  <c r="AK312" i="7"/>
  <c r="AM310" i="7"/>
  <c r="AO308" i="7"/>
  <c r="AO313" i="7"/>
  <c r="AL310" i="7"/>
  <c r="AN308" i="7"/>
  <c r="AN313" i="7"/>
  <c r="AK310" i="7"/>
  <c r="AM308" i="7"/>
  <c r="AM313" i="7"/>
  <c r="AO311" i="7"/>
  <c r="AL308" i="7"/>
  <c r="AL313" i="7"/>
  <c r="AN311" i="7"/>
  <c r="AK308" i="7"/>
  <c r="AK313" i="7"/>
  <c r="AM311" i="7"/>
  <c r="AL311" i="7"/>
  <c r="AN309" i="7"/>
  <c r="AK311" i="7"/>
  <c r="AM309" i="7"/>
  <c r="AO312" i="7"/>
  <c r="AL309" i="7"/>
  <c r="AN307" i="7"/>
  <c r="AL312" i="7"/>
  <c r="AN310" i="7"/>
  <c r="AN306" i="7"/>
  <c r="AK303" i="7"/>
  <c r="AM301" i="7"/>
  <c r="AO299" i="7"/>
  <c r="AL296" i="7"/>
  <c r="AN294" i="7"/>
  <c r="AK291" i="7"/>
  <c r="AM289" i="7"/>
  <c r="AO287" i="7"/>
  <c r="AL284" i="7"/>
  <c r="AM306" i="7"/>
  <c r="AO304" i="7"/>
  <c r="AL301" i="7"/>
  <c r="AN299" i="7"/>
  <c r="AK296" i="7"/>
  <c r="AM294" i="7"/>
  <c r="AO292" i="7"/>
  <c r="AL289" i="7"/>
  <c r="AN287" i="7"/>
  <c r="AK284" i="7"/>
  <c r="AN312" i="7"/>
  <c r="AO310" i="7"/>
  <c r="AL306" i="7"/>
  <c r="AN304" i="7"/>
  <c r="AK301" i="7"/>
  <c r="AM299" i="7"/>
  <c r="AO297" i="7"/>
  <c r="AL294" i="7"/>
  <c r="AN292" i="7"/>
  <c r="AK289" i="7"/>
  <c r="AM287" i="7"/>
  <c r="AO285" i="7"/>
  <c r="AM312" i="7"/>
  <c r="AK306" i="7"/>
  <c r="AM304" i="7"/>
  <c r="AO302" i="7"/>
  <c r="AL299" i="7"/>
  <c r="AN297" i="7"/>
  <c r="AK294" i="7"/>
  <c r="AM292" i="7"/>
  <c r="AO290" i="7"/>
  <c r="AL287" i="7"/>
  <c r="AN285" i="7"/>
  <c r="AL304" i="7"/>
  <c r="AN302" i="7"/>
  <c r="AK299" i="7"/>
  <c r="AM297" i="7"/>
  <c r="AO295" i="7"/>
  <c r="AL292" i="7"/>
  <c r="AN290" i="7"/>
  <c r="AK287" i="7"/>
  <c r="AM285" i="7"/>
  <c r="AO283" i="7"/>
  <c r="AO307" i="7"/>
  <c r="AK304" i="7"/>
  <c r="AM302" i="7"/>
  <c r="AO300" i="7"/>
  <c r="AL297" i="7"/>
  <c r="AN295" i="7"/>
  <c r="AK292" i="7"/>
  <c r="AM290" i="7"/>
  <c r="AO288" i="7"/>
  <c r="AL285" i="7"/>
  <c r="AN283" i="7"/>
  <c r="AM307" i="7"/>
  <c r="AO305" i="7"/>
  <c r="AL302" i="7"/>
  <c r="AN300" i="7"/>
  <c r="AK297" i="7"/>
  <c r="AM295" i="7"/>
  <c r="AO293" i="7"/>
  <c r="AL290" i="7"/>
  <c r="AN288" i="7"/>
  <c r="AK285" i="7"/>
  <c r="AM283" i="7"/>
  <c r="AL307" i="7"/>
  <c r="AN305" i="7"/>
  <c r="AK302" i="7"/>
  <c r="AM300" i="7"/>
  <c r="AO298" i="7"/>
  <c r="AL295" i="7"/>
  <c r="AN293" i="7"/>
  <c r="AK290" i="7"/>
  <c r="AM288" i="7"/>
  <c r="AO286" i="7"/>
  <c r="AL283" i="7"/>
  <c r="AK307" i="7"/>
  <c r="AM305" i="7"/>
  <c r="AO303" i="7"/>
  <c r="AL300" i="7"/>
  <c r="AN298" i="7"/>
  <c r="AK295" i="7"/>
  <c r="AM293" i="7"/>
  <c r="AO291" i="7"/>
  <c r="AL288" i="7"/>
  <c r="AN286" i="7"/>
  <c r="AK283" i="7"/>
  <c r="AK309" i="7"/>
  <c r="AO306" i="7"/>
  <c r="AL303" i="7"/>
  <c r="AN301" i="7"/>
  <c r="AK298" i="7"/>
  <c r="AM296" i="7"/>
  <c r="AO294" i="7"/>
  <c r="AL291" i="7"/>
  <c r="AN289" i="7"/>
  <c r="AK286" i="7"/>
  <c r="AM284" i="7"/>
  <c r="AK300" i="7"/>
  <c r="AM298" i="7"/>
  <c r="AO296" i="7"/>
  <c r="AK288" i="7"/>
  <c r="AM286" i="7"/>
  <c r="AO284" i="7"/>
  <c r="AL298" i="7"/>
  <c r="AN296" i="7"/>
  <c r="AL286" i="7"/>
  <c r="AN284" i="7"/>
  <c r="AO309" i="7"/>
  <c r="AK305" i="7"/>
  <c r="AM303" i="7"/>
  <c r="AK293" i="7"/>
  <c r="AM291" i="7"/>
  <c r="AL305" i="7"/>
  <c r="AN291" i="7"/>
  <c r="AN303" i="7"/>
  <c r="AO289" i="7"/>
  <c r="AL293" i="7"/>
  <c r="AO301" i="7"/>
  <c r="AM72" i="7"/>
  <c r="AM89" i="7"/>
  <c r="AM96" i="7"/>
  <c r="AL199" i="7"/>
  <c r="AM220" i="7"/>
  <c r="AL341" i="7"/>
  <c r="AN339" i="7"/>
  <c r="AK336" i="7"/>
  <c r="AM334" i="7"/>
  <c r="AO332" i="7"/>
  <c r="AL329" i="7"/>
  <c r="AN327" i="7"/>
  <c r="AK324" i="7"/>
  <c r="AM322" i="7"/>
  <c r="AO320" i="7"/>
  <c r="AL317" i="7"/>
  <c r="AN315" i="7"/>
  <c r="AK341" i="7"/>
  <c r="AM339" i="7"/>
  <c r="AO337" i="7"/>
  <c r="AL334" i="7"/>
  <c r="AN332" i="7"/>
  <c r="AK329" i="7"/>
  <c r="AM327" i="7"/>
  <c r="AO325" i="7"/>
  <c r="AL322" i="7"/>
  <c r="AN320" i="7"/>
  <c r="AK317" i="7"/>
  <c r="AM315" i="7"/>
  <c r="AO342" i="7"/>
  <c r="AL339" i="7"/>
  <c r="AN337" i="7"/>
  <c r="AK334" i="7"/>
  <c r="AM332" i="7"/>
  <c r="AO330" i="7"/>
  <c r="AL327" i="7"/>
  <c r="AN325" i="7"/>
  <c r="AK322" i="7"/>
  <c r="AM320" i="7"/>
  <c r="AO318" i="7"/>
  <c r="AL315" i="7"/>
  <c r="AN342" i="7"/>
  <c r="AK339" i="7"/>
  <c r="AM337" i="7"/>
  <c r="AO335" i="7"/>
  <c r="AL332" i="7"/>
  <c r="AN330" i="7"/>
  <c r="AK327" i="7"/>
  <c r="AM325" i="7"/>
  <c r="AO323" i="7"/>
  <c r="AL320" i="7"/>
  <c r="AN318" i="7"/>
  <c r="AK315" i="7"/>
  <c r="AM342" i="7"/>
  <c r="AO340" i="7"/>
  <c r="AL337" i="7"/>
  <c r="AN335" i="7"/>
  <c r="AK332" i="7"/>
  <c r="AM330" i="7"/>
  <c r="AO328" i="7"/>
  <c r="AL325" i="7"/>
  <c r="AN323" i="7"/>
  <c r="AK320" i="7"/>
  <c r="AM318" i="7"/>
  <c r="AO316" i="7"/>
  <c r="AL342" i="7"/>
  <c r="AN340" i="7"/>
  <c r="AK337" i="7"/>
  <c r="AM335" i="7"/>
  <c r="AO333" i="7"/>
  <c r="AL330" i="7"/>
  <c r="AN328" i="7"/>
  <c r="AK325" i="7"/>
  <c r="AM323" i="7"/>
  <c r="AO321" i="7"/>
  <c r="AL318" i="7"/>
  <c r="AN316" i="7"/>
  <c r="AK342" i="7"/>
  <c r="AM340" i="7"/>
  <c r="AO338" i="7"/>
  <c r="AL335" i="7"/>
  <c r="AN333" i="7"/>
  <c r="AK330" i="7"/>
  <c r="AM328" i="7"/>
  <c r="AO326" i="7"/>
  <c r="AL323" i="7"/>
  <c r="AN321" i="7"/>
  <c r="AK318" i="7"/>
  <c r="AM316" i="7"/>
  <c r="AO314" i="7"/>
  <c r="AO343" i="7"/>
  <c r="AL340" i="7"/>
  <c r="AN338" i="7"/>
  <c r="AK335" i="7"/>
  <c r="AM333" i="7"/>
  <c r="AO331" i="7"/>
  <c r="AL328" i="7"/>
  <c r="AN326" i="7"/>
  <c r="AK323" i="7"/>
  <c r="AM321" i="7"/>
  <c r="AO319" i="7"/>
  <c r="AL316" i="7"/>
  <c r="AN314" i="7"/>
  <c r="AN343" i="7"/>
  <c r="AK340" i="7"/>
  <c r="AM338" i="7"/>
  <c r="AO336" i="7"/>
  <c r="AL333" i="7"/>
  <c r="AN331" i="7"/>
  <c r="AK328" i="7"/>
  <c r="AM326" i="7"/>
  <c r="AO324" i="7"/>
  <c r="AL321" i="7"/>
  <c r="AN319" i="7"/>
  <c r="AK316" i="7"/>
  <c r="AM314" i="7"/>
  <c r="AK343" i="7"/>
  <c r="AM341" i="7"/>
  <c r="AO339" i="7"/>
  <c r="AL336" i="7"/>
  <c r="AN334" i="7"/>
  <c r="AK331" i="7"/>
  <c r="AM329" i="7"/>
  <c r="AO327" i="7"/>
  <c r="AL324" i="7"/>
  <c r="AN322" i="7"/>
  <c r="AK319" i="7"/>
  <c r="AM317" i="7"/>
  <c r="AO315" i="7"/>
  <c r="AL338" i="7"/>
  <c r="AN336" i="7"/>
  <c r="AO334" i="7"/>
  <c r="AL326" i="7"/>
  <c r="AN324" i="7"/>
  <c r="AO322" i="7"/>
  <c r="AL314" i="7"/>
  <c r="AK338" i="7"/>
  <c r="AM336" i="7"/>
  <c r="AK326" i="7"/>
  <c r="AM324" i="7"/>
  <c r="AK314" i="7"/>
  <c r="AM343" i="7"/>
  <c r="AO341" i="7"/>
  <c r="AK333" i="7"/>
  <c r="AM331" i="7"/>
  <c r="AO329" i="7"/>
  <c r="AK321" i="7"/>
  <c r="AM319" i="7"/>
  <c r="AO317" i="7"/>
  <c r="AN341" i="7"/>
  <c r="AN329" i="7"/>
  <c r="AN317" i="7"/>
  <c r="AL343" i="7"/>
  <c r="AL331" i="7"/>
  <c r="AL319" i="7"/>
  <c r="AN72" i="7"/>
  <c r="AN220" i="7"/>
  <c r="AL79" i="7"/>
  <c r="AK404" i="7"/>
  <c r="AM402" i="7"/>
  <c r="AO400" i="7"/>
  <c r="AL397" i="7"/>
  <c r="AN395" i="7"/>
  <c r="AK392" i="7"/>
  <c r="AM390" i="7"/>
  <c r="AO388" i="7"/>
  <c r="AL385" i="7"/>
  <c r="AL402" i="7"/>
  <c r="AN400" i="7"/>
  <c r="AK397" i="7"/>
  <c r="AM395" i="7"/>
  <c r="AO393" i="7"/>
  <c r="AL390" i="7"/>
  <c r="AN388" i="7"/>
  <c r="AK385" i="7"/>
  <c r="AM383" i="7"/>
  <c r="AO381" i="7"/>
  <c r="AL378" i="7"/>
  <c r="AN376" i="7"/>
  <c r="AK402" i="7"/>
  <c r="AM400" i="7"/>
  <c r="AO398" i="7"/>
  <c r="AL395" i="7"/>
  <c r="AN393" i="7"/>
  <c r="AK390" i="7"/>
  <c r="AM388" i="7"/>
  <c r="AO386" i="7"/>
  <c r="AL383" i="7"/>
  <c r="AN381" i="7"/>
  <c r="AK378" i="7"/>
  <c r="AM376" i="7"/>
  <c r="AO403" i="7"/>
  <c r="AL400" i="7"/>
  <c r="AN398" i="7"/>
  <c r="AK395" i="7"/>
  <c r="AM393" i="7"/>
  <c r="AO391" i="7"/>
  <c r="AL388" i="7"/>
  <c r="AN386" i="7"/>
  <c r="AK383" i="7"/>
  <c r="AM381" i="7"/>
  <c r="AO379" i="7"/>
  <c r="AL376" i="7"/>
  <c r="AN403" i="7"/>
  <c r="AK400" i="7"/>
  <c r="AM398" i="7"/>
  <c r="AO396" i="7"/>
  <c r="AL393" i="7"/>
  <c r="AN391" i="7"/>
  <c r="AK388" i="7"/>
  <c r="AM386" i="7"/>
  <c r="AO384" i="7"/>
  <c r="AL381" i="7"/>
  <c r="AN379" i="7"/>
  <c r="AK376" i="7"/>
  <c r="AM403" i="7"/>
  <c r="AO401" i="7"/>
  <c r="AL398" i="7"/>
  <c r="AN396" i="7"/>
  <c r="AK393" i="7"/>
  <c r="AM391" i="7"/>
  <c r="AO389" i="7"/>
  <c r="AL386" i="7"/>
  <c r="AN384" i="7"/>
  <c r="AK381" i="7"/>
  <c r="AM379" i="7"/>
  <c r="AO377" i="7"/>
  <c r="AL403" i="7"/>
  <c r="AN401" i="7"/>
  <c r="AK398" i="7"/>
  <c r="AM396" i="7"/>
  <c r="AO394" i="7"/>
  <c r="AL391" i="7"/>
  <c r="AN389" i="7"/>
  <c r="AK386" i="7"/>
  <c r="AM384" i="7"/>
  <c r="AK403" i="7"/>
  <c r="AM401" i="7"/>
  <c r="AO399" i="7"/>
  <c r="AL396" i="7"/>
  <c r="AN394" i="7"/>
  <c r="AK391" i="7"/>
  <c r="AM389" i="7"/>
  <c r="AO387" i="7"/>
  <c r="AL384" i="7"/>
  <c r="AN382" i="7"/>
  <c r="AK379" i="7"/>
  <c r="AM377" i="7"/>
  <c r="AO375" i="7"/>
  <c r="AO404" i="7"/>
  <c r="AL401" i="7"/>
  <c r="AN399" i="7"/>
  <c r="AK396" i="7"/>
  <c r="AM394" i="7"/>
  <c r="AO392" i="7"/>
  <c r="AL389" i="7"/>
  <c r="AN387" i="7"/>
  <c r="AK384" i="7"/>
  <c r="AM382" i="7"/>
  <c r="AO380" i="7"/>
  <c r="AL377" i="7"/>
  <c r="AN375" i="7"/>
  <c r="AL404" i="7"/>
  <c r="AN402" i="7"/>
  <c r="AK399" i="7"/>
  <c r="AM397" i="7"/>
  <c r="AO395" i="7"/>
  <c r="AL392" i="7"/>
  <c r="AN390" i="7"/>
  <c r="AK387" i="7"/>
  <c r="AM385" i="7"/>
  <c r="AO383" i="7"/>
  <c r="AL380" i="7"/>
  <c r="AN378" i="7"/>
  <c r="AK375" i="7"/>
  <c r="AM380" i="7"/>
  <c r="AK401" i="7"/>
  <c r="AM399" i="7"/>
  <c r="AO397" i="7"/>
  <c r="AK389" i="7"/>
  <c r="AM387" i="7"/>
  <c r="AO385" i="7"/>
  <c r="AO382" i="7"/>
  <c r="AK380" i="7"/>
  <c r="AL399" i="7"/>
  <c r="AN397" i="7"/>
  <c r="AL387" i="7"/>
  <c r="AN385" i="7"/>
  <c r="AL382" i="7"/>
  <c r="AN383" i="7"/>
  <c r="AK382" i="7"/>
  <c r="AM375" i="7"/>
  <c r="AN404" i="7"/>
  <c r="AO402" i="7"/>
  <c r="AL394" i="7"/>
  <c r="AN392" i="7"/>
  <c r="AO390" i="7"/>
  <c r="AL375" i="7"/>
  <c r="AM404" i="7"/>
  <c r="AK394" i="7"/>
  <c r="AM392" i="7"/>
  <c r="AN377" i="7"/>
  <c r="AO376" i="7"/>
  <c r="AN380" i="7"/>
  <c r="AL379" i="7"/>
  <c r="AO378" i="7"/>
  <c r="AM378" i="7"/>
  <c r="AK377" i="7"/>
  <c r="AK201" i="7"/>
  <c r="AK101" i="7"/>
  <c r="AM99" i="7"/>
  <c r="AO97" i="7"/>
  <c r="AL94" i="7"/>
  <c r="AN92" i="7"/>
  <c r="AK89" i="7"/>
  <c r="AM87" i="7"/>
  <c r="AO85" i="7"/>
  <c r="AL82" i="7"/>
  <c r="AN80" i="7"/>
  <c r="AK77" i="7"/>
  <c r="AM75" i="7"/>
  <c r="AL99" i="7"/>
  <c r="AN97" i="7"/>
  <c r="AK94" i="7"/>
  <c r="AM92" i="7"/>
  <c r="AO90" i="7"/>
  <c r="AL87" i="7"/>
  <c r="AN85" i="7"/>
  <c r="AK82" i="7"/>
  <c r="AM80" i="7"/>
  <c r="AO78" i="7"/>
  <c r="AL75" i="7"/>
  <c r="AN73" i="7"/>
  <c r="AK99" i="7"/>
  <c r="AM97" i="7"/>
  <c r="AO95" i="7"/>
  <c r="AL92" i="7"/>
  <c r="AN90" i="7"/>
  <c r="AK87" i="7"/>
  <c r="AM85" i="7"/>
  <c r="AO83" i="7"/>
  <c r="AL80" i="7"/>
  <c r="AN78" i="7"/>
  <c r="AK75" i="7"/>
  <c r="AM73" i="7"/>
  <c r="AO71" i="7"/>
  <c r="AO100" i="7"/>
  <c r="AL97" i="7"/>
  <c r="AN95" i="7"/>
  <c r="AK92" i="7"/>
  <c r="AM90" i="7"/>
  <c r="AO88" i="7"/>
  <c r="AL85" i="7"/>
  <c r="AN83" i="7"/>
  <c r="AK80" i="7"/>
  <c r="AM78" i="7"/>
  <c r="AO76" i="7"/>
  <c r="AL73" i="7"/>
  <c r="AN71" i="7"/>
  <c r="AN100" i="7"/>
  <c r="AK97" i="7"/>
  <c r="AM95" i="7"/>
  <c r="AO93" i="7"/>
  <c r="AL90" i="7"/>
  <c r="AN88" i="7"/>
  <c r="AK85" i="7"/>
  <c r="AM83" i="7"/>
  <c r="AO81" i="7"/>
  <c r="AL78" i="7"/>
  <c r="AN76" i="7"/>
  <c r="AK73" i="7"/>
  <c r="AM71" i="7"/>
  <c r="AM100" i="7"/>
  <c r="AO98" i="7"/>
  <c r="AL95" i="7"/>
  <c r="AN93" i="7"/>
  <c r="AK90" i="7"/>
  <c r="AM88" i="7"/>
  <c r="AO86" i="7"/>
  <c r="AL83" i="7"/>
  <c r="AN81" i="7"/>
  <c r="AK78" i="7"/>
  <c r="AM76" i="7"/>
  <c r="AO74" i="7"/>
  <c r="AL71" i="7"/>
  <c r="AL100" i="7"/>
  <c r="AN98" i="7"/>
  <c r="AK95" i="7"/>
  <c r="AM93" i="7"/>
  <c r="AO91" i="7"/>
  <c r="AL88" i="7"/>
  <c r="AN86" i="7"/>
  <c r="AK83" i="7"/>
  <c r="AM81" i="7"/>
  <c r="AO79" i="7"/>
  <c r="AL76" i="7"/>
  <c r="AN74" i="7"/>
  <c r="AK71" i="7"/>
  <c r="AK100" i="7"/>
  <c r="AM98" i="7"/>
  <c r="AO96" i="7"/>
  <c r="AL93" i="7"/>
  <c r="AN91" i="7"/>
  <c r="AK88" i="7"/>
  <c r="AM86" i="7"/>
  <c r="AO84" i="7"/>
  <c r="AL81" i="7"/>
  <c r="AN79" i="7"/>
  <c r="AK76" i="7"/>
  <c r="AM74" i="7"/>
  <c r="AO72" i="7"/>
  <c r="AL101" i="7"/>
  <c r="AN99" i="7"/>
  <c r="AK96" i="7"/>
  <c r="AM94" i="7"/>
  <c r="AO92" i="7"/>
  <c r="AL89" i="7"/>
  <c r="AN87" i="7"/>
  <c r="AK84" i="7"/>
  <c r="AM82" i="7"/>
  <c r="AO80" i="7"/>
  <c r="AL77" i="7"/>
  <c r="AN75" i="7"/>
  <c r="AK72" i="7"/>
  <c r="AN96" i="7"/>
  <c r="AN89" i="7"/>
  <c r="AN82" i="7"/>
  <c r="AM79" i="7"/>
  <c r="AL96" i="7"/>
  <c r="AK93" i="7"/>
  <c r="AK86" i="7"/>
  <c r="AK79" i="7"/>
  <c r="AO101" i="7"/>
  <c r="AO94" i="7"/>
  <c r="AO87" i="7"/>
  <c r="AO77" i="7"/>
  <c r="AN101" i="7"/>
  <c r="AN94" i="7"/>
  <c r="AM91" i="7"/>
  <c r="AN84" i="7"/>
  <c r="AN77" i="7"/>
  <c r="AL74" i="7"/>
  <c r="AO73" i="7"/>
  <c r="AL72" i="7"/>
  <c r="AO99" i="7"/>
  <c r="AO89" i="7"/>
  <c r="AO82" i="7"/>
  <c r="AO75" i="7"/>
  <c r="AK435" i="7"/>
  <c r="AM433" i="7"/>
  <c r="AO431" i="7"/>
  <c r="AL428" i="7"/>
  <c r="AN426" i="7"/>
  <c r="AK423" i="7"/>
  <c r="AM421" i="7"/>
  <c r="AO419" i="7"/>
  <c r="AL416" i="7"/>
  <c r="AN414" i="7"/>
  <c r="AL433" i="7"/>
  <c r="AN431" i="7"/>
  <c r="AK428" i="7"/>
  <c r="AM426" i="7"/>
  <c r="AO424" i="7"/>
  <c r="AL421" i="7"/>
  <c r="AN419" i="7"/>
  <c r="AK416" i="7"/>
  <c r="AM414" i="7"/>
  <c r="AK433" i="7"/>
  <c r="AM431" i="7"/>
  <c r="AO429" i="7"/>
  <c r="AL426" i="7"/>
  <c r="AN424" i="7"/>
  <c r="AK421" i="7"/>
  <c r="AM419" i="7"/>
  <c r="AO417" i="7"/>
  <c r="AL414" i="7"/>
  <c r="AO434" i="7"/>
  <c r="AL431" i="7"/>
  <c r="AN429" i="7"/>
  <c r="AK426" i="7"/>
  <c r="AM424" i="7"/>
  <c r="AO422" i="7"/>
  <c r="AL419" i="7"/>
  <c r="AN417" i="7"/>
  <c r="AN434" i="7"/>
  <c r="AK431" i="7"/>
  <c r="AM429" i="7"/>
  <c r="AO427" i="7"/>
  <c r="AL424" i="7"/>
  <c r="AN422" i="7"/>
  <c r="AK419" i="7"/>
  <c r="AM417" i="7"/>
  <c r="AO415" i="7"/>
  <c r="AM434" i="7"/>
  <c r="AO432" i="7"/>
  <c r="AL429" i="7"/>
  <c r="AN427" i="7"/>
  <c r="AK424" i="7"/>
  <c r="AM422" i="7"/>
  <c r="AO420" i="7"/>
  <c r="AL417" i="7"/>
  <c r="AN415" i="7"/>
  <c r="AK434" i="7"/>
  <c r="AM432" i="7"/>
  <c r="AO430" i="7"/>
  <c r="AL427" i="7"/>
  <c r="AN425" i="7"/>
  <c r="AK422" i="7"/>
  <c r="AM420" i="7"/>
  <c r="AO418" i="7"/>
  <c r="AL415" i="7"/>
  <c r="AN435" i="7"/>
  <c r="AK432" i="7"/>
  <c r="AM430" i="7"/>
  <c r="AO428" i="7"/>
  <c r="AL425" i="7"/>
  <c r="AN423" i="7"/>
  <c r="AK420" i="7"/>
  <c r="AM418" i="7"/>
  <c r="AO416" i="7"/>
  <c r="AL435" i="7"/>
  <c r="AN433" i="7"/>
  <c r="AK430" i="7"/>
  <c r="AM428" i="7"/>
  <c r="AO426" i="7"/>
  <c r="AL423" i="7"/>
  <c r="AN421" i="7"/>
  <c r="AK418" i="7"/>
  <c r="AM416" i="7"/>
  <c r="AO414" i="7"/>
  <c r="AO435" i="7"/>
  <c r="AN428" i="7"/>
  <c r="AO425" i="7"/>
  <c r="AO421" i="7"/>
  <c r="AO412" i="7"/>
  <c r="AL409" i="7"/>
  <c r="AN407" i="7"/>
  <c r="AM435" i="7"/>
  <c r="AM425" i="7"/>
  <c r="AN418" i="7"/>
  <c r="AN412" i="7"/>
  <c r="AK409" i="7"/>
  <c r="AM407" i="7"/>
  <c r="AO405" i="7"/>
  <c r="AN432" i="7"/>
  <c r="AK425" i="7"/>
  <c r="AL418" i="7"/>
  <c r="AK414" i="7"/>
  <c r="AM412" i="7"/>
  <c r="AO410" i="7"/>
  <c r="AL407" i="7"/>
  <c r="AN405" i="7"/>
  <c r="AL432" i="7"/>
  <c r="AL422" i="7"/>
  <c r="AM415" i="7"/>
  <c r="AL412" i="7"/>
  <c r="AN410" i="7"/>
  <c r="AK407" i="7"/>
  <c r="AM405" i="7"/>
  <c r="AK429" i="7"/>
  <c r="AK415" i="7"/>
  <c r="AK412" i="7"/>
  <c r="AM410" i="7"/>
  <c r="AO408" i="7"/>
  <c r="AL405" i="7"/>
  <c r="AO413" i="7"/>
  <c r="AL410" i="7"/>
  <c r="AN408" i="7"/>
  <c r="AK405" i="7"/>
  <c r="AO433" i="7"/>
  <c r="AO423" i="7"/>
  <c r="AN416" i="7"/>
  <c r="AN413" i="7"/>
  <c r="AK410" i="7"/>
  <c r="AM408" i="7"/>
  <c r="AO406" i="7"/>
  <c r="AN430" i="7"/>
  <c r="AM423" i="7"/>
  <c r="AM413" i="7"/>
  <c r="AO411" i="7"/>
  <c r="AL408" i="7"/>
  <c r="AN406" i="7"/>
  <c r="AL430" i="7"/>
  <c r="AM427" i="7"/>
  <c r="AN420" i="7"/>
  <c r="AL413" i="7"/>
  <c r="AN411" i="7"/>
  <c r="AK408" i="7"/>
  <c r="AM406" i="7"/>
  <c r="AK411" i="7"/>
  <c r="AM409" i="7"/>
  <c r="AO407" i="7"/>
  <c r="AK417" i="7"/>
  <c r="AK427" i="7"/>
  <c r="AK413" i="7"/>
  <c r="AM411" i="7"/>
  <c r="AO409" i="7"/>
  <c r="AL411" i="7"/>
  <c r="AN409" i="7"/>
  <c r="AL420" i="7"/>
  <c r="AL406" i="7"/>
  <c r="AL434" i="7"/>
  <c r="AK406" i="7"/>
  <c r="AN128" i="7"/>
  <c r="AK125" i="7"/>
  <c r="AM123" i="7"/>
  <c r="AO121" i="7"/>
  <c r="AL118" i="7"/>
  <c r="AN116" i="7"/>
  <c r="AK113" i="7"/>
  <c r="AM111" i="7"/>
  <c r="AO109" i="7"/>
  <c r="AL106" i="7"/>
  <c r="AN104" i="7"/>
  <c r="AM128" i="7"/>
  <c r="AO126" i="7"/>
  <c r="AL123" i="7"/>
  <c r="AN121" i="7"/>
  <c r="AK118" i="7"/>
  <c r="AM116" i="7"/>
  <c r="AO114" i="7"/>
  <c r="AL111" i="7"/>
  <c r="AN109" i="7"/>
  <c r="AK106" i="7"/>
  <c r="AM104" i="7"/>
  <c r="AO102" i="7"/>
  <c r="AL128" i="7"/>
  <c r="AN126" i="7"/>
  <c r="AK123" i="7"/>
  <c r="AM121" i="7"/>
  <c r="AO119" i="7"/>
  <c r="AL116" i="7"/>
  <c r="AN114" i="7"/>
  <c r="AK111" i="7"/>
  <c r="AM109" i="7"/>
  <c r="AO107" i="7"/>
  <c r="AL104" i="7"/>
  <c r="AN102" i="7"/>
  <c r="AK128" i="7"/>
  <c r="AM126" i="7"/>
  <c r="AO124" i="7"/>
  <c r="AL121" i="7"/>
  <c r="AN119" i="7"/>
  <c r="AK116" i="7"/>
  <c r="AM114" i="7"/>
  <c r="AO112" i="7"/>
  <c r="AL109" i="7"/>
  <c r="AN107" i="7"/>
  <c r="AK104" i="7"/>
  <c r="AM102" i="7"/>
  <c r="AO129" i="7"/>
  <c r="AL126" i="7"/>
  <c r="AN124" i="7"/>
  <c r="AK121" i="7"/>
  <c r="AM119" i="7"/>
  <c r="AO117" i="7"/>
  <c r="AL114" i="7"/>
  <c r="AN112" i="7"/>
  <c r="AK109" i="7"/>
  <c r="AM107" i="7"/>
  <c r="AO105" i="7"/>
  <c r="AL102" i="7"/>
  <c r="AN129" i="7"/>
  <c r="AK126" i="7"/>
  <c r="AM124" i="7"/>
  <c r="AO122" i="7"/>
  <c r="AL119" i="7"/>
  <c r="AN117" i="7"/>
  <c r="AK114" i="7"/>
  <c r="AM112" i="7"/>
  <c r="AO110" i="7"/>
  <c r="AL107" i="7"/>
  <c r="AN105" i="7"/>
  <c r="AK102" i="7"/>
  <c r="AM129" i="7"/>
  <c r="AO127" i="7"/>
  <c r="AL124" i="7"/>
  <c r="AN122" i="7"/>
  <c r="AK119" i="7"/>
  <c r="AM117" i="7"/>
  <c r="AO115" i="7"/>
  <c r="AL112" i="7"/>
  <c r="AN110" i="7"/>
  <c r="AK107" i="7"/>
  <c r="AM105" i="7"/>
  <c r="AO103" i="7"/>
  <c r="AL129" i="7"/>
  <c r="AN127" i="7"/>
  <c r="AK124" i="7"/>
  <c r="AM122" i="7"/>
  <c r="AO120" i="7"/>
  <c r="AL117" i="7"/>
  <c r="AN115" i="7"/>
  <c r="AK112" i="7"/>
  <c r="AM110" i="7"/>
  <c r="AO108" i="7"/>
  <c r="AL105" i="7"/>
  <c r="AN103" i="7"/>
  <c r="AK129" i="7"/>
  <c r="AM127" i="7"/>
  <c r="AO125" i="7"/>
  <c r="AL122" i="7"/>
  <c r="AN120" i="7"/>
  <c r="AK117" i="7"/>
  <c r="AM115" i="7"/>
  <c r="AO113" i="7"/>
  <c r="AO128" i="7"/>
  <c r="AL125" i="7"/>
  <c r="AN123" i="7"/>
  <c r="AK120" i="7"/>
  <c r="AM118" i="7"/>
  <c r="AO116" i="7"/>
  <c r="AL113" i="7"/>
  <c r="AN111" i="7"/>
  <c r="AK108" i="7"/>
  <c r="AM106" i="7"/>
  <c r="AO104" i="7"/>
  <c r="AK373" i="7"/>
  <c r="AM371" i="7"/>
  <c r="AO369" i="7"/>
  <c r="AL366" i="7"/>
  <c r="AN364" i="7"/>
  <c r="AK361" i="7"/>
  <c r="AO374" i="7"/>
  <c r="AL371" i="7"/>
  <c r="AN369" i="7"/>
  <c r="AK366" i="7"/>
  <c r="AM364" i="7"/>
  <c r="AO362" i="7"/>
  <c r="AN374" i="7"/>
  <c r="AK371" i="7"/>
  <c r="AM369" i="7"/>
  <c r="AO367" i="7"/>
  <c r="AL364" i="7"/>
  <c r="AN362" i="7"/>
  <c r="AM374" i="7"/>
  <c r="AO372" i="7"/>
  <c r="AL369" i="7"/>
  <c r="AN367" i="7"/>
  <c r="AK364" i="7"/>
  <c r="AM362" i="7"/>
  <c r="AL374" i="7"/>
  <c r="AN372" i="7"/>
  <c r="AK369" i="7"/>
  <c r="AM367" i="7"/>
  <c r="AO365" i="7"/>
  <c r="AL362" i="7"/>
  <c r="AL372" i="7"/>
  <c r="AN370" i="7"/>
  <c r="AK367" i="7"/>
  <c r="AM365" i="7"/>
  <c r="AO363" i="7"/>
  <c r="AK372" i="7"/>
  <c r="AM370" i="7"/>
  <c r="AO368" i="7"/>
  <c r="AL365" i="7"/>
  <c r="AN363" i="7"/>
  <c r="AM373" i="7"/>
  <c r="AO371" i="7"/>
  <c r="AL368" i="7"/>
  <c r="AN366" i="7"/>
  <c r="AK363" i="7"/>
  <c r="AM361" i="7"/>
  <c r="AM368" i="7"/>
  <c r="AK360" i="7"/>
  <c r="AM358" i="7"/>
  <c r="AO356" i="7"/>
  <c r="AL353" i="7"/>
  <c r="AN351" i="7"/>
  <c r="AK348" i="7"/>
  <c r="AM346" i="7"/>
  <c r="AO344" i="7"/>
  <c r="AO370" i="7"/>
  <c r="AK368" i="7"/>
  <c r="AL358" i="7"/>
  <c r="AN356" i="7"/>
  <c r="AK353" i="7"/>
  <c r="AM351" i="7"/>
  <c r="AO349" i="7"/>
  <c r="AL346" i="7"/>
  <c r="AN344" i="7"/>
  <c r="AL370" i="7"/>
  <c r="AK358" i="7"/>
  <c r="AM356" i="7"/>
  <c r="AO354" i="7"/>
  <c r="AL351" i="7"/>
  <c r="AN349" i="7"/>
  <c r="AK346" i="7"/>
  <c r="AM344" i="7"/>
  <c r="AN371" i="7"/>
  <c r="AK370" i="7"/>
  <c r="AO359" i="7"/>
  <c r="AL356" i="7"/>
  <c r="AN354" i="7"/>
  <c r="AK351" i="7"/>
  <c r="AM349" i="7"/>
  <c r="AO347" i="7"/>
  <c r="AL344" i="7"/>
  <c r="AO373" i="7"/>
  <c r="AM372" i="7"/>
  <c r="AO361" i="7"/>
  <c r="AN359" i="7"/>
  <c r="AK356" i="7"/>
  <c r="AM354" i="7"/>
  <c r="AO352" i="7"/>
  <c r="AL349" i="7"/>
  <c r="AN347" i="7"/>
  <c r="AK344" i="7"/>
  <c r="AN373" i="7"/>
  <c r="AN361" i="7"/>
  <c r="AM359" i="7"/>
  <c r="AO357" i="7"/>
  <c r="AL354" i="7"/>
  <c r="AN352" i="7"/>
  <c r="AK349" i="7"/>
  <c r="AM347" i="7"/>
  <c r="AO345" i="7"/>
  <c r="AK374" i="7"/>
  <c r="AL373" i="7"/>
  <c r="AM363" i="7"/>
  <c r="AK362" i="7"/>
  <c r="AL361" i="7"/>
  <c r="AL359" i="7"/>
  <c r="AN357" i="7"/>
  <c r="AK354" i="7"/>
  <c r="AM352" i="7"/>
  <c r="AO350" i="7"/>
  <c r="AL347" i="7"/>
  <c r="AN345" i="7"/>
  <c r="AL363" i="7"/>
  <c r="AK359" i="7"/>
  <c r="AM357" i="7"/>
  <c r="AO355" i="7"/>
  <c r="AL352" i="7"/>
  <c r="AN350" i="7"/>
  <c r="AK347" i="7"/>
  <c r="AM345" i="7"/>
  <c r="AN365" i="7"/>
  <c r="AO364" i="7"/>
  <c r="AO360" i="7"/>
  <c r="AL357" i="7"/>
  <c r="AN355" i="7"/>
  <c r="AK352" i="7"/>
  <c r="AM350" i="7"/>
  <c r="AO348" i="7"/>
  <c r="AL345" i="7"/>
  <c r="AN368" i="7"/>
  <c r="AL367" i="7"/>
  <c r="AL360" i="7"/>
  <c r="AN358" i="7"/>
  <c r="AK355" i="7"/>
  <c r="AM353" i="7"/>
  <c r="AO351" i="7"/>
  <c r="AL348" i="7"/>
  <c r="AN346" i="7"/>
  <c r="AN360" i="7"/>
  <c r="AO358" i="7"/>
  <c r="AL350" i="7"/>
  <c r="AN348" i="7"/>
  <c r="AO346" i="7"/>
  <c r="AM360" i="7"/>
  <c r="AK350" i="7"/>
  <c r="AM348" i="7"/>
  <c r="AO366" i="7"/>
  <c r="AK357" i="7"/>
  <c r="AM355" i="7"/>
  <c r="AO353" i="7"/>
  <c r="AK345" i="7"/>
  <c r="AK365" i="7"/>
  <c r="AN353" i="7"/>
  <c r="AM366" i="7"/>
  <c r="AL355" i="7"/>
  <c r="AO118" i="7"/>
  <c r="AM120" i="7"/>
  <c r="AK122" i="7"/>
  <c r="AN108" i="7"/>
  <c r="AM113" i="7"/>
  <c r="AK115" i="7"/>
  <c r="AM125" i="7"/>
  <c r="AK127" i="7"/>
  <c r="AK249" i="7"/>
  <c r="AM247" i="7"/>
  <c r="AO245" i="7"/>
  <c r="AL242" i="7"/>
  <c r="AN240" i="7"/>
  <c r="AK237" i="7"/>
  <c r="AM235" i="7"/>
  <c r="AO233" i="7"/>
  <c r="AL230" i="7"/>
  <c r="AN228" i="7"/>
  <c r="AK225" i="7"/>
  <c r="AM223" i="7"/>
  <c r="AO250" i="7"/>
  <c r="AL247" i="7"/>
  <c r="AN245" i="7"/>
  <c r="AK242" i="7"/>
  <c r="AM240" i="7"/>
  <c r="AO238" i="7"/>
  <c r="AL235" i="7"/>
  <c r="AN233" i="7"/>
  <c r="AK230" i="7"/>
  <c r="AM228" i="7"/>
  <c r="AO226" i="7"/>
  <c r="AL223" i="7"/>
  <c r="AN250" i="7"/>
  <c r="AK247" i="7"/>
  <c r="AM245" i="7"/>
  <c r="AO243" i="7"/>
  <c r="AL240" i="7"/>
  <c r="AN238" i="7"/>
  <c r="AK235" i="7"/>
  <c r="AM233" i="7"/>
  <c r="AO231" i="7"/>
  <c r="AL228" i="7"/>
  <c r="AN226" i="7"/>
  <c r="AK223" i="7"/>
  <c r="AM250" i="7"/>
  <c r="AO248" i="7"/>
  <c r="AL245" i="7"/>
  <c r="AN243" i="7"/>
  <c r="AK240" i="7"/>
  <c r="AM238" i="7"/>
  <c r="AO236" i="7"/>
  <c r="AL233" i="7"/>
  <c r="AN231" i="7"/>
  <c r="AK228" i="7"/>
  <c r="AM226" i="7"/>
  <c r="AO224" i="7"/>
  <c r="AL250" i="7"/>
  <c r="AN248" i="7"/>
  <c r="AK245" i="7"/>
  <c r="AM243" i="7"/>
  <c r="AO241" i="7"/>
  <c r="AL238" i="7"/>
  <c r="AN236" i="7"/>
  <c r="AK233" i="7"/>
  <c r="AM231" i="7"/>
  <c r="AO229" i="7"/>
  <c r="AL226" i="7"/>
  <c r="AN224" i="7"/>
  <c r="AK250" i="7"/>
  <c r="AM248" i="7"/>
  <c r="AO246" i="7"/>
  <c r="AL243" i="7"/>
  <c r="AN241" i="7"/>
  <c r="AK238" i="7"/>
  <c r="AM236" i="7"/>
  <c r="AO234" i="7"/>
  <c r="AL231" i="7"/>
  <c r="AN229" i="7"/>
  <c r="AK226" i="7"/>
  <c r="AM224" i="7"/>
  <c r="AO222" i="7"/>
  <c r="AO251" i="7"/>
  <c r="AL248" i="7"/>
  <c r="AN246" i="7"/>
  <c r="AK243" i="7"/>
  <c r="AM241" i="7"/>
  <c r="AO239" i="7"/>
  <c r="AL236" i="7"/>
  <c r="AN234" i="7"/>
  <c r="AK231" i="7"/>
  <c r="AM229" i="7"/>
  <c r="AO227" i="7"/>
  <c r="AL224" i="7"/>
  <c r="AN222" i="7"/>
  <c r="AN251" i="7"/>
  <c r="AK248" i="7"/>
  <c r="AM246" i="7"/>
  <c r="AO244" i="7"/>
  <c r="AL241" i="7"/>
  <c r="AN239" i="7"/>
  <c r="AK236" i="7"/>
  <c r="AM234" i="7"/>
  <c r="AO232" i="7"/>
  <c r="AL229" i="7"/>
  <c r="AN227" i="7"/>
  <c r="AK224" i="7"/>
  <c r="AM222" i="7"/>
  <c r="AL251" i="7"/>
  <c r="AN249" i="7"/>
  <c r="AK246" i="7"/>
  <c r="AM244" i="7"/>
  <c r="AL249" i="7"/>
  <c r="AN247" i="7"/>
  <c r="AK244" i="7"/>
  <c r="AM242" i="7"/>
  <c r="AO240" i="7"/>
  <c r="AL237" i="7"/>
  <c r="AN235" i="7"/>
  <c r="AK232" i="7"/>
  <c r="AM230" i="7"/>
  <c r="AO228" i="7"/>
  <c r="AL225" i="7"/>
  <c r="AN223" i="7"/>
  <c r="AO242" i="7"/>
  <c r="AO235" i="7"/>
  <c r="AO225" i="7"/>
  <c r="AM251" i="7"/>
  <c r="AO249" i="7"/>
  <c r="AN242" i="7"/>
  <c r="AM239" i="7"/>
  <c r="AN232" i="7"/>
  <c r="AN225" i="7"/>
  <c r="AK251" i="7"/>
  <c r="AM249" i="7"/>
  <c r="AO247" i="7"/>
  <c r="AL239" i="7"/>
  <c r="AM232" i="7"/>
  <c r="AM225" i="7"/>
  <c r="AL222" i="7"/>
  <c r="AK239" i="7"/>
  <c r="AL232" i="7"/>
  <c r="AK229" i="7"/>
  <c r="AK222" i="7"/>
  <c r="AO237" i="7"/>
  <c r="AO230" i="7"/>
  <c r="AO223" i="7"/>
  <c r="AL244" i="7"/>
  <c r="AK241" i="7"/>
  <c r="AK234" i="7"/>
  <c r="AK227" i="7"/>
  <c r="AL234" i="7"/>
  <c r="AN244" i="7"/>
  <c r="AM227" i="7"/>
  <c r="AN237" i="7"/>
  <c r="AL227" i="7"/>
  <c r="AM237" i="7"/>
  <c r="AL246" i="7"/>
  <c r="AN113" i="7"/>
  <c r="AL115" i="7"/>
  <c r="AO123" i="7"/>
  <c r="AN125" i="7"/>
  <c r="AL127" i="7"/>
  <c r="E9" i="6"/>
  <c r="E8" i="6"/>
  <c r="E7" i="6"/>
  <c r="E6" i="6"/>
  <c r="E5" i="6"/>
  <c r="E4" i="6"/>
  <c r="E11" i="6"/>
  <c r="AN282" i="7"/>
  <c r="AK279" i="7"/>
  <c r="AM277" i="7"/>
  <c r="AO275" i="7"/>
  <c r="AL272" i="7"/>
  <c r="AN270" i="7"/>
  <c r="AK267" i="7"/>
  <c r="AM265" i="7"/>
  <c r="AO263" i="7"/>
  <c r="AL260" i="7"/>
  <c r="AN258" i="7"/>
  <c r="AK255" i="7"/>
  <c r="AM282" i="7"/>
  <c r="AO280" i="7"/>
  <c r="AL277" i="7"/>
  <c r="AN275" i="7"/>
  <c r="AK272" i="7"/>
  <c r="AM270" i="7"/>
  <c r="AO268" i="7"/>
  <c r="AL265" i="7"/>
  <c r="AN263" i="7"/>
  <c r="AK260" i="7"/>
  <c r="AM258" i="7"/>
  <c r="AO256" i="7"/>
  <c r="AL282" i="7"/>
  <c r="AN280" i="7"/>
  <c r="AK277" i="7"/>
  <c r="AM275" i="7"/>
  <c r="AO273" i="7"/>
  <c r="AL270" i="7"/>
  <c r="AN268" i="7"/>
  <c r="AK265" i="7"/>
  <c r="AM263" i="7"/>
  <c r="AO261" i="7"/>
  <c r="AL258" i="7"/>
  <c r="AN256" i="7"/>
  <c r="AK282" i="7"/>
  <c r="AM280" i="7"/>
  <c r="AO278" i="7"/>
  <c r="AL275" i="7"/>
  <c r="AN273" i="7"/>
  <c r="AK270" i="7"/>
  <c r="AM268" i="7"/>
  <c r="AO266" i="7"/>
  <c r="AL263" i="7"/>
  <c r="AN261" i="7"/>
  <c r="AK258" i="7"/>
  <c r="AM256" i="7"/>
  <c r="AO254" i="7"/>
  <c r="AL280" i="7"/>
  <c r="AN278" i="7"/>
  <c r="AK275" i="7"/>
  <c r="AM273" i="7"/>
  <c r="AO271" i="7"/>
  <c r="AL268" i="7"/>
  <c r="AN266" i="7"/>
  <c r="AK263" i="7"/>
  <c r="AM261" i="7"/>
  <c r="AO259" i="7"/>
  <c r="AL256" i="7"/>
  <c r="AN254" i="7"/>
  <c r="AK280" i="7"/>
  <c r="AM278" i="7"/>
  <c r="AO276" i="7"/>
  <c r="AL273" i="7"/>
  <c r="AN271" i="7"/>
  <c r="AK268" i="7"/>
  <c r="AM266" i="7"/>
  <c r="AO264" i="7"/>
  <c r="AL261" i="7"/>
  <c r="AN259" i="7"/>
  <c r="AK256" i="7"/>
  <c r="AM254" i="7"/>
  <c r="AO281" i="7"/>
  <c r="AL278" i="7"/>
  <c r="AN276" i="7"/>
  <c r="AK273" i="7"/>
  <c r="AM271" i="7"/>
  <c r="AO269" i="7"/>
  <c r="AL266" i="7"/>
  <c r="AN264" i="7"/>
  <c r="AK261" i="7"/>
  <c r="AM259" i="7"/>
  <c r="AO257" i="7"/>
  <c r="AL254" i="7"/>
  <c r="AN281" i="7"/>
  <c r="AK278" i="7"/>
  <c r="AM281" i="7"/>
  <c r="AO279" i="7"/>
  <c r="AL276" i="7"/>
  <c r="AN274" i="7"/>
  <c r="AK271" i="7"/>
  <c r="AM269" i="7"/>
  <c r="AO267" i="7"/>
  <c r="AL264" i="7"/>
  <c r="AN262" i="7"/>
  <c r="AO282" i="7"/>
  <c r="AL279" i="7"/>
  <c r="AN277" i="7"/>
  <c r="AK274" i="7"/>
  <c r="AM272" i="7"/>
  <c r="AO270" i="7"/>
  <c r="AL267" i="7"/>
  <c r="AN265" i="7"/>
  <c r="AK262" i="7"/>
  <c r="AM260" i="7"/>
  <c r="AO258" i="7"/>
  <c r="AL255" i="7"/>
  <c r="AL271" i="7"/>
  <c r="AN252" i="7"/>
  <c r="AM252" i="7"/>
  <c r="AO265" i="7"/>
  <c r="AL252" i="7"/>
  <c r="AO272" i="7"/>
  <c r="AO262" i="7"/>
  <c r="AO255" i="7"/>
  <c r="AK254" i="7"/>
  <c r="AK252" i="7"/>
  <c r="AM276" i="7"/>
  <c r="AN272" i="7"/>
  <c r="AN269" i="7"/>
  <c r="AM262" i="7"/>
  <c r="AN255" i="7"/>
  <c r="AO253" i="7"/>
  <c r="AK276" i="7"/>
  <c r="AL269" i="7"/>
  <c r="AL262" i="7"/>
  <c r="AN257" i="7"/>
  <c r="AM255" i="7"/>
  <c r="AN253" i="7"/>
  <c r="AK269" i="7"/>
  <c r="AK266" i="7"/>
  <c r="AM257" i="7"/>
  <c r="AM253" i="7"/>
  <c r="AL257" i="7"/>
  <c r="AL253" i="7"/>
  <c r="AK281" i="7"/>
  <c r="AM279" i="7"/>
  <c r="AO274" i="7"/>
  <c r="AN267" i="7"/>
  <c r="AO260" i="7"/>
  <c r="AK259" i="7"/>
  <c r="AL274" i="7"/>
  <c r="AK264" i="7"/>
  <c r="AO252" i="7"/>
  <c r="AN279" i="7"/>
  <c r="AM267" i="7"/>
  <c r="AK257" i="7"/>
  <c r="AO277" i="7"/>
  <c r="AK253" i="7"/>
  <c r="AN260" i="7"/>
  <c r="AL281" i="7"/>
  <c r="AL259" i="7"/>
  <c r="AM274" i="7"/>
  <c r="AM264" i="7"/>
  <c r="AK103" i="7"/>
  <c r="AK110" i="7"/>
  <c r="D22" i="9"/>
  <c r="E20" i="9"/>
  <c r="D21" i="9"/>
  <c r="G6" i="13"/>
  <c r="H6" i="13" s="1"/>
  <c r="I6" i="13" s="1"/>
  <c r="F7" i="13" s="1"/>
  <c r="E54" i="10"/>
  <c r="E56" i="10" s="1"/>
  <c r="M19" i="14"/>
  <c r="M9" i="14"/>
  <c r="M13" i="14"/>
  <c r="M11" i="14"/>
  <c r="M24" i="14"/>
  <c r="M78" i="14"/>
  <c r="M20" i="14"/>
  <c r="M86" i="14"/>
  <c r="M94" i="14"/>
  <c r="M102" i="14"/>
  <c r="M115" i="14"/>
  <c r="M124" i="14"/>
  <c r="J8" i="14"/>
  <c r="J9" i="14" s="1"/>
  <c r="J10" i="14" s="1"/>
  <c r="J11" i="14" s="1"/>
  <c r="M17" i="14"/>
  <c r="M112" i="14"/>
  <c r="M121" i="14"/>
  <c r="M87" i="14"/>
  <c r="M95" i="14"/>
  <c r="M103" i="14"/>
  <c r="M354" i="14"/>
  <c r="M93" i="14"/>
  <c r="M101" i="14"/>
  <c r="M222" i="14"/>
  <c r="M230" i="14"/>
  <c r="M218" i="14"/>
  <c r="M249" i="14"/>
  <c r="M242" i="14"/>
  <c r="M330" i="14"/>
  <c r="M79" i="14"/>
  <c r="M84" i="14"/>
  <c r="M92" i="14"/>
  <c r="M100" i="14"/>
  <c r="M108" i="14"/>
  <c r="M111" i="14"/>
  <c r="M114" i="14"/>
  <c r="M117" i="14"/>
  <c r="M120" i="14"/>
  <c r="M123" i="14"/>
  <c r="M126" i="14"/>
  <c r="M129" i="14"/>
  <c r="M132" i="14"/>
  <c r="M135" i="14"/>
  <c r="M138" i="14"/>
  <c r="M141" i="14"/>
  <c r="M144" i="14"/>
  <c r="M147" i="14"/>
  <c r="M150" i="14"/>
  <c r="M153" i="14"/>
  <c r="M156" i="14"/>
  <c r="M159" i="14"/>
  <c r="M162" i="14"/>
  <c r="M165" i="14"/>
  <c r="M168" i="14"/>
  <c r="M171" i="14"/>
  <c r="M177" i="14"/>
  <c r="M183" i="14"/>
  <c r="M189" i="14"/>
  <c r="M195" i="14"/>
  <c r="M201" i="14"/>
  <c r="M207" i="14"/>
  <c r="M77" i="14"/>
  <c r="M287" i="14"/>
  <c r="M311" i="14"/>
  <c r="M335" i="14"/>
  <c r="M359" i="14"/>
  <c r="M273" i="14"/>
  <c r="M297" i="14"/>
  <c r="M321" i="14"/>
  <c r="M345" i="14"/>
  <c r="M360" i="14"/>
  <c r="M369" i="14"/>
  <c r="M370" i="14"/>
  <c r="M279" i="14"/>
  <c r="M303" i="14"/>
  <c r="M327" i="14"/>
  <c r="M351" i="14"/>
  <c r="M366" i="14"/>
  <c r="M304" i="14"/>
  <c r="M328" i="14"/>
  <c r="M352" i="14"/>
  <c r="M275" i="14"/>
  <c r="M299" i="14"/>
  <c r="M285" i="14"/>
  <c r="M309" i="14"/>
  <c r="M333" i="14"/>
  <c r="M357" i="14"/>
  <c r="M245" i="14"/>
  <c r="M286" i="14"/>
  <c r="M310" i="14"/>
  <c r="M334" i="14"/>
  <c r="M267" i="14"/>
  <c r="M291" i="14"/>
  <c r="M315" i="14"/>
  <c r="M339" i="14"/>
  <c r="M363" i="14"/>
  <c r="B37" i="15"/>
  <c r="B36" i="15" s="1"/>
  <c r="B42" i="15" s="1"/>
  <c r="D23" i="9" l="1"/>
  <c r="B13" i="8" s="1"/>
  <c r="F4" i="8" s="1"/>
  <c r="G3" i="6"/>
  <c r="C11" i="2" s="1"/>
  <c r="B9" i="3" s="1"/>
  <c r="D9" i="3" s="1"/>
  <c r="D23" i="3" s="1"/>
  <c r="J44" i="9"/>
  <c r="P44" i="9" s="1"/>
  <c r="B77" i="7"/>
  <c r="E88" i="7"/>
  <c r="X52" i="9"/>
  <c r="AD52" i="9" s="1"/>
  <c r="C80" i="7"/>
  <c r="F78" i="7"/>
  <c r="Y42" i="9"/>
  <c r="AE42" i="9" s="1"/>
  <c r="D141" i="7"/>
  <c r="W105" i="9"/>
  <c r="AC105" i="9" s="1"/>
  <c r="U41" i="9"/>
  <c r="AA41" i="9" s="1"/>
  <c r="X89" i="9"/>
  <c r="AD89" i="9" s="1"/>
  <c r="L89" i="9"/>
  <c r="R89" i="9" s="1"/>
  <c r="C87" i="7"/>
  <c r="V51" i="9"/>
  <c r="AB51" i="9" s="1"/>
  <c r="E102" i="7"/>
  <c r="X288" i="9"/>
  <c r="AD288" i="9" s="1"/>
  <c r="K71" i="9"/>
  <c r="Q71" i="9" s="1"/>
  <c r="W71" i="9"/>
  <c r="AC71" i="9" s="1"/>
  <c r="J56" i="9"/>
  <c r="P56" i="9" s="1"/>
  <c r="E93" i="7"/>
  <c r="D84" i="7"/>
  <c r="F131" i="7"/>
  <c r="C79" i="7"/>
  <c r="E205" i="7"/>
  <c r="L169" i="9"/>
  <c r="R169" i="9" s="1"/>
  <c r="E324" i="7"/>
  <c r="X57" i="9"/>
  <c r="AD57" i="9" s="1"/>
  <c r="X66" i="9"/>
  <c r="AD66" i="9" s="1"/>
  <c r="W48" i="9"/>
  <c r="AC48" i="9" s="1"/>
  <c r="Y95" i="9"/>
  <c r="AE95" i="9" s="1"/>
  <c r="V43" i="9"/>
  <c r="AB43" i="9" s="1"/>
  <c r="X51" i="9"/>
  <c r="AD51" i="9" s="1"/>
  <c r="L51" i="9"/>
  <c r="R51" i="9" s="1"/>
  <c r="K130" i="9"/>
  <c r="Q130" i="9" s="1"/>
  <c r="W130" i="9"/>
  <c r="AC130" i="9" s="1"/>
  <c r="D108" i="7"/>
  <c r="W72" i="9"/>
  <c r="AC72" i="9" s="1"/>
  <c r="C86" i="7"/>
  <c r="D374" i="7"/>
  <c r="J50" i="9"/>
  <c r="P50" i="9" s="1"/>
  <c r="K338" i="9"/>
  <c r="Q338" i="9" s="1"/>
  <c r="V77" i="9"/>
  <c r="AB77" i="9" s="1"/>
  <c r="K60" i="9"/>
  <c r="Q60" i="9" s="1"/>
  <c r="E81" i="7"/>
  <c r="W60" i="9"/>
  <c r="AC60" i="9" s="1"/>
  <c r="X45" i="9"/>
  <c r="AD45" i="9" s="1"/>
  <c r="C133" i="7"/>
  <c r="B95" i="7"/>
  <c r="V97" i="9"/>
  <c r="AB97" i="9" s="1"/>
  <c r="U59" i="9"/>
  <c r="AA59" i="9" s="1"/>
  <c r="B89" i="7"/>
  <c r="B232" i="7"/>
  <c r="U53" i="9"/>
  <c r="AA53" i="9" s="1"/>
  <c r="U196" i="9"/>
  <c r="AA196" i="9" s="1"/>
  <c r="I92" i="9"/>
  <c r="O92" i="9" s="1"/>
  <c r="B105" i="7"/>
  <c r="L124" i="9"/>
  <c r="R124" i="9" s="1"/>
  <c r="F85" i="7"/>
  <c r="M49" i="9"/>
  <c r="S49" i="9" s="1"/>
  <c r="B83" i="7"/>
  <c r="C60" i="10"/>
  <c r="C62" i="10" s="1"/>
  <c r="U115" i="9"/>
  <c r="AA115" i="9" s="1"/>
  <c r="E123" i="7"/>
  <c r="Y106" i="9"/>
  <c r="AE106" i="9" s="1"/>
  <c r="M106" i="9"/>
  <c r="S106" i="9" s="1"/>
  <c r="K54" i="9"/>
  <c r="Q54" i="9" s="1"/>
  <c r="U47" i="9"/>
  <c r="AA47" i="9" s="1"/>
  <c r="E265" i="7"/>
  <c r="X229" i="9"/>
  <c r="AD229" i="9" s="1"/>
  <c r="C72" i="7"/>
  <c r="V36" i="9"/>
  <c r="AB36" i="9" s="1"/>
  <c r="Y74" i="9"/>
  <c r="AE74" i="9" s="1"/>
  <c r="J77" i="9"/>
  <c r="P77" i="9" s="1"/>
  <c r="D118" i="7"/>
  <c r="W82" i="9"/>
  <c r="AC82" i="9" s="1"/>
  <c r="D116" i="7"/>
  <c r="E82" i="7"/>
  <c r="E137" i="7"/>
  <c r="W80" i="9"/>
  <c r="AC80" i="9" s="1"/>
  <c r="X46" i="9"/>
  <c r="AD46" i="9" s="1"/>
  <c r="F91" i="7"/>
  <c r="B162" i="7"/>
  <c r="L101" i="9"/>
  <c r="R101" i="9" s="1"/>
  <c r="B176" i="7"/>
  <c r="Y55" i="9"/>
  <c r="AE55" i="9" s="1"/>
  <c r="U126" i="9"/>
  <c r="AA126" i="9" s="1"/>
  <c r="C74" i="7"/>
  <c r="U140" i="9"/>
  <c r="AA140" i="9" s="1"/>
  <c r="E101" i="7"/>
  <c r="F283" i="7"/>
  <c r="F179" i="7"/>
  <c r="J38" i="9"/>
  <c r="P38" i="9" s="1"/>
  <c r="X65" i="9"/>
  <c r="AD65" i="9" s="1"/>
  <c r="E124" i="7"/>
  <c r="M143" i="9"/>
  <c r="S143" i="9" s="1"/>
  <c r="C147" i="7"/>
  <c r="D257" i="7"/>
  <c r="D152" i="7"/>
  <c r="X88" i="9"/>
  <c r="AD88" i="9" s="1"/>
  <c r="V111" i="9"/>
  <c r="AB111" i="9" s="1"/>
  <c r="W221" i="9"/>
  <c r="AC221" i="9" s="1"/>
  <c r="K116" i="9"/>
  <c r="Q116" i="9" s="1"/>
  <c r="X124" i="9"/>
  <c r="AD124" i="9" s="1"/>
  <c r="W157" i="9"/>
  <c r="AC157" i="9" s="1"/>
  <c r="Y181" i="9"/>
  <c r="AE181" i="9" s="1"/>
  <c r="Y247" i="9"/>
  <c r="AE247" i="9" s="1"/>
  <c r="U69" i="9"/>
  <c r="AA69" i="9" s="1"/>
  <c r="F231" i="7"/>
  <c r="B184" i="7"/>
  <c r="F217" i="7"/>
  <c r="Y120" i="9"/>
  <c r="AE120" i="9" s="1"/>
  <c r="D90" i="7"/>
  <c r="Y195" i="9"/>
  <c r="AE195" i="9" s="1"/>
  <c r="I148" i="9"/>
  <c r="O148" i="9" s="1"/>
  <c r="X39" i="9"/>
  <c r="AD39" i="9" s="1"/>
  <c r="L39" i="9"/>
  <c r="R39" i="9" s="1"/>
  <c r="B128" i="7"/>
  <c r="C93" i="7"/>
  <c r="D77" i="7"/>
  <c r="F71" i="7"/>
  <c r="V57" i="9"/>
  <c r="AB57" i="9" s="1"/>
  <c r="X87" i="9"/>
  <c r="AD87" i="9" s="1"/>
  <c r="K41" i="9"/>
  <c r="Q41" i="9" s="1"/>
  <c r="C198" i="7"/>
  <c r="B84" i="7"/>
  <c r="Y35" i="9"/>
  <c r="AE35" i="9" s="1"/>
  <c r="B76" i="7"/>
  <c r="J162" i="9"/>
  <c r="P162" i="9" s="1"/>
  <c r="U48" i="9"/>
  <c r="AA48" i="9" s="1"/>
  <c r="B151" i="7"/>
  <c r="I40" i="9"/>
  <c r="O40" i="9" s="1"/>
  <c r="F156" i="7"/>
  <c r="D193" i="7"/>
  <c r="C92" i="7"/>
  <c r="C181" i="7"/>
  <c r="V145" i="9"/>
  <c r="AB145" i="9" s="1"/>
  <c r="E74" i="7"/>
  <c r="E94" i="7"/>
  <c r="X38" i="9"/>
  <c r="AD38" i="9" s="1"/>
  <c r="X58" i="9"/>
  <c r="AD58" i="9" s="1"/>
  <c r="B97" i="7"/>
  <c r="J37" i="9"/>
  <c r="P37" i="9" s="1"/>
  <c r="U61" i="9"/>
  <c r="AA61" i="9" s="1"/>
  <c r="E171" i="7"/>
  <c r="X135" i="9"/>
  <c r="AD135" i="9" s="1"/>
  <c r="F110" i="7"/>
  <c r="B114" i="7"/>
  <c r="D117" i="7"/>
  <c r="U78" i="9"/>
  <c r="AA78" i="9" s="1"/>
  <c r="W81" i="9"/>
  <c r="AC81" i="9" s="1"/>
  <c r="D98" i="7"/>
  <c r="B96" i="7"/>
  <c r="K62" i="9"/>
  <c r="Q62" i="9" s="1"/>
  <c r="U60" i="9"/>
  <c r="AA60" i="9" s="1"/>
  <c r="C170" i="7"/>
  <c r="B90" i="7"/>
  <c r="V134" i="9"/>
  <c r="AB134" i="9" s="1"/>
  <c r="U54" i="9"/>
  <c r="AA54" i="9" s="1"/>
  <c r="C73" i="7"/>
  <c r="C31" i="10"/>
  <c r="C32" i="10" s="1"/>
  <c r="G7" i="13"/>
  <c r="H7" i="13" s="1"/>
  <c r="I7" i="13" s="1"/>
  <c r="F8" i="13" s="1"/>
  <c r="K198" i="9"/>
  <c r="Q198" i="9" s="1"/>
  <c r="W198" i="9"/>
  <c r="AC198" i="9" s="1"/>
  <c r="D234" i="7"/>
  <c r="X107" i="9"/>
  <c r="AD107" i="9" s="1"/>
  <c r="L107" i="9"/>
  <c r="R107" i="9" s="1"/>
  <c r="E143" i="7"/>
  <c r="J90" i="9"/>
  <c r="P90" i="9" s="1"/>
  <c r="V90" i="9"/>
  <c r="AB90" i="9" s="1"/>
  <c r="C126" i="7"/>
  <c r="K196" i="9"/>
  <c r="Q196" i="9" s="1"/>
  <c r="W196" i="9"/>
  <c r="AC196" i="9" s="1"/>
  <c r="D232" i="7"/>
  <c r="I240" i="9"/>
  <c r="O240" i="9" s="1"/>
  <c r="U240" i="9"/>
  <c r="AA240" i="9" s="1"/>
  <c r="B276" i="7"/>
  <c r="K201" i="9"/>
  <c r="Q201" i="9" s="1"/>
  <c r="W201" i="9"/>
  <c r="AC201" i="9" s="1"/>
  <c r="D237" i="7"/>
  <c r="L323" i="9"/>
  <c r="R323" i="9" s="1"/>
  <c r="X323" i="9"/>
  <c r="AD323" i="9" s="1"/>
  <c r="E359" i="7"/>
  <c r="J351" i="9"/>
  <c r="P351" i="9" s="1"/>
  <c r="V351" i="9"/>
  <c r="AB351" i="9" s="1"/>
  <c r="C387" i="7"/>
  <c r="M382" i="9"/>
  <c r="S382" i="9" s="1"/>
  <c r="Y382" i="9"/>
  <c r="AE382" i="9" s="1"/>
  <c r="F418" i="7"/>
  <c r="W128" i="9"/>
  <c r="AC128" i="9" s="1"/>
  <c r="K128" i="9"/>
  <c r="Q128" i="9" s="1"/>
  <c r="D164" i="7"/>
  <c r="K70" i="9"/>
  <c r="Q70" i="9" s="1"/>
  <c r="W70" i="9"/>
  <c r="AC70" i="9" s="1"/>
  <c r="D106" i="7"/>
  <c r="I49" i="9"/>
  <c r="O49" i="9" s="1"/>
  <c r="U49" i="9"/>
  <c r="AA49" i="9" s="1"/>
  <c r="B85" i="7"/>
  <c r="J39" i="9"/>
  <c r="P39" i="9" s="1"/>
  <c r="V39" i="9"/>
  <c r="AB39" i="9" s="1"/>
  <c r="C75" i="7"/>
  <c r="M72" i="9"/>
  <c r="S72" i="9" s="1"/>
  <c r="Y72" i="9"/>
  <c r="AE72" i="9" s="1"/>
  <c r="F108" i="7"/>
  <c r="X125" i="9"/>
  <c r="AD125" i="9" s="1"/>
  <c r="L125" i="9"/>
  <c r="R125" i="9" s="1"/>
  <c r="E161" i="7"/>
  <c r="J75" i="9"/>
  <c r="P75" i="9" s="1"/>
  <c r="V75" i="9"/>
  <c r="AB75" i="9" s="1"/>
  <c r="C111" i="7"/>
  <c r="V53" i="9"/>
  <c r="AB53" i="9" s="1"/>
  <c r="J53" i="9"/>
  <c r="P53" i="9" s="1"/>
  <c r="C89" i="7"/>
  <c r="J100" i="9"/>
  <c r="P100" i="9" s="1"/>
  <c r="V100" i="9"/>
  <c r="AB100" i="9" s="1"/>
  <c r="C136" i="7"/>
  <c r="I129" i="9"/>
  <c r="O129" i="9" s="1"/>
  <c r="U129" i="9"/>
  <c r="AA129" i="9" s="1"/>
  <c r="B165" i="7"/>
  <c r="Y187" i="9"/>
  <c r="AE187" i="9" s="1"/>
  <c r="M187" i="9"/>
  <c r="S187" i="9" s="1"/>
  <c r="F223" i="7"/>
  <c r="U77" i="9"/>
  <c r="AA77" i="9" s="1"/>
  <c r="I77" i="9"/>
  <c r="O77" i="9" s="1"/>
  <c r="B113" i="7"/>
  <c r="M105" i="9"/>
  <c r="S105" i="9" s="1"/>
  <c r="Y105" i="9"/>
  <c r="AE105" i="9" s="1"/>
  <c r="F141" i="7"/>
  <c r="X134" i="9"/>
  <c r="AD134" i="9" s="1"/>
  <c r="L134" i="9"/>
  <c r="R134" i="9" s="1"/>
  <c r="E170" i="7"/>
  <c r="K197" i="9"/>
  <c r="Q197" i="9" s="1"/>
  <c r="W197" i="9"/>
  <c r="AC197" i="9" s="1"/>
  <c r="D233" i="7"/>
  <c r="I76" i="9"/>
  <c r="O76" i="9" s="1"/>
  <c r="U76" i="9"/>
  <c r="AA76" i="9" s="1"/>
  <c r="B112" i="7"/>
  <c r="Y104" i="9"/>
  <c r="AE104" i="9" s="1"/>
  <c r="M104" i="9"/>
  <c r="S104" i="9" s="1"/>
  <c r="F140" i="7"/>
  <c r="L133" i="9"/>
  <c r="R133" i="9" s="1"/>
  <c r="X133" i="9"/>
  <c r="AD133" i="9" s="1"/>
  <c r="E169" i="7"/>
  <c r="I179" i="9"/>
  <c r="O179" i="9" s="1"/>
  <c r="U179" i="9"/>
  <c r="AA179" i="9" s="1"/>
  <c r="B215" i="7"/>
  <c r="U75" i="9"/>
  <c r="AA75" i="9" s="1"/>
  <c r="I75" i="9"/>
  <c r="O75" i="9" s="1"/>
  <c r="B111" i="7"/>
  <c r="M103" i="9"/>
  <c r="S103" i="9" s="1"/>
  <c r="Y103" i="9"/>
  <c r="AE103" i="9" s="1"/>
  <c r="F139" i="7"/>
  <c r="L132" i="9"/>
  <c r="R132" i="9" s="1"/>
  <c r="X132" i="9"/>
  <c r="AD132" i="9" s="1"/>
  <c r="E168" i="7"/>
  <c r="X193" i="9"/>
  <c r="AD193" i="9" s="1"/>
  <c r="L193" i="9"/>
  <c r="R193" i="9" s="1"/>
  <c r="E229" i="7"/>
  <c r="K76" i="9"/>
  <c r="Q76" i="9" s="1"/>
  <c r="W76" i="9"/>
  <c r="AC76" i="9" s="1"/>
  <c r="D112" i="7"/>
  <c r="J105" i="9"/>
  <c r="P105" i="9" s="1"/>
  <c r="V105" i="9"/>
  <c r="AB105" i="9" s="1"/>
  <c r="C141" i="7"/>
  <c r="I134" i="9"/>
  <c r="O134" i="9" s="1"/>
  <c r="U134" i="9"/>
  <c r="AA134" i="9" s="1"/>
  <c r="B170" i="7"/>
  <c r="U195" i="9"/>
  <c r="AA195" i="9" s="1"/>
  <c r="I195" i="9"/>
  <c r="O195" i="9" s="1"/>
  <c r="B231" i="7"/>
  <c r="M77" i="9"/>
  <c r="S77" i="9" s="1"/>
  <c r="Y77" i="9"/>
  <c r="AE77" i="9" s="1"/>
  <c r="F113" i="7"/>
  <c r="L106" i="9"/>
  <c r="R106" i="9" s="1"/>
  <c r="X106" i="9"/>
  <c r="AD106" i="9" s="1"/>
  <c r="E142" i="7"/>
  <c r="K135" i="9"/>
  <c r="Q135" i="9" s="1"/>
  <c r="W135" i="9"/>
  <c r="AC135" i="9" s="1"/>
  <c r="D171" i="7"/>
  <c r="K185" i="9"/>
  <c r="Q185" i="9" s="1"/>
  <c r="W185" i="9"/>
  <c r="AC185" i="9" s="1"/>
  <c r="D221" i="7"/>
  <c r="J67" i="9"/>
  <c r="P67" i="9" s="1"/>
  <c r="V67" i="9"/>
  <c r="AB67" i="9" s="1"/>
  <c r="C103" i="7"/>
  <c r="I96" i="9"/>
  <c r="O96" i="9" s="1"/>
  <c r="U96" i="9"/>
  <c r="AA96" i="9" s="1"/>
  <c r="B132" i="7"/>
  <c r="M124" i="9"/>
  <c r="S124" i="9" s="1"/>
  <c r="Y124" i="9"/>
  <c r="AE124" i="9" s="1"/>
  <c r="F160" i="7"/>
  <c r="M153" i="9"/>
  <c r="S153" i="9" s="1"/>
  <c r="Y153" i="9"/>
  <c r="AE153" i="9" s="1"/>
  <c r="F189" i="7"/>
  <c r="I243" i="9"/>
  <c r="O243" i="9" s="1"/>
  <c r="U243" i="9"/>
  <c r="AA243" i="9" s="1"/>
  <c r="B279" i="7"/>
  <c r="Y87" i="9"/>
  <c r="AE87" i="9" s="1"/>
  <c r="M87" i="9"/>
  <c r="S87" i="9" s="1"/>
  <c r="F123" i="7"/>
  <c r="X116" i="9"/>
  <c r="AD116" i="9" s="1"/>
  <c r="L116" i="9"/>
  <c r="R116" i="9" s="1"/>
  <c r="E152" i="7"/>
  <c r="K145" i="9"/>
  <c r="Q145" i="9" s="1"/>
  <c r="W145" i="9"/>
  <c r="AC145" i="9" s="1"/>
  <c r="D181" i="7"/>
  <c r="L91" i="9"/>
  <c r="R91" i="9" s="1"/>
  <c r="X91" i="9"/>
  <c r="AD91" i="9" s="1"/>
  <c r="E127" i="7"/>
  <c r="K120" i="9"/>
  <c r="Q120" i="9" s="1"/>
  <c r="W120" i="9"/>
  <c r="AC120" i="9" s="1"/>
  <c r="D156" i="7"/>
  <c r="L150" i="9"/>
  <c r="R150" i="9" s="1"/>
  <c r="X150" i="9"/>
  <c r="AD150" i="9" s="1"/>
  <c r="E186" i="7"/>
  <c r="I161" i="9"/>
  <c r="O161" i="9" s="1"/>
  <c r="U161" i="9"/>
  <c r="AA161" i="9" s="1"/>
  <c r="B197" i="7"/>
  <c r="M189" i="9"/>
  <c r="S189" i="9" s="1"/>
  <c r="Y189" i="9"/>
  <c r="AE189" i="9" s="1"/>
  <c r="F225" i="7"/>
  <c r="L218" i="9"/>
  <c r="R218" i="9" s="1"/>
  <c r="X218" i="9"/>
  <c r="AD218" i="9" s="1"/>
  <c r="E254" i="7"/>
  <c r="K247" i="9"/>
  <c r="Q247" i="9" s="1"/>
  <c r="W247" i="9"/>
  <c r="AC247" i="9" s="1"/>
  <c r="D283" i="7"/>
  <c r="V165" i="9"/>
  <c r="AB165" i="9" s="1"/>
  <c r="J165" i="9"/>
  <c r="P165" i="9" s="1"/>
  <c r="C201" i="7"/>
  <c r="I194" i="9"/>
  <c r="O194" i="9" s="1"/>
  <c r="U194" i="9"/>
  <c r="AA194" i="9" s="1"/>
  <c r="B230" i="7"/>
  <c r="Y222" i="9"/>
  <c r="AE222" i="9" s="1"/>
  <c r="M222" i="9"/>
  <c r="S222" i="9" s="1"/>
  <c r="F258" i="7"/>
  <c r="W257" i="9"/>
  <c r="AC257" i="9" s="1"/>
  <c r="K257" i="9"/>
  <c r="Q257" i="9" s="1"/>
  <c r="D293" i="7"/>
  <c r="K159" i="9"/>
  <c r="Q159" i="9" s="1"/>
  <c r="W159" i="9"/>
  <c r="AC159" i="9" s="1"/>
  <c r="D195" i="7"/>
  <c r="J188" i="9"/>
  <c r="P188" i="9" s="1"/>
  <c r="V188" i="9"/>
  <c r="AB188" i="9" s="1"/>
  <c r="C224" i="7"/>
  <c r="I217" i="9"/>
  <c r="O217" i="9" s="1"/>
  <c r="U217" i="9"/>
  <c r="AA217" i="9" s="1"/>
  <c r="B253" i="7"/>
  <c r="Y245" i="9"/>
  <c r="AE245" i="9" s="1"/>
  <c r="M245" i="9"/>
  <c r="S245" i="9" s="1"/>
  <c r="F281" i="7"/>
  <c r="J151" i="9"/>
  <c r="P151" i="9" s="1"/>
  <c r="V151" i="9"/>
  <c r="AB151" i="9" s="1"/>
  <c r="C187" i="7"/>
  <c r="U180" i="9"/>
  <c r="AA180" i="9" s="1"/>
  <c r="I180" i="9"/>
  <c r="O180" i="9" s="1"/>
  <c r="B216" i="7"/>
  <c r="M208" i="9"/>
  <c r="S208" i="9" s="1"/>
  <c r="Y208" i="9"/>
  <c r="AE208" i="9" s="1"/>
  <c r="F244" i="7"/>
  <c r="X237" i="9"/>
  <c r="AD237" i="9" s="1"/>
  <c r="L237" i="9"/>
  <c r="R237" i="9" s="1"/>
  <c r="E273" i="7"/>
  <c r="W217" i="9"/>
  <c r="AC217" i="9" s="1"/>
  <c r="K217" i="9"/>
  <c r="Q217" i="9" s="1"/>
  <c r="D253" i="7"/>
  <c r="V246" i="9"/>
  <c r="AB246" i="9" s="1"/>
  <c r="J246" i="9"/>
  <c r="P246" i="9" s="1"/>
  <c r="C282" i="7"/>
  <c r="J161" i="9"/>
  <c r="P161" i="9" s="1"/>
  <c r="V161" i="9"/>
  <c r="AB161" i="9" s="1"/>
  <c r="C197" i="7"/>
  <c r="I190" i="9"/>
  <c r="O190" i="9" s="1"/>
  <c r="U190" i="9"/>
  <c r="AA190" i="9" s="1"/>
  <c r="B226" i="7"/>
  <c r="M218" i="9"/>
  <c r="S218" i="9" s="1"/>
  <c r="Y218" i="9"/>
  <c r="AE218" i="9" s="1"/>
  <c r="F254" i="7"/>
  <c r="L247" i="9"/>
  <c r="R247" i="9" s="1"/>
  <c r="X247" i="9"/>
  <c r="AD247" i="9" s="1"/>
  <c r="E283" i="7"/>
  <c r="K203" i="9"/>
  <c r="Q203" i="9" s="1"/>
  <c r="W203" i="9"/>
  <c r="AC203" i="9" s="1"/>
  <c r="D239" i="7"/>
  <c r="J232" i="9"/>
  <c r="P232" i="9" s="1"/>
  <c r="V232" i="9"/>
  <c r="AB232" i="9" s="1"/>
  <c r="C268" i="7"/>
  <c r="J274" i="9"/>
  <c r="P274" i="9" s="1"/>
  <c r="V274" i="9"/>
  <c r="AB274" i="9" s="1"/>
  <c r="C310" i="7"/>
  <c r="M168" i="9"/>
  <c r="S168" i="9" s="1"/>
  <c r="Y168" i="9"/>
  <c r="AE168" i="9" s="1"/>
  <c r="F204" i="7"/>
  <c r="L197" i="9"/>
  <c r="R197" i="9" s="1"/>
  <c r="X197" i="9"/>
  <c r="AD197" i="9" s="1"/>
  <c r="E233" i="7"/>
  <c r="K226" i="9"/>
  <c r="Q226" i="9" s="1"/>
  <c r="W226" i="9"/>
  <c r="AC226" i="9" s="1"/>
  <c r="D262" i="7"/>
  <c r="L260" i="9"/>
  <c r="R260" i="9" s="1"/>
  <c r="X260" i="9"/>
  <c r="AD260" i="9" s="1"/>
  <c r="E296" i="7"/>
  <c r="J170" i="9"/>
  <c r="P170" i="9" s="1"/>
  <c r="V170" i="9"/>
  <c r="AB170" i="9" s="1"/>
  <c r="C206" i="7"/>
  <c r="U199" i="9"/>
  <c r="AA199" i="9" s="1"/>
  <c r="I199" i="9"/>
  <c r="O199" i="9" s="1"/>
  <c r="B235" i="7"/>
  <c r="M227" i="9"/>
  <c r="S227" i="9" s="1"/>
  <c r="Y227" i="9"/>
  <c r="AE227" i="9" s="1"/>
  <c r="F263" i="7"/>
  <c r="I279" i="9"/>
  <c r="O279" i="9" s="1"/>
  <c r="U279" i="9"/>
  <c r="AA279" i="9" s="1"/>
  <c r="B315" i="7"/>
  <c r="U174" i="9"/>
  <c r="AA174" i="9" s="1"/>
  <c r="I174" i="9"/>
  <c r="O174" i="9" s="1"/>
  <c r="B210" i="7"/>
  <c r="M202" i="9"/>
  <c r="S202" i="9" s="1"/>
  <c r="Y202" i="9"/>
  <c r="AE202" i="9" s="1"/>
  <c r="F238" i="7"/>
  <c r="X231" i="9"/>
  <c r="AD231" i="9" s="1"/>
  <c r="L231" i="9"/>
  <c r="R231" i="9" s="1"/>
  <c r="E267" i="7"/>
  <c r="X324" i="9"/>
  <c r="AD324" i="9" s="1"/>
  <c r="L324" i="9"/>
  <c r="R324" i="9" s="1"/>
  <c r="E360" i="7"/>
  <c r="J275" i="9"/>
  <c r="P275" i="9" s="1"/>
  <c r="V275" i="9"/>
  <c r="AB275" i="9" s="1"/>
  <c r="C311" i="7"/>
  <c r="U304" i="9"/>
  <c r="AA304" i="9" s="1"/>
  <c r="I304" i="9"/>
  <c r="O304" i="9" s="1"/>
  <c r="B340" i="7"/>
  <c r="M332" i="9"/>
  <c r="S332" i="9" s="1"/>
  <c r="Y332" i="9"/>
  <c r="AE332" i="9" s="1"/>
  <c r="F368" i="7"/>
  <c r="W367" i="9"/>
  <c r="AC367" i="9" s="1"/>
  <c r="K367" i="9"/>
  <c r="Q367" i="9" s="1"/>
  <c r="D403" i="7"/>
  <c r="W292" i="9"/>
  <c r="AC292" i="9" s="1"/>
  <c r="K292" i="9"/>
  <c r="Q292" i="9" s="1"/>
  <c r="D328" i="7"/>
  <c r="J321" i="9"/>
  <c r="P321" i="9" s="1"/>
  <c r="V321" i="9"/>
  <c r="AB321" i="9" s="1"/>
  <c r="C357" i="7"/>
  <c r="U351" i="9"/>
  <c r="AA351" i="9" s="1"/>
  <c r="I351" i="9"/>
  <c r="O351" i="9" s="1"/>
  <c r="B387" i="7"/>
  <c r="W267" i="9"/>
  <c r="AC267" i="9" s="1"/>
  <c r="K267" i="9"/>
  <c r="Q267" i="9" s="1"/>
  <c r="D303" i="7"/>
  <c r="J296" i="9"/>
  <c r="P296" i="9" s="1"/>
  <c r="V296" i="9"/>
  <c r="AB296" i="9" s="1"/>
  <c r="C332" i="7"/>
  <c r="I325" i="9"/>
  <c r="O325" i="9" s="1"/>
  <c r="U325" i="9"/>
  <c r="AA325" i="9" s="1"/>
  <c r="B361" i="7"/>
  <c r="I358" i="9"/>
  <c r="O358" i="9" s="1"/>
  <c r="U358" i="9"/>
  <c r="AA358" i="9" s="1"/>
  <c r="B394" i="7"/>
  <c r="M280" i="9"/>
  <c r="S280" i="9" s="1"/>
  <c r="Y280" i="9"/>
  <c r="AE280" i="9" s="1"/>
  <c r="F316" i="7"/>
  <c r="X309" i="9"/>
  <c r="AD309" i="9" s="1"/>
  <c r="L309" i="9"/>
  <c r="R309" i="9" s="1"/>
  <c r="E345" i="7"/>
  <c r="I346" i="9"/>
  <c r="O346" i="9" s="1"/>
  <c r="U346" i="9"/>
  <c r="AA346" i="9" s="1"/>
  <c r="B382" i="7"/>
  <c r="X272" i="9"/>
  <c r="AD272" i="9" s="1"/>
  <c r="L272" i="9"/>
  <c r="R272" i="9" s="1"/>
  <c r="E308" i="7"/>
  <c r="W301" i="9"/>
  <c r="AC301" i="9" s="1"/>
  <c r="K301" i="9"/>
  <c r="Q301" i="9" s="1"/>
  <c r="D337" i="7"/>
  <c r="J330" i="9"/>
  <c r="P330" i="9" s="1"/>
  <c r="V330" i="9"/>
  <c r="AB330" i="9" s="1"/>
  <c r="C366" i="7"/>
  <c r="M254" i="9"/>
  <c r="S254" i="9" s="1"/>
  <c r="Y254" i="9"/>
  <c r="AE254" i="9" s="1"/>
  <c r="F290" i="7"/>
  <c r="X283" i="9"/>
  <c r="AD283" i="9" s="1"/>
  <c r="L283" i="9"/>
  <c r="R283" i="9" s="1"/>
  <c r="E319" i="7"/>
  <c r="K312" i="9"/>
  <c r="Q312" i="9" s="1"/>
  <c r="W312" i="9"/>
  <c r="AC312" i="9" s="1"/>
  <c r="D348" i="7"/>
  <c r="W342" i="9"/>
  <c r="AC342" i="9" s="1"/>
  <c r="K342" i="9"/>
  <c r="Q342" i="9" s="1"/>
  <c r="D378" i="7"/>
  <c r="U261" i="9"/>
  <c r="AA261" i="9" s="1"/>
  <c r="I261" i="9"/>
  <c r="O261" i="9" s="1"/>
  <c r="B297" i="7"/>
  <c r="M289" i="9"/>
  <c r="S289" i="9" s="1"/>
  <c r="Y289" i="9"/>
  <c r="AE289" i="9" s="1"/>
  <c r="F325" i="7"/>
  <c r="X318" i="9"/>
  <c r="AD318" i="9" s="1"/>
  <c r="L318" i="9"/>
  <c r="R318" i="9" s="1"/>
  <c r="E354" i="7"/>
  <c r="L347" i="9"/>
  <c r="R347" i="9" s="1"/>
  <c r="X347" i="9"/>
  <c r="AD347" i="9" s="1"/>
  <c r="E383" i="7"/>
  <c r="X269" i="9"/>
  <c r="AD269" i="9" s="1"/>
  <c r="L269" i="9"/>
  <c r="R269" i="9" s="1"/>
  <c r="E305" i="7"/>
  <c r="W298" i="9"/>
  <c r="AC298" i="9" s="1"/>
  <c r="K298" i="9"/>
  <c r="Q298" i="9" s="1"/>
  <c r="D334" i="7"/>
  <c r="J327" i="9"/>
  <c r="P327" i="9" s="1"/>
  <c r="V327" i="9"/>
  <c r="AB327" i="9" s="1"/>
  <c r="C363" i="7"/>
  <c r="Y363" i="9"/>
  <c r="AE363" i="9" s="1"/>
  <c r="M363" i="9"/>
  <c r="S363" i="9" s="1"/>
  <c r="F399" i="7"/>
  <c r="X268" i="9"/>
  <c r="AD268" i="9" s="1"/>
  <c r="L268" i="9"/>
  <c r="R268" i="9" s="1"/>
  <c r="E304" i="7"/>
  <c r="W297" i="9"/>
  <c r="AC297" i="9" s="1"/>
  <c r="K297" i="9"/>
  <c r="Q297" i="9" s="1"/>
  <c r="D333" i="7"/>
  <c r="V326" i="9"/>
  <c r="AB326" i="9" s="1"/>
  <c r="J326" i="9"/>
  <c r="P326" i="9" s="1"/>
  <c r="C362" i="7"/>
  <c r="W360" i="9"/>
  <c r="AC360" i="9" s="1"/>
  <c r="K360" i="9"/>
  <c r="Q360" i="9" s="1"/>
  <c r="D396" i="7"/>
  <c r="L267" i="9"/>
  <c r="R267" i="9" s="1"/>
  <c r="X267" i="9"/>
  <c r="AD267" i="9" s="1"/>
  <c r="E303" i="7"/>
  <c r="W296" i="9"/>
  <c r="AC296" i="9" s="1"/>
  <c r="K296" i="9"/>
  <c r="Q296" i="9" s="1"/>
  <c r="D332" i="7"/>
  <c r="J325" i="9"/>
  <c r="P325" i="9" s="1"/>
  <c r="V325" i="9"/>
  <c r="AB325" i="9" s="1"/>
  <c r="C361" i="7"/>
  <c r="I368" i="9"/>
  <c r="O368" i="9" s="1"/>
  <c r="U368" i="9"/>
  <c r="AA368" i="9" s="1"/>
  <c r="B404" i="7"/>
  <c r="M273" i="9"/>
  <c r="S273" i="9" s="1"/>
  <c r="Y273" i="9"/>
  <c r="AE273" i="9" s="1"/>
  <c r="F309" i="7"/>
  <c r="L302" i="9"/>
  <c r="R302" i="9" s="1"/>
  <c r="X302" i="9"/>
  <c r="AD302" i="9" s="1"/>
  <c r="E338" i="7"/>
  <c r="K331" i="9"/>
  <c r="Q331" i="9" s="1"/>
  <c r="W331" i="9"/>
  <c r="AC331" i="9" s="1"/>
  <c r="D367" i="7"/>
  <c r="X354" i="9"/>
  <c r="AD354" i="9" s="1"/>
  <c r="L354" i="9"/>
  <c r="R354" i="9" s="1"/>
  <c r="E390" i="7"/>
  <c r="X340" i="9"/>
  <c r="AD340" i="9" s="1"/>
  <c r="L340" i="9"/>
  <c r="R340" i="9" s="1"/>
  <c r="E376" i="7"/>
  <c r="K379" i="9"/>
  <c r="Q379" i="9" s="1"/>
  <c r="W379" i="9"/>
  <c r="AC379" i="9" s="1"/>
  <c r="D415" i="7"/>
  <c r="L375" i="9"/>
  <c r="R375" i="9" s="1"/>
  <c r="X375" i="9"/>
  <c r="AD375" i="9" s="1"/>
  <c r="E411" i="7"/>
  <c r="Y373" i="9"/>
  <c r="AE373" i="9" s="1"/>
  <c r="M373" i="9"/>
  <c r="S373" i="9" s="1"/>
  <c r="F409" i="7"/>
  <c r="V356" i="9"/>
  <c r="AB356" i="9" s="1"/>
  <c r="J356" i="9"/>
  <c r="P356" i="9" s="1"/>
  <c r="C392" i="7"/>
  <c r="Y352" i="9"/>
  <c r="AE352" i="9" s="1"/>
  <c r="M352" i="9"/>
  <c r="S352" i="9" s="1"/>
  <c r="F388" i="7"/>
  <c r="Y397" i="9"/>
  <c r="AE397" i="9" s="1"/>
  <c r="M397" i="9"/>
  <c r="S397" i="9" s="1"/>
  <c r="F433" i="7"/>
  <c r="M396" i="9"/>
  <c r="S396" i="9" s="1"/>
  <c r="Y396" i="9"/>
  <c r="AE396" i="9" s="1"/>
  <c r="F432" i="7"/>
  <c r="Y392" i="9"/>
  <c r="AE392" i="9" s="1"/>
  <c r="M392" i="9"/>
  <c r="S392" i="9" s="1"/>
  <c r="F428" i="7"/>
  <c r="M391" i="9"/>
  <c r="S391" i="9" s="1"/>
  <c r="Y391" i="9"/>
  <c r="AE391" i="9" s="1"/>
  <c r="F427" i="7"/>
  <c r="K388" i="9"/>
  <c r="Q388" i="9" s="1"/>
  <c r="W388" i="9"/>
  <c r="AC388" i="9" s="1"/>
  <c r="D424" i="7"/>
  <c r="U385" i="9"/>
  <c r="AA385" i="9" s="1"/>
  <c r="I385" i="9"/>
  <c r="O385" i="9" s="1"/>
  <c r="B421" i="7"/>
  <c r="K386" i="9"/>
  <c r="Q386" i="9" s="1"/>
  <c r="W386" i="9"/>
  <c r="AC386" i="9" s="1"/>
  <c r="D422" i="7"/>
  <c r="I383" i="9"/>
  <c r="O383" i="9" s="1"/>
  <c r="U383" i="9"/>
  <c r="AA383" i="9" s="1"/>
  <c r="B419" i="7"/>
  <c r="X379" i="9"/>
  <c r="AD379" i="9" s="1"/>
  <c r="L379" i="9"/>
  <c r="R379" i="9" s="1"/>
  <c r="E415" i="7"/>
  <c r="I44" i="9"/>
  <c r="O44" i="9" s="1"/>
  <c r="U44" i="9"/>
  <c r="AA44" i="9" s="1"/>
  <c r="B80" i="7"/>
  <c r="V74" i="9"/>
  <c r="AB74" i="9" s="1"/>
  <c r="J74" i="9"/>
  <c r="P74" i="9" s="1"/>
  <c r="C110" i="7"/>
  <c r="I128" i="9"/>
  <c r="O128" i="9" s="1"/>
  <c r="U128" i="9"/>
  <c r="AA128" i="9" s="1"/>
  <c r="B164" i="7"/>
  <c r="M142" i="9"/>
  <c r="S142" i="9" s="1"/>
  <c r="Y142" i="9"/>
  <c r="AE142" i="9" s="1"/>
  <c r="F178" i="7"/>
  <c r="L56" i="9"/>
  <c r="R56" i="9" s="1"/>
  <c r="X56" i="9"/>
  <c r="AD56" i="9" s="1"/>
  <c r="E92" i="7"/>
  <c r="I39" i="9"/>
  <c r="O39" i="9" s="1"/>
  <c r="U39" i="9"/>
  <c r="AA39" i="9" s="1"/>
  <c r="B75" i="7"/>
  <c r="L112" i="9"/>
  <c r="R112" i="9" s="1"/>
  <c r="X112" i="9"/>
  <c r="AD112" i="9" s="1"/>
  <c r="E148" i="7"/>
  <c r="M132" i="9"/>
  <c r="S132" i="9" s="1"/>
  <c r="Y132" i="9"/>
  <c r="AE132" i="9" s="1"/>
  <c r="F168" i="7"/>
  <c r="X79" i="9"/>
  <c r="AD79" i="9" s="1"/>
  <c r="L79" i="9"/>
  <c r="R79" i="9" s="1"/>
  <c r="E115" i="7"/>
  <c r="K117" i="9"/>
  <c r="Q117" i="9" s="1"/>
  <c r="W117" i="9"/>
  <c r="AC117" i="9" s="1"/>
  <c r="D153" i="7"/>
  <c r="I137" i="9"/>
  <c r="O137" i="9" s="1"/>
  <c r="U137" i="9"/>
  <c r="AA137" i="9" s="1"/>
  <c r="B173" i="7"/>
  <c r="I135" i="9"/>
  <c r="O135" i="9" s="1"/>
  <c r="U135" i="9"/>
  <c r="AA135" i="9" s="1"/>
  <c r="B171" i="7"/>
  <c r="I191" i="9"/>
  <c r="O191" i="9" s="1"/>
  <c r="U191" i="9"/>
  <c r="AA191" i="9" s="1"/>
  <c r="B227" i="7"/>
  <c r="K151" i="9"/>
  <c r="Q151" i="9" s="1"/>
  <c r="W151" i="9"/>
  <c r="AC151" i="9" s="1"/>
  <c r="D187" i="7"/>
  <c r="J225" i="9"/>
  <c r="P225" i="9" s="1"/>
  <c r="V225" i="9"/>
  <c r="AB225" i="9" s="1"/>
  <c r="C261" i="7"/>
  <c r="J211" i="9"/>
  <c r="P211" i="9" s="1"/>
  <c r="V211" i="9"/>
  <c r="AB211" i="9" s="1"/>
  <c r="C247" i="7"/>
  <c r="X234" i="9"/>
  <c r="AD234" i="9" s="1"/>
  <c r="L234" i="9"/>
  <c r="R234" i="9" s="1"/>
  <c r="E270" i="7"/>
  <c r="K176" i="9"/>
  <c r="Q176" i="9" s="1"/>
  <c r="W176" i="9"/>
  <c r="AC176" i="9" s="1"/>
  <c r="D212" i="7"/>
  <c r="M294" i="9"/>
  <c r="S294" i="9" s="1"/>
  <c r="Y294" i="9"/>
  <c r="AE294" i="9" s="1"/>
  <c r="F330" i="7"/>
  <c r="I275" i="9"/>
  <c r="O275" i="9" s="1"/>
  <c r="U275" i="9"/>
  <c r="AA275" i="9" s="1"/>
  <c r="B311" i="7"/>
  <c r="W263" i="9"/>
  <c r="AC263" i="9" s="1"/>
  <c r="K263" i="9"/>
  <c r="Q263" i="9" s="1"/>
  <c r="D299" i="7"/>
  <c r="I271" i="9"/>
  <c r="O271" i="9" s="1"/>
  <c r="U271" i="9"/>
  <c r="AA271" i="9" s="1"/>
  <c r="B307" i="7"/>
  <c r="J276" i="9"/>
  <c r="P276" i="9" s="1"/>
  <c r="V276" i="9"/>
  <c r="AB276" i="9" s="1"/>
  <c r="C312" i="7"/>
  <c r="U381" i="9"/>
  <c r="AA381" i="9" s="1"/>
  <c r="I381" i="9"/>
  <c r="O381" i="9" s="1"/>
  <c r="B417" i="7"/>
  <c r="W387" i="9"/>
  <c r="AC387" i="9" s="1"/>
  <c r="K387" i="9"/>
  <c r="Q387" i="9" s="1"/>
  <c r="D423" i="7"/>
  <c r="K92" i="9"/>
  <c r="Q92" i="9" s="1"/>
  <c r="W92" i="9"/>
  <c r="AC92" i="9" s="1"/>
  <c r="D128" i="7"/>
  <c r="Y119" i="9"/>
  <c r="AE119" i="9" s="1"/>
  <c r="M119" i="9"/>
  <c r="S119" i="9" s="1"/>
  <c r="F155" i="7"/>
  <c r="L49" i="9"/>
  <c r="R49" i="9" s="1"/>
  <c r="X49" i="9"/>
  <c r="AD49" i="9" s="1"/>
  <c r="E85" i="7"/>
  <c r="L35" i="9"/>
  <c r="R35" i="9" s="1"/>
  <c r="X35" i="9"/>
  <c r="AD35" i="9" s="1"/>
  <c r="E71" i="7"/>
  <c r="V215" i="9"/>
  <c r="AB215" i="9" s="1"/>
  <c r="J215" i="9"/>
  <c r="P215" i="9" s="1"/>
  <c r="C251" i="7"/>
  <c r="J63" i="9"/>
  <c r="P63" i="9" s="1"/>
  <c r="V63" i="9"/>
  <c r="AB63" i="9" s="1"/>
  <c r="C99" i="7"/>
  <c r="M235" i="9"/>
  <c r="S235" i="9" s="1"/>
  <c r="Y235" i="9"/>
  <c r="AE235" i="9" s="1"/>
  <c r="F271" i="7"/>
  <c r="M118" i="9"/>
  <c r="S118" i="9" s="1"/>
  <c r="Y118" i="9"/>
  <c r="AE118" i="9" s="1"/>
  <c r="F154" i="7"/>
  <c r="M63" i="9"/>
  <c r="S63" i="9" s="1"/>
  <c r="Y63" i="9"/>
  <c r="AE63" i="9" s="1"/>
  <c r="F99" i="7"/>
  <c r="L47" i="9"/>
  <c r="R47" i="9" s="1"/>
  <c r="X47" i="9"/>
  <c r="AD47" i="9" s="1"/>
  <c r="E83" i="7"/>
  <c r="I244" i="9"/>
  <c r="O244" i="9" s="1"/>
  <c r="U244" i="9"/>
  <c r="AA244" i="9" s="1"/>
  <c r="B280" i="7"/>
  <c r="U67" i="9"/>
  <c r="AA67" i="9" s="1"/>
  <c r="I67" i="9"/>
  <c r="O67" i="9" s="1"/>
  <c r="B103" i="7"/>
  <c r="I116" i="9"/>
  <c r="O116" i="9" s="1"/>
  <c r="U116" i="9"/>
  <c r="AA116" i="9" s="1"/>
  <c r="B152" i="7"/>
  <c r="K69" i="9"/>
  <c r="Q69" i="9" s="1"/>
  <c r="W69" i="9"/>
  <c r="AC69" i="9" s="1"/>
  <c r="D105" i="7"/>
  <c r="K37" i="9"/>
  <c r="Q37" i="9" s="1"/>
  <c r="W37" i="9"/>
  <c r="AC37" i="9" s="1"/>
  <c r="D73" i="7"/>
  <c r="I105" i="9"/>
  <c r="O105" i="9" s="1"/>
  <c r="U105" i="9"/>
  <c r="AA105" i="9" s="1"/>
  <c r="B141" i="7"/>
  <c r="M133" i="9"/>
  <c r="S133" i="9" s="1"/>
  <c r="Y133" i="9"/>
  <c r="AE133" i="9" s="1"/>
  <c r="F169" i="7"/>
  <c r="I208" i="9"/>
  <c r="O208" i="9" s="1"/>
  <c r="U208" i="9"/>
  <c r="AA208" i="9" s="1"/>
  <c r="B244" i="7"/>
  <c r="Y81" i="9"/>
  <c r="AE81" i="9" s="1"/>
  <c r="M81" i="9"/>
  <c r="S81" i="9" s="1"/>
  <c r="F117" i="7"/>
  <c r="X110" i="9"/>
  <c r="AD110" i="9" s="1"/>
  <c r="L110" i="9"/>
  <c r="R110" i="9" s="1"/>
  <c r="E146" i="7"/>
  <c r="K139" i="9"/>
  <c r="Q139" i="9" s="1"/>
  <c r="W139" i="9"/>
  <c r="AC139" i="9" s="1"/>
  <c r="D175" i="7"/>
  <c r="L217" i="9"/>
  <c r="R217" i="9" s="1"/>
  <c r="X217" i="9"/>
  <c r="AD217" i="9" s="1"/>
  <c r="E253" i="7"/>
  <c r="M80" i="9"/>
  <c r="S80" i="9" s="1"/>
  <c r="Y80" i="9"/>
  <c r="AE80" i="9" s="1"/>
  <c r="F116" i="7"/>
  <c r="L109" i="9"/>
  <c r="R109" i="9" s="1"/>
  <c r="X109" i="9"/>
  <c r="AD109" i="9" s="1"/>
  <c r="E145" i="7"/>
  <c r="K138" i="9"/>
  <c r="Q138" i="9" s="1"/>
  <c r="W138" i="9"/>
  <c r="AC138" i="9" s="1"/>
  <c r="D174" i="7"/>
  <c r="K193" i="9"/>
  <c r="Q193" i="9" s="1"/>
  <c r="W193" i="9"/>
  <c r="AC193" i="9" s="1"/>
  <c r="D229" i="7"/>
  <c r="M79" i="9"/>
  <c r="S79" i="9" s="1"/>
  <c r="Y79" i="9"/>
  <c r="AE79" i="9" s="1"/>
  <c r="F115" i="7"/>
  <c r="L108" i="9"/>
  <c r="R108" i="9" s="1"/>
  <c r="X108" i="9"/>
  <c r="AD108" i="9" s="1"/>
  <c r="E144" i="7"/>
  <c r="W137" i="9"/>
  <c r="AC137" i="9" s="1"/>
  <c r="K137" i="9"/>
  <c r="Q137" i="9" s="1"/>
  <c r="D173" i="7"/>
  <c r="I220" i="9"/>
  <c r="O220" i="9" s="1"/>
  <c r="U220" i="9"/>
  <c r="AA220" i="9" s="1"/>
  <c r="B256" i="7"/>
  <c r="J81" i="9"/>
  <c r="P81" i="9" s="1"/>
  <c r="V81" i="9"/>
  <c r="AB81" i="9" s="1"/>
  <c r="C117" i="7"/>
  <c r="I110" i="9"/>
  <c r="O110" i="9" s="1"/>
  <c r="U110" i="9"/>
  <c r="AA110" i="9" s="1"/>
  <c r="B146" i="7"/>
  <c r="M138" i="9"/>
  <c r="S138" i="9" s="1"/>
  <c r="Y138" i="9"/>
  <c r="AE138" i="9" s="1"/>
  <c r="F174" i="7"/>
  <c r="M211" i="9"/>
  <c r="S211" i="9" s="1"/>
  <c r="Y211" i="9"/>
  <c r="AE211" i="9" s="1"/>
  <c r="F247" i="7"/>
  <c r="X82" i="9"/>
  <c r="AD82" i="9" s="1"/>
  <c r="L82" i="9"/>
  <c r="R82" i="9" s="1"/>
  <c r="E118" i="7"/>
  <c r="K111" i="9"/>
  <c r="Q111" i="9" s="1"/>
  <c r="W111" i="9"/>
  <c r="AC111" i="9" s="1"/>
  <c r="D147" i="7"/>
  <c r="J140" i="9"/>
  <c r="P140" i="9" s="1"/>
  <c r="V140" i="9"/>
  <c r="AB140" i="9" s="1"/>
  <c r="C176" i="7"/>
  <c r="L200" i="9"/>
  <c r="R200" i="9" s="1"/>
  <c r="X200" i="9"/>
  <c r="AD200" i="9" s="1"/>
  <c r="E236" i="7"/>
  <c r="I72" i="9"/>
  <c r="O72" i="9" s="1"/>
  <c r="U72" i="9"/>
  <c r="AA72" i="9" s="1"/>
  <c r="B108" i="7"/>
  <c r="M100" i="9"/>
  <c r="S100" i="9" s="1"/>
  <c r="Y100" i="9"/>
  <c r="AE100" i="9" s="1"/>
  <c r="F136" i="7"/>
  <c r="L129" i="9"/>
  <c r="R129" i="9" s="1"/>
  <c r="X129" i="9"/>
  <c r="AD129" i="9" s="1"/>
  <c r="E165" i="7"/>
  <c r="M159" i="9"/>
  <c r="S159" i="9" s="1"/>
  <c r="Y159" i="9"/>
  <c r="AE159" i="9" s="1"/>
  <c r="F195" i="7"/>
  <c r="M64" i="9"/>
  <c r="S64" i="9" s="1"/>
  <c r="Y64" i="9"/>
  <c r="AE64" i="9" s="1"/>
  <c r="F100" i="7"/>
  <c r="L92" i="9"/>
  <c r="R92" i="9" s="1"/>
  <c r="X92" i="9"/>
  <c r="AD92" i="9" s="1"/>
  <c r="E128" i="7"/>
  <c r="K121" i="9"/>
  <c r="Q121" i="9" s="1"/>
  <c r="W121" i="9"/>
  <c r="AC121" i="9" s="1"/>
  <c r="D157" i="7"/>
  <c r="U153" i="9"/>
  <c r="AA153" i="9" s="1"/>
  <c r="I153" i="9"/>
  <c r="O153" i="9" s="1"/>
  <c r="B189" i="7"/>
  <c r="K96" i="9"/>
  <c r="Q96" i="9" s="1"/>
  <c r="W96" i="9"/>
  <c r="AC96" i="9" s="1"/>
  <c r="D132" i="7"/>
  <c r="J125" i="9"/>
  <c r="P125" i="9" s="1"/>
  <c r="V125" i="9"/>
  <c r="AB125" i="9" s="1"/>
  <c r="C161" i="7"/>
  <c r="J167" i="9"/>
  <c r="P167" i="9" s="1"/>
  <c r="V167" i="9"/>
  <c r="AB167" i="9" s="1"/>
  <c r="C203" i="7"/>
  <c r="M165" i="9"/>
  <c r="S165" i="9" s="1"/>
  <c r="Y165" i="9"/>
  <c r="AE165" i="9" s="1"/>
  <c r="F201" i="7"/>
  <c r="L194" i="9"/>
  <c r="R194" i="9" s="1"/>
  <c r="X194" i="9"/>
  <c r="AD194" i="9" s="1"/>
  <c r="E230" i="7"/>
  <c r="K223" i="9"/>
  <c r="Q223" i="9" s="1"/>
  <c r="W223" i="9"/>
  <c r="AC223" i="9" s="1"/>
  <c r="D259" i="7"/>
  <c r="M283" i="9"/>
  <c r="S283" i="9" s="1"/>
  <c r="Y283" i="9"/>
  <c r="AE283" i="9" s="1"/>
  <c r="F319" i="7"/>
  <c r="I170" i="9"/>
  <c r="O170" i="9" s="1"/>
  <c r="U170" i="9"/>
  <c r="AA170" i="9" s="1"/>
  <c r="B206" i="7"/>
  <c r="M198" i="9"/>
  <c r="S198" i="9" s="1"/>
  <c r="Y198" i="9"/>
  <c r="AE198" i="9" s="1"/>
  <c r="F234" i="7"/>
  <c r="L227" i="9"/>
  <c r="R227" i="9" s="1"/>
  <c r="X227" i="9"/>
  <c r="AD227" i="9" s="1"/>
  <c r="E263" i="7"/>
  <c r="K268" i="9"/>
  <c r="Q268" i="9" s="1"/>
  <c r="W268" i="9"/>
  <c r="AC268" i="9" s="1"/>
  <c r="D304" i="7"/>
  <c r="J164" i="9"/>
  <c r="P164" i="9" s="1"/>
  <c r="V164" i="9"/>
  <c r="AB164" i="9" s="1"/>
  <c r="C200" i="7"/>
  <c r="I193" i="9"/>
  <c r="O193" i="9" s="1"/>
  <c r="U193" i="9"/>
  <c r="AA193" i="9" s="1"/>
  <c r="B229" i="7"/>
  <c r="M221" i="9"/>
  <c r="S221" i="9" s="1"/>
  <c r="Y221" i="9"/>
  <c r="AE221" i="9" s="1"/>
  <c r="F257" i="7"/>
  <c r="L250" i="9"/>
  <c r="R250" i="9" s="1"/>
  <c r="X250" i="9"/>
  <c r="AD250" i="9" s="1"/>
  <c r="E286" i="7"/>
  <c r="U156" i="9"/>
  <c r="AA156" i="9" s="1"/>
  <c r="I156" i="9"/>
  <c r="O156" i="9" s="1"/>
  <c r="B192" i="7"/>
  <c r="Y184" i="9"/>
  <c r="AE184" i="9" s="1"/>
  <c r="M184" i="9"/>
  <c r="S184" i="9" s="1"/>
  <c r="F220" i="7"/>
  <c r="L213" i="9"/>
  <c r="R213" i="9" s="1"/>
  <c r="X213" i="9"/>
  <c r="AD213" i="9" s="1"/>
  <c r="E249" i="7"/>
  <c r="K242" i="9"/>
  <c r="Q242" i="9" s="1"/>
  <c r="W242" i="9"/>
  <c r="AC242" i="9" s="1"/>
  <c r="D278" i="7"/>
  <c r="J222" i="9"/>
  <c r="P222" i="9" s="1"/>
  <c r="V222" i="9"/>
  <c r="AB222" i="9" s="1"/>
  <c r="C258" i="7"/>
  <c r="K253" i="9"/>
  <c r="Q253" i="9" s="1"/>
  <c r="W253" i="9"/>
  <c r="AC253" i="9" s="1"/>
  <c r="D289" i="7"/>
  <c r="I166" i="9"/>
  <c r="O166" i="9" s="1"/>
  <c r="U166" i="9"/>
  <c r="AA166" i="9" s="1"/>
  <c r="B202" i="7"/>
  <c r="M194" i="9"/>
  <c r="S194" i="9" s="1"/>
  <c r="Y194" i="9"/>
  <c r="AE194" i="9" s="1"/>
  <c r="F230" i="7"/>
  <c r="L223" i="9"/>
  <c r="R223" i="9" s="1"/>
  <c r="X223" i="9"/>
  <c r="AD223" i="9" s="1"/>
  <c r="E259" i="7"/>
  <c r="U252" i="9"/>
  <c r="AA252" i="9" s="1"/>
  <c r="I252" i="9"/>
  <c r="O252" i="9" s="1"/>
  <c r="B288" i="7"/>
  <c r="J208" i="9"/>
  <c r="P208" i="9" s="1"/>
  <c r="V208" i="9"/>
  <c r="AB208" i="9" s="1"/>
  <c r="C244" i="7"/>
  <c r="I237" i="9"/>
  <c r="O237" i="9" s="1"/>
  <c r="U237" i="9"/>
  <c r="AA237" i="9" s="1"/>
  <c r="B273" i="7"/>
  <c r="Y331" i="9"/>
  <c r="AE331" i="9" s="1"/>
  <c r="M331" i="9"/>
  <c r="S331" i="9" s="1"/>
  <c r="F367" i="7"/>
  <c r="X173" i="9"/>
  <c r="AD173" i="9" s="1"/>
  <c r="L173" i="9"/>
  <c r="R173" i="9" s="1"/>
  <c r="E209" i="7"/>
  <c r="K202" i="9"/>
  <c r="Q202" i="9" s="1"/>
  <c r="W202" i="9"/>
  <c r="AC202" i="9" s="1"/>
  <c r="D238" i="7"/>
  <c r="J231" i="9"/>
  <c r="P231" i="9" s="1"/>
  <c r="V231" i="9"/>
  <c r="AB231" i="9" s="1"/>
  <c r="C267" i="7"/>
  <c r="Y319" i="9"/>
  <c r="AE319" i="9" s="1"/>
  <c r="M319" i="9"/>
  <c r="S319" i="9" s="1"/>
  <c r="F355" i="7"/>
  <c r="I175" i="9"/>
  <c r="O175" i="9" s="1"/>
  <c r="U175" i="9"/>
  <c r="AA175" i="9" s="1"/>
  <c r="B211" i="7"/>
  <c r="Y203" i="9"/>
  <c r="AE203" i="9" s="1"/>
  <c r="M203" i="9"/>
  <c r="S203" i="9" s="1"/>
  <c r="F239" i="7"/>
  <c r="L232" i="9"/>
  <c r="R232" i="9" s="1"/>
  <c r="X232" i="9"/>
  <c r="AD232" i="9" s="1"/>
  <c r="E268" i="7"/>
  <c r="U150" i="9"/>
  <c r="AA150" i="9" s="1"/>
  <c r="I150" i="9"/>
  <c r="O150" i="9" s="1"/>
  <c r="B186" i="7"/>
  <c r="Y178" i="9"/>
  <c r="AE178" i="9" s="1"/>
  <c r="M178" i="9"/>
  <c r="S178" i="9" s="1"/>
  <c r="F214" i="7"/>
  <c r="L207" i="9"/>
  <c r="R207" i="9" s="1"/>
  <c r="X207" i="9"/>
  <c r="AD207" i="9" s="1"/>
  <c r="E243" i="7"/>
  <c r="K236" i="9"/>
  <c r="Q236" i="9" s="1"/>
  <c r="W236" i="9"/>
  <c r="AC236" i="9" s="1"/>
  <c r="D272" i="7"/>
  <c r="V251" i="9"/>
  <c r="AB251" i="9" s="1"/>
  <c r="J251" i="9"/>
  <c r="P251" i="9" s="1"/>
  <c r="C287" i="7"/>
  <c r="I280" i="9"/>
  <c r="O280" i="9" s="1"/>
  <c r="U280" i="9"/>
  <c r="AA280" i="9" s="1"/>
  <c r="B316" i="7"/>
  <c r="M308" i="9"/>
  <c r="S308" i="9" s="1"/>
  <c r="Y308" i="9"/>
  <c r="AE308" i="9" s="1"/>
  <c r="F344" i="7"/>
  <c r="X339" i="9"/>
  <c r="AD339" i="9" s="1"/>
  <c r="L339" i="9"/>
  <c r="R339" i="9" s="1"/>
  <c r="E375" i="7"/>
  <c r="X376" i="9"/>
  <c r="AD376" i="9" s="1"/>
  <c r="L376" i="9"/>
  <c r="R376" i="9" s="1"/>
  <c r="E412" i="7"/>
  <c r="J297" i="9"/>
  <c r="P297" i="9" s="1"/>
  <c r="V297" i="9"/>
  <c r="AB297" i="9" s="1"/>
  <c r="C333" i="7"/>
  <c r="I326" i="9"/>
  <c r="O326" i="9" s="1"/>
  <c r="U326" i="9"/>
  <c r="AA326" i="9" s="1"/>
  <c r="B362" i="7"/>
  <c r="W361" i="9"/>
  <c r="AC361" i="9" s="1"/>
  <c r="K361" i="9"/>
  <c r="Q361" i="9" s="1"/>
  <c r="D397" i="7"/>
  <c r="J272" i="9"/>
  <c r="P272" i="9" s="1"/>
  <c r="V272" i="9"/>
  <c r="AB272" i="9" s="1"/>
  <c r="C308" i="7"/>
  <c r="I301" i="9"/>
  <c r="O301" i="9" s="1"/>
  <c r="U301" i="9"/>
  <c r="AA301" i="9" s="1"/>
  <c r="B337" i="7"/>
  <c r="M329" i="9"/>
  <c r="S329" i="9" s="1"/>
  <c r="Y329" i="9"/>
  <c r="AE329" i="9" s="1"/>
  <c r="F365" i="7"/>
  <c r="L367" i="9"/>
  <c r="R367" i="9" s="1"/>
  <c r="X367" i="9"/>
  <c r="AD367" i="9" s="1"/>
  <c r="E403" i="7"/>
  <c r="X285" i="9"/>
  <c r="AD285" i="9" s="1"/>
  <c r="L285" i="9"/>
  <c r="R285" i="9" s="1"/>
  <c r="E321" i="7"/>
  <c r="K314" i="9"/>
  <c r="Q314" i="9" s="1"/>
  <c r="W314" i="9"/>
  <c r="AC314" i="9" s="1"/>
  <c r="D350" i="7"/>
  <c r="X351" i="9"/>
  <c r="AD351" i="9" s="1"/>
  <c r="L351" i="9"/>
  <c r="R351" i="9" s="1"/>
  <c r="E387" i="7"/>
  <c r="K277" i="9"/>
  <c r="Q277" i="9" s="1"/>
  <c r="W277" i="9"/>
  <c r="AC277" i="9" s="1"/>
  <c r="D313" i="7"/>
  <c r="J306" i="9"/>
  <c r="P306" i="9" s="1"/>
  <c r="V306" i="9"/>
  <c r="AB306" i="9" s="1"/>
  <c r="C342" i="7"/>
  <c r="I335" i="9"/>
  <c r="O335" i="9" s="1"/>
  <c r="U335" i="9"/>
  <c r="AA335" i="9" s="1"/>
  <c r="B371" i="7"/>
  <c r="L259" i="9"/>
  <c r="R259" i="9" s="1"/>
  <c r="X259" i="9"/>
  <c r="AD259" i="9" s="1"/>
  <c r="E295" i="7"/>
  <c r="W288" i="9"/>
  <c r="AC288" i="9" s="1"/>
  <c r="K288" i="9"/>
  <c r="Q288" i="9" s="1"/>
  <c r="D324" i="7"/>
  <c r="J317" i="9"/>
  <c r="P317" i="9" s="1"/>
  <c r="V317" i="9"/>
  <c r="AB317" i="9" s="1"/>
  <c r="C353" i="7"/>
  <c r="V352" i="9"/>
  <c r="AB352" i="9" s="1"/>
  <c r="J352" i="9"/>
  <c r="P352" i="9" s="1"/>
  <c r="C388" i="7"/>
  <c r="M265" i="9"/>
  <c r="S265" i="9" s="1"/>
  <c r="Y265" i="9"/>
  <c r="AE265" i="9" s="1"/>
  <c r="F301" i="7"/>
  <c r="X294" i="9"/>
  <c r="AD294" i="9" s="1"/>
  <c r="L294" i="9"/>
  <c r="R294" i="9" s="1"/>
  <c r="E330" i="7"/>
  <c r="W323" i="9"/>
  <c r="AC323" i="9" s="1"/>
  <c r="K323" i="9"/>
  <c r="Q323" i="9" s="1"/>
  <c r="D359" i="7"/>
  <c r="K353" i="9"/>
  <c r="Q353" i="9" s="1"/>
  <c r="W353" i="9"/>
  <c r="AC353" i="9" s="1"/>
  <c r="D389" i="7"/>
  <c r="K274" i="9"/>
  <c r="Q274" i="9" s="1"/>
  <c r="W274" i="9"/>
  <c r="AC274" i="9" s="1"/>
  <c r="D310" i="7"/>
  <c r="J303" i="9"/>
  <c r="P303" i="9" s="1"/>
  <c r="V303" i="9"/>
  <c r="AB303" i="9" s="1"/>
  <c r="C339" i="7"/>
  <c r="I332" i="9"/>
  <c r="O332" i="9" s="1"/>
  <c r="U332" i="9"/>
  <c r="AA332" i="9" s="1"/>
  <c r="B368" i="7"/>
  <c r="J372" i="9"/>
  <c r="P372" i="9" s="1"/>
  <c r="V372" i="9"/>
  <c r="AB372" i="9" s="1"/>
  <c r="C408" i="7"/>
  <c r="W273" i="9"/>
  <c r="AC273" i="9" s="1"/>
  <c r="K273" i="9"/>
  <c r="Q273" i="9" s="1"/>
  <c r="D309" i="7"/>
  <c r="J302" i="9"/>
  <c r="P302" i="9" s="1"/>
  <c r="V302" i="9"/>
  <c r="AB302" i="9" s="1"/>
  <c r="C338" i="7"/>
  <c r="I331" i="9"/>
  <c r="O331" i="9" s="1"/>
  <c r="U331" i="9"/>
  <c r="AA331" i="9" s="1"/>
  <c r="B367" i="7"/>
  <c r="J376" i="9"/>
  <c r="P376" i="9" s="1"/>
  <c r="V376" i="9"/>
  <c r="AB376" i="9" s="1"/>
  <c r="C412" i="7"/>
  <c r="W272" i="9"/>
  <c r="AC272" i="9" s="1"/>
  <c r="K272" i="9"/>
  <c r="Q272" i="9" s="1"/>
  <c r="D308" i="7"/>
  <c r="J301" i="9"/>
  <c r="P301" i="9" s="1"/>
  <c r="V301" i="9"/>
  <c r="AB301" i="9" s="1"/>
  <c r="C337" i="7"/>
  <c r="U330" i="9"/>
  <c r="AA330" i="9" s="1"/>
  <c r="I330" i="9"/>
  <c r="O330" i="9" s="1"/>
  <c r="B366" i="7"/>
  <c r="K380" i="9"/>
  <c r="Q380" i="9" s="1"/>
  <c r="W380" i="9"/>
  <c r="AC380" i="9" s="1"/>
  <c r="D416" i="7"/>
  <c r="X278" i="9"/>
  <c r="AD278" i="9" s="1"/>
  <c r="L278" i="9"/>
  <c r="R278" i="9" s="1"/>
  <c r="E314" i="7"/>
  <c r="K307" i="9"/>
  <c r="Q307" i="9" s="1"/>
  <c r="W307" i="9"/>
  <c r="AC307" i="9" s="1"/>
  <c r="D343" i="7"/>
  <c r="Y340" i="9"/>
  <c r="AE340" i="9" s="1"/>
  <c r="M340" i="9"/>
  <c r="S340" i="9" s="1"/>
  <c r="F376" i="7"/>
  <c r="W359" i="9"/>
  <c r="AC359" i="9" s="1"/>
  <c r="K359" i="9"/>
  <c r="Q359" i="9" s="1"/>
  <c r="D395" i="7"/>
  <c r="W345" i="9"/>
  <c r="AC345" i="9" s="1"/>
  <c r="K345" i="9"/>
  <c r="Q345" i="9" s="1"/>
  <c r="D381" i="7"/>
  <c r="Y393" i="9"/>
  <c r="AE393" i="9" s="1"/>
  <c r="M393" i="9"/>
  <c r="S393" i="9" s="1"/>
  <c r="F429" i="7"/>
  <c r="I390" i="9"/>
  <c r="O390" i="9" s="1"/>
  <c r="U390" i="9"/>
  <c r="AA390" i="9" s="1"/>
  <c r="B426" i="7"/>
  <c r="J388" i="9"/>
  <c r="P388" i="9" s="1"/>
  <c r="V388" i="9"/>
  <c r="AB388" i="9" s="1"/>
  <c r="C424" i="7"/>
  <c r="I361" i="9"/>
  <c r="O361" i="9" s="1"/>
  <c r="U361" i="9"/>
  <c r="AA361" i="9" s="1"/>
  <c r="B397" i="7"/>
  <c r="X357" i="9"/>
  <c r="AD357" i="9" s="1"/>
  <c r="L357" i="9"/>
  <c r="R357" i="9" s="1"/>
  <c r="E393" i="7"/>
  <c r="M372" i="9"/>
  <c r="S372" i="9" s="1"/>
  <c r="Y372" i="9"/>
  <c r="AE372" i="9" s="1"/>
  <c r="F408" i="7"/>
  <c r="Y368" i="9"/>
  <c r="AE368" i="9" s="1"/>
  <c r="M368" i="9"/>
  <c r="S368" i="9" s="1"/>
  <c r="F404" i="7"/>
  <c r="X397" i="9"/>
  <c r="AD397" i="9" s="1"/>
  <c r="L397" i="9"/>
  <c r="R397" i="9" s="1"/>
  <c r="E433" i="7"/>
  <c r="X396" i="9"/>
  <c r="AD396" i="9" s="1"/>
  <c r="L396" i="9"/>
  <c r="R396" i="9" s="1"/>
  <c r="E432" i="7"/>
  <c r="J393" i="9"/>
  <c r="P393" i="9" s="1"/>
  <c r="V393" i="9"/>
  <c r="AB393" i="9" s="1"/>
  <c r="C429" i="7"/>
  <c r="Y389" i="9"/>
  <c r="AE389" i="9" s="1"/>
  <c r="M389" i="9"/>
  <c r="S389" i="9" s="1"/>
  <c r="F425" i="7"/>
  <c r="J391" i="9"/>
  <c r="P391" i="9" s="1"/>
  <c r="V391" i="9"/>
  <c r="AB391" i="9" s="1"/>
  <c r="C427" i="7"/>
  <c r="M387" i="9"/>
  <c r="S387" i="9" s="1"/>
  <c r="Y387" i="9"/>
  <c r="AE387" i="9" s="1"/>
  <c r="F423" i="7"/>
  <c r="W384" i="9"/>
  <c r="AC384" i="9" s="1"/>
  <c r="K384" i="9"/>
  <c r="Q384" i="9" s="1"/>
  <c r="D420" i="7"/>
  <c r="M58" i="9"/>
  <c r="S58" i="9" s="1"/>
  <c r="Y58" i="9"/>
  <c r="AE58" i="9" s="1"/>
  <c r="F94" i="7"/>
  <c r="M39" i="9"/>
  <c r="S39" i="9" s="1"/>
  <c r="Y39" i="9"/>
  <c r="AE39" i="9" s="1"/>
  <c r="F75" i="7"/>
  <c r="W68" i="9"/>
  <c r="AC68" i="9" s="1"/>
  <c r="K68" i="9"/>
  <c r="Q68" i="9" s="1"/>
  <c r="D104" i="7"/>
  <c r="K118" i="9"/>
  <c r="Q118" i="9" s="1"/>
  <c r="W118" i="9"/>
  <c r="AC118" i="9" s="1"/>
  <c r="D154" i="7"/>
  <c r="J133" i="9"/>
  <c r="P133" i="9" s="1"/>
  <c r="V133" i="9"/>
  <c r="AB133" i="9" s="1"/>
  <c r="C169" i="7"/>
  <c r="I79" i="9"/>
  <c r="O79" i="9" s="1"/>
  <c r="U79" i="9"/>
  <c r="AA79" i="9" s="1"/>
  <c r="B115" i="7"/>
  <c r="J55" i="9"/>
  <c r="P55" i="9" s="1"/>
  <c r="V55" i="9"/>
  <c r="AB55" i="9" s="1"/>
  <c r="C91" i="7"/>
  <c r="L36" i="9"/>
  <c r="R36" i="9" s="1"/>
  <c r="X36" i="9"/>
  <c r="AD36" i="9" s="1"/>
  <c r="E72" i="7"/>
  <c r="U103" i="9"/>
  <c r="AA103" i="9" s="1"/>
  <c r="I103" i="9"/>
  <c r="O103" i="9" s="1"/>
  <c r="B139" i="7"/>
  <c r="J123" i="9"/>
  <c r="P123" i="9" s="1"/>
  <c r="V123" i="9"/>
  <c r="AB123" i="9" s="1"/>
  <c r="C159" i="7"/>
  <c r="Y73" i="9"/>
  <c r="AE73" i="9" s="1"/>
  <c r="M73" i="9"/>
  <c r="S73" i="9" s="1"/>
  <c r="F109" i="7"/>
  <c r="K77" i="9"/>
  <c r="Q77" i="9" s="1"/>
  <c r="W77" i="9"/>
  <c r="AC77" i="9" s="1"/>
  <c r="D113" i="7"/>
  <c r="L205" i="9"/>
  <c r="R205" i="9" s="1"/>
  <c r="X205" i="9"/>
  <c r="AD205" i="9" s="1"/>
  <c r="E241" i="7"/>
  <c r="M60" i="9"/>
  <c r="S60" i="9" s="1"/>
  <c r="Y60" i="9"/>
  <c r="AE60" i="9" s="1"/>
  <c r="F96" i="7"/>
  <c r="W35" i="9"/>
  <c r="AC35" i="9" s="1"/>
  <c r="K35" i="9"/>
  <c r="Q35" i="9" s="1"/>
  <c r="D71" i="7"/>
  <c r="W205" i="9"/>
  <c r="AC205" i="9" s="1"/>
  <c r="K205" i="9"/>
  <c r="Q205" i="9" s="1"/>
  <c r="D241" i="7"/>
  <c r="Y107" i="9"/>
  <c r="AE107" i="9" s="1"/>
  <c r="M107" i="9"/>
  <c r="S107" i="9" s="1"/>
  <c r="F143" i="7"/>
  <c r="Y38" i="9"/>
  <c r="AE38" i="9" s="1"/>
  <c r="M38" i="9"/>
  <c r="S38" i="9" s="1"/>
  <c r="F74" i="7"/>
  <c r="L48" i="9"/>
  <c r="R48" i="9" s="1"/>
  <c r="X48" i="9"/>
  <c r="AD48" i="9" s="1"/>
  <c r="E84" i="7"/>
  <c r="I36" i="9"/>
  <c r="O36" i="9" s="1"/>
  <c r="U36" i="9"/>
  <c r="AA36" i="9" s="1"/>
  <c r="B72" i="7"/>
  <c r="W107" i="9"/>
  <c r="AC107" i="9" s="1"/>
  <c r="K107" i="9"/>
  <c r="Q107" i="9" s="1"/>
  <c r="D143" i="7"/>
  <c r="J136" i="9"/>
  <c r="P136" i="9" s="1"/>
  <c r="V136" i="9"/>
  <c r="AB136" i="9" s="1"/>
  <c r="C172" i="7"/>
  <c r="M212" i="9"/>
  <c r="S212" i="9" s="1"/>
  <c r="Y212" i="9"/>
  <c r="AE212" i="9" s="1"/>
  <c r="F248" i="7"/>
  <c r="J84" i="9"/>
  <c r="P84" i="9" s="1"/>
  <c r="V84" i="9"/>
  <c r="AB84" i="9" s="1"/>
  <c r="C120" i="7"/>
  <c r="I113" i="9"/>
  <c r="O113" i="9" s="1"/>
  <c r="U113" i="9"/>
  <c r="AA113" i="9" s="1"/>
  <c r="B149" i="7"/>
  <c r="M141" i="9"/>
  <c r="S141" i="9" s="1"/>
  <c r="Y141" i="9"/>
  <c r="AE141" i="9" s="1"/>
  <c r="F177" i="7"/>
  <c r="I232" i="9"/>
  <c r="O232" i="9" s="1"/>
  <c r="U232" i="9"/>
  <c r="AA232" i="9" s="1"/>
  <c r="B268" i="7"/>
  <c r="V83" i="9"/>
  <c r="AB83" i="9" s="1"/>
  <c r="J83" i="9"/>
  <c r="P83" i="9" s="1"/>
  <c r="C119" i="7"/>
  <c r="U112" i="9"/>
  <c r="AA112" i="9" s="1"/>
  <c r="I112" i="9"/>
  <c r="O112" i="9" s="1"/>
  <c r="B148" i="7"/>
  <c r="Y140" i="9"/>
  <c r="AE140" i="9" s="1"/>
  <c r="M140" i="9"/>
  <c r="S140" i="9" s="1"/>
  <c r="F176" i="7"/>
  <c r="U203" i="9"/>
  <c r="AA203" i="9" s="1"/>
  <c r="I203" i="9"/>
  <c r="O203" i="9" s="1"/>
  <c r="B239" i="7"/>
  <c r="J82" i="9"/>
  <c r="P82" i="9" s="1"/>
  <c r="V82" i="9"/>
  <c r="AB82" i="9" s="1"/>
  <c r="C118" i="7"/>
  <c r="I111" i="9"/>
  <c r="O111" i="9" s="1"/>
  <c r="U111" i="9"/>
  <c r="AA111" i="9" s="1"/>
  <c r="B147" i="7"/>
  <c r="M139" i="9"/>
  <c r="S139" i="9" s="1"/>
  <c r="Y139" i="9"/>
  <c r="AE139" i="9" s="1"/>
  <c r="F175" i="7"/>
  <c r="K234" i="9"/>
  <c r="Q234" i="9" s="1"/>
  <c r="W234" i="9"/>
  <c r="AC234" i="9" s="1"/>
  <c r="D270" i="7"/>
  <c r="L83" i="9"/>
  <c r="R83" i="9" s="1"/>
  <c r="X83" i="9"/>
  <c r="AD83" i="9" s="1"/>
  <c r="E119" i="7"/>
  <c r="K112" i="9"/>
  <c r="Q112" i="9" s="1"/>
  <c r="W112" i="9"/>
  <c r="AC112" i="9" s="1"/>
  <c r="D148" i="7"/>
  <c r="J141" i="9"/>
  <c r="P141" i="9" s="1"/>
  <c r="V141" i="9"/>
  <c r="AB141" i="9" s="1"/>
  <c r="C177" i="7"/>
  <c r="J226" i="9"/>
  <c r="P226" i="9" s="1"/>
  <c r="V226" i="9"/>
  <c r="AB226" i="9" s="1"/>
  <c r="C262" i="7"/>
  <c r="I85" i="9"/>
  <c r="O85" i="9" s="1"/>
  <c r="U85" i="9"/>
  <c r="AA85" i="9" s="1"/>
  <c r="B121" i="7"/>
  <c r="Y113" i="9"/>
  <c r="AE113" i="9" s="1"/>
  <c r="M113" i="9"/>
  <c r="S113" i="9" s="1"/>
  <c r="F149" i="7"/>
  <c r="L142" i="9"/>
  <c r="R142" i="9" s="1"/>
  <c r="X142" i="9"/>
  <c r="AD142" i="9" s="1"/>
  <c r="E178" i="7"/>
  <c r="V210" i="9"/>
  <c r="AB210" i="9" s="1"/>
  <c r="J210" i="9"/>
  <c r="P210" i="9" s="1"/>
  <c r="C246" i="7"/>
  <c r="K74" i="9"/>
  <c r="Q74" i="9" s="1"/>
  <c r="W74" i="9"/>
  <c r="AC74" i="9" s="1"/>
  <c r="D110" i="7"/>
  <c r="J103" i="9"/>
  <c r="P103" i="9" s="1"/>
  <c r="V103" i="9"/>
  <c r="AB103" i="9" s="1"/>
  <c r="C139" i="7"/>
  <c r="I132" i="9"/>
  <c r="O132" i="9" s="1"/>
  <c r="U132" i="9"/>
  <c r="AA132" i="9" s="1"/>
  <c r="B168" i="7"/>
  <c r="I167" i="9"/>
  <c r="O167" i="9" s="1"/>
  <c r="U167" i="9"/>
  <c r="AA167" i="9" s="1"/>
  <c r="B203" i="7"/>
  <c r="J66" i="9"/>
  <c r="P66" i="9" s="1"/>
  <c r="V66" i="9"/>
  <c r="AB66" i="9" s="1"/>
  <c r="C102" i="7"/>
  <c r="U95" i="9"/>
  <c r="AA95" i="9" s="1"/>
  <c r="I95" i="9"/>
  <c r="O95" i="9" s="1"/>
  <c r="B131" i="7"/>
  <c r="M123" i="9"/>
  <c r="S123" i="9" s="1"/>
  <c r="Y123" i="9"/>
  <c r="AE123" i="9" s="1"/>
  <c r="F159" i="7"/>
  <c r="U165" i="9"/>
  <c r="AA165" i="9" s="1"/>
  <c r="I165" i="9"/>
  <c r="O165" i="9" s="1"/>
  <c r="B201" i="7"/>
  <c r="Y98" i="9"/>
  <c r="AE98" i="9" s="1"/>
  <c r="M98" i="9"/>
  <c r="S98" i="9" s="1"/>
  <c r="F134" i="7"/>
  <c r="L127" i="9"/>
  <c r="R127" i="9" s="1"/>
  <c r="X127" i="9"/>
  <c r="AD127" i="9" s="1"/>
  <c r="E163" i="7"/>
  <c r="K174" i="9"/>
  <c r="Q174" i="9" s="1"/>
  <c r="W174" i="9"/>
  <c r="AC174" i="9" s="1"/>
  <c r="D210" i="7"/>
  <c r="V168" i="9"/>
  <c r="AB168" i="9" s="1"/>
  <c r="J168" i="9"/>
  <c r="P168" i="9" s="1"/>
  <c r="C204" i="7"/>
  <c r="I197" i="9"/>
  <c r="O197" i="9" s="1"/>
  <c r="U197" i="9"/>
  <c r="AA197" i="9" s="1"/>
  <c r="B233" i="7"/>
  <c r="Y225" i="9"/>
  <c r="AE225" i="9" s="1"/>
  <c r="M225" i="9"/>
  <c r="S225" i="9" s="1"/>
  <c r="F261" i="7"/>
  <c r="X312" i="9"/>
  <c r="AD312" i="9" s="1"/>
  <c r="L312" i="9"/>
  <c r="R312" i="9" s="1"/>
  <c r="E348" i="7"/>
  <c r="K172" i="9"/>
  <c r="Q172" i="9" s="1"/>
  <c r="W172" i="9"/>
  <c r="AC172" i="9" s="1"/>
  <c r="D208" i="7"/>
  <c r="V201" i="9"/>
  <c r="AB201" i="9" s="1"/>
  <c r="J201" i="9"/>
  <c r="P201" i="9" s="1"/>
  <c r="C237" i="7"/>
  <c r="U230" i="9"/>
  <c r="AA230" i="9" s="1"/>
  <c r="I230" i="9"/>
  <c r="O230" i="9" s="1"/>
  <c r="B266" i="7"/>
  <c r="X276" i="9"/>
  <c r="AD276" i="9" s="1"/>
  <c r="L276" i="9"/>
  <c r="R276" i="9" s="1"/>
  <c r="E312" i="7"/>
  <c r="X166" i="9"/>
  <c r="AD166" i="9" s="1"/>
  <c r="L166" i="9"/>
  <c r="R166" i="9" s="1"/>
  <c r="E202" i="7"/>
  <c r="K195" i="9"/>
  <c r="Q195" i="9" s="1"/>
  <c r="W195" i="9"/>
  <c r="AC195" i="9" s="1"/>
  <c r="D231" i="7"/>
  <c r="V224" i="9"/>
  <c r="AB224" i="9" s="1"/>
  <c r="J224" i="9"/>
  <c r="P224" i="9" s="1"/>
  <c r="C260" i="7"/>
  <c r="L252" i="9"/>
  <c r="R252" i="9" s="1"/>
  <c r="X252" i="9"/>
  <c r="AD252" i="9" s="1"/>
  <c r="E288" i="7"/>
  <c r="K158" i="9"/>
  <c r="Q158" i="9" s="1"/>
  <c r="W158" i="9"/>
  <c r="AC158" i="9" s="1"/>
  <c r="D194" i="7"/>
  <c r="J187" i="9"/>
  <c r="P187" i="9" s="1"/>
  <c r="V187" i="9"/>
  <c r="AB187" i="9" s="1"/>
  <c r="C223" i="7"/>
  <c r="I216" i="9"/>
  <c r="O216" i="9" s="1"/>
  <c r="U216" i="9"/>
  <c r="AA216" i="9" s="1"/>
  <c r="B252" i="7"/>
  <c r="M244" i="9"/>
  <c r="S244" i="9" s="1"/>
  <c r="Y244" i="9"/>
  <c r="AE244" i="9" s="1"/>
  <c r="F280" i="7"/>
  <c r="L224" i="9"/>
  <c r="R224" i="9" s="1"/>
  <c r="X224" i="9"/>
  <c r="AD224" i="9" s="1"/>
  <c r="E260" i="7"/>
  <c r="I267" i="9"/>
  <c r="O267" i="9" s="1"/>
  <c r="U267" i="9"/>
  <c r="AA267" i="9" s="1"/>
  <c r="B303" i="7"/>
  <c r="K168" i="9"/>
  <c r="Q168" i="9" s="1"/>
  <c r="W168" i="9"/>
  <c r="AC168" i="9" s="1"/>
  <c r="D204" i="7"/>
  <c r="J197" i="9"/>
  <c r="P197" i="9" s="1"/>
  <c r="V197" i="9"/>
  <c r="AB197" i="9" s="1"/>
  <c r="C233" i="7"/>
  <c r="I226" i="9"/>
  <c r="O226" i="9" s="1"/>
  <c r="U226" i="9"/>
  <c r="AA226" i="9" s="1"/>
  <c r="B262" i="7"/>
  <c r="Y256" i="9"/>
  <c r="AE256" i="9" s="1"/>
  <c r="M256" i="9"/>
  <c r="S256" i="9" s="1"/>
  <c r="F292" i="7"/>
  <c r="L210" i="9"/>
  <c r="R210" i="9" s="1"/>
  <c r="X210" i="9"/>
  <c r="AD210" i="9" s="1"/>
  <c r="E246" i="7"/>
  <c r="K239" i="9"/>
  <c r="Q239" i="9" s="1"/>
  <c r="W239" i="9"/>
  <c r="AC239" i="9" s="1"/>
  <c r="D275" i="7"/>
  <c r="L360" i="9"/>
  <c r="R360" i="9" s="1"/>
  <c r="X360" i="9"/>
  <c r="AD360" i="9" s="1"/>
  <c r="E396" i="7"/>
  <c r="I176" i="9"/>
  <c r="O176" i="9" s="1"/>
  <c r="U176" i="9"/>
  <c r="AA176" i="9" s="1"/>
  <c r="B212" i="7"/>
  <c r="Y204" i="9"/>
  <c r="AE204" i="9" s="1"/>
  <c r="M204" i="9"/>
  <c r="S204" i="9" s="1"/>
  <c r="F240" i="7"/>
  <c r="L233" i="9"/>
  <c r="R233" i="9" s="1"/>
  <c r="X233" i="9"/>
  <c r="AD233" i="9" s="1"/>
  <c r="E269" i="7"/>
  <c r="X148" i="9"/>
  <c r="AD148" i="9" s="1"/>
  <c r="L148" i="9"/>
  <c r="R148" i="9" s="1"/>
  <c r="E184" i="7"/>
  <c r="K177" i="9"/>
  <c r="Q177" i="9" s="1"/>
  <c r="W177" i="9"/>
  <c r="AC177" i="9" s="1"/>
  <c r="D213" i="7"/>
  <c r="V206" i="9"/>
  <c r="AB206" i="9" s="1"/>
  <c r="J206" i="9"/>
  <c r="P206" i="9" s="1"/>
  <c r="C242" i="7"/>
  <c r="I235" i="9"/>
  <c r="O235" i="9" s="1"/>
  <c r="U235" i="9"/>
  <c r="AA235" i="9" s="1"/>
  <c r="B271" i="7"/>
  <c r="K152" i="9"/>
  <c r="Q152" i="9" s="1"/>
  <c r="W152" i="9"/>
  <c r="AC152" i="9" s="1"/>
  <c r="D188" i="7"/>
  <c r="J181" i="9"/>
  <c r="P181" i="9" s="1"/>
  <c r="V181" i="9"/>
  <c r="AB181" i="9" s="1"/>
  <c r="C217" i="7"/>
  <c r="I210" i="9"/>
  <c r="O210" i="9" s="1"/>
  <c r="U210" i="9"/>
  <c r="AA210" i="9" s="1"/>
  <c r="B246" i="7"/>
  <c r="M238" i="9"/>
  <c r="S238" i="9" s="1"/>
  <c r="Y238" i="9"/>
  <c r="AE238" i="9" s="1"/>
  <c r="F274" i="7"/>
  <c r="L253" i="9"/>
  <c r="R253" i="9" s="1"/>
  <c r="X253" i="9"/>
  <c r="AD253" i="9" s="1"/>
  <c r="E289" i="7"/>
  <c r="W282" i="9"/>
  <c r="AC282" i="9" s="1"/>
  <c r="K282" i="9"/>
  <c r="Q282" i="9" s="1"/>
  <c r="D318" i="7"/>
  <c r="J311" i="9"/>
  <c r="P311" i="9" s="1"/>
  <c r="V311" i="9"/>
  <c r="AB311" i="9" s="1"/>
  <c r="C347" i="7"/>
  <c r="I340" i="9"/>
  <c r="O340" i="9" s="1"/>
  <c r="U340" i="9"/>
  <c r="AA340" i="9" s="1"/>
  <c r="B376" i="7"/>
  <c r="U391" i="9"/>
  <c r="AA391" i="9" s="1"/>
  <c r="I391" i="9"/>
  <c r="O391" i="9" s="1"/>
  <c r="B427" i="7"/>
  <c r="L299" i="9"/>
  <c r="R299" i="9" s="1"/>
  <c r="X299" i="9"/>
  <c r="AD299" i="9" s="1"/>
  <c r="E335" i="7"/>
  <c r="K328" i="9"/>
  <c r="Q328" i="9" s="1"/>
  <c r="W328" i="9"/>
  <c r="AC328" i="9" s="1"/>
  <c r="D364" i="7"/>
  <c r="J366" i="9"/>
  <c r="P366" i="9" s="1"/>
  <c r="V366" i="9"/>
  <c r="AB366" i="9" s="1"/>
  <c r="C402" i="7"/>
  <c r="X274" i="9"/>
  <c r="AD274" i="9" s="1"/>
  <c r="L274" i="9"/>
  <c r="R274" i="9" s="1"/>
  <c r="E310" i="7"/>
  <c r="W303" i="9"/>
  <c r="AC303" i="9" s="1"/>
  <c r="K303" i="9"/>
  <c r="Q303" i="9" s="1"/>
  <c r="D339" i="7"/>
  <c r="V332" i="9"/>
  <c r="AB332" i="9" s="1"/>
  <c r="J332" i="9"/>
  <c r="P332" i="9" s="1"/>
  <c r="C368" i="7"/>
  <c r="M369" i="9"/>
  <c r="S369" i="9" s="1"/>
  <c r="Y369" i="9"/>
  <c r="AE369" i="9" s="1"/>
  <c r="F405" i="7"/>
  <c r="I288" i="9"/>
  <c r="O288" i="9" s="1"/>
  <c r="U288" i="9"/>
  <c r="AA288" i="9" s="1"/>
  <c r="B324" i="7"/>
  <c r="Y316" i="9"/>
  <c r="AE316" i="9" s="1"/>
  <c r="M316" i="9"/>
  <c r="S316" i="9" s="1"/>
  <c r="F352" i="7"/>
  <c r="I356" i="9"/>
  <c r="O356" i="9" s="1"/>
  <c r="U356" i="9"/>
  <c r="AA356" i="9" s="1"/>
  <c r="B392" i="7"/>
  <c r="M279" i="9"/>
  <c r="S279" i="9" s="1"/>
  <c r="Y279" i="9"/>
  <c r="AE279" i="9" s="1"/>
  <c r="F315" i="7"/>
  <c r="L308" i="9"/>
  <c r="R308" i="9" s="1"/>
  <c r="X308" i="9"/>
  <c r="AD308" i="9" s="1"/>
  <c r="E344" i="7"/>
  <c r="I341" i="9"/>
  <c r="O341" i="9" s="1"/>
  <c r="U341" i="9"/>
  <c r="AA341" i="9" s="1"/>
  <c r="B377" i="7"/>
  <c r="U262" i="9"/>
  <c r="AA262" i="9" s="1"/>
  <c r="I262" i="9"/>
  <c r="O262" i="9" s="1"/>
  <c r="B298" i="7"/>
  <c r="M290" i="9"/>
  <c r="S290" i="9" s="1"/>
  <c r="Y290" i="9"/>
  <c r="AE290" i="9" s="1"/>
  <c r="F326" i="7"/>
  <c r="X319" i="9"/>
  <c r="AD319" i="9" s="1"/>
  <c r="L319" i="9"/>
  <c r="R319" i="9" s="1"/>
  <c r="E355" i="7"/>
  <c r="K355" i="9"/>
  <c r="Q355" i="9" s="1"/>
  <c r="W355" i="9"/>
  <c r="AC355" i="9" s="1"/>
  <c r="D391" i="7"/>
  <c r="V268" i="9"/>
  <c r="AB268" i="9" s="1"/>
  <c r="J268" i="9"/>
  <c r="P268" i="9" s="1"/>
  <c r="C304" i="7"/>
  <c r="I297" i="9"/>
  <c r="O297" i="9" s="1"/>
  <c r="U297" i="9"/>
  <c r="AA297" i="9" s="1"/>
  <c r="B333" i="7"/>
  <c r="Y325" i="9"/>
  <c r="AE325" i="9" s="1"/>
  <c r="M325" i="9"/>
  <c r="S325" i="9" s="1"/>
  <c r="F361" i="7"/>
  <c r="J358" i="9"/>
  <c r="P358" i="9" s="1"/>
  <c r="V358" i="9"/>
  <c r="AB358" i="9" s="1"/>
  <c r="C394" i="7"/>
  <c r="M276" i="9"/>
  <c r="S276" i="9" s="1"/>
  <c r="Y276" i="9"/>
  <c r="AE276" i="9" s="1"/>
  <c r="F312" i="7"/>
  <c r="L305" i="9"/>
  <c r="R305" i="9" s="1"/>
  <c r="X305" i="9"/>
  <c r="AD305" i="9" s="1"/>
  <c r="E341" i="7"/>
  <c r="K334" i="9"/>
  <c r="Q334" i="9" s="1"/>
  <c r="W334" i="9"/>
  <c r="AC334" i="9" s="1"/>
  <c r="D370" i="7"/>
  <c r="J384" i="9"/>
  <c r="P384" i="9" s="1"/>
  <c r="V384" i="9"/>
  <c r="AB384" i="9" s="1"/>
  <c r="C420" i="7"/>
  <c r="M275" i="9"/>
  <c r="S275" i="9" s="1"/>
  <c r="Y275" i="9"/>
  <c r="AE275" i="9" s="1"/>
  <c r="F311" i="7"/>
  <c r="L304" i="9"/>
  <c r="R304" i="9" s="1"/>
  <c r="X304" i="9"/>
  <c r="AD304" i="9" s="1"/>
  <c r="E340" i="7"/>
  <c r="K333" i="9"/>
  <c r="Q333" i="9" s="1"/>
  <c r="W333" i="9"/>
  <c r="AC333" i="9" s="1"/>
  <c r="D369" i="7"/>
  <c r="X390" i="9"/>
  <c r="AD390" i="9" s="1"/>
  <c r="L390" i="9"/>
  <c r="R390" i="9" s="1"/>
  <c r="E426" i="7"/>
  <c r="M274" i="9"/>
  <c r="S274" i="9" s="1"/>
  <c r="Y274" i="9"/>
  <c r="AE274" i="9" s="1"/>
  <c r="F310" i="7"/>
  <c r="X303" i="9"/>
  <c r="AD303" i="9" s="1"/>
  <c r="L303" i="9"/>
  <c r="R303" i="9" s="1"/>
  <c r="E339" i="7"/>
  <c r="W332" i="9"/>
  <c r="AC332" i="9" s="1"/>
  <c r="K332" i="9"/>
  <c r="Q332" i="9" s="1"/>
  <c r="D368" i="7"/>
  <c r="J252" i="9"/>
  <c r="P252" i="9" s="1"/>
  <c r="V252" i="9"/>
  <c r="AB252" i="9" s="1"/>
  <c r="C288" i="7"/>
  <c r="I281" i="9"/>
  <c r="O281" i="9" s="1"/>
  <c r="U281" i="9"/>
  <c r="AA281" i="9" s="1"/>
  <c r="B317" i="7"/>
  <c r="M309" i="9"/>
  <c r="S309" i="9" s="1"/>
  <c r="Y309" i="9"/>
  <c r="AE309" i="9" s="1"/>
  <c r="F345" i="7"/>
  <c r="X342" i="9"/>
  <c r="AD342" i="9" s="1"/>
  <c r="L342" i="9"/>
  <c r="R342" i="9" s="1"/>
  <c r="E378" i="7"/>
  <c r="Y361" i="9"/>
  <c r="AE361" i="9" s="1"/>
  <c r="M361" i="9"/>
  <c r="S361" i="9" s="1"/>
  <c r="F397" i="7"/>
  <c r="M347" i="9"/>
  <c r="S347" i="9" s="1"/>
  <c r="Y347" i="9"/>
  <c r="AE347" i="9" s="1"/>
  <c r="F383" i="7"/>
  <c r="V347" i="9"/>
  <c r="AB347" i="9" s="1"/>
  <c r="J347" i="9"/>
  <c r="P347" i="9" s="1"/>
  <c r="C383" i="7"/>
  <c r="V397" i="9"/>
  <c r="AB397" i="9" s="1"/>
  <c r="J397" i="9"/>
  <c r="P397" i="9" s="1"/>
  <c r="C433" i="7"/>
  <c r="W395" i="9"/>
  <c r="AC395" i="9" s="1"/>
  <c r="K395" i="9"/>
  <c r="Q395" i="9" s="1"/>
  <c r="D431" i="7"/>
  <c r="K363" i="9"/>
  <c r="Q363" i="9" s="1"/>
  <c r="W363" i="9"/>
  <c r="AC363" i="9" s="1"/>
  <c r="D399" i="7"/>
  <c r="U360" i="9"/>
  <c r="AA360" i="9" s="1"/>
  <c r="I360" i="9"/>
  <c r="O360" i="9" s="1"/>
  <c r="B396" i="7"/>
  <c r="J375" i="9"/>
  <c r="P375" i="9" s="1"/>
  <c r="V375" i="9"/>
  <c r="AB375" i="9" s="1"/>
  <c r="C411" i="7"/>
  <c r="V371" i="9"/>
  <c r="AB371" i="9" s="1"/>
  <c r="J371" i="9"/>
  <c r="P371" i="9" s="1"/>
  <c r="C407" i="7"/>
  <c r="J370" i="9"/>
  <c r="P370" i="9" s="1"/>
  <c r="V370" i="9"/>
  <c r="AB370" i="9" s="1"/>
  <c r="C406" i="7"/>
  <c r="U399" i="9"/>
  <c r="AA399" i="9" s="1"/>
  <c r="I399" i="9"/>
  <c r="O399" i="9" s="1"/>
  <c r="B435" i="7"/>
  <c r="L395" i="9"/>
  <c r="R395" i="9" s="1"/>
  <c r="X395" i="9"/>
  <c r="AD395" i="9" s="1"/>
  <c r="E431" i="7"/>
  <c r="J392" i="9"/>
  <c r="P392" i="9" s="1"/>
  <c r="V392" i="9"/>
  <c r="AB392" i="9" s="1"/>
  <c r="C428" i="7"/>
  <c r="X393" i="9"/>
  <c r="AD393" i="9" s="1"/>
  <c r="L393" i="9"/>
  <c r="R393" i="9" s="1"/>
  <c r="E429" i="7"/>
  <c r="V390" i="9"/>
  <c r="AB390" i="9" s="1"/>
  <c r="J390" i="9"/>
  <c r="P390" i="9" s="1"/>
  <c r="C426" i="7"/>
  <c r="Y386" i="9"/>
  <c r="AE386" i="9" s="1"/>
  <c r="M386" i="9"/>
  <c r="S386" i="9" s="1"/>
  <c r="F422" i="7"/>
  <c r="W140" i="9"/>
  <c r="AC140" i="9" s="1"/>
  <c r="K140" i="9"/>
  <c r="Q140" i="9" s="1"/>
  <c r="D176" i="7"/>
  <c r="V89" i="9"/>
  <c r="AB89" i="9" s="1"/>
  <c r="J89" i="9"/>
  <c r="P89" i="9" s="1"/>
  <c r="C125" i="7"/>
  <c r="J110" i="9"/>
  <c r="P110" i="9" s="1"/>
  <c r="V110" i="9"/>
  <c r="AB110" i="9" s="1"/>
  <c r="C146" i="7"/>
  <c r="J48" i="9"/>
  <c r="P48" i="9" s="1"/>
  <c r="V48" i="9"/>
  <c r="AB48" i="9" s="1"/>
  <c r="C84" i="7"/>
  <c r="V65" i="9"/>
  <c r="AB65" i="9" s="1"/>
  <c r="J65" i="9"/>
  <c r="P65" i="9" s="1"/>
  <c r="C101" i="7"/>
  <c r="Y47" i="9"/>
  <c r="AE47" i="9" s="1"/>
  <c r="M47" i="9"/>
  <c r="S47" i="9" s="1"/>
  <c r="F83" i="7"/>
  <c r="U52" i="9"/>
  <c r="AA52" i="9" s="1"/>
  <c r="I52" i="9"/>
  <c r="O52" i="9" s="1"/>
  <c r="B88" i="7"/>
  <c r="L174" i="9"/>
  <c r="R174" i="9" s="1"/>
  <c r="X174" i="9"/>
  <c r="AD174" i="9" s="1"/>
  <c r="E210" i="7"/>
  <c r="W59" i="9"/>
  <c r="AC59" i="9" s="1"/>
  <c r="K59" i="9"/>
  <c r="Q59" i="9" s="1"/>
  <c r="D95" i="7"/>
  <c r="K49" i="9"/>
  <c r="Q49" i="9" s="1"/>
  <c r="W49" i="9"/>
  <c r="AC49" i="9" s="1"/>
  <c r="D85" i="7"/>
  <c r="J40" i="9"/>
  <c r="P40" i="9" s="1"/>
  <c r="V40" i="9"/>
  <c r="AB40" i="9" s="1"/>
  <c r="C76" i="7"/>
  <c r="V186" i="9"/>
  <c r="AB186" i="9" s="1"/>
  <c r="J186" i="9"/>
  <c r="P186" i="9" s="1"/>
  <c r="C222" i="7"/>
  <c r="Y137" i="9"/>
  <c r="AE137" i="9" s="1"/>
  <c r="M137" i="9"/>
  <c r="S137" i="9" s="1"/>
  <c r="F173" i="7"/>
  <c r="K63" i="9"/>
  <c r="Q63" i="9" s="1"/>
  <c r="W63" i="9"/>
  <c r="AC63" i="9" s="1"/>
  <c r="D99" i="7"/>
  <c r="K163" i="9"/>
  <c r="Q163" i="9" s="1"/>
  <c r="W163" i="9"/>
  <c r="AC163" i="9" s="1"/>
  <c r="D199" i="7"/>
  <c r="M161" i="9"/>
  <c r="S161" i="9" s="1"/>
  <c r="Y161" i="9"/>
  <c r="AE161" i="9" s="1"/>
  <c r="F197" i="7"/>
  <c r="L248" i="9"/>
  <c r="R248" i="9" s="1"/>
  <c r="X248" i="9"/>
  <c r="AD248" i="9" s="1"/>
  <c r="E284" i="7"/>
  <c r="I303" i="9"/>
  <c r="O303" i="9" s="1"/>
  <c r="U303" i="9"/>
  <c r="AA303" i="9" s="1"/>
  <c r="B339" i="7"/>
  <c r="V230" i="9"/>
  <c r="AB230" i="9" s="1"/>
  <c r="J230" i="9"/>
  <c r="P230" i="9" s="1"/>
  <c r="C266" i="7"/>
  <c r="V335" i="9"/>
  <c r="AB335" i="9" s="1"/>
  <c r="J335" i="9"/>
  <c r="P335" i="9" s="1"/>
  <c r="C371" i="7"/>
  <c r="V283" i="9"/>
  <c r="AB283" i="9" s="1"/>
  <c r="J283" i="9"/>
  <c r="P283" i="9" s="1"/>
  <c r="C319" i="7"/>
  <c r="J292" i="9"/>
  <c r="P292" i="9" s="1"/>
  <c r="V292" i="9"/>
  <c r="AB292" i="9" s="1"/>
  <c r="C328" i="7"/>
  <c r="X327" i="9"/>
  <c r="AD327" i="9" s="1"/>
  <c r="L327" i="9"/>
  <c r="R327" i="9" s="1"/>
  <c r="E363" i="7"/>
  <c r="M390" i="9"/>
  <c r="S390" i="9" s="1"/>
  <c r="Y390" i="9"/>
  <c r="AE390" i="9" s="1"/>
  <c r="F426" i="7"/>
  <c r="M176" i="9"/>
  <c r="S176" i="9" s="1"/>
  <c r="Y176" i="9"/>
  <c r="AE176" i="9" s="1"/>
  <c r="F212" i="7"/>
  <c r="J109" i="9"/>
  <c r="P109" i="9" s="1"/>
  <c r="V109" i="9"/>
  <c r="AB109" i="9" s="1"/>
  <c r="C145" i="7"/>
  <c r="L59" i="9"/>
  <c r="R59" i="9" s="1"/>
  <c r="X59" i="9"/>
  <c r="AD59" i="9" s="1"/>
  <c r="E95" i="7"/>
  <c r="J46" i="9"/>
  <c r="P46" i="9" s="1"/>
  <c r="V46" i="9"/>
  <c r="AB46" i="9" s="1"/>
  <c r="C82" i="7"/>
  <c r="I35" i="9"/>
  <c r="O35" i="9" s="1"/>
  <c r="U35" i="9"/>
  <c r="AA35" i="9" s="1"/>
  <c r="J27" i="9"/>
  <c r="M27" i="9" s="1"/>
  <c r="G11" i="3" s="1"/>
  <c r="I11" i="3" s="1"/>
  <c r="K11" i="3" s="1"/>
  <c r="B71" i="7"/>
  <c r="U189" i="9"/>
  <c r="AA189" i="9" s="1"/>
  <c r="I189" i="9"/>
  <c r="O189" i="9" s="1"/>
  <c r="B225" i="7"/>
  <c r="I219" i="9"/>
  <c r="O219" i="9" s="1"/>
  <c r="U219" i="9"/>
  <c r="AA219" i="9" s="1"/>
  <c r="B255" i="7"/>
  <c r="K106" i="9"/>
  <c r="Q106" i="9" s="1"/>
  <c r="W106" i="9"/>
  <c r="AC106" i="9" s="1"/>
  <c r="D142" i="7"/>
  <c r="Y62" i="9"/>
  <c r="AE62" i="9" s="1"/>
  <c r="M62" i="9"/>
  <c r="S62" i="9" s="1"/>
  <c r="F98" i="7"/>
  <c r="I81" i="9"/>
  <c r="O81" i="9" s="1"/>
  <c r="U81" i="9"/>
  <c r="AA81" i="9" s="1"/>
  <c r="B117" i="7"/>
  <c r="M109" i="9"/>
  <c r="S109" i="9" s="1"/>
  <c r="Y109" i="9"/>
  <c r="AE109" i="9" s="1"/>
  <c r="F145" i="7"/>
  <c r="L138" i="9"/>
  <c r="R138" i="9" s="1"/>
  <c r="X138" i="9"/>
  <c r="AD138" i="9" s="1"/>
  <c r="E174" i="7"/>
  <c r="V227" i="9"/>
  <c r="AB227" i="9" s="1"/>
  <c r="J227" i="9"/>
  <c r="P227" i="9" s="1"/>
  <c r="C263" i="7"/>
  <c r="L86" i="9"/>
  <c r="R86" i="9" s="1"/>
  <c r="X86" i="9"/>
  <c r="AD86" i="9" s="1"/>
  <c r="E122" i="7"/>
  <c r="K115" i="9"/>
  <c r="Q115" i="9" s="1"/>
  <c r="W115" i="9"/>
  <c r="AC115" i="9" s="1"/>
  <c r="D151" i="7"/>
  <c r="J144" i="9"/>
  <c r="P144" i="9" s="1"/>
  <c r="V144" i="9"/>
  <c r="AB144" i="9" s="1"/>
  <c r="C180" i="7"/>
  <c r="K246" i="9"/>
  <c r="Q246" i="9" s="1"/>
  <c r="W246" i="9"/>
  <c r="AC246" i="9" s="1"/>
  <c r="D282" i="7"/>
  <c r="L85" i="9"/>
  <c r="R85" i="9" s="1"/>
  <c r="X85" i="9"/>
  <c r="AD85" i="9" s="1"/>
  <c r="E121" i="7"/>
  <c r="K114" i="9"/>
  <c r="Q114" i="9" s="1"/>
  <c r="W114" i="9"/>
  <c r="AC114" i="9" s="1"/>
  <c r="D150" i="7"/>
  <c r="J143" i="9"/>
  <c r="P143" i="9" s="1"/>
  <c r="V143" i="9"/>
  <c r="AB143" i="9" s="1"/>
  <c r="C179" i="7"/>
  <c r="M223" i="9"/>
  <c r="S223" i="9" s="1"/>
  <c r="Y223" i="9"/>
  <c r="AE223" i="9" s="1"/>
  <c r="F259" i="7"/>
  <c r="L84" i="9"/>
  <c r="R84" i="9" s="1"/>
  <c r="X84" i="9"/>
  <c r="AD84" i="9" s="1"/>
  <c r="E120" i="7"/>
  <c r="W113" i="9"/>
  <c r="AC113" i="9" s="1"/>
  <c r="K113" i="9"/>
  <c r="Q113" i="9" s="1"/>
  <c r="D149" i="7"/>
  <c r="J142" i="9"/>
  <c r="P142" i="9" s="1"/>
  <c r="V142" i="9"/>
  <c r="AB142" i="9" s="1"/>
  <c r="C178" i="7"/>
  <c r="M248" i="9"/>
  <c r="S248" i="9" s="1"/>
  <c r="Y248" i="9"/>
  <c r="AE248" i="9" s="1"/>
  <c r="F284" i="7"/>
  <c r="U86" i="9"/>
  <c r="AA86" i="9" s="1"/>
  <c r="I86" i="9"/>
  <c r="O86" i="9" s="1"/>
  <c r="B122" i="7"/>
  <c r="M114" i="9"/>
  <c r="S114" i="9" s="1"/>
  <c r="Y114" i="9"/>
  <c r="AE114" i="9" s="1"/>
  <c r="F150" i="7"/>
  <c r="X143" i="9"/>
  <c r="AD143" i="9" s="1"/>
  <c r="L143" i="9"/>
  <c r="R143" i="9" s="1"/>
  <c r="E179" i="7"/>
  <c r="X240" i="9"/>
  <c r="AD240" i="9" s="1"/>
  <c r="L240" i="9"/>
  <c r="R240" i="9" s="1"/>
  <c r="E276" i="7"/>
  <c r="K87" i="9"/>
  <c r="Q87" i="9" s="1"/>
  <c r="W87" i="9"/>
  <c r="AC87" i="9" s="1"/>
  <c r="D123" i="7"/>
  <c r="J116" i="9"/>
  <c r="P116" i="9" s="1"/>
  <c r="V116" i="9"/>
  <c r="AB116" i="9" s="1"/>
  <c r="C152" i="7"/>
  <c r="U145" i="9"/>
  <c r="AA145" i="9" s="1"/>
  <c r="I145" i="9"/>
  <c r="O145" i="9" s="1"/>
  <c r="B181" i="7"/>
  <c r="K222" i="9"/>
  <c r="Q222" i="9" s="1"/>
  <c r="W222" i="9"/>
  <c r="AC222" i="9" s="1"/>
  <c r="D258" i="7"/>
  <c r="Y76" i="9"/>
  <c r="AE76" i="9" s="1"/>
  <c r="M76" i="9"/>
  <c r="S76" i="9" s="1"/>
  <c r="F112" i="7"/>
  <c r="L105" i="9"/>
  <c r="R105" i="9" s="1"/>
  <c r="X105" i="9"/>
  <c r="AD105" i="9" s="1"/>
  <c r="E141" i="7"/>
  <c r="W134" i="9"/>
  <c r="AC134" i="9" s="1"/>
  <c r="K134" i="9"/>
  <c r="Q134" i="9" s="1"/>
  <c r="D170" i="7"/>
  <c r="V174" i="9"/>
  <c r="AB174" i="9" s="1"/>
  <c r="J174" i="9"/>
  <c r="P174" i="9" s="1"/>
  <c r="C210" i="7"/>
  <c r="L68" i="9"/>
  <c r="R68" i="9" s="1"/>
  <c r="X68" i="9"/>
  <c r="AD68" i="9" s="1"/>
  <c r="E104" i="7"/>
  <c r="K97" i="9"/>
  <c r="Q97" i="9" s="1"/>
  <c r="W97" i="9"/>
  <c r="AC97" i="9" s="1"/>
  <c r="D133" i="7"/>
  <c r="J126" i="9"/>
  <c r="P126" i="9" s="1"/>
  <c r="V126" i="9"/>
  <c r="AB126" i="9" s="1"/>
  <c r="C162" i="7"/>
  <c r="J172" i="9"/>
  <c r="P172" i="9" s="1"/>
  <c r="V172" i="9"/>
  <c r="AB172" i="9" s="1"/>
  <c r="C208" i="7"/>
  <c r="J101" i="9"/>
  <c r="P101" i="9" s="1"/>
  <c r="V101" i="9"/>
  <c r="AB101" i="9" s="1"/>
  <c r="C137" i="7"/>
  <c r="U130" i="9"/>
  <c r="AA130" i="9" s="1"/>
  <c r="I130" i="9"/>
  <c r="O130" i="9" s="1"/>
  <c r="B166" i="7"/>
  <c r="X181" i="9"/>
  <c r="AD181" i="9" s="1"/>
  <c r="L181" i="9"/>
  <c r="R181" i="9" s="1"/>
  <c r="E217" i="7"/>
  <c r="X170" i="9"/>
  <c r="AD170" i="9" s="1"/>
  <c r="L170" i="9"/>
  <c r="R170" i="9" s="1"/>
  <c r="E206" i="7"/>
  <c r="W199" i="9"/>
  <c r="AC199" i="9" s="1"/>
  <c r="K199" i="9"/>
  <c r="Q199" i="9" s="1"/>
  <c r="D235" i="7"/>
  <c r="J228" i="9"/>
  <c r="P228" i="9" s="1"/>
  <c r="V228" i="9"/>
  <c r="AB228" i="9" s="1"/>
  <c r="C264" i="7"/>
  <c r="K348" i="9"/>
  <c r="Q348" i="9" s="1"/>
  <c r="W348" i="9"/>
  <c r="AC348" i="9" s="1"/>
  <c r="D384" i="7"/>
  <c r="M174" i="9"/>
  <c r="S174" i="9" s="1"/>
  <c r="Y174" i="9"/>
  <c r="AE174" i="9" s="1"/>
  <c r="F210" i="7"/>
  <c r="L203" i="9"/>
  <c r="R203" i="9" s="1"/>
  <c r="X203" i="9"/>
  <c r="AD203" i="9" s="1"/>
  <c r="E239" i="7"/>
  <c r="K232" i="9"/>
  <c r="Q232" i="9" s="1"/>
  <c r="W232" i="9"/>
  <c r="AC232" i="9" s="1"/>
  <c r="D268" i="7"/>
  <c r="W305" i="9"/>
  <c r="AC305" i="9" s="1"/>
  <c r="K305" i="9"/>
  <c r="Q305" i="9" s="1"/>
  <c r="D341" i="7"/>
  <c r="I169" i="9"/>
  <c r="O169" i="9" s="1"/>
  <c r="U169" i="9"/>
  <c r="AA169" i="9" s="1"/>
  <c r="B205" i="7"/>
  <c r="M197" i="9"/>
  <c r="S197" i="9" s="1"/>
  <c r="Y197" i="9"/>
  <c r="AE197" i="9" s="1"/>
  <c r="F233" i="7"/>
  <c r="L226" i="9"/>
  <c r="R226" i="9" s="1"/>
  <c r="X226" i="9"/>
  <c r="AD226" i="9" s="1"/>
  <c r="E262" i="7"/>
  <c r="U255" i="9"/>
  <c r="AA255" i="9" s="1"/>
  <c r="I255" i="9"/>
  <c r="O255" i="9" s="1"/>
  <c r="B291" i="7"/>
  <c r="Y160" i="9"/>
  <c r="AE160" i="9" s="1"/>
  <c r="M160" i="9"/>
  <c r="S160" i="9" s="1"/>
  <c r="F196" i="7"/>
  <c r="L189" i="9"/>
  <c r="R189" i="9" s="1"/>
  <c r="X189" i="9"/>
  <c r="AD189" i="9" s="1"/>
  <c r="E225" i="7"/>
  <c r="K218" i="9"/>
  <c r="Q218" i="9" s="1"/>
  <c r="W218" i="9"/>
  <c r="AC218" i="9" s="1"/>
  <c r="D254" i="7"/>
  <c r="V247" i="9"/>
  <c r="AB247" i="9" s="1"/>
  <c r="J247" i="9"/>
  <c r="P247" i="9" s="1"/>
  <c r="C283" i="7"/>
  <c r="U227" i="9"/>
  <c r="AA227" i="9" s="1"/>
  <c r="I227" i="9"/>
  <c r="O227" i="9" s="1"/>
  <c r="B263" i="7"/>
  <c r="J298" i="9"/>
  <c r="P298" i="9" s="1"/>
  <c r="V298" i="9"/>
  <c r="AB298" i="9" s="1"/>
  <c r="C334" i="7"/>
  <c r="M170" i="9"/>
  <c r="S170" i="9" s="1"/>
  <c r="Y170" i="9"/>
  <c r="AE170" i="9" s="1"/>
  <c r="F206" i="7"/>
  <c r="L199" i="9"/>
  <c r="R199" i="9" s="1"/>
  <c r="X199" i="9"/>
  <c r="AD199" i="9" s="1"/>
  <c r="E235" i="7"/>
  <c r="K228" i="9"/>
  <c r="Q228" i="9" s="1"/>
  <c r="W228" i="9"/>
  <c r="AC228" i="9" s="1"/>
  <c r="D264" i="7"/>
  <c r="L257" i="9"/>
  <c r="R257" i="9" s="1"/>
  <c r="X257" i="9"/>
  <c r="AD257" i="9" s="1"/>
  <c r="E293" i="7"/>
  <c r="I213" i="9"/>
  <c r="O213" i="9" s="1"/>
  <c r="U213" i="9"/>
  <c r="AA213" i="9" s="1"/>
  <c r="B249" i="7"/>
  <c r="M241" i="9"/>
  <c r="S241" i="9" s="1"/>
  <c r="Y241" i="9"/>
  <c r="AE241" i="9" s="1"/>
  <c r="F277" i="7"/>
  <c r="X149" i="9"/>
  <c r="AD149" i="9" s="1"/>
  <c r="L149" i="9"/>
  <c r="R149" i="9" s="1"/>
  <c r="E185" i="7"/>
  <c r="K178" i="9"/>
  <c r="Q178" i="9" s="1"/>
  <c r="W178" i="9"/>
  <c r="AC178" i="9" s="1"/>
  <c r="D214" i="7"/>
  <c r="V207" i="9"/>
  <c r="AB207" i="9" s="1"/>
  <c r="J207" i="9"/>
  <c r="P207" i="9" s="1"/>
  <c r="C243" i="7"/>
  <c r="U236" i="9"/>
  <c r="AA236" i="9" s="1"/>
  <c r="I236" i="9"/>
  <c r="O236" i="9" s="1"/>
  <c r="B272" i="7"/>
  <c r="I151" i="9"/>
  <c r="O151" i="9" s="1"/>
  <c r="U151" i="9"/>
  <c r="AA151" i="9" s="1"/>
  <c r="B187" i="7"/>
  <c r="M179" i="9"/>
  <c r="S179" i="9" s="1"/>
  <c r="Y179" i="9"/>
  <c r="AE179" i="9" s="1"/>
  <c r="F215" i="7"/>
  <c r="L208" i="9"/>
  <c r="R208" i="9" s="1"/>
  <c r="X208" i="9"/>
  <c r="AD208" i="9" s="1"/>
  <c r="E244" i="7"/>
  <c r="K237" i="9"/>
  <c r="Q237" i="9" s="1"/>
  <c r="W237" i="9"/>
  <c r="AC237" i="9" s="1"/>
  <c r="D273" i="7"/>
  <c r="Y154" i="9"/>
  <c r="AE154" i="9" s="1"/>
  <c r="M154" i="9"/>
  <c r="S154" i="9" s="1"/>
  <c r="F190" i="7"/>
  <c r="L183" i="9"/>
  <c r="R183" i="9" s="1"/>
  <c r="X183" i="9"/>
  <c r="AD183" i="9" s="1"/>
  <c r="E219" i="7"/>
  <c r="K212" i="9"/>
  <c r="Q212" i="9" s="1"/>
  <c r="W212" i="9"/>
  <c r="AC212" i="9" s="1"/>
  <c r="D248" i="7"/>
  <c r="J241" i="9"/>
  <c r="P241" i="9" s="1"/>
  <c r="V241" i="9"/>
  <c r="AB241" i="9" s="1"/>
  <c r="C277" i="7"/>
  <c r="I256" i="9"/>
  <c r="O256" i="9" s="1"/>
  <c r="U256" i="9"/>
  <c r="AA256" i="9" s="1"/>
  <c r="B292" i="7"/>
  <c r="M284" i="9"/>
  <c r="S284" i="9" s="1"/>
  <c r="Y284" i="9"/>
  <c r="AE284" i="9" s="1"/>
  <c r="F320" i="7"/>
  <c r="X313" i="9"/>
  <c r="AD313" i="9" s="1"/>
  <c r="L313" i="9"/>
  <c r="R313" i="9" s="1"/>
  <c r="E349" i="7"/>
  <c r="K340" i="9"/>
  <c r="Q340" i="9" s="1"/>
  <c r="W340" i="9"/>
  <c r="AC340" i="9" s="1"/>
  <c r="D376" i="7"/>
  <c r="J273" i="9"/>
  <c r="P273" i="9" s="1"/>
  <c r="V273" i="9"/>
  <c r="AB273" i="9" s="1"/>
  <c r="C309" i="7"/>
  <c r="I302" i="9"/>
  <c r="O302" i="9" s="1"/>
  <c r="U302" i="9"/>
  <c r="AA302" i="9" s="1"/>
  <c r="B338" i="7"/>
  <c r="M330" i="9"/>
  <c r="S330" i="9" s="1"/>
  <c r="Y330" i="9"/>
  <c r="AE330" i="9" s="1"/>
  <c r="F366" i="7"/>
  <c r="I377" i="9"/>
  <c r="O377" i="9" s="1"/>
  <c r="U377" i="9"/>
  <c r="AA377" i="9" s="1"/>
  <c r="B413" i="7"/>
  <c r="I277" i="9"/>
  <c r="O277" i="9" s="1"/>
  <c r="U277" i="9"/>
  <c r="AA277" i="9" s="1"/>
  <c r="B313" i="7"/>
  <c r="M305" i="9"/>
  <c r="S305" i="9" s="1"/>
  <c r="Y305" i="9"/>
  <c r="AE305" i="9" s="1"/>
  <c r="F341" i="7"/>
  <c r="L334" i="9"/>
  <c r="R334" i="9" s="1"/>
  <c r="X334" i="9"/>
  <c r="AD334" i="9" s="1"/>
  <c r="E370" i="7"/>
  <c r="K383" i="9"/>
  <c r="Q383" i="9" s="1"/>
  <c r="W383" i="9"/>
  <c r="AC383" i="9" s="1"/>
  <c r="D419" i="7"/>
  <c r="W290" i="9"/>
  <c r="AC290" i="9" s="1"/>
  <c r="K290" i="9"/>
  <c r="Q290" i="9" s="1"/>
  <c r="D326" i="7"/>
  <c r="J319" i="9"/>
  <c r="P319" i="9" s="1"/>
  <c r="V319" i="9"/>
  <c r="AB319" i="9" s="1"/>
  <c r="C355" i="7"/>
  <c r="M360" i="9"/>
  <c r="S360" i="9" s="1"/>
  <c r="Y360" i="9"/>
  <c r="AE360" i="9" s="1"/>
  <c r="F396" i="7"/>
  <c r="V282" i="9"/>
  <c r="AB282" i="9" s="1"/>
  <c r="J282" i="9"/>
  <c r="P282" i="9" s="1"/>
  <c r="C318" i="7"/>
  <c r="I311" i="9"/>
  <c r="O311" i="9" s="1"/>
  <c r="U311" i="9"/>
  <c r="AA311" i="9" s="1"/>
  <c r="B347" i="7"/>
  <c r="M342" i="9"/>
  <c r="S342" i="9" s="1"/>
  <c r="Y342" i="9"/>
  <c r="AE342" i="9" s="1"/>
  <c r="F378" i="7"/>
  <c r="W264" i="9"/>
  <c r="AC264" i="9" s="1"/>
  <c r="K264" i="9"/>
  <c r="Q264" i="9" s="1"/>
  <c r="D300" i="7"/>
  <c r="V293" i="9"/>
  <c r="AB293" i="9" s="1"/>
  <c r="J293" i="9"/>
  <c r="P293" i="9" s="1"/>
  <c r="C329" i="7"/>
  <c r="I322" i="9"/>
  <c r="O322" i="9" s="1"/>
  <c r="U322" i="9"/>
  <c r="AA322" i="9" s="1"/>
  <c r="B358" i="7"/>
  <c r="J360" i="9"/>
  <c r="P360" i="9" s="1"/>
  <c r="V360" i="9"/>
  <c r="AB360" i="9" s="1"/>
  <c r="C396" i="7"/>
  <c r="X270" i="9"/>
  <c r="AD270" i="9" s="1"/>
  <c r="L270" i="9"/>
  <c r="R270" i="9" s="1"/>
  <c r="E306" i="7"/>
  <c r="W299" i="9"/>
  <c r="AC299" i="9" s="1"/>
  <c r="K299" i="9"/>
  <c r="Q299" i="9" s="1"/>
  <c r="D335" i="7"/>
  <c r="V328" i="9"/>
  <c r="AB328" i="9" s="1"/>
  <c r="J328" i="9"/>
  <c r="P328" i="9" s="1"/>
  <c r="C364" i="7"/>
  <c r="I363" i="9"/>
  <c r="O363" i="9" s="1"/>
  <c r="U363" i="9"/>
  <c r="AA363" i="9" s="1"/>
  <c r="B399" i="7"/>
  <c r="J279" i="9"/>
  <c r="P279" i="9" s="1"/>
  <c r="V279" i="9"/>
  <c r="AB279" i="9" s="1"/>
  <c r="C315" i="7"/>
  <c r="I308" i="9"/>
  <c r="O308" i="9" s="1"/>
  <c r="U308" i="9"/>
  <c r="AA308" i="9" s="1"/>
  <c r="B344" i="7"/>
  <c r="K337" i="9"/>
  <c r="Q337" i="9" s="1"/>
  <c r="W337" i="9"/>
  <c r="AC337" i="9" s="1"/>
  <c r="D373" i="7"/>
  <c r="J398" i="9"/>
  <c r="P398" i="9" s="1"/>
  <c r="V398" i="9"/>
  <c r="AB398" i="9" s="1"/>
  <c r="C434" i="7"/>
  <c r="J278" i="9"/>
  <c r="P278" i="9" s="1"/>
  <c r="V278" i="9"/>
  <c r="AB278" i="9" s="1"/>
  <c r="C314" i="7"/>
  <c r="U307" i="9"/>
  <c r="AA307" i="9" s="1"/>
  <c r="I307" i="9"/>
  <c r="O307" i="9" s="1"/>
  <c r="B343" i="7"/>
  <c r="M335" i="9"/>
  <c r="S335" i="9" s="1"/>
  <c r="Y335" i="9"/>
  <c r="AE335" i="9" s="1"/>
  <c r="F371" i="7"/>
  <c r="L398" i="9"/>
  <c r="R398" i="9" s="1"/>
  <c r="X398" i="9"/>
  <c r="AD398" i="9" s="1"/>
  <c r="E434" i="7"/>
  <c r="V277" i="9"/>
  <c r="AB277" i="9" s="1"/>
  <c r="J277" i="9"/>
  <c r="P277" i="9" s="1"/>
  <c r="C313" i="7"/>
  <c r="U306" i="9"/>
  <c r="AA306" i="9" s="1"/>
  <c r="I306" i="9"/>
  <c r="O306" i="9" s="1"/>
  <c r="B342" i="7"/>
  <c r="Y334" i="9"/>
  <c r="AE334" i="9" s="1"/>
  <c r="M334" i="9"/>
  <c r="S334" i="9" s="1"/>
  <c r="F370" i="7"/>
  <c r="L254" i="9"/>
  <c r="R254" i="9" s="1"/>
  <c r="X254" i="9"/>
  <c r="AD254" i="9" s="1"/>
  <c r="E290" i="7"/>
  <c r="W283" i="9"/>
  <c r="AC283" i="9" s="1"/>
  <c r="K283" i="9"/>
  <c r="Q283" i="9" s="1"/>
  <c r="D319" i="7"/>
  <c r="J312" i="9"/>
  <c r="P312" i="9" s="1"/>
  <c r="V312" i="9"/>
  <c r="AB312" i="9" s="1"/>
  <c r="C348" i="7"/>
  <c r="M345" i="9"/>
  <c r="S345" i="9" s="1"/>
  <c r="Y345" i="9"/>
  <c r="AE345" i="9" s="1"/>
  <c r="F381" i="7"/>
  <c r="J364" i="9"/>
  <c r="P364" i="9" s="1"/>
  <c r="V364" i="9"/>
  <c r="AB364" i="9" s="1"/>
  <c r="C400" i="7"/>
  <c r="V350" i="9"/>
  <c r="AB350" i="9" s="1"/>
  <c r="J350" i="9"/>
  <c r="P350" i="9" s="1"/>
  <c r="C386" i="7"/>
  <c r="X349" i="9"/>
  <c r="AD349" i="9" s="1"/>
  <c r="L349" i="9"/>
  <c r="R349" i="9" s="1"/>
  <c r="E385" i="7"/>
  <c r="J396" i="9"/>
  <c r="P396" i="9" s="1"/>
  <c r="V396" i="9"/>
  <c r="AB396" i="9" s="1"/>
  <c r="C432" i="7"/>
  <c r="I337" i="9"/>
  <c r="O337" i="9" s="1"/>
  <c r="U337" i="9"/>
  <c r="AA337" i="9" s="1"/>
  <c r="B373" i="7"/>
  <c r="Y365" i="9"/>
  <c r="AE365" i="9" s="1"/>
  <c r="M365" i="9"/>
  <c r="S365" i="9" s="1"/>
  <c r="F401" i="7"/>
  <c r="K362" i="9"/>
  <c r="Q362" i="9" s="1"/>
  <c r="W362" i="9"/>
  <c r="AC362" i="9" s="1"/>
  <c r="D398" i="7"/>
  <c r="X377" i="9"/>
  <c r="AD377" i="9" s="1"/>
  <c r="L377" i="9"/>
  <c r="R377" i="9" s="1"/>
  <c r="E413" i="7"/>
  <c r="X373" i="9"/>
  <c r="AD373" i="9" s="1"/>
  <c r="L373" i="9"/>
  <c r="R373" i="9" s="1"/>
  <c r="E409" i="7"/>
  <c r="X372" i="9"/>
  <c r="AD372" i="9" s="1"/>
  <c r="L372" i="9"/>
  <c r="R372" i="9" s="1"/>
  <c r="E408" i="7"/>
  <c r="V369" i="9"/>
  <c r="AB369" i="9" s="1"/>
  <c r="J369" i="9"/>
  <c r="P369" i="9" s="1"/>
  <c r="C405" i="7"/>
  <c r="I398" i="9"/>
  <c r="O398" i="9" s="1"/>
  <c r="U398" i="9"/>
  <c r="AA398" i="9" s="1"/>
  <c r="B434" i="7"/>
  <c r="L394" i="9"/>
  <c r="R394" i="9" s="1"/>
  <c r="X394" i="9"/>
  <c r="AD394" i="9" s="1"/>
  <c r="E430" i="7"/>
  <c r="I396" i="9"/>
  <c r="O396" i="9" s="1"/>
  <c r="U396" i="9"/>
  <c r="AA396" i="9" s="1"/>
  <c r="B432" i="7"/>
  <c r="X392" i="9"/>
  <c r="AD392" i="9" s="1"/>
  <c r="L392" i="9"/>
  <c r="R392" i="9" s="1"/>
  <c r="E428" i="7"/>
  <c r="V389" i="9"/>
  <c r="AB389" i="9" s="1"/>
  <c r="J389" i="9"/>
  <c r="P389" i="9" s="1"/>
  <c r="C425" i="7"/>
  <c r="K57" i="9"/>
  <c r="Q57" i="9" s="1"/>
  <c r="W57" i="9"/>
  <c r="AC57" i="9" s="1"/>
  <c r="D93" i="7"/>
  <c r="W38" i="9"/>
  <c r="AC38" i="9" s="1"/>
  <c r="K38" i="9"/>
  <c r="Q38" i="9" s="1"/>
  <c r="D74" i="7"/>
  <c r="K45" i="9"/>
  <c r="Q45" i="9" s="1"/>
  <c r="W45" i="9"/>
  <c r="AC45" i="9" s="1"/>
  <c r="D81" i="7"/>
  <c r="K233" i="9"/>
  <c r="Q233" i="9" s="1"/>
  <c r="W233" i="9"/>
  <c r="AC233" i="9" s="1"/>
  <c r="D269" i="7"/>
  <c r="M108" i="9"/>
  <c r="S108" i="9" s="1"/>
  <c r="Y108" i="9"/>
  <c r="AE108" i="9" s="1"/>
  <c r="F144" i="7"/>
  <c r="L123" i="9"/>
  <c r="R123" i="9" s="1"/>
  <c r="X123" i="9"/>
  <c r="AD123" i="9" s="1"/>
  <c r="E159" i="7"/>
  <c r="J73" i="9"/>
  <c r="P73" i="9" s="1"/>
  <c r="V73" i="9"/>
  <c r="AB73" i="9" s="1"/>
  <c r="C109" i="7"/>
  <c r="K93" i="9"/>
  <c r="Q93" i="9" s="1"/>
  <c r="W93" i="9"/>
  <c r="AC93" i="9" s="1"/>
  <c r="D129" i="7"/>
  <c r="Y41" i="9"/>
  <c r="AE41" i="9" s="1"/>
  <c r="M41" i="9"/>
  <c r="S41" i="9" s="1"/>
  <c r="F77" i="7"/>
  <c r="X113" i="9"/>
  <c r="AD113" i="9" s="1"/>
  <c r="L113" i="9"/>
  <c r="R113" i="9" s="1"/>
  <c r="E149" i="7"/>
  <c r="I68" i="9"/>
  <c r="O68" i="9" s="1"/>
  <c r="U68" i="9"/>
  <c r="AA68" i="9" s="1"/>
  <c r="B104" i="7"/>
  <c r="J45" i="9"/>
  <c r="P45" i="9" s="1"/>
  <c r="V45" i="9"/>
  <c r="AB45" i="9" s="1"/>
  <c r="C81" i="7"/>
  <c r="M37" i="9"/>
  <c r="S37" i="9" s="1"/>
  <c r="Y37" i="9"/>
  <c r="AE37" i="9" s="1"/>
  <c r="F73" i="7"/>
  <c r="K79" i="9"/>
  <c r="Q79" i="9" s="1"/>
  <c r="W79" i="9"/>
  <c r="AC79" i="9" s="1"/>
  <c r="D115" i="7"/>
  <c r="J106" i="9"/>
  <c r="P106" i="9" s="1"/>
  <c r="V106" i="9"/>
  <c r="AB106" i="9" s="1"/>
  <c r="C142" i="7"/>
  <c r="L69" i="9"/>
  <c r="R69" i="9" s="1"/>
  <c r="X69" i="9"/>
  <c r="AD69" i="9" s="1"/>
  <c r="E105" i="7"/>
  <c r="Y122" i="9"/>
  <c r="AE122" i="9" s="1"/>
  <c r="M122" i="9"/>
  <c r="S122" i="9" s="1"/>
  <c r="F158" i="7"/>
  <c r="J261" i="9"/>
  <c r="P261" i="9" s="1"/>
  <c r="V261" i="9"/>
  <c r="AB261" i="9" s="1"/>
  <c r="C297" i="7"/>
  <c r="Y219" i="9"/>
  <c r="AE219" i="9" s="1"/>
  <c r="M219" i="9"/>
  <c r="S219" i="9" s="1"/>
  <c r="F255" i="7"/>
  <c r="V171" i="9"/>
  <c r="AB171" i="9" s="1"/>
  <c r="J171" i="9"/>
  <c r="P171" i="9" s="1"/>
  <c r="C207" i="7"/>
  <c r="Y307" i="9"/>
  <c r="AE307" i="9" s="1"/>
  <c r="M307" i="9"/>
  <c r="S307" i="9" s="1"/>
  <c r="F343" i="7"/>
  <c r="K369" i="9"/>
  <c r="Q369" i="9" s="1"/>
  <c r="W369" i="9"/>
  <c r="AC369" i="9" s="1"/>
  <c r="D405" i="7"/>
  <c r="U312" i="9"/>
  <c r="AA312" i="9" s="1"/>
  <c r="I312" i="9"/>
  <c r="O312" i="9" s="1"/>
  <c r="B348" i="7"/>
  <c r="X348" i="9"/>
  <c r="AD348" i="9" s="1"/>
  <c r="L348" i="9"/>
  <c r="R348" i="9" s="1"/>
  <c r="E384" i="7"/>
  <c r="U369" i="9"/>
  <c r="AA369" i="9" s="1"/>
  <c r="I369" i="9"/>
  <c r="O369" i="9" s="1"/>
  <c r="B405" i="7"/>
  <c r="Y370" i="9"/>
  <c r="AE370" i="9" s="1"/>
  <c r="M370" i="9"/>
  <c r="S370" i="9" s="1"/>
  <c r="F406" i="7"/>
  <c r="L358" i="9"/>
  <c r="R358" i="9" s="1"/>
  <c r="X358" i="9"/>
  <c r="AD358" i="9" s="1"/>
  <c r="E394" i="7"/>
  <c r="M388" i="9"/>
  <c r="S388" i="9" s="1"/>
  <c r="Y388" i="9"/>
  <c r="AE388" i="9" s="1"/>
  <c r="F424" i="7"/>
  <c r="M70" i="9"/>
  <c r="S70" i="9" s="1"/>
  <c r="Y70" i="9"/>
  <c r="AE70" i="9" s="1"/>
  <c r="F106" i="7"/>
  <c r="K52" i="9"/>
  <c r="Q52" i="9" s="1"/>
  <c r="W52" i="9"/>
  <c r="AC52" i="9" s="1"/>
  <c r="D88" i="7"/>
  <c r="Y84" i="9"/>
  <c r="AE84" i="9" s="1"/>
  <c r="M84" i="9"/>
  <c r="S84" i="9" s="1"/>
  <c r="F120" i="7"/>
  <c r="L44" i="9"/>
  <c r="R44" i="9" s="1"/>
  <c r="X44" i="9"/>
  <c r="AD44" i="9" s="1"/>
  <c r="E80" i="7"/>
  <c r="J98" i="9"/>
  <c r="P98" i="9" s="1"/>
  <c r="V98" i="9"/>
  <c r="AB98" i="9" s="1"/>
  <c r="C134" i="7"/>
  <c r="M57" i="9"/>
  <c r="S57" i="9" s="1"/>
  <c r="Y57" i="9"/>
  <c r="AE57" i="9" s="1"/>
  <c r="F93" i="7"/>
  <c r="K36" i="9"/>
  <c r="Q36" i="9" s="1"/>
  <c r="W36" i="9"/>
  <c r="AC36" i="9" s="1"/>
  <c r="D72" i="7"/>
  <c r="M199" i="9"/>
  <c r="S199" i="9" s="1"/>
  <c r="Y199" i="9"/>
  <c r="AE199" i="9" s="1"/>
  <c r="F235" i="7"/>
  <c r="K61" i="9"/>
  <c r="Q61" i="9" s="1"/>
  <c r="W61" i="9"/>
  <c r="AC61" i="9" s="1"/>
  <c r="D97" i="7"/>
  <c r="V47" i="9"/>
  <c r="AB47" i="9" s="1"/>
  <c r="J47" i="9"/>
  <c r="P47" i="9" s="1"/>
  <c r="C83" i="7"/>
  <c r="K83" i="9"/>
  <c r="Q83" i="9" s="1"/>
  <c r="W83" i="9"/>
  <c r="AC83" i="9" s="1"/>
  <c r="D119" i="7"/>
  <c r="J112" i="9"/>
  <c r="P112" i="9" s="1"/>
  <c r="V112" i="9"/>
  <c r="AB112" i="9" s="1"/>
  <c r="C148" i="7"/>
  <c r="I141" i="9"/>
  <c r="O141" i="9" s="1"/>
  <c r="U141" i="9"/>
  <c r="AA141" i="9" s="1"/>
  <c r="B177" i="7"/>
  <c r="L241" i="9"/>
  <c r="R241" i="9" s="1"/>
  <c r="X241" i="9"/>
  <c r="AD241" i="9" s="1"/>
  <c r="E277" i="7"/>
  <c r="U89" i="9"/>
  <c r="AA89" i="9" s="1"/>
  <c r="I89" i="9"/>
  <c r="O89" i="9" s="1"/>
  <c r="B125" i="7"/>
  <c r="M117" i="9"/>
  <c r="S117" i="9" s="1"/>
  <c r="Y117" i="9"/>
  <c r="AE117" i="9" s="1"/>
  <c r="F153" i="7"/>
  <c r="X146" i="9"/>
  <c r="AD146" i="9" s="1"/>
  <c r="L146" i="9"/>
  <c r="R146" i="9" s="1"/>
  <c r="E182" i="7"/>
  <c r="V62" i="9"/>
  <c r="AB62" i="9" s="1"/>
  <c r="J62" i="9"/>
  <c r="P62" i="9" s="1"/>
  <c r="C98" i="7"/>
  <c r="I88" i="9"/>
  <c r="O88" i="9" s="1"/>
  <c r="U88" i="9"/>
  <c r="AA88" i="9" s="1"/>
  <c r="B124" i="7"/>
  <c r="Y116" i="9"/>
  <c r="AE116" i="9" s="1"/>
  <c r="M116" i="9"/>
  <c r="S116" i="9" s="1"/>
  <c r="F152" i="7"/>
  <c r="L145" i="9"/>
  <c r="R145" i="9" s="1"/>
  <c r="X145" i="9"/>
  <c r="AD145" i="9" s="1"/>
  <c r="E181" i="7"/>
  <c r="J238" i="9"/>
  <c r="P238" i="9" s="1"/>
  <c r="V238" i="9"/>
  <c r="AB238" i="9" s="1"/>
  <c r="C274" i="7"/>
  <c r="I87" i="9"/>
  <c r="O87" i="9" s="1"/>
  <c r="U87" i="9"/>
  <c r="AA87" i="9" s="1"/>
  <c r="B123" i="7"/>
  <c r="M115" i="9"/>
  <c r="S115" i="9" s="1"/>
  <c r="Y115" i="9"/>
  <c r="AE115" i="9" s="1"/>
  <c r="F151" i="7"/>
  <c r="L144" i="9"/>
  <c r="R144" i="9" s="1"/>
  <c r="X144" i="9"/>
  <c r="AD144" i="9" s="1"/>
  <c r="E180" i="7"/>
  <c r="J61" i="9"/>
  <c r="P61" i="9" s="1"/>
  <c r="V61" i="9"/>
  <c r="AB61" i="9" s="1"/>
  <c r="C97" i="7"/>
  <c r="K88" i="9"/>
  <c r="Q88" i="9" s="1"/>
  <c r="W88" i="9"/>
  <c r="AC88" i="9" s="1"/>
  <c r="D124" i="7"/>
  <c r="J117" i="9"/>
  <c r="P117" i="9" s="1"/>
  <c r="V117" i="9"/>
  <c r="AB117" i="9" s="1"/>
  <c r="C153" i="7"/>
  <c r="I146" i="9"/>
  <c r="O146" i="9" s="1"/>
  <c r="U146" i="9"/>
  <c r="AA146" i="9" s="1"/>
  <c r="B182" i="7"/>
  <c r="I251" i="9"/>
  <c r="O251" i="9" s="1"/>
  <c r="U251" i="9"/>
  <c r="AA251" i="9" s="1"/>
  <c r="B287" i="7"/>
  <c r="M89" i="9"/>
  <c r="S89" i="9" s="1"/>
  <c r="Y89" i="9"/>
  <c r="AE89" i="9" s="1"/>
  <c r="F125" i="7"/>
  <c r="L118" i="9"/>
  <c r="R118" i="9" s="1"/>
  <c r="X118" i="9"/>
  <c r="AD118" i="9" s="1"/>
  <c r="E154" i="7"/>
  <c r="K147" i="9"/>
  <c r="Q147" i="9" s="1"/>
  <c r="W147" i="9"/>
  <c r="AC147" i="9" s="1"/>
  <c r="D183" i="7"/>
  <c r="M236" i="9"/>
  <c r="S236" i="9" s="1"/>
  <c r="Y236" i="9"/>
  <c r="AE236" i="9" s="1"/>
  <c r="F272" i="7"/>
  <c r="J79" i="9"/>
  <c r="P79" i="9" s="1"/>
  <c r="V79" i="9"/>
  <c r="AB79" i="9" s="1"/>
  <c r="C115" i="7"/>
  <c r="I108" i="9"/>
  <c r="O108" i="9" s="1"/>
  <c r="U108" i="9"/>
  <c r="AA108" i="9" s="1"/>
  <c r="B144" i="7"/>
  <c r="M136" i="9"/>
  <c r="S136" i="9" s="1"/>
  <c r="Y136" i="9"/>
  <c r="AE136" i="9" s="1"/>
  <c r="F172" i="7"/>
  <c r="K181" i="9"/>
  <c r="Q181" i="9" s="1"/>
  <c r="W181" i="9"/>
  <c r="AC181" i="9" s="1"/>
  <c r="D217" i="7"/>
  <c r="I71" i="9"/>
  <c r="O71" i="9" s="1"/>
  <c r="U71" i="9"/>
  <c r="AA71" i="9" s="1"/>
  <c r="B107" i="7"/>
  <c r="M99" i="9"/>
  <c r="S99" i="9" s="1"/>
  <c r="Y99" i="9"/>
  <c r="AE99" i="9" s="1"/>
  <c r="F135" i="7"/>
  <c r="X128" i="9"/>
  <c r="AD128" i="9" s="1"/>
  <c r="L128" i="9"/>
  <c r="R128" i="9" s="1"/>
  <c r="E164" i="7"/>
  <c r="K179" i="9"/>
  <c r="Q179" i="9" s="1"/>
  <c r="W179" i="9"/>
  <c r="AC179" i="9" s="1"/>
  <c r="D215" i="7"/>
  <c r="L103" i="9"/>
  <c r="R103" i="9" s="1"/>
  <c r="X103" i="9"/>
  <c r="AD103" i="9" s="1"/>
  <c r="E139" i="7"/>
  <c r="K132" i="9"/>
  <c r="Q132" i="9" s="1"/>
  <c r="W132" i="9"/>
  <c r="AC132" i="9" s="1"/>
  <c r="D168" i="7"/>
  <c r="M188" i="9"/>
  <c r="S188" i="9" s="1"/>
  <c r="Y188" i="9"/>
  <c r="AE188" i="9" s="1"/>
  <c r="F224" i="7"/>
  <c r="I173" i="9"/>
  <c r="O173" i="9" s="1"/>
  <c r="U173" i="9"/>
  <c r="AA173" i="9" s="1"/>
  <c r="B209" i="7"/>
  <c r="Y201" i="9"/>
  <c r="AE201" i="9" s="1"/>
  <c r="M201" i="9"/>
  <c r="S201" i="9" s="1"/>
  <c r="F237" i="7"/>
  <c r="L230" i="9"/>
  <c r="R230" i="9" s="1"/>
  <c r="X230" i="9"/>
  <c r="AD230" i="9" s="1"/>
  <c r="E266" i="7"/>
  <c r="W148" i="9"/>
  <c r="AC148" i="9" s="1"/>
  <c r="K148" i="9"/>
  <c r="Q148" i="9" s="1"/>
  <c r="D184" i="7"/>
  <c r="V177" i="9"/>
  <c r="AB177" i="9" s="1"/>
  <c r="J177" i="9"/>
  <c r="P177" i="9" s="1"/>
  <c r="C213" i="7"/>
  <c r="U206" i="9"/>
  <c r="AA206" i="9" s="1"/>
  <c r="I206" i="9"/>
  <c r="O206" i="9" s="1"/>
  <c r="B242" i="7"/>
  <c r="Y234" i="9"/>
  <c r="AE234" i="9" s="1"/>
  <c r="M234" i="9"/>
  <c r="S234" i="9" s="1"/>
  <c r="F270" i="7"/>
  <c r="J334" i="9"/>
  <c r="P334" i="9" s="1"/>
  <c r="V334" i="9"/>
  <c r="AB334" i="9" s="1"/>
  <c r="C370" i="7"/>
  <c r="K171" i="9"/>
  <c r="Q171" i="9" s="1"/>
  <c r="W171" i="9"/>
  <c r="AC171" i="9" s="1"/>
  <c r="D207" i="7"/>
  <c r="V200" i="9"/>
  <c r="AB200" i="9" s="1"/>
  <c r="J200" i="9"/>
  <c r="P200" i="9" s="1"/>
  <c r="C236" i="7"/>
  <c r="I229" i="9"/>
  <c r="O229" i="9" s="1"/>
  <c r="U229" i="9"/>
  <c r="AA229" i="9" s="1"/>
  <c r="B265" i="7"/>
  <c r="J258" i="9"/>
  <c r="P258" i="9" s="1"/>
  <c r="V258" i="9"/>
  <c r="AB258" i="9" s="1"/>
  <c r="C294" i="7"/>
  <c r="J163" i="9"/>
  <c r="P163" i="9" s="1"/>
  <c r="V163" i="9"/>
  <c r="AB163" i="9" s="1"/>
  <c r="C199" i="7"/>
  <c r="U192" i="9"/>
  <c r="AA192" i="9" s="1"/>
  <c r="I192" i="9"/>
  <c r="O192" i="9" s="1"/>
  <c r="B228" i="7"/>
  <c r="M220" i="9"/>
  <c r="S220" i="9" s="1"/>
  <c r="Y220" i="9"/>
  <c r="AE220" i="9" s="1"/>
  <c r="F256" i="7"/>
  <c r="L249" i="9"/>
  <c r="R249" i="9" s="1"/>
  <c r="X249" i="9"/>
  <c r="AD249" i="9" s="1"/>
  <c r="E285" i="7"/>
  <c r="K229" i="9"/>
  <c r="Q229" i="9" s="1"/>
  <c r="W229" i="9"/>
  <c r="AC229" i="9" s="1"/>
  <c r="D265" i="7"/>
  <c r="U327" i="9"/>
  <c r="AA327" i="9" s="1"/>
  <c r="I327" i="9"/>
  <c r="O327" i="9" s="1"/>
  <c r="B363" i="7"/>
  <c r="J173" i="9"/>
  <c r="P173" i="9" s="1"/>
  <c r="V173" i="9"/>
  <c r="AB173" i="9" s="1"/>
  <c r="C209" i="7"/>
  <c r="U202" i="9"/>
  <c r="AA202" i="9" s="1"/>
  <c r="I202" i="9"/>
  <c r="O202" i="9" s="1"/>
  <c r="B238" i="7"/>
  <c r="M230" i="9"/>
  <c r="S230" i="9" s="1"/>
  <c r="Y230" i="9"/>
  <c r="AE230" i="9" s="1"/>
  <c r="F266" i="7"/>
  <c r="J286" i="9"/>
  <c r="P286" i="9" s="1"/>
  <c r="V286" i="9"/>
  <c r="AB286" i="9" s="1"/>
  <c r="C322" i="7"/>
  <c r="K215" i="9"/>
  <c r="Q215" i="9" s="1"/>
  <c r="W215" i="9"/>
  <c r="AC215" i="9" s="1"/>
  <c r="D251" i="7"/>
  <c r="J244" i="9"/>
  <c r="P244" i="9" s="1"/>
  <c r="V244" i="9"/>
  <c r="AB244" i="9" s="1"/>
  <c r="C280" i="7"/>
  <c r="I152" i="9"/>
  <c r="O152" i="9" s="1"/>
  <c r="U152" i="9"/>
  <c r="AA152" i="9" s="1"/>
  <c r="B188" i="7"/>
  <c r="M180" i="9"/>
  <c r="S180" i="9" s="1"/>
  <c r="Y180" i="9"/>
  <c r="AE180" i="9" s="1"/>
  <c r="F216" i="7"/>
  <c r="L209" i="9"/>
  <c r="R209" i="9" s="1"/>
  <c r="X209" i="9"/>
  <c r="AD209" i="9" s="1"/>
  <c r="E245" i="7"/>
  <c r="K238" i="9"/>
  <c r="Q238" i="9" s="1"/>
  <c r="W238" i="9"/>
  <c r="AC238" i="9" s="1"/>
  <c r="D274" i="7"/>
  <c r="K153" i="9"/>
  <c r="Q153" i="9" s="1"/>
  <c r="W153" i="9"/>
  <c r="AC153" i="9" s="1"/>
  <c r="D189" i="7"/>
  <c r="J182" i="9"/>
  <c r="P182" i="9" s="1"/>
  <c r="V182" i="9"/>
  <c r="AB182" i="9" s="1"/>
  <c r="C218" i="7"/>
  <c r="I211" i="9"/>
  <c r="O211" i="9" s="1"/>
  <c r="U211" i="9"/>
  <c r="AA211" i="9" s="1"/>
  <c r="B247" i="7"/>
  <c r="M239" i="9"/>
  <c r="S239" i="9" s="1"/>
  <c r="Y239" i="9"/>
  <c r="AE239" i="9" s="1"/>
  <c r="F275" i="7"/>
  <c r="J157" i="9"/>
  <c r="P157" i="9" s="1"/>
  <c r="V157" i="9"/>
  <c r="AB157" i="9" s="1"/>
  <c r="C193" i="7"/>
  <c r="U186" i="9"/>
  <c r="AA186" i="9" s="1"/>
  <c r="I186" i="9"/>
  <c r="O186" i="9" s="1"/>
  <c r="B222" i="7"/>
  <c r="M214" i="9"/>
  <c r="S214" i="9" s="1"/>
  <c r="Y214" i="9"/>
  <c r="AE214" i="9" s="1"/>
  <c r="F250" i="7"/>
  <c r="X243" i="9"/>
  <c r="AD243" i="9" s="1"/>
  <c r="L243" i="9"/>
  <c r="R243" i="9" s="1"/>
  <c r="E279" i="7"/>
  <c r="K258" i="9"/>
  <c r="Q258" i="9" s="1"/>
  <c r="W258" i="9"/>
  <c r="AC258" i="9" s="1"/>
  <c r="D294" i="7"/>
  <c r="V287" i="9"/>
  <c r="AB287" i="9" s="1"/>
  <c r="J287" i="9"/>
  <c r="P287" i="9" s="1"/>
  <c r="C323" i="7"/>
  <c r="I316" i="9"/>
  <c r="O316" i="9" s="1"/>
  <c r="U316" i="9"/>
  <c r="AA316" i="9" s="1"/>
  <c r="B352" i="7"/>
  <c r="J342" i="9"/>
  <c r="P342" i="9" s="1"/>
  <c r="V342" i="9"/>
  <c r="AB342" i="9" s="1"/>
  <c r="C378" i="7"/>
  <c r="X275" i="9"/>
  <c r="AD275" i="9" s="1"/>
  <c r="L275" i="9"/>
  <c r="R275" i="9" s="1"/>
  <c r="E311" i="7"/>
  <c r="K304" i="9"/>
  <c r="Q304" i="9" s="1"/>
  <c r="W304" i="9"/>
  <c r="AC304" i="9" s="1"/>
  <c r="D340" i="7"/>
  <c r="J333" i="9"/>
  <c r="P333" i="9" s="1"/>
  <c r="V333" i="9"/>
  <c r="AB333" i="9" s="1"/>
  <c r="C369" i="7"/>
  <c r="W391" i="9"/>
  <c r="AC391" i="9" s="1"/>
  <c r="K391" i="9"/>
  <c r="Q391" i="9" s="1"/>
  <c r="D427" i="7"/>
  <c r="W279" i="9"/>
  <c r="AC279" i="9" s="1"/>
  <c r="K279" i="9"/>
  <c r="Q279" i="9" s="1"/>
  <c r="D315" i="7"/>
  <c r="J308" i="9"/>
  <c r="P308" i="9" s="1"/>
  <c r="V308" i="9"/>
  <c r="AB308" i="9" s="1"/>
  <c r="C344" i="7"/>
  <c r="U336" i="9"/>
  <c r="AA336" i="9" s="1"/>
  <c r="I336" i="9"/>
  <c r="O336" i="9" s="1"/>
  <c r="B372" i="7"/>
  <c r="I264" i="9"/>
  <c r="O264" i="9" s="1"/>
  <c r="U264" i="9"/>
  <c r="AA264" i="9" s="1"/>
  <c r="B300" i="7"/>
  <c r="M292" i="9"/>
  <c r="S292" i="9" s="1"/>
  <c r="Y292" i="9"/>
  <c r="AE292" i="9" s="1"/>
  <c r="F328" i="7"/>
  <c r="X321" i="9"/>
  <c r="AD321" i="9" s="1"/>
  <c r="L321" i="9"/>
  <c r="R321" i="9" s="1"/>
  <c r="E357" i="7"/>
  <c r="L365" i="9"/>
  <c r="R365" i="9" s="1"/>
  <c r="X365" i="9"/>
  <c r="AD365" i="9" s="1"/>
  <c r="E401" i="7"/>
  <c r="L284" i="9"/>
  <c r="R284" i="9" s="1"/>
  <c r="X284" i="9"/>
  <c r="AD284" i="9" s="1"/>
  <c r="E320" i="7"/>
  <c r="K313" i="9"/>
  <c r="Q313" i="9" s="1"/>
  <c r="W313" i="9"/>
  <c r="AC313" i="9" s="1"/>
  <c r="D349" i="7"/>
  <c r="L350" i="9"/>
  <c r="R350" i="9" s="1"/>
  <c r="X350" i="9"/>
  <c r="AD350" i="9" s="1"/>
  <c r="E386" i="7"/>
  <c r="Y266" i="9"/>
  <c r="AE266" i="9" s="1"/>
  <c r="M266" i="9"/>
  <c r="S266" i="9" s="1"/>
  <c r="F302" i="7"/>
  <c r="X295" i="9"/>
  <c r="AD295" i="9" s="1"/>
  <c r="L295" i="9"/>
  <c r="R295" i="9" s="1"/>
  <c r="E331" i="7"/>
  <c r="K324" i="9"/>
  <c r="Q324" i="9" s="1"/>
  <c r="W324" i="9"/>
  <c r="AC324" i="9" s="1"/>
  <c r="D360" i="7"/>
  <c r="I365" i="9"/>
  <c r="O365" i="9" s="1"/>
  <c r="U365" i="9"/>
  <c r="AA365" i="9" s="1"/>
  <c r="B401" i="7"/>
  <c r="I273" i="9"/>
  <c r="O273" i="9" s="1"/>
  <c r="U273" i="9"/>
  <c r="AA273" i="9" s="1"/>
  <c r="B309" i="7"/>
  <c r="M301" i="9"/>
  <c r="S301" i="9" s="1"/>
  <c r="Y301" i="9"/>
  <c r="AE301" i="9" s="1"/>
  <c r="F337" i="7"/>
  <c r="X330" i="9"/>
  <c r="AD330" i="9" s="1"/>
  <c r="L330" i="9"/>
  <c r="R330" i="9" s="1"/>
  <c r="E366" i="7"/>
  <c r="M367" i="9"/>
  <c r="S367" i="9" s="1"/>
  <c r="Y367" i="9"/>
  <c r="AE367" i="9" s="1"/>
  <c r="F403" i="7"/>
  <c r="X281" i="9"/>
  <c r="AD281" i="9" s="1"/>
  <c r="L281" i="9"/>
  <c r="R281" i="9" s="1"/>
  <c r="E317" i="7"/>
  <c r="K310" i="9"/>
  <c r="Q310" i="9" s="1"/>
  <c r="W310" i="9"/>
  <c r="AC310" i="9" s="1"/>
  <c r="D346" i="7"/>
  <c r="Y337" i="9"/>
  <c r="AE337" i="9" s="1"/>
  <c r="M337" i="9"/>
  <c r="S337" i="9" s="1"/>
  <c r="F373" i="7"/>
  <c r="M251" i="9"/>
  <c r="S251" i="9" s="1"/>
  <c r="Y251" i="9"/>
  <c r="AE251" i="9" s="1"/>
  <c r="F287" i="7"/>
  <c r="X280" i="9"/>
  <c r="AD280" i="9" s="1"/>
  <c r="L280" i="9"/>
  <c r="R280" i="9" s="1"/>
  <c r="E316" i="7"/>
  <c r="K309" i="9"/>
  <c r="Q309" i="9" s="1"/>
  <c r="W309" i="9"/>
  <c r="AC309" i="9" s="1"/>
  <c r="D345" i="7"/>
  <c r="J336" i="9"/>
  <c r="P336" i="9" s="1"/>
  <c r="V336" i="9"/>
  <c r="AB336" i="9" s="1"/>
  <c r="C372" i="7"/>
  <c r="Y250" i="9"/>
  <c r="AE250" i="9" s="1"/>
  <c r="M250" i="9"/>
  <c r="S250" i="9" s="1"/>
  <c r="F286" i="7"/>
  <c r="X279" i="9"/>
  <c r="AD279" i="9" s="1"/>
  <c r="L279" i="9"/>
  <c r="R279" i="9" s="1"/>
  <c r="E315" i="7"/>
  <c r="W308" i="9"/>
  <c r="AC308" i="9" s="1"/>
  <c r="K308" i="9"/>
  <c r="Q308" i="9" s="1"/>
  <c r="D344" i="7"/>
  <c r="V341" i="9"/>
  <c r="AB341" i="9" s="1"/>
  <c r="J341" i="9"/>
  <c r="P341" i="9" s="1"/>
  <c r="C377" i="7"/>
  <c r="I257" i="9"/>
  <c r="O257" i="9" s="1"/>
  <c r="U257" i="9"/>
  <c r="AA257" i="9" s="1"/>
  <c r="B293" i="7"/>
  <c r="Y285" i="9"/>
  <c r="AE285" i="9" s="1"/>
  <c r="M285" i="9"/>
  <c r="S285" i="9" s="1"/>
  <c r="F321" i="7"/>
  <c r="L314" i="9"/>
  <c r="R314" i="9" s="1"/>
  <c r="X314" i="9"/>
  <c r="AD314" i="9" s="1"/>
  <c r="E350" i="7"/>
  <c r="M348" i="9"/>
  <c r="S348" i="9" s="1"/>
  <c r="Y348" i="9"/>
  <c r="AE348" i="9" s="1"/>
  <c r="F384" i="7"/>
  <c r="L366" i="9"/>
  <c r="R366" i="9" s="1"/>
  <c r="X366" i="9"/>
  <c r="AD366" i="9" s="1"/>
  <c r="E402" i="7"/>
  <c r="L352" i="9"/>
  <c r="R352" i="9" s="1"/>
  <c r="X352" i="9"/>
  <c r="AD352" i="9" s="1"/>
  <c r="E388" i="7"/>
  <c r="I352" i="9"/>
  <c r="O352" i="9" s="1"/>
  <c r="U352" i="9"/>
  <c r="AA352" i="9" s="1"/>
  <c r="B388" i="7"/>
  <c r="M354" i="9"/>
  <c r="S354" i="9" s="1"/>
  <c r="Y354" i="9"/>
  <c r="AE354" i="9" s="1"/>
  <c r="F390" i="7"/>
  <c r="K339" i="9"/>
  <c r="Q339" i="9" s="1"/>
  <c r="W339" i="9"/>
  <c r="AC339" i="9" s="1"/>
  <c r="D375" i="7"/>
  <c r="U379" i="9"/>
  <c r="AA379" i="9" s="1"/>
  <c r="I379" i="9"/>
  <c r="O379" i="9" s="1"/>
  <c r="B415" i="7"/>
  <c r="M364" i="9"/>
  <c r="S364" i="9" s="1"/>
  <c r="Y364" i="9"/>
  <c r="AE364" i="9" s="1"/>
  <c r="F400" i="7"/>
  <c r="I380" i="9"/>
  <c r="O380" i="9" s="1"/>
  <c r="U380" i="9"/>
  <c r="AA380" i="9" s="1"/>
  <c r="B416" i="7"/>
  <c r="I376" i="9"/>
  <c r="O376" i="9" s="1"/>
  <c r="U376" i="9"/>
  <c r="AA376" i="9" s="1"/>
  <c r="B412" i="7"/>
  <c r="U375" i="9"/>
  <c r="AA375" i="9" s="1"/>
  <c r="I375" i="9"/>
  <c r="O375" i="9" s="1"/>
  <c r="B411" i="7"/>
  <c r="L371" i="9"/>
  <c r="R371" i="9" s="1"/>
  <c r="X371" i="9"/>
  <c r="AD371" i="9" s="1"/>
  <c r="E407" i="7"/>
  <c r="V368" i="9"/>
  <c r="AB368" i="9" s="1"/>
  <c r="J368" i="9"/>
  <c r="P368" i="9" s="1"/>
  <c r="C404" i="7"/>
  <c r="I397" i="9"/>
  <c r="O397" i="9" s="1"/>
  <c r="U397" i="9"/>
  <c r="AA397" i="9" s="1"/>
  <c r="B433" i="7"/>
  <c r="K398" i="9"/>
  <c r="Q398" i="9" s="1"/>
  <c r="W398" i="9"/>
  <c r="AC398" i="9" s="1"/>
  <c r="D434" i="7"/>
  <c r="I395" i="9"/>
  <c r="O395" i="9" s="1"/>
  <c r="U395" i="9"/>
  <c r="AA395" i="9" s="1"/>
  <c r="B431" i="7"/>
  <c r="X391" i="9"/>
  <c r="AD391" i="9" s="1"/>
  <c r="L391" i="9"/>
  <c r="R391" i="9" s="1"/>
  <c r="E427" i="7"/>
  <c r="M130" i="9"/>
  <c r="S130" i="9" s="1"/>
  <c r="Y130" i="9"/>
  <c r="AE130" i="9" s="1"/>
  <c r="F166" i="7"/>
  <c r="I82" i="9"/>
  <c r="O82" i="9" s="1"/>
  <c r="U82" i="9"/>
  <c r="AA82" i="9" s="1"/>
  <c r="B118" i="7"/>
  <c r="I37" i="9"/>
  <c r="O37" i="9" s="1"/>
  <c r="U37" i="9"/>
  <c r="AA37" i="9" s="1"/>
  <c r="B73" i="7"/>
  <c r="L100" i="9"/>
  <c r="R100" i="9" s="1"/>
  <c r="X100" i="9"/>
  <c r="AD100" i="9" s="1"/>
  <c r="E136" i="7"/>
  <c r="J60" i="9"/>
  <c r="P60" i="9" s="1"/>
  <c r="V60" i="9"/>
  <c r="AB60" i="9" s="1"/>
  <c r="C96" i="7"/>
  <c r="K209" i="9"/>
  <c r="Q209" i="9" s="1"/>
  <c r="W209" i="9"/>
  <c r="AC209" i="9" s="1"/>
  <c r="D245" i="7"/>
  <c r="I62" i="9"/>
  <c r="O62" i="9" s="1"/>
  <c r="U62" i="9"/>
  <c r="AA62" i="9" s="1"/>
  <c r="B98" i="7"/>
  <c r="K46" i="9"/>
  <c r="Q46" i="9" s="1"/>
  <c r="W46" i="9"/>
  <c r="AC46" i="9" s="1"/>
  <c r="D82" i="7"/>
  <c r="L50" i="9"/>
  <c r="R50" i="9" s="1"/>
  <c r="X50" i="9"/>
  <c r="AD50" i="9" s="1"/>
  <c r="E86" i="7"/>
  <c r="M54" i="9"/>
  <c r="S54" i="9" s="1"/>
  <c r="Y54" i="9"/>
  <c r="AE54" i="9" s="1"/>
  <c r="F90" i="7"/>
  <c r="M43" i="9"/>
  <c r="S43" i="9" s="1"/>
  <c r="Y43" i="9"/>
  <c r="AE43" i="9" s="1"/>
  <c r="F79" i="7"/>
  <c r="L102" i="9"/>
  <c r="R102" i="9" s="1"/>
  <c r="X102" i="9"/>
  <c r="AD102" i="9" s="1"/>
  <c r="E138" i="7"/>
  <c r="J107" i="9"/>
  <c r="P107" i="9" s="1"/>
  <c r="V107" i="9"/>
  <c r="AB107" i="9" s="1"/>
  <c r="C143" i="7"/>
  <c r="L204" i="9"/>
  <c r="R204" i="9" s="1"/>
  <c r="X204" i="9"/>
  <c r="AD204" i="9" s="1"/>
  <c r="E240" i="7"/>
  <c r="K155" i="9"/>
  <c r="Q155" i="9" s="1"/>
  <c r="W155" i="9"/>
  <c r="AC155" i="9" s="1"/>
  <c r="D191" i="7"/>
  <c r="V192" i="9"/>
  <c r="AB192" i="9" s="1"/>
  <c r="J192" i="9"/>
  <c r="P192" i="9" s="1"/>
  <c r="C228" i="7"/>
  <c r="K219" i="9"/>
  <c r="Q219" i="9" s="1"/>
  <c r="W219" i="9"/>
  <c r="AC219" i="9" s="1"/>
  <c r="D255" i="7"/>
  <c r="X163" i="9"/>
  <c r="AD163" i="9" s="1"/>
  <c r="L163" i="9"/>
  <c r="R163" i="9" s="1"/>
  <c r="E199" i="7"/>
  <c r="U200" i="9"/>
  <c r="AA200" i="9" s="1"/>
  <c r="I200" i="9"/>
  <c r="O200" i="9" s="1"/>
  <c r="B236" i="7"/>
  <c r="I234" i="9"/>
  <c r="O234" i="9" s="1"/>
  <c r="U234" i="9"/>
  <c r="AA234" i="9" s="1"/>
  <c r="B270" i="7"/>
  <c r="L356" i="9"/>
  <c r="R356" i="9" s="1"/>
  <c r="X356" i="9"/>
  <c r="AD356" i="9" s="1"/>
  <c r="E392" i="7"/>
  <c r="M303" i="9"/>
  <c r="S303" i="9" s="1"/>
  <c r="Y303" i="9"/>
  <c r="AE303" i="9" s="1"/>
  <c r="F339" i="7"/>
  <c r="U321" i="9"/>
  <c r="AA321" i="9" s="1"/>
  <c r="I321" i="9"/>
  <c r="O321" i="9" s="1"/>
  <c r="B357" i="7"/>
  <c r="M299" i="9"/>
  <c r="S299" i="9" s="1"/>
  <c r="Y299" i="9"/>
  <c r="AE299" i="9" s="1"/>
  <c r="F335" i="7"/>
  <c r="M333" i="9"/>
  <c r="S333" i="9" s="1"/>
  <c r="Y333" i="9"/>
  <c r="AE333" i="9" s="1"/>
  <c r="F369" i="7"/>
  <c r="W370" i="9"/>
  <c r="AC370" i="9" s="1"/>
  <c r="K370" i="9"/>
  <c r="Q370" i="9" s="1"/>
  <c r="D406" i="7"/>
  <c r="U382" i="9"/>
  <c r="AA382" i="9" s="1"/>
  <c r="I382" i="9"/>
  <c r="O382" i="9" s="1"/>
  <c r="B418" i="7"/>
  <c r="L156" i="9"/>
  <c r="R156" i="9" s="1"/>
  <c r="X156" i="9"/>
  <c r="AD156" i="9" s="1"/>
  <c r="E192" i="7"/>
  <c r="L99" i="9"/>
  <c r="R99" i="9" s="1"/>
  <c r="X99" i="9"/>
  <c r="AD99" i="9" s="1"/>
  <c r="E135" i="7"/>
  <c r="J58" i="9"/>
  <c r="P58" i="9" s="1"/>
  <c r="V58" i="9"/>
  <c r="AB58" i="9" s="1"/>
  <c r="C94" i="7"/>
  <c r="Y44" i="9"/>
  <c r="AE44" i="9" s="1"/>
  <c r="M44" i="9"/>
  <c r="S44" i="9" s="1"/>
  <c r="F80" i="7"/>
  <c r="J160" i="9"/>
  <c r="P160" i="9" s="1"/>
  <c r="V160" i="9"/>
  <c r="AB160" i="9" s="1"/>
  <c r="C196" i="7"/>
  <c r="X176" i="9"/>
  <c r="AD176" i="9" s="1"/>
  <c r="L176" i="9"/>
  <c r="R176" i="9" s="1"/>
  <c r="E212" i="7"/>
  <c r="Y96" i="9"/>
  <c r="AE96" i="9" s="1"/>
  <c r="M96" i="9"/>
  <c r="S96" i="9" s="1"/>
  <c r="F132" i="7"/>
  <c r="M45" i="9"/>
  <c r="S45" i="9" s="1"/>
  <c r="Y45" i="9"/>
  <c r="AE45" i="9" s="1"/>
  <c r="F81" i="7"/>
  <c r="M85" i="9"/>
  <c r="S85" i="9" s="1"/>
  <c r="Y85" i="9"/>
  <c r="AE85" i="9" s="1"/>
  <c r="F121" i="7"/>
  <c r="L114" i="9"/>
  <c r="R114" i="9" s="1"/>
  <c r="X114" i="9"/>
  <c r="AD114" i="9" s="1"/>
  <c r="E150" i="7"/>
  <c r="W143" i="9"/>
  <c r="AC143" i="9" s="1"/>
  <c r="K143" i="9"/>
  <c r="Q143" i="9" s="1"/>
  <c r="D179" i="7"/>
  <c r="I266" i="9"/>
  <c r="O266" i="9" s="1"/>
  <c r="U266" i="9"/>
  <c r="AA266" i="9" s="1"/>
  <c r="B302" i="7"/>
  <c r="K91" i="9"/>
  <c r="Q91" i="9" s="1"/>
  <c r="W91" i="9"/>
  <c r="AC91" i="9" s="1"/>
  <c r="D127" i="7"/>
  <c r="J120" i="9"/>
  <c r="P120" i="9" s="1"/>
  <c r="V120" i="9"/>
  <c r="AB120" i="9" s="1"/>
  <c r="C156" i="7"/>
  <c r="X152" i="9"/>
  <c r="AD152" i="9" s="1"/>
  <c r="L152" i="9"/>
  <c r="R152" i="9" s="1"/>
  <c r="E188" i="7"/>
  <c r="L63" i="9"/>
  <c r="R63" i="9" s="1"/>
  <c r="X63" i="9"/>
  <c r="AD63" i="9" s="1"/>
  <c r="E99" i="7"/>
  <c r="K90" i="9"/>
  <c r="Q90" i="9" s="1"/>
  <c r="W90" i="9"/>
  <c r="AC90" i="9" s="1"/>
  <c r="D126" i="7"/>
  <c r="J119" i="9"/>
  <c r="P119" i="9" s="1"/>
  <c r="V119" i="9"/>
  <c r="AB119" i="9" s="1"/>
  <c r="C155" i="7"/>
  <c r="K149" i="9"/>
  <c r="Q149" i="9" s="1"/>
  <c r="W149" i="9"/>
  <c r="AC149" i="9" s="1"/>
  <c r="D185" i="7"/>
  <c r="W317" i="9"/>
  <c r="AC317" i="9" s="1"/>
  <c r="K317" i="9"/>
  <c r="Q317" i="9" s="1"/>
  <c r="D353" i="7"/>
  <c r="K89" i="9"/>
  <c r="Q89" i="9" s="1"/>
  <c r="W89" i="9"/>
  <c r="AC89" i="9" s="1"/>
  <c r="D125" i="7"/>
  <c r="J118" i="9"/>
  <c r="P118" i="9" s="1"/>
  <c r="V118" i="9"/>
  <c r="AB118" i="9" s="1"/>
  <c r="C154" i="7"/>
  <c r="I147" i="9"/>
  <c r="O147" i="9" s="1"/>
  <c r="U147" i="9"/>
  <c r="AA147" i="9" s="1"/>
  <c r="B183" i="7"/>
  <c r="L62" i="9"/>
  <c r="R62" i="9" s="1"/>
  <c r="X62" i="9"/>
  <c r="AD62" i="9" s="1"/>
  <c r="E98" i="7"/>
  <c r="Y90" i="9"/>
  <c r="AE90" i="9" s="1"/>
  <c r="M90" i="9"/>
  <c r="S90" i="9" s="1"/>
  <c r="F126" i="7"/>
  <c r="X119" i="9"/>
  <c r="AD119" i="9" s="1"/>
  <c r="L119" i="9"/>
  <c r="R119" i="9" s="1"/>
  <c r="E155" i="7"/>
  <c r="J148" i="9"/>
  <c r="P148" i="9" s="1"/>
  <c r="V148" i="9"/>
  <c r="AB148" i="9" s="1"/>
  <c r="C184" i="7"/>
  <c r="K64" i="9"/>
  <c r="Q64" i="9" s="1"/>
  <c r="W64" i="9"/>
  <c r="AC64" i="9" s="1"/>
  <c r="D100" i="7"/>
  <c r="V92" i="9"/>
  <c r="AB92" i="9" s="1"/>
  <c r="J92" i="9"/>
  <c r="P92" i="9" s="1"/>
  <c r="C128" i="7"/>
  <c r="U121" i="9"/>
  <c r="AA121" i="9" s="1"/>
  <c r="I121" i="9"/>
  <c r="O121" i="9" s="1"/>
  <c r="B157" i="7"/>
  <c r="K150" i="9"/>
  <c r="Q150" i="9" s="1"/>
  <c r="W150" i="9"/>
  <c r="AC150" i="9" s="1"/>
  <c r="D186" i="7"/>
  <c r="K256" i="9"/>
  <c r="Q256" i="9" s="1"/>
  <c r="W256" i="9"/>
  <c r="AC256" i="9" s="1"/>
  <c r="D292" i="7"/>
  <c r="L81" i="9"/>
  <c r="R81" i="9" s="1"/>
  <c r="X81" i="9"/>
  <c r="AD81" i="9" s="1"/>
  <c r="E117" i="7"/>
  <c r="W110" i="9"/>
  <c r="AC110" i="9" s="1"/>
  <c r="K110" i="9"/>
  <c r="Q110" i="9" s="1"/>
  <c r="D146" i="7"/>
  <c r="J139" i="9"/>
  <c r="P139" i="9" s="1"/>
  <c r="V139" i="9"/>
  <c r="AB139" i="9" s="1"/>
  <c r="C175" i="7"/>
  <c r="L188" i="9"/>
  <c r="R188" i="9" s="1"/>
  <c r="X188" i="9"/>
  <c r="AD188" i="9" s="1"/>
  <c r="E224" i="7"/>
  <c r="W73" i="9"/>
  <c r="AC73" i="9" s="1"/>
  <c r="K73" i="9"/>
  <c r="Q73" i="9" s="1"/>
  <c r="D109" i="7"/>
  <c r="J102" i="9"/>
  <c r="P102" i="9" s="1"/>
  <c r="V102" i="9"/>
  <c r="AB102" i="9" s="1"/>
  <c r="C138" i="7"/>
  <c r="I131" i="9"/>
  <c r="O131" i="9" s="1"/>
  <c r="U131" i="9"/>
  <c r="AA131" i="9" s="1"/>
  <c r="B167" i="7"/>
  <c r="L186" i="9"/>
  <c r="R186" i="9" s="1"/>
  <c r="X186" i="9"/>
  <c r="AD186" i="9" s="1"/>
  <c r="E222" i="7"/>
  <c r="U106" i="9"/>
  <c r="AA106" i="9" s="1"/>
  <c r="I106" i="9"/>
  <c r="O106" i="9" s="1"/>
  <c r="B142" i="7"/>
  <c r="Y134" i="9"/>
  <c r="AE134" i="9" s="1"/>
  <c r="M134" i="9"/>
  <c r="S134" i="9" s="1"/>
  <c r="F170" i="7"/>
  <c r="V198" i="9"/>
  <c r="AB198" i="9" s="1"/>
  <c r="J198" i="9"/>
  <c r="P198" i="9" s="1"/>
  <c r="C234" i="7"/>
  <c r="K175" i="9"/>
  <c r="Q175" i="9" s="1"/>
  <c r="W175" i="9"/>
  <c r="AC175" i="9" s="1"/>
  <c r="D211" i="7"/>
  <c r="V204" i="9"/>
  <c r="AB204" i="9" s="1"/>
  <c r="J204" i="9"/>
  <c r="P204" i="9" s="1"/>
  <c r="C240" i="7"/>
  <c r="U233" i="9"/>
  <c r="AA233" i="9" s="1"/>
  <c r="I233" i="9"/>
  <c r="O233" i="9" s="1"/>
  <c r="B269" i="7"/>
  <c r="M150" i="9"/>
  <c r="S150" i="9" s="1"/>
  <c r="Y150" i="9"/>
  <c r="AE150" i="9" s="1"/>
  <c r="F186" i="7"/>
  <c r="X179" i="9"/>
  <c r="AD179" i="9" s="1"/>
  <c r="L179" i="9"/>
  <c r="R179" i="9" s="1"/>
  <c r="E215" i="7"/>
  <c r="W208" i="9"/>
  <c r="AC208" i="9" s="1"/>
  <c r="K208" i="9"/>
  <c r="Q208" i="9" s="1"/>
  <c r="D244" i="7"/>
  <c r="J237" i="9"/>
  <c r="P237" i="9" s="1"/>
  <c r="V237" i="9"/>
  <c r="AB237" i="9" s="1"/>
  <c r="C273" i="7"/>
  <c r="M338" i="9"/>
  <c r="S338" i="9" s="1"/>
  <c r="Y338" i="9"/>
  <c r="AE338" i="9" s="1"/>
  <c r="F374" i="7"/>
  <c r="M173" i="9"/>
  <c r="S173" i="9" s="1"/>
  <c r="Y173" i="9"/>
  <c r="AE173" i="9" s="1"/>
  <c r="F209" i="7"/>
  <c r="L202" i="9"/>
  <c r="R202" i="9" s="1"/>
  <c r="X202" i="9"/>
  <c r="AD202" i="9" s="1"/>
  <c r="E238" i="7"/>
  <c r="K231" i="9"/>
  <c r="Q231" i="9" s="1"/>
  <c r="W231" i="9"/>
  <c r="AC231" i="9" s="1"/>
  <c r="D267" i="7"/>
  <c r="V259" i="9"/>
  <c r="AB259" i="9" s="1"/>
  <c r="J259" i="9"/>
  <c r="P259" i="9" s="1"/>
  <c r="C295" i="7"/>
  <c r="L165" i="9"/>
  <c r="R165" i="9" s="1"/>
  <c r="X165" i="9"/>
  <c r="AD165" i="9" s="1"/>
  <c r="E201" i="7"/>
  <c r="K194" i="9"/>
  <c r="Q194" i="9" s="1"/>
  <c r="W194" i="9"/>
  <c r="AC194" i="9" s="1"/>
  <c r="D230" i="7"/>
  <c r="J223" i="9"/>
  <c r="P223" i="9" s="1"/>
  <c r="V223" i="9"/>
  <c r="AB223" i="9" s="1"/>
  <c r="C259" i="7"/>
  <c r="M255" i="9"/>
  <c r="S255" i="9" s="1"/>
  <c r="Y255" i="9"/>
  <c r="AE255" i="9" s="1"/>
  <c r="F291" i="7"/>
  <c r="Y231" i="9"/>
  <c r="AE231" i="9" s="1"/>
  <c r="M231" i="9"/>
  <c r="S231" i="9" s="1"/>
  <c r="F267" i="7"/>
  <c r="I389" i="9"/>
  <c r="O389" i="9" s="1"/>
  <c r="U389" i="9"/>
  <c r="AA389" i="9" s="1"/>
  <c r="B425" i="7"/>
  <c r="X175" i="9"/>
  <c r="AD175" i="9" s="1"/>
  <c r="L175" i="9"/>
  <c r="R175" i="9" s="1"/>
  <c r="E211" i="7"/>
  <c r="K204" i="9"/>
  <c r="Q204" i="9" s="1"/>
  <c r="W204" i="9"/>
  <c r="AC204" i="9" s="1"/>
  <c r="D240" i="7"/>
  <c r="V233" i="9"/>
  <c r="AB233" i="9" s="1"/>
  <c r="J233" i="9"/>
  <c r="P233" i="9" s="1"/>
  <c r="C269" i="7"/>
  <c r="U315" i="9"/>
  <c r="AA315" i="9" s="1"/>
  <c r="I315" i="9"/>
  <c r="O315" i="9" s="1"/>
  <c r="B351" i="7"/>
  <c r="M217" i="9"/>
  <c r="S217" i="9" s="1"/>
  <c r="Y217" i="9"/>
  <c r="AE217" i="9" s="1"/>
  <c r="F253" i="7"/>
  <c r="L246" i="9"/>
  <c r="R246" i="9" s="1"/>
  <c r="X246" i="9"/>
  <c r="AD246" i="9" s="1"/>
  <c r="E282" i="7"/>
  <c r="K154" i="9"/>
  <c r="Q154" i="9" s="1"/>
  <c r="W154" i="9"/>
  <c r="AC154" i="9" s="1"/>
  <c r="D190" i="7"/>
  <c r="V183" i="9"/>
  <c r="AB183" i="9" s="1"/>
  <c r="J183" i="9"/>
  <c r="P183" i="9" s="1"/>
  <c r="C219" i="7"/>
  <c r="U212" i="9"/>
  <c r="AA212" i="9" s="1"/>
  <c r="I212" i="9"/>
  <c r="O212" i="9" s="1"/>
  <c r="B248" i="7"/>
  <c r="Y240" i="9"/>
  <c r="AE240" i="9" s="1"/>
  <c r="M240" i="9"/>
  <c r="S240" i="9" s="1"/>
  <c r="F276" i="7"/>
  <c r="M155" i="9"/>
  <c r="S155" i="9" s="1"/>
  <c r="Y155" i="9"/>
  <c r="AE155" i="9" s="1"/>
  <c r="F191" i="7"/>
  <c r="X184" i="9"/>
  <c r="AD184" i="9" s="1"/>
  <c r="L184" i="9"/>
  <c r="R184" i="9" s="1"/>
  <c r="E220" i="7"/>
  <c r="K213" i="9"/>
  <c r="Q213" i="9" s="1"/>
  <c r="W213" i="9"/>
  <c r="AC213" i="9" s="1"/>
  <c r="D249" i="7"/>
  <c r="J242" i="9"/>
  <c r="P242" i="9" s="1"/>
  <c r="V242" i="9"/>
  <c r="AB242" i="9" s="1"/>
  <c r="C278" i="7"/>
  <c r="L159" i="9"/>
  <c r="R159" i="9" s="1"/>
  <c r="X159" i="9"/>
  <c r="AD159" i="9" s="1"/>
  <c r="E195" i="7"/>
  <c r="K188" i="9"/>
  <c r="Q188" i="9" s="1"/>
  <c r="W188" i="9"/>
  <c r="AC188" i="9" s="1"/>
  <c r="D224" i="7"/>
  <c r="J217" i="9"/>
  <c r="P217" i="9" s="1"/>
  <c r="V217" i="9"/>
  <c r="AB217" i="9" s="1"/>
  <c r="C253" i="7"/>
  <c r="U246" i="9"/>
  <c r="AA246" i="9" s="1"/>
  <c r="I246" i="9"/>
  <c r="O246" i="9" s="1"/>
  <c r="B282" i="7"/>
  <c r="M260" i="9"/>
  <c r="S260" i="9" s="1"/>
  <c r="Y260" i="9"/>
  <c r="AE260" i="9" s="1"/>
  <c r="F296" i="7"/>
  <c r="X289" i="9"/>
  <c r="AD289" i="9" s="1"/>
  <c r="L289" i="9"/>
  <c r="R289" i="9" s="1"/>
  <c r="E325" i="7"/>
  <c r="K318" i="9"/>
  <c r="Q318" i="9" s="1"/>
  <c r="W318" i="9"/>
  <c r="AC318" i="9" s="1"/>
  <c r="D354" i="7"/>
  <c r="I344" i="9"/>
  <c r="O344" i="9" s="1"/>
  <c r="U344" i="9"/>
  <c r="AA344" i="9" s="1"/>
  <c r="B380" i="7"/>
  <c r="I278" i="9"/>
  <c r="O278" i="9" s="1"/>
  <c r="U278" i="9"/>
  <c r="AA278" i="9" s="1"/>
  <c r="B314" i="7"/>
  <c r="M306" i="9"/>
  <c r="S306" i="9" s="1"/>
  <c r="Y306" i="9"/>
  <c r="AE306" i="9" s="1"/>
  <c r="F342" i="7"/>
  <c r="L335" i="9"/>
  <c r="R335" i="9" s="1"/>
  <c r="X335" i="9"/>
  <c r="AD335" i="9" s="1"/>
  <c r="E371" i="7"/>
  <c r="I253" i="9"/>
  <c r="O253" i="9" s="1"/>
  <c r="U253" i="9"/>
  <c r="AA253" i="9" s="1"/>
  <c r="B289" i="7"/>
  <c r="M281" i="9"/>
  <c r="S281" i="9" s="1"/>
  <c r="Y281" i="9"/>
  <c r="AE281" i="9" s="1"/>
  <c r="F317" i="7"/>
  <c r="X310" i="9"/>
  <c r="AD310" i="9" s="1"/>
  <c r="L310" i="9"/>
  <c r="R310" i="9" s="1"/>
  <c r="E346" i="7"/>
  <c r="W336" i="9"/>
  <c r="AC336" i="9" s="1"/>
  <c r="K336" i="9"/>
  <c r="Q336" i="9" s="1"/>
  <c r="D372" i="7"/>
  <c r="W266" i="9"/>
  <c r="AC266" i="9" s="1"/>
  <c r="K266" i="9"/>
  <c r="Q266" i="9" s="1"/>
  <c r="D302" i="7"/>
  <c r="J295" i="9"/>
  <c r="P295" i="9" s="1"/>
  <c r="V295" i="9"/>
  <c r="AB295" i="9" s="1"/>
  <c r="C331" i="7"/>
  <c r="U324" i="9"/>
  <c r="AA324" i="9" s="1"/>
  <c r="I324" i="9"/>
  <c r="O324" i="9" s="1"/>
  <c r="B360" i="7"/>
  <c r="W368" i="9"/>
  <c r="AC368" i="9" s="1"/>
  <c r="K368" i="9"/>
  <c r="Q368" i="9" s="1"/>
  <c r="D404" i="7"/>
  <c r="U287" i="9"/>
  <c r="AA287" i="9" s="1"/>
  <c r="I287" i="9"/>
  <c r="O287" i="9" s="1"/>
  <c r="B323" i="7"/>
  <c r="M315" i="9"/>
  <c r="S315" i="9" s="1"/>
  <c r="Y315" i="9"/>
  <c r="AE315" i="9" s="1"/>
  <c r="F351" i="7"/>
  <c r="I354" i="9"/>
  <c r="O354" i="9" s="1"/>
  <c r="U354" i="9"/>
  <c r="AA354" i="9" s="1"/>
  <c r="B390" i="7"/>
  <c r="J269" i="9"/>
  <c r="P269" i="9" s="1"/>
  <c r="V269" i="9"/>
  <c r="AB269" i="9" s="1"/>
  <c r="C305" i="7"/>
  <c r="I298" i="9"/>
  <c r="O298" i="9" s="1"/>
  <c r="U298" i="9"/>
  <c r="AA298" i="9" s="1"/>
  <c r="B334" i="7"/>
  <c r="M326" i="9"/>
  <c r="S326" i="9" s="1"/>
  <c r="Y326" i="9"/>
  <c r="AE326" i="9" s="1"/>
  <c r="F362" i="7"/>
  <c r="Y383" i="9"/>
  <c r="AE383" i="9" s="1"/>
  <c r="M383" i="9"/>
  <c r="S383" i="9" s="1"/>
  <c r="F419" i="7"/>
  <c r="W275" i="9"/>
  <c r="AC275" i="9" s="1"/>
  <c r="K275" i="9"/>
  <c r="Q275" i="9" s="1"/>
  <c r="D311" i="7"/>
  <c r="V304" i="9"/>
  <c r="AB304" i="9" s="1"/>
  <c r="J304" i="9"/>
  <c r="P304" i="9" s="1"/>
  <c r="C340" i="7"/>
  <c r="U333" i="9"/>
  <c r="AA333" i="9" s="1"/>
  <c r="I333" i="9"/>
  <c r="O333" i="9" s="1"/>
  <c r="B369" i="7"/>
  <c r="U372" i="9"/>
  <c r="AA372" i="9" s="1"/>
  <c r="I372" i="9"/>
  <c r="O372" i="9" s="1"/>
  <c r="B408" i="7"/>
  <c r="U284" i="9"/>
  <c r="AA284" i="9" s="1"/>
  <c r="I284" i="9"/>
  <c r="O284" i="9" s="1"/>
  <c r="B320" i="7"/>
  <c r="M312" i="9"/>
  <c r="S312" i="9" s="1"/>
  <c r="Y312" i="9"/>
  <c r="AE312" i="9" s="1"/>
  <c r="F348" i="7"/>
  <c r="K343" i="9"/>
  <c r="Q343" i="9" s="1"/>
  <c r="W343" i="9"/>
  <c r="AC343" i="9" s="1"/>
  <c r="D379" i="7"/>
  <c r="V254" i="9"/>
  <c r="AB254" i="9" s="1"/>
  <c r="J254" i="9"/>
  <c r="P254" i="9" s="1"/>
  <c r="C290" i="7"/>
  <c r="I283" i="9"/>
  <c r="O283" i="9" s="1"/>
  <c r="U283" i="9"/>
  <c r="AA283" i="9" s="1"/>
  <c r="B319" i="7"/>
  <c r="Y311" i="9"/>
  <c r="AE311" i="9" s="1"/>
  <c r="M311" i="9"/>
  <c r="S311" i="9" s="1"/>
  <c r="F347" i="7"/>
  <c r="X336" i="9"/>
  <c r="AD336" i="9" s="1"/>
  <c r="L336" i="9"/>
  <c r="R336" i="9" s="1"/>
  <c r="E372" i="7"/>
  <c r="V253" i="9"/>
  <c r="AB253" i="9" s="1"/>
  <c r="J253" i="9"/>
  <c r="P253" i="9" s="1"/>
  <c r="C289" i="7"/>
  <c r="I282" i="9"/>
  <c r="O282" i="9" s="1"/>
  <c r="U282" i="9"/>
  <c r="AA282" i="9" s="1"/>
  <c r="B318" i="7"/>
  <c r="Y310" i="9"/>
  <c r="AE310" i="9" s="1"/>
  <c r="M310" i="9"/>
  <c r="S310" i="9" s="1"/>
  <c r="F346" i="7"/>
  <c r="W344" i="9"/>
  <c r="AC344" i="9" s="1"/>
  <c r="K344" i="9"/>
  <c r="Q344" i="9" s="1"/>
  <c r="D380" i="7"/>
  <c r="K259" i="9"/>
  <c r="Q259" i="9" s="1"/>
  <c r="W259" i="9"/>
  <c r="AC259" i="9" s="1"/>
  <c r="D295" i="7"/>
  <c r="J288" i="9"/>
  <c r="P288" i="9" s="1"/>
  <c r="V288" i="9"/>
  <c r="AB288" i="9" s="1"/>
  <c r="C324" i="7"/>
  <c r="I317" i="9"/>
  <c r="O317" i="9" s="1"/>
  <c r="U317" i="9"/>
  <c r="AA317" i="9" s="1"/>
  <c r="B353" i="7"/>
  <c r="K352" i="9"/>
  <c r="Q352" i="9" s="1"/>
  <c r="W352" i="9"/>
  <c r="AC352" i="9" s="1"/>
  <c r="D388" i="7"/>
  <c r="J373" i="9"/>
  <c r="P373" i="9" s="1"/>
  <c r="V373" i="9"/>
  <c r="AB373" i="9" s="1"/>
  <c r="C409" i="7"/>
  <c r="I355" i="9"/>
  <c r="O355" i="9" s="1"/>
  <c r="U355" i="9"/>
  <c r="AA355" i="9" s="1"/>
  <c r="B391" i="7"/>
  <c r="W354" i="9"/>
  <c r="AC354" i="9" s="1"/>
  <c r="K354" i="9"/>
  <c r="Q354" i="9" s="1"/>
  <c r="D390" i="7"/>
  <c r="J357" i="9"/>
  <c r="P357" i="9" s="1"/>
  <c r="V357" i="9"/>
  <c r="AB357" i="9" s="1"/>
  <c r="C393" i="7"/>
  <c r="M341" i="9"/>
  <c r="S341" i="9" s="1"/>
  <c r="Y341" i="9"/>
  <c r="AE341" i="9" s="1"/>
  <c r="F377" i="7"/>
  <c r="J386" i="9"/>
  <c r="P386" i="9" s="1"/>
  <c r="V386" i="9"/>
  <c r="AB386" i="9" s="1"/>
  <c r="C422" i="7"/>
  <c r="J367" i="9"/>
  <c r="P367" i="9" s="1"/>
  <c r="V367" i="9"/>
  <c r="AB367" i="9" s="1"/>
  <c r="C403" i="7"/>
  <c r="K382" i="9"/>
  <c r="Q382" i="9" s="1"/>
  <c r="W382" i="9"/>
  <c r="AC382" i="9" s="1"/>
  <c r="D418" i="7"/>
  <c r="K378" i="9"/>
  <c r="Q378" i="9" s="1"/>
  <c r="W378" i="9"/>
  <c r="AC378" i="9" s="1"/>
  <c r="D414" i="7"/>
  <c r="K377" i="9"/>
  <c r="Q377" i="9" s="1"/>
  <c r="W377" i="9"/>
  <c r="AC377" i="9" s="1"/>
  <c r="D413" i="7"/>
  <c r="I374" i="9"/>
  <c r="O374" i="9" s="1"/>
  <c r="U374" i="9"/>
  <c r="AA374" i="9" s="1"/>
  <c r="B410" i="7"/>
  <c r="X370" i="9"/>
  <c r="AD370" i="9" s="1"/>
  <c r="L370" i="9"/>
  <c r="R370" i="9" s="1"/>
  <c r="E406" i="7"/>
  <c r="K399" i="9"/>
  <c r="Q399" i="9" s="1"/>
  <c r="W399" i="9"/>
  <c r="AC399" i="9" s="1"/>
  <c r="D435" i="7"/>
  <c r="L368" i="9"/>
  <c r="R368" i="9" s="1"/>
  <c r="X368" i="9"/>
  <c r="AD368" i="9" s="1"/>
  <c r="E404" i="7"/>
  <c r="W397" i="9"/>
  <c r="AC397" i="9" s="1"/>
  <c r="K397" i="9"/>
  <c r="Q397" i="9" s="1"/>
  <c r="D433" i="7"/>
  <c r="U394" i="9"/>
  <c r="AA394" i="9" s="1"/>
  <c r="I394" i="9"/>
  <c r="O394" i="9" s="1"/>
  <c r="B430" i="7"/>
  <c r="L77" i="9"/>
  <c r="R77" i="9" s="1"/>
  <c r="X77" i="9"/>
  <c r="AD77" i="9" s="1"/>
  <c r="E113" i="7"/>
  <c r="M52" i="9"/>
  <c r="S52" i="9" s="1"/>
  <c r="Y52" i="9"/>
  <c r="AE52" i="9" s="1"/>
  <c r="F88" i="7"/>
  <c r="K167" i="9"/>
  <c r="Q167" i="9" s="1"/>
  <c r="W167" i="9"/>
  <c r="AC167" i="9" s="1"/>
  <c r="D203" i="7"/>
  <c r="I57" i="9"/>
  <c r="O57" i="9" s="1"/>
  <c r="U57" i="9"/>
  <c r="AA57" i="9" s="1"/>
  <c r="B93" i="7"/>
  <c r="L42" i="9"/>
  <c r="R42" i="9" s="1"/>
  <c r="X42" i="9"/>
  <c r="AD42" i="9" s="1"/>
  <c r="E78" i="7"/>
  <c r="M183" i="9"/>
  <c r="S183" i="9" s="1"/>
  <c r="Y183" i="9"/>
  <c r="AE183" i="9" s="1"/>
  <c r="F219" i="7"/>
  <c r="J99" i="9"/>
  <c r="P99" i="9" s="1"/>
  <c r="V99" i="9"/>
  <c r="AB99" i="9" s="1"/>
  <c r="C135" i="7"/>
  <c r="L60" i="9"/>
  <c r="R60" i="9" s="1"/>
  <c r="X60" i="9"/>
  <c r="AD60" i="9" s="1"/>
  <c r="E96" i="7"/>
  <c r="I45" i="9"/>
  <c r="O45" i="9" s="1"/>
  <c r="U45" i="9"/>
  <c r="AA45" i="9" s="1"/>
  <c r="B81" i="7"/>
  <c r="I114" i="9"/>
  <c r="O114" i="9" s="1"/>
  <c r="U114" i="9"/>
  <c r="AA114" i="9" s="1"/>
  <c r="B150" i="7"/>
  <c r="L67" i="9"/>
  <c r="R67" i="9" s="1"/>
  <c r="X67" i="9"/>
  <c r="AD67" i="9" s="1"/>
  <c r="E103" i="7"/>
  <c r="K141" i="9"/>
  <c r="Q141" i="9" s="1"/>
  <c r="W141" i="9"/>
  <c r="AC141" i="9" s="1"/>
  <c r="D177" i="7"/>
  <c r="M86" i="9"/>
  <c r="S86" i="9" s="1"/>
  <c r="Y86" i="9"/>
  <c r="AE86" i="9" s="1"/>
  <c r="F122" i="7"/>
  <c r="K40" i="9"/>
  <c r="Q40" i="9" s="1"/>
  <c r="W40" i="9"/>
  <c r="AC40" i="9" s="1"/>
  <c r="D76" i="7"/>
  <c r="I104" i="9"/>
  <c r="O104" i="9" s="1"/>
  <c r="U104" i="9"/>
  <c r="AA104" i="9" s="1"/>
  <c r="B140" i="7"/>
  <c r="L64" i="9"/>
  <c r="R64" i="9" s="1"/>
  <c r="X64" i="9"/>
  <c r="AD64" i="9" s="1"/>
  <c r="E100" i="7"/>
  <c r="W131" i="9"/>
  <c r="AC131" i="9" s="1"/>
  <c r="K131" i="9"/>
  <c r="Q131" i="9" s="1"/>
  <c r="D167" i="7"/>
  <c r="U136" i="9"/>
  <c r="AA136" i="9" s="1"/>
  <c r="I136" i="9"/>
  <c r="O136" i="9" s="1"/>
  <c r="B172" i="7"/>
  <c r="U109" i="9"/>
  <c r="AA109" i="9" s="1"/>
  <c r="I109" i="9"/>
  <c r="O109" i="9" s="1"/>
  <c r="B145" i="7"/>
  <c r="I119" i="9"/>
  <c r="O119" i="9" s="1"/>
  <c r="U119" i="9"/>
  <c r="AA119" i="9" s="1"/>
  <c r="B155" i="7"/>
  <c r="X167" i="9"/>
  <c r="AD167" i="9" s="1"/>
  <c r="L167" i="9"/>
  <c r="R167" i="9" s="1"/>
  <c r="E203" i="7"/>
  <c r="K182" i="9"/>
  <c r="Q182" i="9" s="1"/>
  <c r="W182" i="9"/>
  <c r="AC182" i="9" s="1"/>
  <c r="D218" i="7"/>
  <c r="I250" i="9"/>
  <c r="O250" i="9" s="1"/>
  <c r="U250" i="9"/>
  <c r="AA250" i="9" s="1"/>
  <c r="B286" i="7"/>
  <c r="X172" i="9"/>
  <c r="AD172" i="9" s="1"/>
  <c r="L172" i="9"/>
  <c r="R172" i="9" s="1"/>
  <c r="E208" i="7"/>
  <c r="K306" i="9"/>
  <c r="Q306" i="9" s="1"/>
  <c r="W306" i="9"/>
  <c r="AC306" i="9" s="1"/>
  <c r="D342" i="7"/>
  <c r="Y362" i="9"/>
  <c r="AE362" i="9" s="1"/>
  <c r="M362" i="9"/>
  <c r="S362" i="9" s="1"/>
  <c r="F398" i="7"/>
  <c r="I286" i="9"/>
  <c r="O286" i="9" s="1"/>
  <c r="U286" i="9"/>
  <c r="AA286" i="9" s="1"/>
  <c r="B322" i="7"/>
  <c r="X329" i="9"/>
  <c r="AD329" i="9" s="1"/>
  <c r="L329" i="9"/>
  <c r="R329" i="9" s="1"/>
  <c r="E365" i="7"/>
  <c r="M298" i="9"/>
  <c r="S298" i="9" s="1"/>
  <c r="Y298" i="9"/>
  <c r="AE298" i="9" s="1"/>
  <c r="F334" i="7"/>
  <c r="X386" i="9"/>
  <c r="AD386" i="9" s="1"/>
  <c r="L386" i="9"/>
  <c r="R386" i="9" s="1"/>
  <c r="E422" i="7"/>
  <c r="J395" i="9"/>
  <c r="P395" i="9" s="1"/>
  <c r="V395" i="9"/>
  <c r="AB395" i="9" s="1"/>
  <c r="C431" i="7"/>
  <c r="Y50" i="9"/>
  <c r="AE50" i="9" s="1"/>
  <c r="M50" i="9"/>
  <c r="S50" i="9" s="1"/>
  <c r="F86" i="7"/>
  <c r="J12" i="14"/>
  <c r="U55" i="9"/>
  <c r="AA55" i="9" s="1"/>
  <c r="I55" i="9"/>
  <c r="O55" i="9" s="1"/>
  <c r="B91" i="7"/>
  <c r="J146" i="9"/>
  <c r="P146" i="9" s="1"/>
  <c r="V146" i="9"/>
  <c r="AB146" i="9" s="1"/>
  <c r="C182" i="7"/>
  <c r="W56" i="9"/>
  <c r="AC56" i="9" s="1"/>
  <c r="K56" i="9"/>
  <c r="Q56" i="9" s="1"/>
  <c r="D92" i="7"/>
  <c r="V59" i="9"/>
  <c r="AB59" i="9" s="1"/>
  <c r="J59" i="9"/>
  <c r="P59" i="9" s="1"/>
  <c r="C95" i="7"/>
  <c r="J88" i="9"/>
  <c r="P88" i="9" s="1"/>
  <c r="V88" i="9"/>
  <c r="AB88" i="9" s="1"/>
  <c r="C124" i="7"/>
  <c r="I117" i="9"/>
  <c r="O117" i="9" s="1"/>
  <c r="U117" i="9"/>
  <c r="AA117" i="9" s="1"/>
  <c r="B153" i="7"/>
  <c r="M145" i="9"/>
  <c r="S145" i="9" s="1"/>
  <c r="Y145" i="9"/>
  <c r="AE145" i="9" s="1"/>
  <c r="F181" i="7"/>
  <c r="M61" i="9"/>
  <c r="S61" i="9" s="1"/>
  <c r="Y61" i="9"/>
  <c r="AE61" i="9" s="1"/>
  <c r="F97" i="7"/>
  <c r="Y93" i="9"/>
  <c r="AE93" i="9" s="1"/>
  <c r="M93" i="9"/>
  <c r="S93" i="9" s="1"/>
  <c r="F129" i="7"/>
  <c r="X122" i="9"/>
  <c r="AD122" i="9" s="1"/>
  <c r="L122" i="9"/>
  <c r="R122" i="9" s="1"/>
  <c r="E158" i="7"/>
  <c r="J154" i="9"/>
  <c r="P154" i="9" s="1"/>
  <c r="V154" i="9"/>
  <c r="AB154" i="9" s="1"/>
  <c r="C190" i="7"/>
  <c r="I65" i="9"/>
  <c r="O65" i="9" s="1"/>
  <c r="U65" i="9"/>
  <c r="AA65" i="9" s="1"/>
  <c r="B101" i="7"/>
  <c r="M92" i="9"/>
  <c r="S92" i="9" s="1"/>
  <c r="Y92" i="9"/>
  <c r="AE92" i="9" s="1"/>
  <c r="F128" i="7"/>
  <c r="L121" i="9"/>
  <c r="R121" i="9" s="1"/>
  <c r="X121" i="9"/>
  <c r="AD121" i="9" s="1"/>
  <c r="E157" i="7"/>
  <c r="V150" i="9"/>
  <c r="AB150" i="9" s="1"/>
  <c r="J150" i="9"/>
  <c r="P150" i="9" s="1"/>
  <c r="C186" i="7"/>
  <c r="X343" i="9"/>
  <c r="AD343" i="9" s="1"/>
  <c r="L343" i="9"/>
  <c r="R343" i="9" s="1"/>
  <c r="E379" i="7"/>
  <c r="M91" i="9"/>
  <c r="S91" i="9" s="1"/>
  <c r="Y91" i="9"/>
  <c r="AE91" i="9" s="1"/>
  <c r="F127" i="7"/>
  <c r="L120" i="9"/>
  <c r="R120" i="9" s="1"/>
  <c r="X120" i="9"/>
  <c r="AD120" i="9" s="1"/>
  <c r="E156" i="7"/>
  <c r="J155" i="9"/>
  <c r="P155" i="9" s="1"/>
  <c r="V155" i="9"/>
  <c r="AB155" i="9" s="1"/>
  <c r="C191" i="7"/>
  <c r="U64" i="9"/>
  <c r="AA64" i="9" s="1"/>
  <c r="I64" i="9"/>
  <c r="O64" i="9" s="1"/>
  <c r="B100" i="7"/>
  <c r="J93" i="9"/>
  <c r="P93" i="9" s="1"/>
  <c r="V93" i="9"/>
  <c r="AB93" i="9" s="1"/>
  <c r="C129" i="7"/>
  <c r="I122" i="9"/>
  <c r="O122" i="9" s="1"/>
  <c r="U122" i="9"/>
  <c r="AA122" i="9" s="1"/>
  <c r="B158" i="7"/>
  <c r="M152" i="9"/>
  <c r="S152" i="9" s="1"/>
  <c r="Y152" i="9"/>
  <c r="AE152" i="9" s="1"/>
  <c r="F188" i="7"/>
  <c r="Y65" i="9"/>
  <c r="AE65" i="9" s="1"/>
  <c r="M65" i="9"/>
  <c r="S65" i="9" s="1"/>
  <c r="F101" i="7"/>
  <c r="L94" i="9"/>
  <c r="R94" i="9" s="1"/>
  <c r="X94" i="9"/>
  <c r="AD94" i="9" s="1"/>
  <c r="E130" i="7"/>
  <c r="K123" i="9"/>
  <c r="Q123" i="9" s="1"/>
  <c r="W123" i="9"/>
  <c r="AC123" i="9" s="1"/>
  <c r="D159" i="7"/>
  <c r="V156" i="9"/>
  <c r="AB156" i="9" s="1"/>
  <c r="J156" i="9"/>
  <c r="P156" i="9" s="1"/>
  <c r="C192" i="7"/>
  <c r="J262" i="9"/>
  <c r="P262" i="9" s="1"/>
  <c r="V262" i="9"/>
  <c r="AB262" i="9" s="1"/>
  <c r="C298" i="7"/>
  <c r="I84" i="9"/>
  <c r="O84" i="9" s="1"/>
  <c r="U84" i="9"/>
  <c r="AA84" i="9" s="1"/>
  <c r="B120" i="7"/>
  <c r="M112" i="9"/>
  <c r="S112" i="9" s="1"/>
  <c r="Y112" i="9"/>
  <c r="AE112" i="9" s="1"/>
  <c r="F148" i="7"/>
  <c r="L141" i="9"/>
  <c r="R141" i="9" s="1"/>
  <c r="X141" i="9"/>
  <c r="AD141" i="9" s="1"/>
  <c r="E177" i="7"/>
  <c r="J191" i="9"/>
  <c r="P191" i="9" s="1"/>
  <c r="V191" i="9"/>
  <c r="AB191" i="9" s="1"/>
  <c r="C227" i="7"/>
  <c r="Y75" i="9"/>
  <c r="AE75" i="9" s="1"/>
  <c r="M75" i="9"/>
  <c r="S75" i="9" s="1"/>
  <c r="F111" i="7"/>
  <c r="X104" i="9"/>
  <c r="AD104" i="9" s="1"/>
  <c r="L104" i="9"/>
  <c r="R104" i="9" s="1"/>
  <c r="E140" i="7"/>
  <c r="K133" i="9"/>
  <c r="Q133" i="9" s="1"/>
  <c r="W133" i="9"/>
  <c r="AC133" i="9" s="1"/>
  <c r="D169" i="7"/>
  <c r="L192" i="9"/>
  <c r="R192" i="9" s="1"/>
  <c r="X192" i="9"/>
  <c r="AD192" i="9" s="1"/>
  <c r="E228" i="7"/>
  <c r="K108" i="9"/>
  <c r="Q108" i="9" s="1"/>
  <c r="W108" i="9"/>
  <c r="AC108" i="9" s="1"/>
  <c r="D144" i="7"/>
  <c r="J137" i="9"/>
  <c r="P137" i="9" s="1"/>
  <c r="V137" i="9"/>
  <c r="AB137" i="9" s="1"/>
  <c r="C173" i="7"/>
  <c r="Y207" i="9"/>
  <c r="AE207" i="9" s="1"/>
  <c r="M207" i="9"/>
  <c r="S207" i="9" s="1"/>
  <c r="F243" i="7"/>
  <c r="M177" i="9"/>
  <c r="S177" i="9" s="1"/>
  <c r="Y177" i="9"/>
  <c r="AE177" i="9" s="1"/>
  <c r="F213" i="7"/>
  <c r="L206" i="9"/>
  <c r="R206" i="9" s="1"/>
  <c r="X206" i="9"/>
  <c r="AD206" i="9" s="1"/>
  <c r="E242" i="7"/>
  <c r="K235" i="9"/>
  <c r="Q235" i="9" s="1"/>
  <c r="W235" i="9"/>
  <c r="AC235" i="9" s="1"/>
  <c r="D271" i="7"/>
  <c r="V153" i="9"/>
  <c r="AB153" i="9" s="1"/>
  <c r="J153" i="9"/>
  <c r="P153" i="9" s="1"/>
  <c r="C189" i="7"/>
  <c r="I182" i="9"/>
  <c r="O182" i="9" s="1"/>
  <c r="U182" i="9"/>
  <c r="AA182" i="9" s="1"/>
  <c r="B218" i="7"/>
  <c r="Y210" i="9"/>
  <c r="AE210" i="9" s="1"/>
  <c r="M210" i="9"/>
  <c r="S210" i="9" s="1"/>
  <c r="F246" i="7"/>
  <c r="L239" i="9"/>
  <c r="R239" i="9" s="1"/>
  <c r="X239" i="9"/>
  <c r="AD239" i="9" s="1"/>
  <c r="E275" i="7"/>
  <c r="W365" i="9"/>
  <c r="AC365" i="9" s="1"/>
  <c r="K365" i="9"/>
  <c r="Q365" i="9" s="1"/>
  <c r="D401" i="7"/>
  <c r="J176" i="9"/>
  <c r="P176" i="9" s="1"/>
  <c r="V176" i="9"/>
  <c r="AB176" i="9" s="1"/>
  <c r="C212" i="7"/>
  <c r="U205" i="9"/>
  <c r="AA205" i="9" s="1"/>
  <c r="I205" i="9"/>
  <c r="O205" i="9" s="1"/>
  <c r="B241" i="7"/>
  <c r="M233" i="9"/>
  <c r="S233" i="9" s="1"/>
  <c r="Y233" i="9"/>
  <c r="AE233" i="9" s="1"/>
  <c r="F269" i="7"/>
  <c r="X264" i="9"/>
  <c r="AD264" i="9" s="1"/>
  <c r="L264" i="9"/>
  <c r="R264" i="9" s="1"/>
  <c r="E300" i="7"/>
  <c r="U168" i="9"/>
  <c r="AA168" i="9" s="1"/>
  <c r="I168" i="9"/>
  <c r="O168" i="9" s="1"/>
  <c r="B204" i="7"/>
  <c r="Y196" i="9"/>
  <c r="AE196" i="9" s="1"/>
  <c r="M196" i="9"/>
  <c r="S196" i="9" s="1"/>
  <c r="F232" i="7"/>
  <c r="X225" i="9"/>
  <c r="AD225" i="9" s="1"/>
  <c r="L225" i="9"/>
  <c r="R225" i="9" s="1"/>
  <c r="E261" i="7"/>
  <c r="M270" i="9"/>
  <c r="S270" i="9" s="1"/>
  <c r="Y270" i="9"/>
  <c r="AE270" i="9" s="1"/>
  <c r="F306" i="7"/>
  <c r="J234" i="9"/>
  <c r="P234" i="9" s="1"/>
  <c r="V234" i="9"/>
  <c r="AB234" i="9" s="1"/>
  <c r="C270" i="7"/>
  <c r="J149" i="9"/>
  <c r="P149" i="9" s="1"/>
  <c r="V149" i="9"/>
  <c r="AB149" i="9" s="1"/>
  <c r="C185" i="7"/>
  <c r="I178" i="9"/>
  <c r="O178" i="9" s="1"/>
  <c r="U178" i="9"/>
  <c r="AA178" i="9" s="1"/>
  <c r="B214" i="7"/>
  <c r="Y206" i="9"/>
  <c r="AE206" i="9" s="1"/>
  <c r="M206" i="9"/>
  <c r="S206" i="9" s="1"/>
  <c r="F242" i="7"/>
  <c r="L235" i="9"/>
  <c r="R235" i="9" s="1"/>
  <c r="X235" i="9"/>
  <c r="AD235" i="9" s="1"/>
  <c r="E271" i="7"/>
  <c r="K191" i="9"/>
  <c r="Q191" i="9" s="1"/>
  <c r="W191" i="9"/>
  <c r="AC191" i="9" s="1"/>
  <c r="D227" i="7"/>
  <c r="J220" i="9"/>
  <c r="P220" i="9" s="1"/>
  <c r="V220" i="9"/>
  <c r="AB220" i="9" s="1"/>
  <c r="C256" i="7"/>
  <c r="U249" i="9"/>
  <c r="AA249" i="9" s="1"/>
  <c r="I249" i="9"/>
  <c r="O249" i="9" s="1"/>
  <c r="B285" i="7"/>
  <c r="M156" i="9"/>
  <c r="S156" i="9" s="1"/>
  <c r="Y156" i="9"/>
  <c r="AE156" i="9" s="1"/>
  <c r="F192" i="7"/>
  <c r="L185" i="9"/>
  <c r="R185" i="9" s="1"/>
  <c r="X185" i="9"/>
  <c r="AD185" i="9" s="1"/>
  <c r="E221" i="7"/>
  <c r="W214" i="9"/>
  <c r="AC214" i="9" s="1"/>
  <c r="K214" i="9"/>
  <c r="Q214" i="9" s="1"/>
  <c r="D250" i="7"/>
  <c r="J243" i="9"/>
  <c r="P243" i="9" s="1"/>
  <c r="V243" i="9"/>
  <c r="AB243" i="9" s="1"/>
  <c r="C279" i="7"/>
  <c r="J158" i="9"/>
  <c r="P158" i="9" s="1"/>
  <c r="V158" i="9"/>
  <c r="AB158" i="9" s="1"/>
  <c r="C194" i="7"/>
  <c r="I187" i="9"/>
  <c r="O187" i="9" s="1"/>
  <c r="U187" i="9"/>
  <c r="AA187" i="9" s="1"/>
  <c r="B223" i="7"/>
  <c r="M215" i="9"/>
  <c r="S215" i="9" s="1"/>
  <c r="Y215" i="9"/>
  <c r="AE215" i="9" s="1"/>
  <c r="F251" i="7"/>
  <c r="L244" i="9"/>
  <c r="R244" i="9" s="1"/>
  <c r="X244" i="9"/>
  <c r="AD244" i="9" s="1"/>
  <c r="E280" i="7"/>
  <c r="U162" i="9"/>
  <c r="AA162" i="9" s="1"/>
  <c r="I162" i="9"/>
  <c r="O162" i="9" s="1"/>
  <c r="B198" i="7"/>
  <c r="Y190" i="9"/>
  <c r="AE190" i="9" s="1"/>
  <c r="M190" i="9"/>
  <c r="S190" i="9" s="1"/>
  <c r="F226" i="7"/>
  <c r="X219" i="9"/>
  <c r="AD219" i="9" s="1"/>
  <c r="L219" i="9"/>
  <c r="R219" i="9" s="1"/>
  <c r="E255" i="7"/>
  <c r="K248" i="9"/>
  <c r="Q248" i="9" s="1"/>
  <c r="W248" i="9"/>
  <c r="AC248" i="9" s="1"/>
  <c r="D284" i="7"/>
  <c r="V263" i="9"/>
  <c r="AB263" i="9" s="1"/>
  <c r="J263" i="9"/>
  <c r="P263" i="9" s="1"/>
  <c r="C299" i="7"/>
  <c r="I292" i="9"/>
  <c r="O292" i="9" s="1"/>
  <c r="U292" i="9"/>
  <c r="AA292" i="9" s="1"/>
  <c r="B328" i="7"/>
  <c r="M320" i="9"/>
  <c r="S320" i="9" s="1"/>
  <c r="Y320" i="9"/>
  <c r="AE320" i="9" s="1"/>
  <c r="F356" i="7"/>
  <c r="Y346" i="9"/>
  <c r="AE346" i="9" s="1"/>
  <c r="M346" i="9"/>
  <c r="S346" i="9" s="1"/>
  <c r="F382" i="7"/>
  <c r="W280" i="9"/>
  <c r="AC280" i="9" s="1"/>
  <c r="K280" i="9"/>
  <c r="Q280" i="9" s="1"/>
  <c r="D316" i="7"/>
  <c r="V309" i="9"/>
  <c r="AB309" i="9" s="1"/>
  <c r="J309" i="9"/>
  <c r="P309" i="9" s="1"/>
  <c r="C345" i="7"/>
  <c r="V337" i="9"/>
  <c r="AB337" i="9" s="1"/>
  <c r="J337" i="9"/>
  <c r="P337" i="9" s="1"/>
  <c r="C373" i="7"/>
  <c r="W255" i="9"/>
  <c r="AC255" i="9" s="1"/>
  <c r="K255" i="9"/>
  <c r="Q255" i="9" s="1"/>
  <c r="D291" i="7"/>
  <c r="J284" i="9"/>
  <c r="P284" i="9" s="1"/>
  <c r="V284" i="9"/>
  <c r="AB284" i="9" s="1"/>
  <c r="C320" i="7"/>
  <c r="U313" i="9"/>
  <c r="AA313" i="9" s="1"/>
  <c r="I313" i="9"/>
  <c r="O313" i="9" s="1"/>
  <c r="B349" i="7"/>
  <c r="M336" i="9"/>
  <c r="S336" i="9" s="1"/>
  <c r="Y336" i="9"/>
  <c r="AE336" i="9" s="1"/>
  <c r="F372" i="7"/>
  <c r="M268" i="9"/>
  <c r="S268" i="9" s="1"/>
  <c r="Y268" i="9"/>
  <c r="AE268" i="9" s="1"/>
  <c r="F304" i="7"/>
  <c r="X297" i="9"/>
  <c r="AD297" i="9" s="1"/>
  <c r="L297" i="9"/>
  <c r="R297" i="9" s="1"/>
  <c r="E333" i="7"/>
  <c r="W326" i="9"/>
  <c r="AC326" i="9" s="1"/>
  <c r="K326" i="9"/>
  <c r="Q326" i="9" s="1"/>
  <c r="D362" i="7"/>
  <c r="X387" i="9"/>
  <c r="AD387" i="9" s="1"/>
  <c r="L387" i="9"/>
  <c r="R387" i="9" s="1"/>
  <c r="E423" i="7"/>
  <c r="W289" i="9"/>
  <c r="AC289" i="9" s="1"/>
  <c r="K289" i="9"/>
  <c r="Q289" i="9" s="1"/>
  <c r="D325" i="7"/>
  <c r="J318" i="9"/>
  <c r="P318" i="9" s="1"/>
  <c r="V318" i="9"/>
  <c r="AB318" i="9" s="1"/>
  <c r="C354" i="7"/>
  <c r="M358" i="9"/>
  <c r="S358" i="9" s="1"/>
  <c r="Y358" i="9"/>
  <c r="AE358" i="9" s="1"/>
  <c r="F394" i="7"/>
  <c r="L271" i="9"/>
  <c r="R271" i="9" s="1"/>
  <c r="X271" i="9"/>
  <c r="AD271" i="9" s="1"/>
  <c r="E307" i="7"/>
  <c r="W300" i="9"/>
  <c r="AC300" i="9" s="1"/>
  <c r="K300" i="9"/>
  <c r="Q300" i="9" s="1"/>
  <c r="D336" i="7"/>
  <c r="J329" i="9"/>
  <c r="P329" i="9" s="1"/>
  <c r="V329" i="9"/>
  <c r="AB329" i="9" s="1"/>
  <c r="C365" i="7"/>
  <c r="M394" i="9"/>
  <c r="S394" i="9" s="1"/>
  <c r="Y394" i="9"/>
  <c r="AE394" i="9" s="1"/>
  <c r="F430" i="7"/>
  <c r="M277" i="9"/>
  <c r="S277" i="9" s="1"/>
  <c r="Y277" i="9"/>
  <c r="AE277" i="9" s="1"/>
  <c r="F313" i="7"/>
  <c r="X306" i="9"/>
  <c r="AD306" i="9" s="1"/>
  <c r="L306" i="9"/>
  <c r="R306" i="9" s="1"/>
  <c r="E342" i="7"/>
  <c r="W335" i="9"/>
  <c r="AC335" i="9" s="1"/>
  <c r="K335" i="9"/>
  <c r="Q335" i="9" s="1"/>
  <c r="D371" i="7"/>
  <c r="M381" i="9"/>
  <c r="S381" i="9" s="1"/>
  <c r="Y381" i="9"/>
  <c r="AE381" i="9" s="1"/>
  <c r="F417" i="7"/>
  <c r="W286" i="9"/>
  <c r="AC286" i="9" s="1"/>
  <c r="K286" i="9"/>
  <c r="Q286" i="9" s="1"/>
  <c r="D322" i="7"/>
  <c r="J315" i="9"/>
  <c r="P315" i="9" s="1"/>
  <c r="V315" i="9"/>
  <c r="AB315" i="9" s="1"/>
  <c r="C351" i="7"/>
  <c r="J345" i="9"/>
  <c r="P345" i="9" s="1"/>
  <c r="V345" i="9"/>
  <c r="AB345" i="9" s="1"/>
  <c r="C381" i="7"/>
  <c r="L256" i="9"/>
  <c r="R256" i="9" s="1"/>
  <c r="X256" i="9"/>
  <c r="AD256" i="9" s="1"/>
  <c r="E292" i="7"/>
  <c r="W285" i="9"/>
  <c r="AC285" i="9" s="1"/>
  <c r="K285" i="9"/>
  <c r="Q285" i="9" s="1"/>
  <c r="D321" i="7"/>
  <c r="J314" i="9"/>
  <c r="P314" i="9" s="1"/>
  <c r="V314" i="9"/>
  <c r="AB314" i="9" s="1"/>
  <c r="C350" i="7"/>
  <c r="X341" i="9"/>
  <c r="AD341" i="9" s="1"/>
  <c r="L341" i="9"/>
  <c r="R341" i="9" s="1"/>
  <c r="E377" i="7"/>
  <c r="L255" i="9"/>
  <c r="R255" i="9" s="1"/>
  <c r="X255" i="9"/>
  <c r="AD255" i="9" s="1"/>
  <c r="E291" i="7"/>
  <c r="W284" i="9"/>
  <c r="AC284" i="9" s="1"/>
  <c r="K284" i="9"/>
  <c r="Q284" i="9" s="1"/>
  <c r="D320" i="7"/>
  <c r="J313" i="9"/>
  <c r="P313" i="9" s="1"/>
  <c r="V313" i="9"/>
  <c r="AB313" i="9" s="1"/>
  <c r="C349" i="7"/>
  <c r="V346" i="9"/>
  <c r="AB346" i="9" s="1"/>
  <c r="J346" i="9"/>
  <c r="P346" i="9" s="1"/>
  <c r="C382" i="7"/>
  <c r="M261" i="9"/>
  <c r="S261" i="9" s="1"/>
  <c r="Y261" i="9"/>
  <c r="AE261" i="9" s="1"/>
  <c r="F297" i="7"/>
  <c r="L290" i="9"/>
  <c r="R290" i="9" s="1"/>
  <c r="X290" i="9"/>
  <c r="AD290" i="9" s="1"/>
  <c r="E326" i="7"/>
  <c r="K319" i="9"/>
  <c r="Q319" i="9" s="1"/>
  <c r="W319" i="9"/>
  <c r="AC319" i="9" s="1"/>
  <c r="D355" i="7"/>
  <c r="K356" i="9"/>
  <c r="Q356" i="9" s="1"/>
  <c r="W356" i="9"/>
  <c r="AC356" i="9" s="1"/>
  <c r="D392" i="7"/>
  <c r="J374" i="9"/>
  <c r="P374" i="9" s="1"/>
  <c r="V374" i="9"/>
  <c r="AB374" i="9" s="1"/>
  <c r="C410" i="7"/>
  <c r="W357" i="9"/>
  <c r="AC357" i="9" s="1"/>
  <c r="K357" i="9"/>
  <c r="Q357" i="9" s="1"/>
  <c r="D393" i="7"/>
  <c r="M356" i="9"/>
  <c r="S356" i="9" s="1"/>
  <c r="Y356" i="9"/>
  <c r="AE356" i="9" s="1"/>
  <c r="F392" i="7"/>
  <c r="X359" i="9"/>
  <c r="AD359" i="9" s="1"/>
  <c r="L359" i="9"/>
  <c r="R359" i="9" s="1"/>
  <c r="E395" i="7"/>
  <c r="J344" i="9"/>
  <c r="P344" i="9" s="1"/>
  <c r="V344" i="9"/>
  <c r="AB344" i="9" s="1"/>
  <c r="C380" i="7"/>
  <c r="K393" i="9"/>
  <c r="Q393" i="9" s="1"/>
  <c r="W393" i="9"/>
  <c r="AC393" i="9" s="1"/>
  <c r="D429" i="7"/>
  <c r="W371" i="9"/>
  <c r="AC371" i="9" s="1"/>
  <c r="K371" i="9"/>
  <c r="Q371" i="9" s="1"/>
  <c r="D407" i="7"/>
  <c r="M384" i="9"/>
  <c r="S384" i="9" s="1"/>
  <c r="Y384" i="9"/>
  <c r="AE384" i="9" s="1"/>
  <c r="F420" i="7"/>
  <c r="Y380" i="9"/>
  <c r="AE380" i="9" s="1"/>
  <c r="M380" i="9"/>
  <c r="S380" i="9" s="1"/>
  <c r="F416" i="7"/>
  <c r="Y379" i="9"/>
  <c r="AE379" i="9" s="1"/>
  <c r="M379" i="9"/>
  <c r="S379" i="9" s="1"/>
  <c r="F415" i="7"/>
  <c r="W376" i="9"/>
  <c r="AC376" i="9" s="1"/>
  <c r="K376" i="9"/>
  <c r="Q376" i="9" s="1"/>
  <c r="D412" i="7"/>
  <c r="U373" i="9"/>
  <c r="AA373" i="9" s="1"/>
  <c r="I373" i="9"/>
  <c r="O373" i="9" s="1"/>
  <c r="B409" i="7"/>
  <c r="W374" i="9"/>
  <c r="AC374" i="9" s="1"/>
  <c r="K374" i="9"/>
  <c r="Q374" i="9" s="1"/>
  <c r="D410" i="7"/>
  <c r="I371" i="9"/>
  <c r="O371" i="9" s="1"/>
  <c r="U371" i="9"/>
  <c r="AA371" i="9" s="1"/>
  <c r="B407" i="7"/>
  <c r="Y399" i="9"/>
  <c r="AE399" i="9" s="1"/>
  <c r="M399" i="9"/>
  <c r="S399" i="9" s="1"/>
  <c r="F435" i="7"/>
  <c r="W396" i="9"/>
  <c r="AC396" i="9" s="1"/>
  <c r="K396" i="9"/>
  <c r="Q396" i="9" s="1"/>
  <c r="D432" i="7"/>
  <c r="J121" i="9"/>
  <c r="P121" i="9" s="1"/>
  <c r="V121" i="9"/>
  <c r="AB121" i="9" s="1"/>
  <c r="C157" i="7"/>
  <c r="I90" i="9"/>
  <c r="O90" i="9" s="1"/>
  <c r="U90" i="9"/>
  <c r="AA90" i="9" s="1"/>
  <c r="B126" i="7"/>
  <c r="Y59" i="9"/>
  <c r="AE59" i="9" s="1"/>
  <c r="M59" i="9"/>
  <c r="S59" i="9" s="1"/>
  <c r="F95" i="7"/>
  <c r="J49" i="9"/>
  <c r="P49" i="9" s="1"/>
  <c r="V49" i="9"/>
  <c r="AB49" i="9" s="1"/>
  <c r="C85" i="7"/>
  <c r="W53" i="9"/>
  <c r="AC53" i="9" s="1"/>
  <c r="K53" i="9"/>
  <c r="Q53" i="9" s="1"/>
  <c r="D89" i="7"/>
  <c r="L37" i="9"/>
  <c r="R37" i="9" s="1"/>
  <c r="X37" i="9"/>
  <c r="AD37" i="9" s="1"/>
  <c r="E73" i="7"/>
  <c r="J190" i="9"/>
  <c r="P190" i="9" s="1"/>
  <c r="V190" i="9"/>
  <c r="AB190" i="9" s="1"/>
  <c r="C226" i="7"/>
  <c r="K42" i="9"/>
  <c r="Q42" i="9" s="1"/>
  <c r="W42" i="9"/>
  <c r="AC42" i="9" s="1"/>
  <c r="D78" i="7"/>
  <c r="I254" i="9"/>
  <c r="O254" i="9" s="1"/>
  <c r="U254" i="9"/>
  <c r="AA254" i="9" s="1"/>
  <c r="B290" i="7"/>
  <c r="I207" i="9"/>
  <c r="O207" i="9" s="1"/>
  <c r="U207" i="9"/>
  <c r="AA207" i="9" s="1"/>
  <c r="B243" i="7"/>
  <c r="V80" i="9"/>
  <c r="AB80" i="9" s="1"/>
  <c r="J80" i="9"/>
  <c r="P80" i="9" s="1"/>
  <c r="C116" i="7"/>
  <c r="I94" i="9"/>
  <c r="O94" i="9" s="1"/>
  <c r="U94" i="9"/>
  <c r="AA94" i="9" s="1"/>
  <c r="B130" i="7"/>
  <c r="V248" i="9"/>
  <c r="AB248" i="9" s="1"/>
  <c r="J248" i="9"/>
  <c r="P248" i="9" s="1"/>
  <c r="C284" i="7"/>
  <c r="M205" i="9"/>
  <c r="S205" i="9" s="1"/>
  <c r="Y205" i="9"/>
  <c r="AE205" i="9" s="1"/>
  <c r="F241" i="7"/>
  <c r="J205" i="9"/>
  <c r="P205" i="9" s="1"/>
  <c r="V205" i="9"/>
  <c r="AB205" i="9" s="1"/>
  <c r="C241" i="7"/>
  <c r="X298" i="9"/>
  <c r="AD298" i="9" s="1"/>
  <c r="L298" i="9"/>
  <c r="R298" i="9" s="1"/>
  <c r="E334" i="7"/>
  <c r="Y314" i="9"/>
  <c r="AE314" i="9" s="1"/>
  <c r="M314" i="9"/>
  <c r="S314" i="9" s="1"/>
  <c r="F350" i="7"/>
  <c r="L328" i="9"/>
  <c r="R328" i="9" s="1"/>
  <c r="X328" i="9"/>
  <c r="AD328" i="9" s="1"/>
  <c r="E364" i="7"/>
  <c r="I357" i="9"/>
  <c r="O357" i="9" s="1"/>
  <c r="U357" i="9"/>
  <c r="AA357" i="9" s="1"/>
  <c r="B393" i="7"/>
  <c r="J399" i="9"/>
  <c r="P399" i="9" s="1"/>
  <c r="V399" i="9"/>
  <c r="AB399" i="9" s="1"/>
  <c r="C435" i="7"/>
  <c r="L147" i="9"/>
  <c r="R147" i="9" s="1"/>
  <c r="X147" i="9"/>
  <c r="AD147" i="9" s="1"/>
  <c r="E183" i="7"/>
  <c r="I42" i="9"/>
  <c r="O42" i="9" s="1"/>
  <c r="U42" i="9"/>
  <c r="AA42" i="9" s="1"/>
  <c r="B78" i="7"/>
  <c r="V86" i="9"/>
  <c r="AB86" i="9" s="1"/>
  <c r="J86" i="9"/>
  <c r="P86" i="9" s="1"/>
  <c r="C122" i="7"/>
  <c r="M144" i="9"/>
  <c r="S144" i="9" s="1"/>
  <c r="Y144" i="9"/>
  <c r="AE144" i="9" s="1"/>
  <c r="F180" i="7"/>
  <c r="I56" i="9"/>
  <c r="O56" i="9" s="1"/>
  <c r="U56" i="9"/>
  <c r="AA56" i="9" s="1"/>
  <c r="B92" i="7"/>
  <c r="W44" i="9"/>
  <c r="AC44" i="9" s="1"/>
  <c r="K44" i="9"/>
  <c r="Q44" i="9" s="1"/>
  <c r="D80" i="7"/>
  <c r="L90" i="9"/>
  <c r="R90" i="9" s="1"/>
  <c r="X90" i="9"/>
  <c r="AD90" i="9" s="1"/>
  <c r="E126" i="7"/>
  <c r="W119" i="9"/>
  <c r="AC119" i="9" s="1"/>
  <c r="K119" i="9"/>
  <c r="Q119" i="9" s="1"/>
  <c r="D155" i="7"/>
  <c r="U159" i="9"/>
  <c r="AA159" i="9" s="1"/>
  <c r="I159" i="9"/>
  <c r="O159" i="9" s="1"/>
  <c r="B195" i="7"/>
  <c r="K67" i="9"/>
  <c r="Q67" i="9" s="1"/>
  <c r="W67" i="9"/>
  <c r="AC67" i="9" s="1"/>
  <c r="D103" i="7"/>
  <c r="J96" i="9"/>
  <c r="P96" i="9" s="1"/>
  <c r="V96" i="9"/>
  <c r="AB96" i="9" s="1"/>
  <c r="C132" i="7"/>
  <c r="I125" i="9"/>
  <c r="O125" i="9" s="1"/>
  <c r="U125" i="9"/>
  <c r="AA125" i="9" s="1"/>
  <c r="B161" i="7"/>
  <c r="K161" i="9"/>
  <c r="Q161" i="9" s="1"/>
  <c r="W161" i="9"/>
  <c r="AC161" i="9" s="1"/>
  <c r="D197" i="7"/>
  <c r="K66" i="9"/>
  <c r="Q66" i="9" s="1"/>
  <c r="W66" i="9"/>
  <c r="AC66" i="9" s="1"/>
  <c r="D102" i="7"/>
  <c r="V95" i="9"/>
  <c r="AB95" i="9" s="1"/>
  <c r="J95" i="9"/>
  <c r="P95" i="9" s="1"/>
  <c r="C131" i="7"/>
  <c r="U124" i="9"/>
  <c r="AA124" i="9" s="1"/>
  <c r="I124" i="9"/>
  <c r="O124" i="9" s="1"/>
  <c r="B160" i="7"/>
  <c r="Y151" i="9"/>
  <c r="AE151" i="9" s="1"/>
  <c r="M151" i="9"/>
  <c r="S151" i="9" s="1"/>
  <c r="F187" i="7"/>
  <c r="W65" i="9"/>
  <c r="AC65" i="9" s="1"/>
  <c r="K65" i="9"/>
  <c r="Q65" i="9" s="1"/>
  <c r="D101" i="7"/>
  <c r="J94" i="9"/>
  <c r="P94" i="9" s="1"/>
  <c r="V94" i="9"/>
  <c r="AB94" i="9" s="1"/>
  <c r="C130" i="7"/>
  <c r="I123" i="9"/>
  <c r="O123" i="9" s="1"/>
  <c r="U123" i="9"/>
  <c r="AA123" i="9" s="1"/>
  <c r="B159" i="7"/>
  <c r="L162" i="9"/>
  <c r="R162" i="9" s="1"/>
  <c r="X162" i="9"/>
  <c r="AD162" i="9" s="1"/>
  <c r="E198" i="7"/>
  <c r="M66" i="9"/>
  <c r="S66" i="9" s="1"/>
  <c r="Y66" i="9"/>
  <c r="AE66" i="9" s="1"/>
  <c r="F102" i="7"/>
  <c r="L95" i="9"/>
  <c r="R95" i="9" s="1"/>
  <c r="X95" i="9"/>
  <c r="AD95" i="9" s="1"/>
  <c r="E131" i="7"/>
  <c r="K124" i="9"/>
  <c r="Q124" i="9" s="1"/>
  <c r="W124" i="9"/>
  <c r="AC124" i="9" s="1"/>
  <c r="D160" i="7"/>
  <c r="M164" i="9"/>
  <c r="S164" i="9" s="1"/>
  <c r="Y164" i="9"/>
  <c r="AE164" i="9" s="1"/>
  <c r="F200" i="7"/>
  <c r="V68" i="9"/>
  <c r="AB68" i="9" s="1"/>
  <c r="J68" i="9"/>
  <c r="P68" i="9" s="1"/>
  <c r="C104" i="7"/>
  <c r="I97" i="9"/>
  <c r="O97" i="9" s="1"/>
  <c r="U97" i="9"/>
  <c r="AA97" i="9" s="1"/>
  <c r="B133" i="7"/>
  <c r="Y125" i="9"/>
  <c r="AE125" i="9" s="1"/>
  <c r="M125" i="9"/>
  <c r="S125" i="9" s="1"/>
  <c r="F161" i="7"/>
  <c r="Y157" i="9"/>
  <c r="AE157" i="9" s="1"/>
  <c r="M157" i="9"/>
  <c r="S157" i="9" s="1"/>
  <c r="F193" i="7"/>
  <c r="X300" i="9"/>
  <c r="AD300" i="9" s="1"/>
  <c r="L300" i="9"/>
  <c r="R300" i="9" s="1"/>
  <c r="E336" i="7"/>
  <c r="K86" i="9"/>
  <c r="Q86" i="9" s="1"/>
  <c r="W86" i="9"/>
  <c r="AC86" i="9" s="1"/>
  <c r="D122" i="7"/>
  <c r="J115" i="9"/>
  <c r="P115" i="9" s="1"/>
  <c r="V115" i="9"/>
  <c r="AB115" i="9" s="1"/>
  <c r="C151" i="7"/>
  <c r="I144" i="9"/>
  <c r="O144" i="9" s="1"/>
  <c r="U144" i="9"/>
  <c r="AA144" i="9" s="1"/>
  <c r="B180" i="7"/>
  <c r="Y200" i="9"/>
  <c r="AE200" i="9" s="1"/>
  <c r="M200" i="9"/>
  <c r="S200" i="9" s="1"/>
  <c r="F236" i="7"/>
  <c r="J78" i="9"/>
  <c r="P78" i="9" s="1"/>
  <c r="V78" i="9"/>
  <c r="AB78" i="9" s="1"/>
  <c r="C114" i="7"/>
  <c r="I107" i="9"/>
  <c r="O107" i="9" s="1"/>
  <c r="U107" i="9"/>
  <c r="AA107" i="9" s="1"/>
  <c r="B143" i="7"/>
  <c r="M135" i="9"/>
  <c r="S135" i="9" s="1"/>
  <c r="Y135" i="9"/>
  <c r="AE135" i="9" s="1"/>
  <c r="F171" i="7"/>
  <c r="J202" i="9"/>
  <c r="P202" i="9" s="1"/>
  <c r="V202" i="9"/>
  <c r="AB202" i="9" s="1"/>
  <c r="C238" i="7"/>
  <c r="Y110" i="9"/>
  <c r="AE110" i="9" s="1"/>
  <c r="M110" i="9"/>
  <c r="S110" i="9" s="1"/>
  <c r="F146" i="7"/>
  <c r="L139" i="9"/>
  <c r="R139" i="9" s="1"/>
  <c r="X139" i="9"/>
  <c r="AD139" i="9" s="1"/>
  <c r="E175" i="7"/>
  <c r="L216" i="9"/>
  <c r="R216" i="9" s="1"/>
  <c r="X216" i="9"/>
  <c r="AD216" i="9" s="1"/>
  <c r="E252" i="7"/>
  <c r="V180" i="9"/>
  <c r="AB180" i="9" s="1"/>
  <c r="J180" i="9"/>
  <c r="P180" i="9" s="1"/>
  <c r="C216" i="7"/>
  <c r="U209" i="9"/>
  <c r="AA209" i="9" s="1"/>
  <c r="I209" i="9"/>
  <c r="O209" i="9" s="1"/>
  <c r="B245" i="7"/>
  <c r="Y237" i="9"/>
  <c r="AE237" i="9" s="1"/>
  <c r="M237" i="9"/>
  <c r="S237" i="9" s="1"/>
  <c r="F273" i="7"/>
  <c r="X155" i="9"/>
  <c r="AD155" i="9" s="1"/>
  <c r="L155" i="9"/>
  <c r="R155" i="9" s="1"/>
  <c r="E191" i="7"/>
  <c r="K184" i="9"/>
  <c r="Q184" i="9" s="1"/>
  <c r="W184" i="9"/>
  <c r="AC184" i="9" s="1"/>
  <c r="D220" i="7"/>
  <c r="V213" i="9"/>
  <c r="AB213" i="9" s="1"/>
  <c r="J213" i="9"/>
  <c r="P213" i="9" s="1"/>
  <c r="C249" i="7"/>
  <c r="U242" i="9"/>
  <c r="AA242" i="9" s="1"/>
  <c r="I242" i="9"/>
  <c r="O242" i="9" s="1"/>
  <c r="B278" i="7"/>
  <c r="M149" i="9"/>
  <c r="S149" i="9" s="1"/>
  <c r="Y149" i="9"/>
  <c r="AE149" i="9" s="1"/>
  <c r="F185" i="7"/>
  <c r="X178" i="9"/>
  <c r="AD178" i="9" s="1"/>
  <c r="L178" i="9"/>
  <c r="R178" i="9" s="1"/>
  <c r="E214" i="7"/>
  <c r="K207" i="9"/>
  <c r="Q207" i="9" s="1"/>
  <c r="W207" i="9"/>
  <c r="AC207" i="9" s="1"/>
  <c r="D243" i="7"/>
  <c r="J236" i="9"/>
  <c r="P236" i="9" s="1"/>
  <c r="V236" i="9"/>
  <c r="AB236" i="9" s="1"/>
  <c r="C272" i="7"/>
  <c r="W293" i="9"/>
  <c r="AC293" i="9" s="1"/>
  <c r="K293" i="9"/>
  <c r="Q293" i="9" s="1"/>
  <c r="D329" i="7"/>
  <c r="K170" i="9"/>
  <c r="Q170" i="9" s="1"/>
  <c r="W170" i="9"/>
  <c r="AC170" i="9" s="1"/>
  <c r="D206" i="7"/>
  <c r="J199" i="9"/>
  <c r="P199" i="9" s="1"/>
  <c r="V199" i="9"/>
  <c r="AB199" i="9" s="1"/>
  <c r="C235" i="7"/>
  <c r="I228" i="9"/>
  <c r="O228" i="9" s="1"/>
  <c r="U228" i="9"/>
  <c r="AA228" i="9" s="1"/>
  <c r="B264" i="7"/>
  <c r="W281" i="9"/>
  <c r="AC281" i="9" s="1"/>
  <c r="K281" i="9"/>
  <c r="Q281" i="9" s="1"/>
  <c r="D317" i="7"/>
  <c r="L236" i="9"/>
  <c r="R236" i="9" s="1"/>
  <c r="X236" i="9"/>
  <c r="AD236" i="9" s="1"/>
  <c r="E272" i="7"/>
  <c r="X151" i="9"/>
  <c r="AD151" i="9" s="1"/>
  <c r="L151" i="9"/>
  <c r="R151" i="9" s="1"/>
  <c r="E187" i="7"/>
  <c r="K180" i="9"/>
  <c r="Q180" i="9" s="1"/>
  <c r="W180" i="9"/>
  <c r="AC180" i="9" s="1"/>
  <c r="D216" i="7"/>
  <c r="V209" i="9"/>
  <c r="AB209" i="9" s="1"/>
  <c r="J209" i="9"/>
  <c r="P209" i="9" s="1"/>
  <c r="C245" i="7"/>
  <c r="I238" i="9"/>
  <c r="O238" i="9" s="1"/>
  <c r="U238" i="9"/>
  <c r="AA238" i="9" s="1"/>
  <c r="B274" i="7"/>
  <c r="Y193" i="9"/>
  <c r="AE193" i="9" s="1"/>
  <c r="M193" i="9"/>
  <c r="S193" i="9" s="1"/>
  <c r="F229" i="7"/>
  <c r="X222" i="9"/>
  <c r="AD222" i="9" s="1"/>
  <c r="L222" i="9"/>
  <c r="R222" i="9" s="1"/>
  <c r="E258" i="7"/>
  <c r="W254" i="9"/>
  <c r="AC254" i="9" s="1"/>
  <c r="K254" i="9"/>
  <c r="Q254" i="9" s="1"/>
  <c r="D290" i="7"/>
  <c r="V159" i="9"/>
  <c r="AB159" i="9" s="1"/>
  <c r="J159" i="9"/>
  <c r="P159" i="9" s="1"/>
  <c r="C195" i="7"/>
  <c r="I188" i="9"/>
  <c r="O188" i="9" s="1"/>
  <c r="U188" i="9"/>
  <c r="AA188" i="9" s="1"/>
  <c r="B224" i="7"/>
  <c r="Y216" i="9"/>
  <c r="AE216" i="9" s="1"/>
  <c r="M216" i="9"/>
  <c r="S216" i="9" s="1"/>
  <c r="F252" i="7"/>
  <c r="L245" i="9"/>
  <c r="R245" i="9" s="1"/>
  <c r="X245" i="9"/>
  <c r="AD245" i="9" s="1"/>
  <c r="E281" i="7"/>
  <c r="X160" i="9"/>
  <c r="AD160" i="9" s="1"/>
  <c r="L160" i="9"/>
  <c r="R160" i="9" s="1"/>
  <c r="E196" i="7"/>
  <c r="K189" i="9"/>
  <c r="Q189" i="9" s="1"/>
  <c r="W189" i="9"/>
  <c r="AC189" i="9" s="1"/>
  <c r="D225" i="7"/>
  <c r="V218" i="9"/>
  <c r="AB218" i="9" s="1"/>
  <c r="J218" i="9"/>
  <c r="P218" i="9" s="1"/>
  <c r="C254" i="7"/>
  <c r="I247" i="9"/>
  <c r="O247" i="9" s="1"/>
  <c r="U247" i="9"/>
  <c r="AA247" i="9" s="1"/>
  <c r="B283" i="7"/>
  <c r="K164" i="9"/>
  <c r="Q164" i="9" s="1"/>
  <c r="W164" i="9"/>
  <c r="AC164" i="9" s="1"/>
  <c r="D200" i="7"/>
  <c r="J193" i="9"/>
  <c r="P193" i="9" s="1"/>
  <c r="V193" i="9"/>
  <c r="AB193" i="9" s="1"/>
  <c r="C229" i="7"/>
  <c r="I222" i="9"/>
  <c r="O222" i="9" s="1"/>
  <c r="U222" i="9"/>
  <c r="AA222" i="9" s="1"/>
  <c r="B258" i="7"/>
  <c r="L251" i="9"/>
  <c r="R251" i="9" s="1"/>
  <c r="X251" i="9"/>
  <c r="AD251" i="9" s="1"/>
  <c r="E287" i="7"/>
  <c r="X265" i="9"/>
  <c r="AD265" i="9" s="1"/>
  <c r="L265" i="9"/>
  <c r="R265" i="9" s="1"/>
  <c r="E301" i="7"/>
  <c r="W294" i="9"/>
  <c r="AC294" i="9" s="1"/>
  <c r="K294" i="9"/>
  <c r="Q294" i="9" s="1"/>
  <c r="D330" i="7"/>
  <c r="J323" i="9"/>
  <c r="P323" i="9" s="1"/>
  <c r="V323" i="9"/>
  <c r="AB323" i="9" s="1"/>
  <c r="C359" i="7"/>
  <c r="K349" i="9"/>
  <c r="Q349" i="9" s="1"/>
  <c r="W349" i="9"/>
  <c r="AC349" i="9" s="1"/>
  <c r="D385" i="7"/>
  <c r="Y282" i="9"/>
  <c r="AE282" i="9" s="1"/>
  <c r="M282" i="9"/>
  <c r="S282" i="9" s="1"/>
  <c r="F318" i="7"/>
  <c r="L311" i="9"/>
  <c r="R311" i="9" s="1"/>
  <c r="X311" i="9"/>
  <c r="AD311" i="9" s="1"/>
  <c r="E347" i="7"/>
  <c r="X337" i="9"/>
  <c r="AD337" i="9" s="1"/>
  <c r="L337" i="9"/>
  <c r="R337" i="9" s="1"/>
  <c r="E373" i="7"/>
  <c r="M257" i="9"/>
  <c r="S257" i="9" s="1"/>
  <c r="Y257" i="9"/>
  <c r="AE257" i="9" s="1"/>
  <c r="F293" i="7"/>
  <c r="X286" i="9"/>
  <c r="AD286" i="9" s="1"/>
  <c r="L286" i="9"/>
  <c r="R286" i="9" s="1"/>
  <c r="E322" i="7"/>
  <c r="K315" i="9"/>
  <c r="Q315" i="9" s="1"/>
  <c r="W315" i="9"/>
  <c r="AC315" i="9" s="1"/>
  <c r="D351" i="7"/>
  <c r="L344" i="9"/>
  <c r="R344" i="9" s="1"/>
  <c r="X344" i="9"/>
  <c r="AD344" i="9" s="1"/>
  <c r="E380" i="7"/>
  <c r="V271" i="9"/>
  <c r="AB271" i="9" s="1"/>
  <c r="J271" i="9"/>
  <c r="P271" i="9" s="1"/>
  <c r="C307" i="7"/>
  <c r="I300" i="9"/>
  <c r="O300" i="9" s="1"/>
  <c r="U300" i="9"/>
  <c r="AA300" i="9" s="1"/>
  <c r="B336" i="7"/>
  <c r="Y328" i="9"/>
  <c r="AE328" i="9" s="1"/>
  <c r="M328" i="9"/>
  <c r="S328" i="9" s="1"/>
  <c r="F364" i="7"/>
  <c r="I263" i="9"/>
  <c r="O263" i="9" s="1"/>
  <c r="U263" i="9"/>
  <c r="AA263" i="9" s="1"/>
  <c r="B299" i="7"/>
  <c r="M291" i="9"/>
  <c r="S291" i="9" s="1"/>
  <c r="Y291" i="9"/>
  <c r="AE291" i="9" s="1"/>
  <c r="F327" i="7"/>
  <c r="X320" i="9"/>
  <c r="AD320" i="9" s="1"/>
  <c r="L320" i="9"/>
  <c r="R320" i="9" s="1"/>
  <c r="E356" i="7"/>
  <c r="L363" i="9"/>
  <c r="R363" i="9" s="1"/>
  <c r="X363" i="9"/>
  <c r="AD363" i="9" s="1"/>
  <c r="E399" i="7"/>
  <c r="I274" i="9"/>
  <c r="O274" i="9" s="1"/>
  <c r="U274" i="9"/>
  <c r="AA274" i="9" s="1"/>
  <c r="B310" i="7"/>
  <c r="M302" i="9"/>
  <c r="S302" i="9" s="1"/>
  <c r="Y302" i="9"/>
  <c r="AE302" i="9" s="1"/>
  <c r="F338" i="7"/>
  <c r="X331" i="9"/>
  <c r="AD331" i="9" s="1"/>
  <c r="L331" i="9"/>
  <c r="R331" i="9" s="1"/>
  <c r="E367" i="7"/>
  <c r="W251" i="9"/>
  <c r="AC251" i="9" s="1"/>
  <c r="K251" i="9"/>
  <c r="Q251" i="9" s="1"/>
  <c r="D287" i="7"/>
  <c r="J280" i="9"/>
  <c r="P280" i="9" s="1"/>
  <c r="V280" i="9"/>
  <c r="AB280" i="9" s="1"/>
  <c r="C316" i="7"/>
  <c r="U309" i="9"/>
  <c r="AA309" i="9" s="1"/>
  <c r="I309" i="9"/>
  <c r="O309" i="9" s="1"/>
  <c r="B345" i="7"/>
  <c r="L338" i="9"/>
  <c r="R338" i="9" s="1"/>
  <c r="X338" i="9"/>
  <c r="AD338" i="9" s="1"/>
  <c r="E374" i="7"/>
  <c r="I260" i="9"/>
  <c r="O260" i="9" s="1"/>
  <c r="U260" i="9"/>
  <c r="AA260" i="9" s="1"/>
  <c r="B296" i="7"/>
  <c r="Y288" i="9"/>
  <c r="AE288" i="9" s="1"/>
  <c r="M288" i="9"/>
  <c r="S288" i="9" s="1"/>
  <c r="F324" i="7"/>
  <c r="X317" i="9"/>
  <c r="AD317" i="9" s="1"/>
  <c r="L317" i="9"/>
  <c r="R317" i="9" s="1"/>
  <c r="E353" i="7"/>
  <c r="J349" i="9"/>
  <c r="P349" i="9" s="1"/>
  <c r="V349" i="9"/>
  <c r="AB349" i="9" s="1"/>
  <c r="C385" i="7"/>
  <c r="I259" i="9"/>
  <c r="O259" i="9" s="1"/>
  <c r="U259" i="9"/>
  <c r="AA259" i="9" s="1"/>
  <c r="B295" i="7"/>
  <c r="M287" i="9"/>
  <c r="S287" i="9" s="1"/>
  <c r="Y287" i="9"/>
  <c r="AE287" i="9" s="1"/>
  <c r="F323" i="7"/>
  <c r="L316" i="9"/>
  <c r="R316" i="9" s="1"/>
  <c r="X316" i="9"/>
  <c r="AD316" i="9" s="1"/>
  <c r="E352" i="7"/>
  <c r="M344" i="9"/>
  <c r="S344" i="9" s="1"/>
  <c r="Y344" i="9"/>
  <c r="AE344" i="9" s="1"/>
  <c r="F380" i="7"/>
  <c r="U258" i="9"/>
  <c r="AA258" i="9" s="1"/>
  <c r="I258" i="9"/>
  <c r="O258" i="9" s="1"/>
  <c r="B294" i="7"/>
  <c r="M286" i="9"/>
  <c r="S286" i="9" s="1"/>
  <c r="Y286" i="9"/>
  <c r="AE286" i="9" s="1"/>
  <c r="F322" i="7"/>
  <c r="X315" i="9"/>
  <c r="AD315" i="9" s="1"/>
  <c r="L315" i="9"/>
  <c r="R315" i="9" s="1"/>
  <c r="E351" i="7"/>
  <c r="Y349" i="9"/>
  <c r="AE349" i="9" s="1"/>
  <c r="M349" i="9"/>
  <c r="S349" i="9" s="1"/>
  <c r="F385" i="7"/>
  <c r="V264" i="9"/>
  <c r="AB264" i="9" s="1"/>
  <c r="J264" i="9"/>
  <c r="P264" i="9" s="1"/>
  <c r="C300" i="7"/>
  <c r="I293" i="9"/>
  <c r="O293" i="9" s="1"/>
  <c r="U293" i="9"/>
  <c r="AA293" i="9" s="1"/>
  <c r="B329" i="7"/>
  <c r="M321" i="9"/>
  <c r="S321" i="9" s="1"/>
  <c r="Y321" i="9"/>
  <c r="AE321" i="9" s="1"/>
  <c r="F357" i="7"/>
  <c r="J361" i="9"/>
  <c r="P361" i="9" s="1"/>
  <c r="V361" i="9"/>
  <c r="AB361" i="9" s="1"/>
  <c r="C397" i="7"/>
  <c r="W381" i="9"/>
  <c r="AC381" i="9" s="1"/>
  <c r="K381" i="9"/>
  <c r="Q381" i="9" s="1"/>
  <c r="D417" i="7"/>
  <c r="M359" i="9"/>
  <c r="S359" i="9" s="1"/>
  <c r="Y359" i="9"/>
  <c r="AE359" i="9" s="1"/>
  <c r="F395" i="7"/>
  <c r="V359" i="9"/>
  <c r="AB359" i="9" s="1"/>
  <c r="J359" i="9"/>
  <c r="P359" i="9" s="1"/>
  <c r="C395" i="7"/>
  <c r="I362" i="9"/>
  <c r="O362" i="9" s="1"/>
  <c r="U362" i="9"/>
  <c r="AA362" i="9" s="1"/>
  <c r="B398" i="7"/>
  <c r="X346" i="9"/>
  <c r="AD346" i="9" s="1"/>
  <c r="L346" i="9"/>
  <c r="R346" i="9" s="1"/>
  <c r="E382" i="7"/>
  <c r="J343" i="9"/>
  <c r="P343" i="9" s="1"/>
  <c r="V343" i="9"/>
  <c r="AB343" i="9" s="1"/>
  <c r="C379" i="7"/>
  <c r="I378" i="9"/>
  <c r="O378" i="9" s="1"/>
  <c r="U378" i="9"/>
  <c r="AA378" i="9" s="1"/>
  <c r="B414" i="7"/>
  <c r="J387" i="9"/>
  <c r="P387" i="9" s="1"/>
  <c r="V387" i="9"/>
  <c r="AB387" i="9" s="1"/>
  <c r="C423" i="7"/>
  <c r="V383" i="9"/>
  <c r="AB383" i="9" s="1"/>
  <c r="J383" i="9"/>
  <c r="P383" i="9" s="1"/>
  <c r="C419" i="7"/>
  <c r="J382" i="9"/>
  <c r="P382" i="9" s="1"/>
  <c r="V382" i="9"/>
  <c r="AB382" i="9" s="1"/>
  <c r="C418" i="7"/>
  <c r="M378" i="9"/>
  <c r="S378" i="9" s="1"/>
  <c r="Y378" i="9"/>
  <c r="AE378" i="9" s="1"/>
  <c r="F414" i="7"/>
  <c r="K375" i="9"/>
  <c r="Q375" i="9" s="1"/>
  <c r="W375" i="9"/>
  <c r="AC375" i="9" s="1"/>
  <c r="D411" i="7"/>
  <c r="Y376" i="9"/>
  <c r="AE376" i="9" s="1"/>
  <c r="M376" i="9"/>
  <c r="S376" i="9" s="1"/>
  <c r="F412" i="7"/>
  <c r="W373" i="9"/>
  <c r="AC373" i="9" s="1"/>
  <c r="K373" i="9"/>
  <c r="Q373" i="9" s="1"/>
  <c r="D409" i="7"/>
  <c r="I370" i="9"/>
  <c r="O370" i="9" s="1"/>
  <c r="U370" i="9"/>
  <c r="AA370" i="9" s="1"/>
  <c r="B406" i="7"/>
  <c r="M398" i="9"/>
  <c r="S398" i="9" s="1"/>
  <c r="Y398" i="9"/>
  <c r="AE398" i="9" s="1"/>
  <c r="F434" i="7"/>
  <c r="Y71" i="9"/>
  <c r="AE71" i="9" s="1"/>
  <c r="M71" i="9"/>
  <c r="S71" i="9" s="1"/>
  <c r="F107" i="7"/>
  <c r="K51" i="9"/>
  <c r="Q51" i="9" s="1"/>
  <c r="W51" i="9"/>
  <c r="AC51" i="9" s="1"/>
  <c r="D87" i="7"/>
  <c r="L55" i="9"/>
  <c r="R55" i="9" s="1"/>
  <c r="X55" i="9"/>
  <c r="AD55" i="9" s="1"/>
  <c r="E91" i="7"/>
  <c r="V41" i="9"/>
  <c r="AB41" i="9" s="1"/>
  <c r="J41" i="9"/>
  <c r="P41" i="9" s="1"/>
  <c r="C77" i="7"/>
  <c r="J147" i="9"/>
  <c r="P147" i="9" s="1"/>
  <c r="V147" i="9"/>
  <c r="AB147" i="9" s="1"/>
  <c r="C183" i="7"/>
  <c r="I91" i="9"/>
  <c r="O91" i="9" s="1"/>
  <c r="U91" i="9"/>
  <c r="AA91" i="9" s="1"/>
  <c r="B127" i="7"/>
  <c r="W104" i="9"/>
  <c r="AC104" i="9" s="1"/>
  <c r="K104" i="9"/>
  <c r="Q104" i="9" s="1"/>
  <c r="D140" i="7"/>
  <c r="J64" i="9"/>
  <c r="P64" i="9" s="1"/>
  <c r="V64" i="9"/>
  <c r="AB64" i="9" s="1"/>
  <c r="C100" i="7"/>
  <c r="U46" i="9"/>
  <c r="AA46" i="9" s="1"/>
  <c r="I46" i="9"/>
  <c r="O46" i="9" s="1"/>
  <c r="B82" i="7"/>
  <c r="Y131" i="9"/>
  <c r="AE131" i="9" s="1"/>
  <c r="M131" i="9"/>
  <c r="S131" i="9" s="1"/>
  <c r="F167" i="7"/>
  <c r="K94" i="9"/>
  <c r="Q94" i="9" s="1"/>
  <c r="W94" i="9"/>
  <c r="AC94" i="9" s="1"/>
  <c r="D130" i="7"/>
  <c r="V203" i="9"/>
  <c r="AB203" i="9" s="1"/>
  <c r="J203" i="9"/>
  <c r="P203" i="9" s="1"/>
  <c r="C239" i="7"/>
  <c r="W98" i="9"/>
  <c r="AC98" i="9" s="1"/>
  <c r="K98" i="9"/>
  <c r="Q98" i="9" s="1"/>
  <c r="D134" i="7"/>
  <c r="I160" i="9"/>
  <c r="O160" i="9" s="1"/>
  <c r="U160" i="9"/>
  <c r="AA160" i="9" s="1"/>
  <c r="B196" i="7"/>
  <c r="X190" i="9"/>
  <c r="AD190" i="9" s="1"/>
  <c r="L190" i="9"/>
  <c r="R190" i="9" s="1"/>
  <c r="E226" i="7"/>
  <c r="K192" i="9"/>
  <c r="Q192" i="9" s="1"/>
  <c r="W192" i="9"/>
  <c r="AC192" i="9" s="1"/>
  <c r="D228" i="7"/>
  <c r="Y228" i="9"/>
  <c r="AE228" i="9" s="1"/>
  <c r="M228" i="9"/>
  <c r="S228" i="9" s="1"/>
  <c r="F264" i="7"/>
  <c r="X374" i="9"/>
  <c r="AD374" i="9" s="1"/>
  <c r="L374" i="9"/>
  <c r="R374" i="9" s="1"/>
  <c r="E410" i="7"/>
  <c r="M269" i="9"/>
  <c r="S269" i="9" s="1"/>
  <c r="Y269" i="9"/>
  <c r="AE269" i="9" s="1"/>
  <c r="F305" i="7"/>
  <c r="X332" i="9"/>
  <c r="AD332" i="9" s="1"/>
  <c r="L332" i="9"/>
  <c r="R332" i="9" s="1"/>
  <c r="E368" i="7"/>
  <c r="I272" i="9"/>
  <c r="O272" i="9" s="1"/>
  <c r="U272" i="9"/>
  <c r="AA272" i="9" s="1"/>
  <c r="B308" i="7"/>
  <c r="V365" i="9"/>
  <c r="AB365" i="9" s="1"/>
  <c r="J365" i="9"/>
  <c r="P365" i="9" s="1"/>
  <c r="C401" i="7"/>
  <c r="U305" i="9"/>
  <c r="AA305" i="9" s="1"/>
  <c r="I305" i="9"/>
  <c r="O305" i="9" s="1"/>
  <c r="B341" i="7"/>
  <c r="J355" i="9"/>
  <c r="P355" i="9" s="1"/>
  <c r="V355" i="9"/>
  <c r="AB355" i="9" s="1"/>
  <c r="C391" i="7"/>
  <c r="W385" i="9"/>
  <c r="AC385" i="9" s="1"/>
  <c r="K385" i="9"/>
  <c r="Q385" i="9" s="1"/>
  <c r="D421" i="7"/>
  <c r="J85" i="9"/>
  <c r="P85" i="9" s="1"/>
  <c r="V85" i="9"/>
  <c r="AB85" i="9" s="1"/>
  <c r="C121" i="7"/>
  <c r="L53" i="9"/>
  <c r="R53" i="9" s="1"/>
  <c r="X53" i="9"/>
  <c r="AD53" i="9" s="1"/>
  <c r="E89" i="7"/>
  <c r="L136" i="9"/>
  <c r="R136" i="9" s="1"/>
  <c r="X136" i="9"/>
  <c r="AD136" i="9" s="1"/>
  <c r="E172" i="7"/>
  <c r="M51" i="9"/>
  <c r="S51" i="9" s="1"/>
  <c r="Y51" i="9"/>
  <c r="AE51" i="9" s="1"/>
  <c r="F87" i="7"/>
  <c r="J87" i="9"/>
  <c r="P87" i="9" s="1"/>
  <c r="V87" i="9"/>
  <c r="AB87" i="9" s="1"/>
  <c r="C123" i="7"/>
  <c r="U43" i="9"/>
  <c r="AA43" i="9" s="1"/>
  <c r="I43" i="9"/>
  <c r="O43" i="9" s="1"/>
  <c r="B79" i="7"/>
  <c r="I93" i="9"/>
  <c r="O93" i="9" s="1"/>
  <c r="U93" i="9"/>
  <c r="AA93" i="9" s="1"/>
  <c r="B129" i="7"/>
  <c r="M121" i="9"/>
  <c r="S121" i="9" s="1"/>
  <c r="Y121" i="9"/>
  <c r="AE121" i="9" s="1"/>
  <c r="F157" i="7"/>
  <c r="J166" i="9"/>
  <c r="P166" i="9" s="1"/>
  <c r="V166" i="9"/>
  <c r="AB166" i="9" s="1"/>
  <c r="C202" i="7"/>
  <c r="M69" i="9"/>
  <c r="S69" i="9" s="1"/>
  <c r="Y69" i="9"/>
  <c r="AE69" i="9" s="1"/>
  <c r="F105" i="7"/>
  <c r="X98" i="9"/>
  <c r="AD98" i="9" s="1"/>
  <c r="L98" i="9"/>
  <c r="R98" i="9" s="1"/>
  <c r="E134" i="7"/>
  <c r="K127" i="9"/>
  <c r="Q127" i="9" s="1"/>
  <c r="W127" i="9"/>
  <c r="AC127" i="9" s="1"/>
  <c r="D163" i="7"/>
  <c r="L168" i="9"/>
  <c r="R168" i="9" s="1"/>
  <c r="X168" i="9"/>
  <c r="AD168" i="9" s="1"/>
  <c r="E204" i="7"/>
  <c r="M68" i="9"/>
  <c r="S68" i="9" s="1"/>
  <c r="Y68" i="9"/>
  <c r="AE68" i="9" s="1"/>
  <c r="F104" i="7"/>
  <c r="L97" i="9"/>
  <c r="R97" i="9" s="1"/>
  <c r="X97" i="9"/>
  <c r="AD97" i="9" s="1"/>
  <c r="E133" i="7"/>
  <c r="K126" i="9"/>
  <c r="Q126" i="9" s="1"/>
  <c r="W126" i="9"/>
  <c r="AC126" i="9" s="1"/>
  <c r="D162" i="7"/>
  <c r="X157" i="9"/>
  <c r="AD157" i="9" s="1"/>
  <c r="L157" i="9"/>
  <c r="R157" i="9" s="1"/>
  <c r="E193" i="7"/>
  <c r="M67" i="9"/>
  <c r="S67" i="9" s="1"/>
  <c r="Y67" i="9"/>
  <c r="AE67" i="9" s="1"/>
  <c r="F103" i="7"/>
  <c r="L96" i="9"/>
  <c r="R96" i="9" s="1"/>
  <c r="X96" i="9"/>
  <c r="AD96" i="9" s="1"/>
  <c r="E132" i="7"/>
  <c r="W125" i="9"/>
  <c r="AC125" i="9" s="1"/>
  <c r="K125" i="9"/>
  <c r="Q125" i="9" s="1"/>
  <c r="D161" i="7"/>
  <c r="Y169" i="9"/>
  <c r="AE169" i="9" s="1"/>
  <c r="M169" i="9"/>
  <c r="S169" i="9" s="1"/>
  <c r="F205" i="7"/>
  <c r="J69" i="9"/>
  <c r="P69" i="9" s="1"/>
  <c r="V69" i="9"/>
  <c r="AB69" i="9" s="1"/>
  <c r="C105" i="7"/>
  <c r="I98" i="9"/>
  <c r="O98" i="9" s="1"/>
  <c r="U98" i="9"/>
  <c r="AA98" i="9" s="1"/>
  <c r="B134" i="7"/>
  <c r="M126" i="9"/>
  <c r="S126" i="9" s="1"/>
  <c r="Y126" i="9"/>
  <c r="AE126" i="9" s="1"/>
  <c r="F162" i="7"/>
  <c r="I172" i="9"/>
  <c r="O172" i="9" s="1"/>
  <c r="U172" i="9"/>
  <c r="AA172" i="9" s="1"/>
  <c r="B208" i="7"/>
  <c r="L70" i="9"/>
  <c r="R70" i="9" s="1"/>
  <c r="X70" i="9"/>
  <c r="AD70" i="9" s="1"/>
  <c r="E106" i="7"/>
  <c r="W99" i="9"/>
  <c r="AC99" i="9" s="1"/>
  <c r="K99" i="9"/>
  <c r="Q99" i="9" s="1"/>
  <c r="D135" i="7"/>
  <c r="J128" i="9"/>
  <c r="P128" i="9" s="1"/>
  <c r="V128" i="9"/>
  <c r="AB128" i="9" s="1"/>
  <c r="C164" i="7"/>
  <c r="Y163" i="9"/>
  <c r="AE163" i="9" s="1"/>
  <c r="M163" i="9"/>
  <c r="S163" i="9" s="1"/>
  <c r="F199" i="7"/>
  <c r="M355" i="9"/>
  <c r="S355" i="9" s="1"/>
  <c r="Y355" i="9"/>
  <c r="AE355" i="9" s="1"/>
  <c r="F391" i="7"/>
  <c r="M88" i="9"/>
  <c r="S88" i="9" s="1"/>
  <c r="Y88" i="9"/>
  <c r="AE88" i="9" s="1"/>
  <c r="F124" i="7"/>
  <c r="L117" i="9"/>
  <c r="R117" i="9" s="1"/>
  <c r="X117" i="9"/>
  <c r="AD117" i="9" s="1"/>
  <c r="E153" i="7"/>
  <c r="W146" i="9"/>
  <c r="AC146" i="9" s="1"/>
  <c r="K146" i="9"/>
  <c r="Q146" i="9" s="1"/>
  <c r="D182" i="7"/>
  <c r="K210" i="9"/>
  <c r="Q210" i="9" s="1"/>
  <c r="W210" i="9"/>
  <c r="AC210" i="9" s="1"/>
  <c r="D246" i="7"/>
  <c r="L80" i="9"/>
  <c r="R80" i="9" s="1"/>
  <c r="X80" i="9"/>
  <c r="AD80" i="9" s="1"/>
  <c r="E116" i="7"/>
  <c r="K109" i="9"/>
  <c r="Q109" i="9" s="1"/>
  <c r="W109" i="9"/>
  <c r="AC109" i="9" s="1"/>
  <c r="D145" i="7"/>
  <c r="J138" i="9"/>
  <c r="P138" i="9" s="1"/>
  <c r="V138" i="9"/>
  <c r="AB138" i="9" s="1"/>
  <c r="C174" i="7"/>
  <c r="M224" i="9"/>
  <c r="S224" i="9" s="1"/>
  <c r="Y224" i="9"/>
  <c r="AE224" i="9" s="1"/>
  <c r="F260" i="7"/>
  <c r="J113" i="9"/>
  <c r="P113" i="9" s="1"/>
  <c r="V113" i="9"/>
  <c r="AB113" i="9" s="1"/>
  <c r="C149" i="7"/>
  <c r="U142" i="9"/>
  <c r="AA142" i="9" s="1"/>
  <c r="I142" i="9"/>
  <c r="O142" i="9" s="1"/>
  <c r="B178" i="7"/>
  <c r="I231" i="9"/>
  <c r="O231" i="9" s="1"/>
  <c r="U231" i="9"/>
  <c r="AA231" i="9" s="1"/>
  <c r="B267" i="7"/>
  <c r="L182" i="9"/>
  <c r="R182" i="9" s="1"/>
  <c r="X182" i="9"/>
  <c r="AD182" i="9" s="1"/>
  <c r="E218" i="7"/>
  <c r="W211" i="9"/>
  <c r="AC211" i="9" s="1"/>
  <c r="K211" i="9"/>
  <c r="Q211" i="9" s="1"/>
  <c r="D247" i="7"/>
  <c r="J240" i="9"/>
  <c r="P240" i="9" s="1"/>
  <c r="V240" i="9"/>
  <c r="AB240" i="9" s="1"/>
  <c r="C276" i="7"/>
  <c r="I158" i="9"/>
  <c r="O158" i="9" s="1"/>
  <c r="U158" i="9"/>
  <c r="AA158" i="9" s="1"/>
  <c r="B194" i="7"/>
  <c r="M186" i="9"/>
  <c r="S186" i="9" s="1"/>
  <c r="Y186" i="9"/>
  <c r="AE186" i="9" s="1"/>
  <c r="F222" i="7"/>
  <c r="L215" i="9"/>
  <c r="R215" i="9" s="1"/>
  <c r="X215" i="9"/>
  <c r="AD215" i="9" s="1"/>
  <c r="E251" i="7"/>
  <c r="K244" i="9"/>
  <c r="Q244" i="9" s="1"/>
  <c r="W244" i="9"/>
  <c r="AC244" i="9" s="1"/>
  <c r="D280" i="7"/>
  <c r="J152" i="9"/>
  <c r="P152" i="9" s="1"/>
  <c r="V152" i="9"/>
  <c r="AB152" i="9" s="1"/>
  <c r="C188" i="7"/>
  <c r="I181" i="9"/>
  <c r="O181" i="9" s="1"/>
  <c r="U181" i="9"/>
  <c r="AA181" i="9" s="1"/>
  <c r="B217" i="7"/>
  <c r="M209" i="9"/>
  <c r="S209" i="9" s="1"/>
  <c r="Y209" i="9"/>
  <c r="AE209" i="9" s="1"/>
  <c r="F245" i="7"/>
  <c r="L238" i="9"/>
  <c r="R238" i="9" s="1"/>
  <c r="X238" i="9"/>
  <c r="AD238" i="9" s="1"/>
  <c r="E274" i="7"/>
  <c r="J322" i="9"/>
  <c r="P322" i="9" s="1"/>
  <c r="V322" i="9"/>
  <c r="AB322" i="9" s="1"/>
  <c r="C358" i="7"/>
  <c r="Y172" i="9"/>
  <c r="AE172" i="9" s="1"/>
  <c r="M172" i="9"/>
  <c r="S172" i="9" s="1"/>
  <c r="F208" i="7"/>
  <c r="L201" i="9"/>
  <c r="R201" i="9" s="1"/>
  <c r="X201" i="9"/>
  <c r="AD201" i="9" s="1"/>
  <c r="E237" i="7"/>
  <c r="K230" i="9"/>
  <c r="Q230" i="9" s="1"/>
  <c r="W230" i="9"/>
  <c r="AC230" i="9" s="1"/>
  <c r="D266" i="7"/>
  <c r="J310" i="9"/>
  <c r="P310" i="9" s="1"/>
  <c r="V310" i="9"/>
  <c r="AB310" i="9" s="1"/>
  <c r="C346" i="7"/>
  <c r="U239" i="9"/>
  <c r="AA239" i="9" s="1"/>
  <c r="I239" i="9"/>
  <c r="O239" i="9" s="1"/>
  <c r="B275" i="7"/>
  <c r="I154" i="9"/>
  <c r="O154" i="9" s="1"/>
  <c r="U154" i="9"/>
  <c r="AA154" i="9" s="1"/>
  <c r="B190" i="7"/>
  <c r="M182" i="9"/>
  <c r="S182" i="9" s="1"/>
  <c r="Y182" i="9"/>
  <c r="AE182" i="9" s="1"/>
  <c r="F218" i="7"/>
  <c r="L211" i="9"/>
  <c r="R211" i="9" s="1"/>
  <c r="X211" i="9"/>
  <c r="AD211" i="9" s="1"/>
  <c r="E247" i="7"/>
  <c r="K240" i="9"/>
  <c r="Q240" i="9" s="1"/>
  <c r="W240" i="9"/>
  <c r="AC240" i="9" s="1"/>
  <c r="D276" i="7"/>
  <c r="J196" i="9"/>
  <c r="P196" i="9" s="1"/>
  <c r="V196" i="9"/>
  <c r="AB196" i="9" s="1"/>
  <c r="C232" i="7"/>
  <c r="I225" i="9"/>
  <c r="O225" i="9" s="1"/>
  <c r="U225" i="9"/>
  <c r="AA225" i="9" s="1"/>
  <c r="B261" i="7"/>
  <c r="J255" i="9"/>
  <c r="P255" i="9" s="1"/>
  <c r="V255" i="9"/>
  <c r="AB255" i="9" s="1"/>
  <c r="C291" i="7"/>
  <c r="X161" i="9"/>
  <c r="AD161" i="9" s="1"/>
  <c r="L161" i="9"/>
  <c r="R161" i="9" s="1"/>
  <c r="E197" i="7"/>
  <c r="K190" i="9"/>
  <c r="Q190" i="9" s="1"/>
  <c r="W190" i="9"/>
  <c r="AC190" i="9" s="1"/>
  <c r="D226" i="7"/>
  <c r="V219" i="9"/>
  <c r="AB219" i="9" s="1"/>
  <c r="J219" i="9"/>
  <c r="P219" i="9" s="1"/>
  <c r="C255" i="7"/>
  <c r="I248" i="9"/>
  <c r="O248" i="9" s="1"/>
  <c r="U248" i="9"/>
  <c r="AA248" i="9" s="1"/>
  <c r="B284" i="7"/>
  <c r="I163" i="9"/>
  <c r="O163" i="9" s="1"/>
  <c r="U163" i="9"/>
  <c r="AA163" i="9" s="1"/>
  <c r="B199" i="7"/>
  <c r="M191" i="9"/>
  <c r="S191" i="9" s="1"/>
  <c r="Y191" i="9"/>
  <c r="AE191" i="9" s="1"/>
  <c r="F227" i="7"/>
  <c r="L220" i="9"/>
  <c r="R220" i="9" s="1"/>
  <c r="X220" i="9"/>
  <c r="AD220" i="9" s="1"/>
  <c r="E256" i="7"/>
  <c r="W249" i="9"/>
  <c r="AC249" i="9" s="1"/>
  <c r="K249" i="9"/>
  <c r="Q249" i="9" s="1"/>
  <c r="D285" i="7"/>
  <c r="Y166" i="9"/>
  <c r="AE166" i="9" s="1"/>
  <c r="M166" i="9"/>
  <c r="S166" i="9" s="1"/>
  <c r="F202" i="7"/>
  <c r="L195" i="9"/>
  <c r="R195" i="9" s="1"/>
  <c r="X195" i="9"/>
  <c r="AD195" i="9" s="1"/>
  <c r="E231" i="7"/>
  <c r="K224" i="9"/>
  <c r="Q224" i="9" s="1"/>
  <c r="W224" i="9"/>
  <c r="AC224" i="9" s="1"/>
  <c r="D260" i="7"/>
  <c r="M258" i="9"/>
  <c r="S258" i="9" s="1"/>
  <c r="Y258" i="9"/>
  <c r="AE258" i="9" s="1"/>
  <c r="F294" i="7"/>
  <c r="I268" i="9"/>
  <c r="O268" i="9" s="1"/>
  <c r="U268" i="9"/>
  <c r="AA268" i="9" s="1"/>
  <c r="B304" i="7"/>
  <c r="M296" i="9"/>
  <c r="S296" i="9" s="1"/>
  <c r="Y296" i="9"/>
  <c r="AE296" i="9" s="1"/>
  <c r="F332" i="7"/>
  <c r="L325" i="9"/>
  <c r="R325" i="9" s="1"/>
  <c r="X325" i="9"/>
  <c r="AD325" i="9" s="1"/>
  <c r="E361" i="7"/>
  <c r="I353" i="9"/>
  <c r="O353" i="9" s="1"/>
  <c r="U353" i="9"/>
  <c r="AA353" i="9" s="1"/>
  <c r="B389" i="7"/>
  <c r="J285" i="9"/>
  <c r="P285" i="9" s="1"/>
  <c r="V285" i="9"/>
  <c r="AB285" i="9" s="1"/>
  <c r="C321" i="7"/>
  <c r="I314" i="9"/>
  <c r="O314" i="9" s="1"/>
  <c r="U314" i="9"/>
  <c r="AA314" i="9" s="1"/>
  <c r="B350" i="7"/>
  <c r="I338" i="9"/>
  <c r="O338" i="9" s="1"/>
  <c r="U338" i="9"/>
  <c r="AA338" i="9" s="1"/>
  <c r="B374" i="7"/>
  <c r="V260" i="9"/>
  <c r="AB260" i="9" s="1"/>
  <c r="J260" i="9"/>
  <c r="P260" i="9" s="1"/>
  <c r="C296" i="7"/>
  <c r="I289" i="9"/>
  <c r="O289" i="9" s="1"/>
  <c r="U289" i="9"/>
  <c r="AA289" i="9" s="1"/>
  <c r="B325" i="7"/>
  <c r="M317" i="9"/>
  <c r="S317" i="9" s="1"/>
  <c r="Y317" i="9"/>
  <c r="AE317" i="9" s="1"/>
  <c r="F353" i="7"/>
  <c r="K346" i="9"/>
  <c r="Q346" i="9" s="1"/>
  <c r="W346" i="9"/>
  <c r="AC346" i="9" s="1"/>
  <c r="D382" i="7"/>
  <c r="X273" i="9"/>
  <c r="AD273" i="9" s="1"/>
  <c r="L273" i="9"/>
  <c r="R273" i="9" s="1"/>
  <c r="E309" i="7"/>
  <c r="W302" i="9"/>
  <c r="AC302" i="9" s="1"/>
  <c r="K302" i="9"/>
  <c r="Q302" i="9" s="1"/>
  <c r="D338" i="7"/>
  <c r="J331" i="9"/>
  <c r="P331" i="9" s="1"/>
  <c r="V331" i="9"/>
  <c r="AB331" i="9" s="1"/>
  <c r="C367" i="7"/>
  <c r="K265" i="9"/>
  <c r="Q265" i="9" s="1"/>
  <c r="W265" i="9"/>
  <c r="AC265" i="9" s="1"/>
  <c r="D301" i="7"/>
  <c r="J294" i="9"/>
  <c r="P294" i="9" s="1"/>
  <c r="V294" i="9"/>
  <c r="AB294" i="9" s="1"/>
  <c r="C330" i="7"/>
  <c r="I323" i="9"/>
  <c r="O323" i="9" s="1"/>
  <c r="U323" i="9"/>
  <c r="AA323" i="9" s="1"/>
  <c r="B359" i="7"/>
  <c r="M371" i="9"/>
  <c r="S371" i="9" s="1"/>
  <c r="Y371" i="9"/>
  <c r="AE371" i="9" s="1"/>
  <c r="F407" i="7"/>
  <c r="W276" i="9"/>
  <c r="AC276" i="9" s="1"/>
  <c r="K276" i="9"/>
  <c r="Q276" i="9" s="1"/>
  <c r="D312" i="7"/>
  <c r="J305" i="9"/>
  <c r="P305" i="9" s="1"/>
  <c r="V305" i="9"/>
  <c r="AB305" i="9" s="1"/>
  <c r="C341" i="7"/>
  <c r="I334" i="9"/>
  <c r="O334" i="9" s="1"/>
  <c r="U334" i="9"/>
  <c r="AA334" i="9" s="1"/>
  <c r="B370" i="7"/>
  <c r="Y253" i="9"/>
  <c r="AE253" i="9" s="1"/>
  <c r="M253" i="9"/>
  <c r="S253" i="9" s="1"/>
  <c r="F289" i="7"/>
  <c r="X282" i="9"/>
  <c r="AD282" i="9" s="1"/>
  <c r="L282" i="9"/>
  <c r="R282" i="9" s="1"/>
  <c r="E318" i="7"/>
  <c r="K311" i="9"/>
  <c r="Q311" i="9" s="1"/>
  <c r="W311" i="9"/>
  <c r="AC311" i="9" s="1"/>
  <c r="D347" i="7"/>
  <c r="U339" i="9"/>
  <c r="AA339" i="9" s="1"/>
  <c r="I339" i="9"/>
  <c r="O339" i="9" s="1"/>
  <c r="B375" i="7"/>
  <c r="W262" i="9"/>
  <c r="AC262" i="9" s="1"/>
  <c r="K262" i="9"/>
  <c r="Q262" i="9" s="1"/>
  <c r="D298" i="7"/>
  <c r="J291" i="9"/>
  <c r="P291" i="9" s="1"/>
  <c r="V291" i="9"/>
  <c r="AB291" i="9" s="1"/>
  <c r="C327" i="7"/>
  <c r="I320" i="9"/>
  <c r="O320" i="9" s="1"/>
  <c r="U320" i="9"/>
  <c r="AA320" i="9" s="1"/>
  <c r="B356" i="7"/>
  <c r="M351" i="9"/>
  <c r="S351" i="9" s="1"/>
  <c r="Y351" i="9"/>
  <c r="AE351" i="9" s="1"/>
  <c r="F387" i="7"/>
  <c r="W261" i="9"/>
  <c r="AC261" i="9" s="1"/>
  <c r="K261" i="9"/>
  <c r="Q261" i="9" s="1"/>
  <c r="D297" i="7"/>
  <c r="V290" i="9"/>
  <c r="AB290" i="9" s="1"/>
  <c r="J290" i="9"/>
  <c r="P290" i="9" s="1"/>
  <c r="C326" i="7"/>
  <c r="I319" i="9"/>
  <c r="O319" i="9" s="1"/>
  <c r="U319" i="9"/>
  <c r="AA319" i="9" s="1"/>
  <c r="B355" i="7"/>
  <c r="J348" i="9"/>
  <c r="P348" i="9" s="1"/>
  <c r="V348" i="9"/>
  <c r="AB348" i="9" s="1"/>
  <c r="C384" i="7"/>
  <c r="W260" i="9"/>
  <c r="AC260" i="9" s="1"/>
  <c r="K260" i="9"/>
  <c r="Q260" i="9" s="1"/>
  <c r="D296" i="7"/>
  <c r="J289" i="9"/>
  <c r="P289" i="9" s="1"/>
  <c r="V289" i="9"/>
  <c r="AB289" i="9" s="1"/>
  <c r="C325" i="7"/>
  <c r="U318" i="9"/>
  <c r="AA318" i="9" s="1"/>
  <c r="I318" i="9"/>
  <c r="O318" i="9" s="1"/>
  <c r="B354" i="7"/>
  <c r="L353" i="9"/>
  <c r="R353" i="9" s="1"/>
  <c r="X353" i="9"/>
  <c r="AD353" i="9" s="1"/>
  <c r="E389" i="7"/>
  <c r="L266" i="9"/>
  <c r="R266" i="9" s="1"/>
  <c r="X266" i="9"/>
  <c r="AD266" i="9" s="1"/>
  <c r="E302" i="7"/>
  <c r="W295" i="9"/>
  <c r="AC295" i="9" s="1"/>
  <c r="K295" i="9"/>
  <c r="Q295" i="9" s="1"/>
  <c r="D331" i="7"/>
  <c r="J324" i="9"/>
  <c r="P324" i="9" s="1"/>
  <c r="V324" i="9"/>
  <c r="AB324" i="9" s="1"/>
  <c r="C360" i="7"/>
  <c r="I366" i="9"/>
  <c r="O366" i="9" s="1"/>
  <c r="U366" i="9"/>
  <c r="AA366" i="9" s="1"/>
  <c r="B402" i="7"/>
  <c r="X388" i="9"/>
  <c r="AD388" i="9" s="1"/>
  <c r="L388" i="9"/>
  <c r="R388" i="9" s="1"/>
  <c r="E424" i="7"/>
  <c r="V362" i="9"/>
  <c r="AB362" i="9" s="1"/>
  <c r="J362" i="9"/>
  <c r="P362" i="9" s="1"/>
  <c r="C398" i="7"/>
  <c r="X361" i="9"/>
  <c r="AD361" i="9" s="1"/>
  <c r="L361" i="9"/>
  <c r="R361" i="9" s="1"/>
  <c r="E397" i="7"/>
  <c r="W364" i="9"/>
  <c r="AC364" i="9" s="1"/>
  <c r="K364" i="9"/>
  <c r="Q364" i="9" s="1"/>
  <c r="D400" i="7"/>
  <c r="I349" i="9"/>
  <c r="O349" i="9" s="1"/>
  <c r="U349" i="9"/>
  <c r="AA349" i="9" s="1"/>
  <c r="B385" i="7"/>
  <c r="X345" i="9"/>
  <c r="AD345" i="9" s="1"/>
  <c r="L345" i="9"/>
  <c r="R345" i="9" s="1"/>
  <c r="E381" i="7"/>
  <c r="J385" i="9"/>
  <c r="P385" i="9" s="1"/>
  <c r="V385" i="9"/>
  <c r="AB385" i="9" s="1"/>
  <c r="C421" i="7"/>
  <c r="L389" i="9"/>
  <c r="R389" i="9" s="1"/>
  <c r="X389" i="9"/>
  <c r="AD389" i="9" s="1"/>
  <c r="E425" i="7"/>
  <c r="X385" i="9"/>
  <c r="AD385" i="9" s="1"/>
  <c r="L385" i="9"/>
  <c r="R385" i="9" s="1"/>
  <c r="E421" i="7"/>
  <c r="X384" i="9"/>
  <c r="AD384" i="9" s="1"/>
  <c r="L384" i="9"/>
  <c r="R384" i="9" s="1"/>
  <c r="E420" i="7"/>
  <c r="J381" i="9"/>
  <c r="P381" i="9" s="1"/>
  <c r="V381" i="9"/>
  <c r="AB381" i="9" s="1"/>
  <c r="C417" i="7"/>
  <c r="Y377" i="9"/>
  <c r="AE377" i="9" s="1"/>
  <c r="M377" i="9"/>
  <c r="S377" i="9" s="1"/>
  <c r="F413" i="7"/>
  <c r="J379" i="9"/>
  <c r="P379" i="9" s="1"/>
  <c r="V379" i="9"/>
  <c r="AB379" i="9" s="1"/>
  <c r="C415" i="7"/>
  <c r="M375" i="9"/>
  <c r="S375" i="9" s="1"/>
  <c r="Y375" i="9"/>
  <c r="AE375" i="9" s="1"/>
  <c r="F411" i="7"/>
  <c r="W372" i="9"/>
  <c r="AC372" i="9" s="1"/>
  <c r="K372" i="9"/>
  <c r="Q372" i="9" s="1"/>
  <c r="D408" i="7"/>
  <c r="V250" i="9"/>
  <c r="AB250" i="9" s="1"/>
  <c r="J250" i="9"/>
  <c r="P250" i="9" s="1"/>
  <c r="C286" i="7"/>
  <c r="L111" i="9"/>
  <c r="R111" i="9" s="1"/>
  <c r="X111" i="9"/>
  <c r="AD111" i="9" s="1"/>
  <c r="E147" i="7"/>
  <c r="U139" i="9"/>
  <c r="AA139" i="9" s="1"/>
  <c r="I139" i="9"/>
  <c r="O139" i="9" s="1"/>
  <c r="B175" i="7"/>
  <c r="M82" i="9"/>
  <c r="S82" i="9" s="1"/>
  <c r="Y82" i="9"/>
  <c r="AE82" i="9" s="1"/>
  <c r="F118" i="7"/>
  <c r="I38" i="9"/>
  <c r="O38" i="9" s="1"/>
  <c r="U38" i="9"/>
  <c r="AA38" i="9" s="1"/>
  <c r="B74" i="7"/>
  <c r="K58" i="9"/>
  <c r="Q58" i="9" s="1"/>
  <c r="W58" i="9"/>
  <c r="AC58" i="9" s="1"/>
  <c r="D94" i="7"/>
  <c r="M40" i="9"/>
  <c r="S40" i="9" s="1"/>
  <c r="Y40" i="9"/>
  <c r="AE40" i="9" s="1"/>
  <c r="F76" i="7"/>
  <c r="K162" i="9"/>
  <c r="Q162" i="9" s="1"/>
  <c r="W162" i="9"/>
  <c r="AC162" i="9" s="1"/>
  <c r="D198" i="7"/>
  <c r="L43" i="9"/>
  <c r="R43" i="9" s="1"/>
  <c r="X43" i="9"/>
  <c r="AD43" i="9" s="1"/>
  <c r="E79" i="7"/>
  <c r="L75" i="9"/>
  <c r="R75" i="9" s="1"/>
  <c r="X75" i="9"/>
  <c r="AD75" i="9" s="1"/>
  <c r="E111" i="7"/>
  <c r="M48" i="9"/>
  <c r="S48" i="9" s="1"/>
  <c r="Y48" i="9"/>
  <c r="AE48" i="9" s="1"/>
  <c r="F84" i="7"/>
  <c r="V35" i="9"/>
  <c r="AB35" i="9" s="1"/>
  <c r="J35" i="9"/>
  <c r="P35" i="9" s="1"/>
  <c r="C71" i="7"/>
  <c r="K169" i="9"/>
  <c r="Q169" i="9" s="1"/>
  <c r="W169" i="9"/>
  <c r="AC169" i="9" s="1"/>
  <c r="D205" i="7"/>
  <c r="Y56" i="9"/>
  <c r="AE56" i="9" s="1"/>
  <c r="M56" i="9"/>
  <c r="S56" i="9" s="1"/>
  <c r="F92" i="7"/>
  <c r="M36" i="9"/>
  <c r="S36" i="9" s="1"/>
  <c r="Y36" i="9"/>
  <c r="AE36" i="9" s="1"/>
  <c r="F72" i="7"/>
  <c r="I50" i="9"/>
  <c r="O50" i="9" s="1"/>
  <c r="U50" i="9"/>
  <c r="AA50" i="9" s="1"/>
  <c r="B86" i="7"/>
  <c r="K78" i="9"/>
  <c r="Q78" i="9" s="1"/>
  <c r="W78" i="9"/>
  <c r="AC78" i="9" s="1"/>
  <c r="D114" i="7"/>
  <c r="Y78" i="9"/>
  <c r="AE78" i="9" s="1"/>
  <c r="M78" i="9"/>
  <c r="S78" i="9" s="1"/>
  <c r="F114" i="7"/>
  <c r="J127" i="9"/>
  <c r="P127" i="9" s="1"/>
  <c r="V127" i="9"/>
  <c r="AB127" i="9" s="1"/>
  <c r="C163" i="7"/>
  <c r="M249" i="9"/>
  <c r="S249" i="9" s="1"/>
  <c r="Y249" i="9"/>
  <c r="AE249" i="9" s="1"/>
  <c r="F285" i="7"/>
  <c r="L153" i="9"/>
  <c r="R153" i="9" s="1"/>
  <c r="X153" i="9"/>
  <c r="AD153" i="9" s="1"/>
  <c r="E189" i="7"/>
  <c r="V221" i="9"/>
  <c r="AB221" i="9" s="1"/>
  <c r="J221" i="9"/>
  <c r="P221" i="9" s="1"/>
  <c r="C257" i="7"/>
  <c r="I291" i="9"/>
  <c r="O291" i="9" s="1"/>
  <c r="U291" i="9"/>
  <c r="AA291" i="9" s="1"/>
  <c r="B327" i="7"/>
  <c r="L277" i="9"/>
  <c r="R277" i="9" s="1"/>
  <c r="X277" i="9"/>
  <c r="AD277" i="9" s="1"/>
  <c r="E313" i="7"/>
  <c r="W327" i="9"/>
  <c r="AC327" i="9" s="1"/>
  <c r="K327" i="9"/>
  <c r="Q327" i="9" s="1"/>
  <c r="D363" i="7"/>
  <c r="V257" i="9"/>
  <c r="AB257" i="9" s="1"/>
  <c r="J257" i="9"/>
  <c r="P257" i="9" s="1"/>
  <c r="C293" i="7"/>
  <c r="M300" i="9"/>
  <c r="S300" i="9" s="1"/>
  <c r="Y300" i="9"/>
  <c r="AE300" i="9" s="1"/>
  <c r="F336" i="7"/>
  <c r="I270" i="9"/>
  <c r="O270" i="9" s="1"/>
  <c r="U270" i="9"/>
  <c r="AA270" i="9" s="1"/>
  <c r="B306" i="7"/>
  <c r="I343" i="9"/>
  <c r="O343" i="9" s="1"/>
  <c r="U343" i="9"/>
  <c r="AA343" i="9" s="1"/>
  <c r="B379" i="7"/>
  <c r="V394" i="9"/>
  <c r="AB394" i="9" s="1"/>
  <c r="J394" i="9"/>
  <c r="P394" i="9" s="1"/>
  <c r="C430" i="7"/>
  <c r="I138" i="9"/>
  <c r="O138" i="9" s="1"/>
  <c r="U138" i="9"/>
  <c r="AA138" i="9" s="1"/>
  <c r="B174" i="7"/>
  <c r="J76" i="9"/>
  <c r="P76" i="9" s="1"/>
  <c r="V76" i="9"/>
  <c r="AB76" i="9" s="1"/>
  <c r="C112" i="7"/>
  <c r="L40" i="9"/>
  <c r="R40" i="9" s="1"/>
  <c r="X40" i="9"/>
  <c r="AD40" i="9" s="1"/>
  <c r="E76" i="7"/>
  <c r="L78" i="9"/>
  <c r="R78" i="9" s="1"/>
  <c r="X78" i="9"/>
  <c r="AD78" i="9" s="1"/>
  <c r="E114" i="7"/>
  <c r="J135" i="9"/>
  <c r="P135" i="9" s="1"/>
  <c r="V135" i="9"/>
  <c r="AB135" i="9" s="1"/>
  <c r="C171" i="7"/>
  <c r="L54" i="9"/>
  <c r="R54" i="9" s="1"/>
  <c r="X54" i="9"/>
  <c r="AD54" i="9" s="1"/>
  <c r="E90" i="7"/>
  <c r="K95" i="9"/>
  <c r="Q95" i="9" s="1"/>
  <c r="W95" i="9"/>
  <c r="AC95" i="9" s="1"/>
  <c r="D131" i="7"/>
  <c r="J124" i="9"/>
  <c r="P124" i="9" s="1"/>
  <c r="V124" i="9"/>
  <c r="AB124" i="9" s="1"/>
  <c r="C160" i="7"/>
  <c r="K173" i="9"/>
  <c r="Q173" i="9" s="1"/>
  <c r="W173" i="9"/>
  <c r="AC173" i="9" s="1"/>
  <c r="D209" i="7"/>
  <c r="J72" i="9"/>
  <c r="P72" i="9" s="1"/>
  <c r="V72" i="9"/>
  <c r="AB72" i="9" s="1"/>
  <c r="C108" i="7"/>
  <c r="I101" i="9"/>
  <c r="O101" i="9" s="1"/>
  <c r="U101" i="9"/>
  <c r="AA101" i="9" s="1"/>
  <c r="B137" i="7"/>
  <c r="M129" i="9"/>
  <c r="S129" i="9" s="1"/>
  <c r="Y129" i="9"/>
  <c r="AE129" i="9" s="1"/>
  <c r="F165" i="7"/>
  <c r="Y175" i="9"/>
  <c r="AE175" i="9" s="1"/>
  <c r="M175" i="9"/>
  <c r="S175" i="9" s="1"/>
  <c r="F211" i="7"/>
  <c r="V71" i="9"/>
  <c r="AB71" i="9" s="1"/>
  <c r="J71" i="9"/>
  <c r="P71" i="9" s="1"/>
  <c r="C107" i="7"/>
  <c r="U100" i="9"/>
  <c r="AA100" i="9" s="1"/>
  <c r="I100" i="9"/>
  <c r="O100" i="9" s="1"/>
  <c r="B136" i="7"/>
  <c r="Y128" i="9"/>
  <c r="AE128" i="9" s="1"/>
  <c r="M128" i="9"/>
  <c r="S128" i="9" s="1"/>
  <c r="F164" i="7"/>
  <c r="X164" i="9"/>
  <c r="AD164" i="9" s="1"/>
  <c r="L164" i="9"/>
  <c r="R164" i="9" s="1"/>
  <c r="E200" i="7"/>
  <c r="J70" i="9"/>
  <c r="P70" i="9" s="1"/>
  <c r="V70" i="9"/>
  <c r="AB70" i="9" s="1"/>
  <c r="C106" i="7"/>
  <c r="I99" i="9"/>
  <c r="O99" i="9" s="1"/>
  <c r="U99" i="9"/>
  <c r="AA99" i="9" s="1"/>
  <c r="B135" i="7"/>
  <c r="M127" i="9"/>
  <c r="S127" i="9" s="1"/>
  <c r="Y127" i="9"/>
  <c r="AE127" i="9" s="1"/>
  <c r="F163" i="7"/>
  <c r="U177" i="9"/>
  <c r="AA177" i="9" s="1"/>
  <c r="I177" i="9"/>
  <c r="O177" i="9" s="1"/>
  <c r="B213" i="7"/>
  <c r="L71" i="9"/>
  <c r="R71" i="9" s="1"/>
  <c r="X71" i="9"/>
  <c r="AD71" i="9" s="1"/>
  <c r="E107" i="7"/>
  <c r="K100" i="9"/>
  <c r="Q100" i="9" s="1"/>
  <c r="W100" i="9"/>
  <c r="AC100" i="9" s="1"/>
  <c r="D136" i="7"/>
  <c r="J129" i="9"/>
  <c r="P129" i="9" s="1"/>
  <c r="V129" i="9"/>
  <c r="AB129" i="9" s="1"/>
  <c r="C165" i="7"/>
  <c r="J179" i="9"/>
  <c r="P179" i="9" s="1"/>
  <c r="V179" i="9"/>
  <c r="AB179" i="9" s="1"/>
  <c r="C215" i="7"/>
  <c r="I73" i="9"/>
  <c r="O73" i="9" s="1"/>
  <c r="U73" i="9"/>
  <c r="AA73" i="9" s="1"/>
  <c r="B109" i="7"/>
  <c r="Y101" i="9"/>
  <c r="AE101" i="9" s="1"/>
  <c r="M101" i="9"/>
  <c r="S101" i="9" s="1"/>
  <c r="F137" i="7"/>
  <c r="L130" i="9"/>
  <c r="R130" i="9" s="1"/>
  <c r="X130" i="9"/>
  <c r="AD130" i="9" s="1"/>
  <c r="E166" i="7"/>
  <c r="U171" i="9"/>
  <c r="AA171" i="9" s="1"/>
  <c r="I171" i="9"/>
  <c r="O171" i="9" s="1"/>
  <c r="B207" i="7"/>
  <c r="L61" i="9"/>
  <c r="R61" i="9" s="1"/>
  <c r="X61" i="9"/>
  <c r="AD61" i="9" s="1"/>
  <c r="E97" i="7"/>
  <c r="J91" i="9"/>
  <c r="P91" i="9" s="1"/>
  <c r="V91" i="9"/>
  <c r="AB91" i="9" s="1"/>
  <c r="C127" i="7"/>
  <c r="I120" i="9"/>
  <c r="O120" i="9" s="1"/>
  <c r="U120" i="9"/>
  <c r="AA120" i="9" s="1"/>
  <c r="B156" i="7"/>
  <c r="M147" i="9"/>
  <c r="S147" i="9" s="1"/>
  <c r="Y147" i="9"/>
  <c r="AE147" i="9" s="1"/>
  <c r="F183" i="7"/>
  <c r="J214" i="9"/>
  <c r="P214" i="9" s="1"/>
  <c r="V214" i="9"/>
  <c r="AB214" i="9" s="1"/>
  <c r="C250" i="7"/>
  <c r="U83" i="9"/>
  <c r="AA83" i="9" s="1"/>
  <c r="I83" i="9"/>
  <c r="O83" i="9" s="1"/>
  <c r="B119" i="7"/>
  <c r="M111" i="9"/>
  <c r="S111" i="9" s="1"/>
  <c r="Y111" i="9"/>
  <c r="AE111" i="9" s="1"/>
  <c r="F147" i="7"/>
  <c r="X140" i="9"/>
  <c r="AD140" i="9" s="1"/>
  <c r="L140" i="9"/>
  <c r="R140" i="9" s="1"/>
  <c r="E176" i="7"/>
  <c r="J239" i="9"/>
  <c r="P239" i="9" s="1"/>
  <c r="V239" i="9"/>
  <c r="AB239" i="9" s="1"/>
  <c r="C275" i="7"/>
  <c r="L115" i="9"/>
  <c r="R115" i="9" s="1"/>
  <c r="X115" i="9"/>
  <c r="AD115" i="9" s="1"/>
  <c r="E151" i="7"/>
  <c r="K144" i="9"/>
  <c r="Q144" i="9" s="1"/>
  <c r="W144" i="9"/>
  <c r="AC144" i="9" s="1"/>
  <c r="D180" i="7"/>
  <c r="W245" i="9"/>
  <c r="AC245" i="9" s="1"/>
  <c r="K245" i="9"/>
  <c r="Q245" i="9" s="1"/>
  <c r="D281" i="7"/>
  <c r="I185" i="9"/>
  <c r="O185" i="9" s="1"/>
  <c r="U185" i="9"/>
  <c r="AA185" i="9" s="1"/>
  <c r="B221" i="7"/>
  <c r="Y213" i="9"/>
  <c r="AE213" i="9" s="1"/>
  <c r="M213" i="9"/>
  <c r="S213" i="9" s="1"/>
  <c r="F249" i="7"/>
  <c r="L242" i="9"/>
  <c r="R242" i="9" s="1"/>
  <c r="X242" i="9"/>
  <c r="AD242" i="9" s="1"/>
  <c r="E278" i="7"/>
  <c r="K160" i="9"/>
  <c r="Q160" i="9" s="1"/>
  <c r="W160" i="9"/>
  <c r="AC160" i="9" s="1"/>
  <c r="D196" i="7"/>
  <c r="V189" i="9"/>
  <c r="AB189" i="9" s="1"/>
  <c r="J189" i="9"/>
  <c r="P189" i="9" s="1"/>
  <c r="C225" i="7"/>
  <c r="U218" i="9"/>
  <c r="AA218" i="9" s="1"/>
  <c r="I218" i="9"/>
  <c r="O218" i="9" s="1"/>
  <c r="B254" i="7"/>
  <c r="M246" i="9"/>
  <c r="S246" i="9" s="1"/>
  <c r="Y246" i="9"/>
  <c r="AE246" i="9" s="1"/>
  <c r="F282" i="7"/>
  <c r="X154" i="9"/>
  <c r="AD154" i="9" s="1"/>
  <c r="L154" i="9"/>
  <c r="R154" i="9" s="1"/>
  <c r="E190" i="7"/>
  <c r="K183" i="9"/>
  <c r="Q183" i="9" s="1"/>
  <c r="W183" i="9"/>
  <c r="AC183" i="9" s="1"/>
  <c r="D219" i="7"/>
  <c r="V212" i="9"/>
  <c r="AB212" i="9" s="1"/>
  <c r="J212" i="9"/>
  <c r="P212" i="9" s="1"/>
  <c r="C248" i="7"/>
  <c r="I241" i="9"/>
  <c r="O241" i="9" s="1"/>
  <c r="U241" i="9"/>
  <c r="AA241" i="9" s="1"/>
  <c r="B277" i="7"/>
  <c r="J339" i="9"/>
  <c r="P339" i="9" s="1"/>
  <c r="V339" i="9"/>
  <c r="AB339" i="9" s="1"/>
  <c r="C375" i="7"/>
  <c r="J175" i="9"/>
  <c r="P175" i="9" s="1"/>
  <c r="V175" i="9"/>
  <c r="AB175" i="9" s="1"/>
  <c r="C211" i="7"/>
  <c r="I204" i="9"/>
  <c r="O204" i="9" s="1"/>
  <c r="U204" i="9"/>
  <c r="AA204" i="9" s="1"/>
  <c r="B240" i="7"/>
  <c r="M232" i="9"/>
  <c r="S232" i="9" s="1"/>
  <c r="Y232" i="9"/>
  <c r="AE232" i="9" s="1"/>
  <c r="F268" i="7"/>
  <c r="L212" i="9"/>
  <c r="R212" i="9" s="1"/>
  <c r="X212" i="9"/>
  <c r="AD212" i="9" s="1"/>
  <c r="E248" i="7"/>
  <c r="K241" i="9"/>
  <c r="Q241" i="9" s="1"/>
  <c r="W241" i="9"/>
  <c r="AC241" i="9" s="1"/>
  <c r="D277" i="7"/>
  <c r="K156" i="9"/>
  <c r="Q156" i="9" s="1"/>
  <c r="W156" i="9"/>
  <c r="AC156" i="9" s="1"/>
  <c r="D192" i="7"/>
  <c r="J185" i="9"/>
  <c r="P185" i="9" s="1"/>
  <c r="V185" i="9"/>
  <c r="AB185" i="9" s="1"/>
  <c r="C221" i="7"/>
  <c r="I214" i="9"/>
  <c r="O214" i="9" s="1"/>
  <c r="U214" i="9"/>
  <c r="AA214" i="9" s="1"/>
  <c r="B250" i="7"/>
  <c r="M242" i="9"/>
  <c r="S242" i="9" s="1"/>
  <c r="Y242" i="9"/>
  <c r="AE242" i="9" s="1"/>
  <c r="F278" i="7"/>
  <c r="L198" i="9"/>
  <c r="R198" i="9" s="1"/>
  <c r="X198" i="9"/>
  <c r="AD198" i="9" s="1"/>
  <c r="E234" i="7"/>
  <c r="K227" i="9"/>
  <c r="Q227" i="9" s="1"/>
  <c r="W227" i="9"/>
  <c r="AC227" i="9" s="1"/>
  <c r="D263" i="7"/>
  <c r="L261" i="9"/>
  <c r="R261" i="9" s="1"/>
  <c r="X261" i="9"/>
  <c r="AD261" i="9" s="1"/>
  <c r="E297" i="7"/>
  <c r="I164" i="9"/>
  <c r="O164" i="9" s="1"/>
  <c r="U164" i="9"/>
  <c r="AA164" i="9" s="1"/>
  <c r="B200" i="7"/>
  <c r="M192" i="9"/>
  <c r="S192" i="9" s="1"/>
  <c r="Y192" i="9"/>
  <c r="AE192" i="9" s="1"/>
  <c r="F228" i="7"/>
  <c r="L221" i="9"/>
  <c r="R221" i="9" s="1"/>
  <c r="X221" i="9"/>
  <c r="AD221" i="9" s="1"/>
  <c r="E257" i="7"/>
  <c r="K250" i="9"/>
  <c r="Q250" i="9" s="1"/>
  <c r="W250" i="9"/>
  <c r="AC250" i="9" s="1"/>
  <c r="D286" i="7"/>
  <c r="K165" i="9"/>
  <c r="Q165" i="9" s="1"/>
  <c r="W165" i="9"/>
  <c r="AC165" i="9" s="1"/>
  <c r="D201" i="7"/>
  <c r="J194" i="9"/>
  <c r="P194" i="9" s="1"/>
  <c r="V194" i="9"/>
  <c r="AB194" i="9" s="1"/>
  <c r="C230" i="7"/>
  <c r="I223" i="9"/>
  <c r="O223" i="9" s="1"/>
  <c r="U223" i="9"/>
  <c r="AA223" i="9" s="1"/>
  <c r="B259" i="7"/>
  <c r="Y259" i="9"/>
  <c r="AE259" i="9" s="1"/>
  <c r="M259" i="9"/>
  <c r="S259" i="9" s="1"/>
  <c r="F295" i="7"/>
  <c r="J169" i="9"/>
  <c r="P169" i="9" s="1"/>
  <c r="V169" i="9"/>
  <c r="AB169" i="9" s="1"/>
  <c r="C205" i="7"/>
  <c r="U198" i="9"/>
  <c r="AA198" i="9" s="1"/>
  <c r="I198" i="9"/>
  <c r="O198" i="9" s="1"/>
  <c r="B234" i="7"/>
  <c r="M226" i="9"/>
  <c r="S226" i="9" s="1"/>
  <c r="Y226" i="9"/>
  <c r="AE226" i="9" s="1"/>
  <c r="F262" i="7"/>
  <c r="X263" i="9"/>
  <c r="AD263" i="9" s="1"/>
  <c r="L263" i="9"/>
  <c r="R263" i="9" s="1"/>
  <c r="E299" i="7"/>
  <c r="W270" i="9"/>
  <c r="AC270" i="9" s="1"/>
  <c r="K270" i="9"/>
  <c r="Q270" i="9" s="1"/>
  <c r="D306" i="7"/>
  <c r="V299" i="9"/>
  <c r="AB299" i="9" s="1"/>
  <c r="J299" i="9"/>
  <c r="P299" i="9" s="1"/>
  <c r="C335" i="7"/>
  <c r="I328" i="9"/>
  <c r="O328" i="9" s="1"/>
  <c r="U328" i="9"/>
  <c r="AA328" i="9" s="1"/>
  <c r="B364" i="7"/>
  <c r="M357" i="9"/>
  <c r="S357" i="9" s="1"/>
  <c r="Y357" i="9"/>
  <c r="AE357" i="9" s="1"/>
  <c r="F393" i="7"/>
  <c r="L287" i="9"/>
  <c r="R287" i="9" s="1"/>
  <c r="X287" i="9"/>
  <c r="AD287" i="9" s="1"/>
  <c r="E323" i="7"/>
  <c r="K316" i="9"/>
  <c r="Q316" i="9" s="1"/>
  <c r="W316" i="9"/>
  <c r="AC316" i="9" s="1"/>
  <c r="D352" i="7"/>
  <c r="U345" i="9"/>
  <c r="AA345" i="9" s="1"/>
  <c r="I345" i="9"/>
  <c r="O345" i="9" s="1"/>
  <c r="B381" i="7"/>
  <c r="X262" i="9"/>
  <c r="AD262" i="9" s="1"/>
  <c r="L262" i="9"/>
  <c r="R262" i="9" s="1"/>
  <c r="E298" i="7"/>
  <c r="W291" i="9"/>
  <c r="AC291" i="9" s="1"/>
  <c r="K291" i="9"/>
  <c r="Q291" i="9" s="1"/>
  <c r="D327" i="7"/>
  <c r="V320" i="9"/>
  <c r="AB320" i="9" s="1"/>
  <c r="J320" i="9"/>
  <c r="P320" i="9" s="1"/>
  <c r="C356" i="7"/>
  <c r="I350" i="9"/>
  <c r="O350" i="9" s="1"/>
  <c r="U350" i="9"/>
  <c r="AA350" i="9" s="1"/>
  <c r="B386" i="7"/>
  <c r="I276" i="9"/>
  <c r="O276" i="9" s="1"/>
  <c r="U276" i="9"/>
  <c r="AA276" i="9" s="1"/>
  <c r="B312" i="7"/>
  <c r="Y304" i="9"/>
  <c r="AE304" i="9" s="1"/>
  <c r="M304" i="9"/>
  <c r="S304" i="9" s="1"/>
  <c r="F340" i="7"/>
  <c r="X333" i="9"/>
  <c r="AD333" i="9" s="1"/>
  <c r="L333" i="9"/>
  <c r="R333" i="9" s="1"/>
  <c r="E369" i="7"/>
  <c r="M267" i="9"/>
  <c r="S267" i="9" s="1"/>
  <c r="Y267" i="9"/>
  <c r="AE267" i="9" s="1"/>
  <c r="F303" i="7"/>
  <c r="L296" i="9"/>
  <c r="R296" i="9" s="1"/>
  <c r="X296" i="9"/>
  <c r="AD296" i="9" s="1"/>
  <c r="E332" i="7"/>
  <c r="K325" i="9"/>
  <c r="Q325" i="9" s="1"/>
  <c r="W325" i="9"/>
  <c r="AC325" i="9" s="1"/>
  <c r="D361" i="7"/>
  <c r="M385" i="9"/>
  <c r="S385" i="9" s="1"/>
  <c r="Y385" i="9"/>
  <c r="AE385" i="9" s="1"/>
  <c r="F421" i="7"/>
  <c r="M278" i="9"/>
  <c r="S278" i="9" s="1"/>
  <c r="Y278" i="9"/>
  <c r="AE278" i="9" s="1"/>
  <c r="F314" i="7"/>
  <c r="X307" i="9"/>
  <c r="AD307" i="9" s="1"/>
  <c r="L307" i="9"/>
  <c r="R307" i="9" s="1"/>
  <c r="E343" i="7"/>
  <c r="M339" i="9"/>
  <c r="S339" i="9" s="1"/>
  <c r="Y339" i="9"/>
  <c r="AE339" i="9" s="1"/>
  <c r="F375" i="7"/>
  <c r="V256" i="9"/>
  <c r="AB256" i="9" s="1"/>
  <c r="J256" i="9"/>
  <c r="P256" i="9" s="1"/>
  <c r="C292" i="7"/>
  <c r="I285" i="9"/>
  <c r="O285" i="9" s="1"/>
  <c r="U285" i="9"/>
  <c r="AA285" i="9" s="1"/>
  <c r="B321" i="7"/>
  <c r="Y313" i="9"/>
  <c r="AE313" i="9" s="1"/>
  <c r="M313" i="9"/>
  <c r="S313" i="9" s="1"/>
  <c r="F349" i="7"/>
  <c r="U342" i="9"/>
  <c r="AA342" i="9" s="1"/>
  <c r="I342" i="9"/>
  <c r="O342" i="9" s="1"/>
  <c r="B378" i="7"/>
  <c r="M264" i="9"/>
  <c r="S264" i="9" s="1"/>
  <c r="Y264" i="9"/>
  <c r="AE264" i="9" s="1"/>
  <c r="F300" i="7"/>
  <c r="L293" i="9"/>
  <c r="R293" i="9" s="1"/>
  <c r="X293" i="9"/>
  <c r="AD293" i="9" s="1"/>
  <c r="E329" i="7"/>
  <c r="K322" i="9"/>
  <c r="Q322" i="9" s="1"/>
  <c r="W322" i="9"/>
  <c r="AC322" i="9" s="1"/>
  <c r="D358" i="7"/>
  <c r="J354" i="9"/>
  <c r="P354" i="9" s="1"/>
  <c r="V354" i="9"/>
  <c r="AB354" i="9" s="1"/>
  <c r="C390" i="7"/>
  <c r="Y263" i="9"/>
  <c r="AE263" i="9" s="1"/>
  <c r="M263" i="9"/>
  <c r="S263" i="9" s="1"/>
  <c r="F299" i="7"/>
  <c r="X292" i="9"/>
  <c r="AD292" i="9" s="1"/>
  <c r="L292" i="9"/>
  <c r="R292" i="9" s="1"/>
  <c r="E328" i="7"/>
  <c r="K321" i="9"/>
  <c r="Q321" i="9" s="1"/>
  <c r="W321" i="9"/>
  <c r="AC321" i="9" s="1"/>
  <c r="D357" i="7"/>
  <c r="M350" i="9"/>
  <c r="S350" i="9" s="1"/>
  <c r="Y350" i="9"/>
  <c r="AE350" i="9" s="1"/>
  <c r="F386" i="7"/>
  <c r="M262" i="9"/>
  <c r="S262" i="9" s="1"/>
  <c r="Y262" i="9"/>
  <c r="AE262" i="9" s="1"/>
  <c r="F298" i="7"/>
  <c r="X291" i="9"/>
  <c r="AD291" i="9" s="1"/>
  <c r="L291" i="9"/>
  <c r="R291" i="9" s="1"/>
  <c r="E327" i="7"/>
  <c r="W320" i="9"/>
  <c r="AC320" i="9" s="1"/>
  <c r="K320" i="9"/>
  <c r="Q320" i="9" s="1"/>
  <c r="D356" i="7"/>
  <c r="K358" i="9"/>
  <c r="Q358" i="9" s="1"/>
  <c r="W358" i="9"/>
  <c r="AC358" i="9" s="1"/>
  <c r="D394" i="7"/>
  <c r="I269" i="9"/>
  <c r="O269" i="9" s="1"/>
  <c r="U269" i="9"/>
  <c r="AA269" i="9" s="1"/>
  <c r="B305" i="7"/>
  <c r="M297" i="9"/>
  <c r="S297" i="9" s="1"/>
  <c r="Y297" i="9"/>
  <c r="AE297" i="9" s="1"/>
  <c r="F333" i="7"/>
  <c r="X326" i="9"/>
  <c r="AD326" i="9" s="1"/>
  <c r="L326" i="9"/>
  <c r="R326" i="9" s="1"/>
  <c r="E362" i="7"/>
  <c r="X378" i="9"/>
  <c r="AD378" i="9" s="1"/>
  <c r="L378" i="9"/>
  <c r="R378" i="9" s="1"/>
  <c r="E414" i="7"/>
  <c r="Y395" i="9"/>
  <c r="AE395" i="9" s="1"/>
  <c r="M395" i="9"/>
  <c r="S395" i="9" s="1"/>
  <c r="F431" i="7"/>
  <c r="L364" i="9"/>
  <c r="R364" i="9" s="1"/>
  <c r="X364" i="9"/>
  <c r="AD364" i="9" s="1"/>
  <c r="E400" i="7"/>
  <c r="U364" i="9"/>
  <c r="AA364" i="9" s="1"/>
  <c r="I364" i="9"/>
  <c r="O364" i="9" s="1"/>
  <c r="B400" i="7"/>
  <c r="M366" i="9"/>
  <c r="S366" i="9" s="1"/>
  <c r="Y366" i="9"/>
  <c r="AE366" i="9" s="1"/>
  <c r="F402" i="7"/>
  <c r="W351" i="9"/>
  <c r="AC351" i="9" s="1"/>
  <c r="K351" i="9"/>
  <c r="Q351" i="9" s="1"/>
  <c r="D387" i="7"/>
  <c r="U348" i="9"/>
  <c r="AA348" i="9" s="1"/>
  <c r="I348" i="9"/>
  <c r="O348" i="9" s="1"/>
  <c r="B384" i="7"/>
  <c r="K392" i="9"/>
  <c r="Q392" i="9" s="1"/>
  <c r="W392" i="9"/>
  <c r="AC392" i="9" s="1"/>
  <c r="D428" i="7"/>
  <c r="I392" i="9"/>
  <c r="O392" i="9" s="1"/>
  <c r="U392" i="9"/>
  <c r="AA392" i="9" s="1"/>
  <c r="B428" i="7"/>
  <c r="U388" i="9"/>
  <c r="AA388" i="9" s="1"/>
  <c r="I388" i="9"/>
  <c r="O388" i="9" s="1"/>
  <c r="B424" i="7"/>
  <c r="I387" i="9"/>
  <c r="O387" i="9" s="1"/>
  <c r="U387" i="9"/>
  <c r="AA387" i="9" s="1"/>
  <c r="B423" i="7"/>
  <c r="L383" i="9"/>
  <c r="R383" i="9" s="1"/>
  <c r="X383" i="9"/>
  <c r="AD383" i="9" s="1"/>
  <c r="E419" i="7"/>
  <c r="J380" i="9"/>
  <c r="P380" i="9" s="1"/>
  <c r="V380" i="9"/>
  <c r="AB380" i="9" s="1"/>
  <c r="C416" i="7"/>
  <c r="X381" i="9"/>
  <c r="AD381" i="9" s="1"/>
  <c r="L381" i="9"/>
  <c r="R381" i="9" s="1"/>
  <c r="E417" i="7"/>
  <c r="V378" i="9"/>
  <c r="AB378" i="9" s="1"/>
  <c r="J378" i="9"/>
  <c r="P378" i="9" s="1"/>
  <c r="C414" i="7"/>
  <c r="M374" i="9"/>
  <c r="S374" i="9" s="1"/>
  <c r="Y374" i="9"/>
  <c r="AE374" i="9" s="1"/>
  <c r="F410" i="7"/>
  <c r="I66" i="9"/>
  <c r="O66" i="9" s="1"/>
  <c r="U66" i="9"/>
  <c r="AA66" i="9" s="1"/>
  <c r="B102" i="7"/>
  <c r="M46" i="9"/>
  <c r="S46" i="9" s="1"/>
  <c r="Y46" i="9"/>
  <c r="AE46" i="9" s="1"/>
  <c r="F82" i="7"/>
  <c r="U80" i="9"/>
  <c r="AA80" i="9" s="1"/>
  <c r="I80" i="9"/>
  <c r="O80" i="9" s="1"/>
  <c r="B116" i="7"/>
  <c r="J54" i="9"/>
  <c r="P54" i="9" s="1"/>
  <c r="V54" i="9"/>
  <c r="AB54" i="9" s="1"/>
  <c r="C90" i="7"/>
  <c r="X137" i="9"/>
  <c r="AD137" i="9" s="1"/>
  <c r="L137" i="9"/>
  <c r="R137" i="9" s="1"/>
  <c r="E173" i="7"/>
  <c r="M83" i="9"/>
  <c r="S83" i="9" s="1"/>
  <c r="Y83" i="9"/>
  <c r="AE83" i="9" s="1"/>
  <c r="F119" i="7"/>
  <c r="I155" i="9"/>
  <c r="O155" i="9" s="1"/>
  <c r="U155" i="9"/>
  <c r="AA155" i="9" s="1"/>
  <c r="B191" i="7"/>
  <c r="M94" i="9"/>
  <c r="S94" i="9" s="1"/>
  <c r="Y94" i="9"/>
  <c r="AE94" i="9" s="1"/>
  <c r="F130" i="7"/>
  <c r="U58" i="9"/>
  <c r="AA58" i="9" s="1"/>
  <c r="I58" i="9"/>
  <c r="O58" i="9" s="1"/>
  <c r="B94" i="7"/>
  <c r="J122" i="9"/>
  <c r="P122" i="9" s="1"/>
  <c r="V122" i="9"/>
  <c r="AB122" i="9" s="1"/>
  <c r="C158" i="7"/>
  <c r="K142" i="9"/>
  <c r="Q142" i="9" s="1"/>
  <c r="W142" i="9"/>
  <c r="AC142" i="9" s="1"/>
  <c r="D178" i="7"/>
  <c r="K43" i="9"/>
  <c r="Q43" i="9" s="1"/>
  <c r="W43" i="9"/>
  <c r="AC43" i="9" s="1"/>
  <c r="D79" i="7"/>
  <c r="J108" i="9"/>
  <c r="P108" i="9" s="1"/>
  <c r="V108" i="9"/>
  <c r="AB108" i="9" s="1"/>
  <c r="C144" i="7"/>
  <c r="K136" i="9"/>
  <c r="Q136" i="9" s="1"/>
  <c r="W136" i="9"/>
  <c r="AC136" i="9" s="1"/>
  <c r="D172" i="7"/>
  <c r="U221" i="9"/>
  <c r="AA221" i="9" s="1"/>
  <c r="I221" i="9"/>
  <c r="O221" i="9" s="1"/>
  <c r="B257" i="7"/>
  <c r="I347" i="9"/>
  <c r="O347" i="9" s="1"/>
  <c r="U347" i="9"/>
  <c r="AA347" i="9" s="1"/>
  <c r="B383" i="7"/>
  <c r="J52" i="9"/>
  <c r="P52" i="9" s="1"/>
  <c r="V52" i="9"/>
  <c r="AB52" i="9" s="1"/>
  <c r="C88" i="7"/>
  <c r="U127" i="9"/>
  <c r="AA127" i="9" s="1"/>
  <c r="I127" i="9"/>
  <c r="O127" i="9" s="1"/>
  <c r="B163" i="7"/>
  <c r="W50" i="9"/>
  <c r="AC50" i="9" s="1"/>
  <c r="K50" i="9"/>
  <c r="Q50" i="9" s="1"/>
  <c r="D86" i="7"/>
  <c r="L41" i="9"/>
  <c r="R41" i="9" s="1"/>
  <c r="X41" i="9"/>
  <c r="AD41" i="9" s="1"/>
  <c r="E77" i="7"/>
  <c r="M97" i="9"/>
  <c r="S97" i="9" s="1"/>
  <c r="Y97" i="9"/>
  <c r="AE97" i="9" s="1"/>
  <c r="F133" i="7"/>
  <c r="L126" i="9"/>
  <c r="R126" i="9" s="1"/>
  <c r="X126" i="9"/>
  <c r="AD126" i="9" s="1"/>
  <c r="E162" i="7"/>
  <c r="L180" i="9"/>
  <c r="R180" i="9" s="1"/>
  <c r="X180" i="9"/>
  <c r="AD180" i="9" s="1"/>
  <c r="E216" i="7"/>
  <c r="L74" i="9"/>
  <c r="R74" i="9" s="1"/>
  <c r="X74" i="9"/>
  <c r="AD74" i="9" s="1"/>
  <c r="E110" i="7"/>
  <c r="K103" i="9"/>
  <c r="Q103" i="9" s="1"/>
  <c r="W103" i="9"/>
  <c r="AC103" i="9" s="1"/>
  <c r="D139" i="7"/>
  <c r="J132" i="9"/>
  <c r="P132" i="9" s="1"/>
  <c r="V132" i="9"/>
  <c r="AB132" i="9" s="1"/>
  <c r="C168" i="7"/>
  <c r="U183" i="9"/>
  <c r="AA183" i="9" s="1"/>
  <c r="I183" i="9"/>
  <c r="O183" i="9" s="1"/>
  <c r="B219" i="7"/>
  <c r="X73" i="9"/>
  <c r="AD73" i="9" s="1"/>
  <c r="L73" i="9"/>
  <c r="R73" i="9" s="1"/>
  <c r="E109" i="7"/>
  <c r="K102" i="9"/>
  <c r="Q102" i="9" s="1"/>
  <c r="W102" i="9"/>
  <c r="AC102" i="9" s="1"/>
  <c r="D138" i="7"/>
  <c r="J131" i="9"/>
  <c r="P131" i="9" s="1"/>
  <c r="V131" i="9"/>
  <c r="AB131" i="9" s="1"/>
  <c r="C167" i="7"/>
  <c r="M171" i="9"/>
  <c r="S171" i="9" s="1"/>
  <c r="Y171" i="9"/>
  <c r="AE171" i="9" s="1"/>
  <c r="F207" i="7"/>
  <c r="L72" i="9"/>
  <c r="R72" i="9" s="1"/>
  <c r="X72" i="9"/>
  <c r="AD72" i="9" s="1"/>
  <c r="E108" i="7"/>
  <c r="W101" i="9"/>
  <c r="AC101" i="9" s="1"/>
  <c r="K101" i="9"/>
  <c r="Q101" i="9" s="1"/>
  <c r="D137" i="7"/>
  <c r="J130" i="9"/>
  <c r="P130" i="9" s="1"/>
  <c r="V130" i="9"/>
  <c r="AB130" i="9" s="1"/>
  <c r="C166" i="7"/>
  <c r="J184" i="9"/>
  <c r="P184" i="9" s="1"/>
  <c r="V184" i="9"/>
  <c r="AB184" i="9" s="1"/>
  <c r="C220" i="7"/>
  <c r="U74" i="9"/>
  <c r="AA74" i="9" s="1"/>
  <c r="I74" i="9"/>
  <c r="O74" i="9" s="1"/>
  <c r="B110" i="7"/>
  <c r="M102" i="9"/>
  <c r="S102" i="9" s="1"/>
  <c r="Y102" i="9"/>
  <c r="AE102" i="9" s="1"/>
  <c r="F138" i="7"/>
  <c r="X131" i="9"/>
  <c r="AD131" i="9" s="1"/>
  <c r="L131" i="9"/>
  <c r="R131" i="9" s="1"/>
  <c r="E167" i="7"/>
  <c r="K186" i="9"/>
  <c r="Q186" i="9" s="1"/>
  <c r="W186" i="9"/>
  <c r="AC186" i="9" s="1"/>
  <c r="D222" i="7"/>
  <c r="K75" i="9"/>
  <c r="Q75" i="9" s="1"/>
  <c r="W75" i="9"/>
  <c r="AC75" i="9" s="1"/>
  <c r="D111" i="7"/>
  <c r="J104" i="9"/>
  <c r="P104" i="9" s="1"/>
  <c r="V104" i="9"/>
  <c r="AB104" i="9" s="1"/>
  <c r="C140" i="7"/>
  <c r="U133" i="9"/>
  <c r="AA133" i="9" s="1"/>
  <c r="I133" i="9"/>
  <c r="O133" i="9" s="1"/>
  <c r="B169" i="7"/>
  <c r="J178" i="9"/>
  <c r="P178" i="9" s="1"/>
  <c r="V178" i="9"/>
  <c r="AB178" i="9" s="1"/>
  <c r="C214" i="7"/>
  <c r="I63" i="9"/>
  <c r="O63" i="9" s="1"/>
  <c r="U63" i="9"/>
  <c r="AA63" i="9" s="1"/>
  <c r="B99" i="7"/>
  <c r="L93" i="9"/>
  <c r="R93" i="9" s="1"/>
  <c r="X93" i="9"/>
  <c r="AD93" i="9" s="1"/>
  <c r="E129" i="7"/>
  <c r="W122" i="9"/>
  <c r="AC122" i="9" s="1"/>
  <c r="K122" i="9"/>
  <c r="Q122" i="9" s="1"/>
  <c r="D158" i="7"/>
  <c r="I149" i="9"/>
  <c r="O149" i="9" s="1"/>
  <c r="U149" i="9"/>
  <c r="AA149" i="9" s="1"/>
  <c r="B185" i="7"/>
  <c r="X228" i="9"/>
  <c r="AD228" i="9" s="1"/>
  <c r="L228" i="9"/>
  <c r="R228" i="9" s="1"/>
  <c r="E264" i="7"/>
  <c r="K85" i="9"/>
  <c r="Q85" i="9" s="1"/>
  <c r="W85" i="9"/>
  <c r="AC85" i="9" s="1"/>
  <c r="D121" i="7"/>
  <c r="J114" i="9"/>
  <c r="P114" i="9" s="1"/>
  <c r="V114" i="9"/>
  <c r="AB114" i="9" s="1"/>
  <c r="C150" i="7"/>
  <c r="I143" i="9"/>
  <c r="O143" i="9" s="1"/>
  <c r="U143" i="9"/>
  <c r="AA143" i="9" s="1"/>
  <c r="B179" i="7"/>
  <c r="W329" i="9"/>
  <c r="AC329" i="9" s="1"/>
  <c r="K329" i="9"/>
  <c r="Q329" i="9" s="1"/>
  <c r="D365" i="7"/>
  <c r="U118" i="9"/>
  <c r="AA118" i="9" s="1"/>
  <c r="I118" i="9"/>
  <c r="O118" i="9" s="1"/>
  <c r="B154" i="7"/>
  <c r="Y146" i="9"/>
  <c r="AE146" i="9" s="1"/>
  <c r="M146" i="9"/>
  <c r="S146" i="9" s="1"/>
  <c r="F182" i="7"/>
  <c r="X158" i="9"/>
  <c r="AD158" i="9" s="1"/>
  <c r="L158" i="9"/>
  <c r="R158" i="9" s="1"/>
  <c r="E194" i="7"/>
  <c r="K187" i="9"/>
  <c r="Q187" i="9" s="1"/>
  <c r="W187" i="9"/>
  <c r="AC187" i="9" s="1"/>
  <c r="D223" i="7"/>
  <c r="V216" i="9"/>
  <c r="AB216" i="9" s="1"/>
  <c r="J216" i="9"/>
  <c r="P216" i="9" s="1"/>
  <c r="C252" i="7"/>
  <c r="I245" i="9"/>
  <c r="O245" i="9" s="1"/>
  <c r="U245" i="9"/>
  <c r="AA245" i="9" s="1"/>
  <c r="B281" i="7"/>
  <c r="M162" i="9"/>
  <c r="S162" i="9" s="1"/>
  <c r="Y162" i="9"/>
  <c r="AE162" i="9" s="1"/>
  <c r="F198" i="7"/>
  <c r="L191" i="9"/>
  <c r="R191" i="9" s="1"/>
  <c r="X191" i="9"/>
  <c r="AD191" i="9" s="1"/>
  <c r="E227" i="7"/>
  <c r="K220" i="9"/>
  <c r="Q220" i="9" s="1"/>
  <c r="W220" i="9"/>
  <c r="AC220" i="9" s="1"/>
  <c r="D256" i="7"/>
  <c r="J249" i="9"/>
  <c r="P249" i="9" s="1"/>
  <c r="V249" i="9"/>
  <c r="AB249" i="9" s="1"/>
  <c r="C285" i="7"/>
  <c r="I157" i="9"/>
  <c r="O157" i="9" s="1"/>
  <c r="U157" i="9"/>
  <c r="AA157" i="9" s="1"/>
  <c r="B193" i="7"/>
  <c r="M185" i="9"/>
  <c r="S185" i="9" s="1"/>
  <c r="Y185" i="9"/>
  <c r="AE185" i="9" s="1"/>
  <c r="F221" i="7"/>
  <c r="L214" i="9"/>
  <c r="R214" i="9" s="1"/>
  <c r="X214" i="9"/>
  <c r="AD214" i="9" s="1"/>
  <c r="E250" i="7"/>
  <c r="K243" i="9"/>
  <c r="Q243" i="9" s="1"/>
  <c r="W243" i="9"/>
  <c r="AC243" i="9" s="1"/>
  <c r="D279" i="7"/>
  <c r="Y148" i="9"/>
  <c r="AE148" i="9" s="1"/>
  <c r="M148" i="9"/>
  <c r="S148" i="9" s="1"/>
  <c r="F184" i="7"/>
  <c r="L177" i="9"/>
  <c r="R177" i="9" s="1"/>
  <c r="X177" i="9"/>
  <c r="AD177" i="9" s="1"/>
  <c r="E213" i="7"/>
  <c r="K206" i="9"/>
  <c r="Q206" i="9" s="1"/>
  <c r="W206" i="9"/>
  <c r="AC206" i="9" s="1"/>
  <c r="D242" i="7"/>
  <c r="J235" i="9"/>
  <c r="P235" i="9" s="1"/>
  <c r="V235" i="9"/>
  <c r="AB235" i="9" s="1"/>
  <c r="C271" i="7"/>
  <c r="U215" i="9"/>
  <c r="AA215" i="9" s="1"/>
  <c r="I215" i="9"/>
  <c r="O215" i="9" s="1"/>
  <c r="B251" i="7"/>
  <c r="Y243" i="9"/>
  <c r="AE243" i="9" s="1"/>
  <c r="M243" i="9"/>
  <c r="S243" i="9" s="1"/>
  <c r="F279" i="7"/>
  <c r="M158" i="9"/>
  <c r="S158" i="9" s="1"/>
  <c r="Y158" i="9"/>
  <c r="AE158" i="9" s="1"/>
  <c r="F194" i="7"/>
  <c r="X187" i="9"/>
  <c r="AD187" i="9" s="1"/>
  <c r="L187" i="9"/>
  <c r="R187" i="9" s="1"/>
  <c r="E223" i="7"/>
  <c r="K216" i="9"/>
  <c r="Q216" i="9" s="1"/>
  <c r="W216" i="9"/>
  <c r="AC216" i="9" s="1"/>
  <c r="D252" i="7"/>
  <c r="V245" i="9"/>
  <c r="AB245" i="9" s="1"/>
  <c r="J245" i="9"/>
  <c r="P245" i="9" s="1"/>
  <c r="C281" i="7"/>
  <c r="I201" i="9"/>
  <c r="O201" i="9" s="1"/>
  <c r="U201" i="9"/>
  <c r="AA201" i="9" s="1"/>
  <c r="B237" i="7"/>
  <c r="M229" i="9"/>
  <c r="S229" i="9" s="1"/>
  <c r="Y229" i="9"/>
  <c r="AE229" i="9" s="1"/>
  <c r="F265" i="7"/>
  <c r="W269" i="9"/>
  <c r="AC269" i="9" s="1"/>
  <c r="K269" i="9"/>
  <c r="Q269" i="9" s="1"/>
  <c r="D305" i="7"/>
  <c r="K166" i="9"/>
  <c r="Q166" i="9" s="1"/>
  <c r="W166" i="9"/>
  <c r="AC166" i="9" s="1"/>
  <c r="D202" i="7"/>
  <c r="V195" i="9"/>
  <c r="AB195" i="9" s="1"/>
  <c r="J195" i="9"/>
  <c r="P195" i="9" s="1"/>
  <c r="C231" i="7"/>
  <c r="U224" i="9"/>
  <c r="AA224" i="9" s="1"/>
  <c r="I224" i="9"/>
  <c r="O224" i="9" s="1"/>
  <c r="B260" i="7"/>
  <c r="M252" i="9"/>
  <c r="S252" i="9" s="1"/>
  <c r="Y252" i="9"/>
  <c r="AE252" i="9" s="1"/>
  <c r="F288" i="7"/>
  <c r="M167" i="9"/>
  <c r="S167" i="9" s="1"/>
  <c r="Y167" i="9"/>
  <c r="AE167" i="9" s="1"/>
  <c r="F203" i="7"/>
  <c r="X196" i="9"/>
  <c r="AD196" i="9" s="1"/>
  <c r="L196" i="9"/>
  <c r="R196" i="9" s="1"/>
  <c r="E232" i="7"/>
  <c r="K225" i="9"/>
  <c r="Q225" i="9" s="1"/>
  <c r="W225" i="9"/>
  <c r="AC225" i="9" s="1"/>
  <c r="D261" i="7"/>
  <c r="M271" i="9"/>
  <c r="S271" i="9" s="1"/>
  <c r="Y271" i="9"/>
  <c r="AE271" i="9" s="1"/>
  <c r="F307" i="7"/>
  <c r="L171" i="9"/>
  <c r="R171" i="9" s="1"/>
  <c r="X171" i="9"/>
  <c r="AD171" i="9" s="1"/>
  <c r="E207" i="7"/>
  <c r="K200" i="9"/>
  <c r="Q200" i="9" s="1"/>
  <c r="W200" i="9"/>
  <c r="AC200" i="9" s="1"/>
  <c r="D236" i="7"/>
  <c r="J229" i="9"/>
  <c r="P229" i="9" s="1"/>
  <c r="V229" i="9"/>
  <c r="AB229" i="9" s="1"/>
  <c r="C265" i="7"/>
  <c r="M295" i="9"/>
  <c r="S295" i="9" s="1"/>
  <c r="Y295" i="9"/>
  <c r="AE295" i="9" s="1"/>
  <c r="F331" i="7"/>
  <c r="M272" i="9"/>
  <c r="S272" i="9" s="1"/>
  <c r="Y272" i="9"/>
  <c r="AE272" i="9" s="1"/>
  <c r="F308" i="7"/>
  <c r="X301" i="9"/>
  <c r="AD301" i="9" s="1"/>
  <c r="L301" i="9"/>
  <c r="R301" i="9" s="1"/>
  <c r="E337" i="7"/>
  <c r="W330" i="9"/>
  <c r="AC330" i="9" s="1"/>
  <c r="K330" i="9"/>
  <c r="Q330" i="9" s="1"/>
  <c r="D366" i="7"/>
  <c r="L362" i="9"/>
  <c r="R362" i="9" s="1"/>
  <c r="X362" i="9"/>
  <c r="AD362" i="9" s="1"/>
  <c r="E398" i="7"/>
  <c r="I290" i="9"/>
  <c r="O290" i="9" s="1"/>
  <c r="U290" i="9"/>
  <c r="AA290" i="9" s="1"/>
  <c r="B326" i="7"/>
  <c r="M318" i="9"/>
  <c r="S318" i="9" s="1"/>
  <c r="Y318" i="9"/>
  <c r="AE318" i="9" s="1"/>
  <c r="F354" i="7"/>
  <c r="W347" i="9"/>
  <c r="AC347" i="9" s="1"/>
  <c r="K347" i="9"/>
  <c r="Q347" i="9" s="1"/>
  <c r="D383" i="7"/>
  <c r="U265" i="9"/>
  <c r="AA265" i="9" s="1"/>
  <c r="I265" i="9"/>
  <c r="O265" i="9" s="1"/>
  <c r="B301" i="7"/>
  <c r="M293" i="9"/>
  <c r="S293" i="9" s="1"/>
  <c r="Y293" i="9"/>
  <c r="AE293" i="9" s="1"/>
  <c r="F329" i="7"/>
  <c r="L322" i="9"/>
  <c r="R322" i="9" s="1"/>
  <c r="X322" i="9"/>
  <c r="AD322" i="9" s="1"/>
  <c r="E358" i="7"/>
  <c r="V353" i="9"/>
  <c r="AB353" i="9" s="1"/>
  <c r="J353" i="9"/>
  <c r="P353" i="9" s="1"/>
  <c r="C389" i="7"/>
  <c r="W278" i="9"/>
  <c r="AC278" i="9" s="1"/>
  <c r="K278" i="9"/>
  <c r="Q278" i="9" s="1"/>
  <c r="D314" i="7"/>
  <c r="J307" i="9"/>
  <c r="P307" i="9" s="1"/>
  <c r="V307" i="9"/>
  <c r="AB307" i="9" s="1"/>
  <c r="C343" i="7"/>
  <c r="W341" i="9"/>
  <c r="AC341" i="9" s="1"/>
  <c r="K341" i="9"/>
  <c r="Q341" i="9" s="1"/>
  <c r="D377" i="7"/>
  <c r="J270" i="9"/>
  <c r="P270" i="9" s="1"/>
  <c r="V270" i="9"/>
  <c r="AB270" i="9" s="1"/>
  <c r="C306" i="7"/>
  <c r="I299" i="9"/>
  <c r="O299" i="9" s="1"/>
  <c r="U299" i="9"/>
  <c r="AA299" i="9" s="1"/>
  <c r="B335" i="7"/>
  <c r="M327" i="9"/>
  <c r="S327" i="9" s="1"/>
  <c r="Y327" i="9"/>
  <c r="AE327" i="9" s="1"/>
  <c r="F363" i="7"/>
  <c r="K252" i="9"/>
  <c r="Q252" i="9" s="1"/>
  <c r="W252" i="9"/>
  <c r="AC252" i="9" s="1"/>
  <c r="D288" i="7"/>
  <c r="J281" i="9"/>
  <c r="P281" i="9" s="1"/>
  <c r="V281" i="9"/>
  <c r="AB281" i="9" s="1"/>
  <c r="C317" i="7"/>
  <c r="U310" i="9"/>
  <c r="AA310" i="9" s="1"/>
  <c r="I310" i="9"/>
  <c r="O310" i="9" s="1"/>
  <c r="B346" i="7"/>
  <c r="V340" i="9"/>
  <c r="AB340" i="9" s="1"/>
  <c r="J340" i="9"/>
  <c r="P340" i="9" s="1"/>
  <c r="C376" i="7"/>
  <c r="L258" i="9"/>
  <c r="R258" i="9" s="1"/>
  <c r="X258" i="9"/>
  <c r="AD258" i="9" s="1"/>
  <c r="E294" i="7"/>
  <c r="K287" i="9"/>
  <c r="Q287" i="9" s="1"/>
  <c r="W287" i="9"/>
  <c r="AC287" i="9" s="1"/>
  <c r="D323" i="7"/>
  <c r="J316" i="9"/>
  <c r="P316" i="9" s="1"/>
  <c r="V316" i="9"/>
  <c r="AB316" i="9" s="1"/>
  <c r="C352" i="7"/>
  <c r="Y343" i="9"/>
  <c r="AE343" i="9" s="1"/>
  <c r="M343" i="9"/>
  <c r="S343" i="9" s="1"/>
  <c r="F379" i="7"/>
  <c r="J267" i="9"/>
  <c r="P267" i="9" s="1"/>
  <c r="V267" i="9"/>
  <c r="AB267" i="9" s="1"/>
  <c r="C303" i="7"/>
  <c r="I296" i="9"/>
  <c r="O296" i="9" s="1"/>
  <c r="U296" i="9"/>
  <c r="AA296" i="9" s="1"/>
  <c r="B332" i="7"/>
  <c r="M324" i="9"/>
  <c r="S324" i="9" s="1"/>
  <c r="Y324" i="9"/>
  <c r="AE324" i="9" s="1"/>
  <c r="F360" i="7"/>
  <c r="U359" i="9"/>
  <c r="AA359" i="9" s="1"/>
  <c r="I359" i="9"/>
  <c r="O359" i="9" s="1"/>
  <c r="B395" i="7"/>
  <c r="J266" i="9"/>
  <c r="P266" i="9" s="1"/>
  <c r="V266" i="9"/>
  <c r="AB266" i="9" s="1"/>
  <c r="C302" i="7"/>
  <c r="I295" i="9"/>
  <c r="O295" i="9" s="1"/>
  <c r="U295" i="9"/>
  <c r="AA295" i="9" s="1"/>
  <c r="B331" i="7"/>
  <c r="M323" i="9"/>
  <c r="S323" i="9" s="1"/>
  <c r="Y323" i="9"/>
  <c r="AE323" i="9" s="1"/>
  <c r="F359" i="7"/>
  <c r="L355" i="9"/>
  <c r="R355" i="9" s="1"/>
  <c r="X355" i="9"/>
  <c r="AD355" i="9" s="1"/>
  <c r="E391" i="7"/>
  <c r="J265" i="9"/>
  <c r="P265" i="9" s="1"/>
  <c r="V265" i="9"/>
  <c r="AB265" i="9" s="1"/>
  <c r="C301" i="7"/>
  <c r="I294" i="9"/>
  <c r="O294" i="9" s="1"/>
  <c r="U294" i="9"/>
  <c r="AA294" i="9" s="1"/>
  <c r="B330" i="7"/>
  <c r="Y322" i="9"/>
  <c r="AE322" i="9" s="1"/>
  <c r="M322" i="9"/>
  <c r="S322" i="9" s="1"/>
  <c r="F358" i="7"/>
  <c r="V363" i="9"/>
  <c r="AB363" i="9" s="1"/>
  <c r="J363" i="9"/>
  <c r="P363" i="9" s="1"/>
  <c r="C399" i="7"/>
  <c r="K271" i="9"/>
  <c r="Q271" i="9" s="1"/>
  <c r="W271" i="9"/>
  <c r="AC271" i="9" s="1"/>
  <c r="D307" i="7"/>
  <c r="J300" i="9"/>
  <c r="P300" i="9" s="1"/>
  <c r="V300" i="9"/>
  <c r="AB300" i="9" s="1"/>
  <c r="C336" i="7"/>
  <c r="I329" i="9"/>
  <c r="O329" i="9" s="1"/>
  <c r="U329" i="9"/>
  <c r="AA329" i="9" s="1"/>
  <c r="B365" i="7"/>
  <c r="I393" i="9"/>
  <c r="O393" i="9" s="1"/>
  <c r="U393" i="9"/>
  <c r="AA393" i="9" s="1"/>
  <c r="B429" i="7"/>
  <c r="J338" i="9"/>
  <c r="P338" i="9" s="1"/>
  <c r="V338" i="9"/>
  <c r="AB338" i="9" s="1"/>
  <c r="C374" i="7"/>
  <c r="I367" i="9"/>
  <c r="O367" i="9" s="1"/>
  <c r="U367" i="9"/>
  <c r="AA367" i="9" s="1"/>
  <c r="B403" i="7"/>
  <c r="W366" i="9"/>
  <c r="AC366" i="9" s="1"/>
  <c r="K366" i="9"/>
  <c r="Q366" i="9" s="1"/>
  <c r="D402" i="7"/>
  <c r="L369" i="9"/>
  <c r="R369" i="9" s="1"/>
  <c r="X369" i="9"/>
  <c r="AD369" i="9" s="1"/>
  <c r="E405" i="7"/>
  <c r="M353" i="9"/>
  <c r="S353" i="9" s="1"/>
  <c r="Y353" i="9"/>
  <c r="AE353" i="9" s="1"/>
  <c r="F389" i="7"/>
  <c r="W350" i="9"/>
  <c r="AC350" i="9" s="1"/>
  <c r="K350" i="9"/>
  <c r="Q350" i="9" s="1"/>
  <c r="D386" i="7"/>
  <c r="X399" i="9"/>
  <c r="AD399" i="9" s="1"/>
  <c r="L399" i="9"/>
  <c r="R399" i="9" s="1"/>
  <c r="E435" i="7"/>
  <c r="W394" i="9"/>
  <c r="AC394" i="9" s="1"/>
  <c r="K394" i="9"/>
  <c r="Q394" i="9" s="1"/>
  <c r="D430" i="7"/>
  <c r="W390" i="9"/>
  <c r="AC390" i="9" s="1"/>
  <c r="K390" i="9"/>
  <c r="Q390" i="9" s="1"/>
  <c r="D426" i="7"/>
  <c r="K389" i="9"/>
  <c r="Q389" i="9" s="1"/>
  <c r="W389" i="9"/>
  <c r="AC389" i="9" s="1"/>
  <c r="D425" i="7"/>
  <c r="I386" i="9"/>
  <c r="O386" i="9" s="1"/>
  <c r="U386" i="9"/>
  <c r="AA386" i="9" s="1"/>
  <c r="B422" i="7"/>
  <c r="X382" i="9"/>
  <c r="AD382" i="9" s="1"/>
  <c r="L382" i="9"/>
  <c r="R382" i="9" s="1"/>
  <c r="E418" i="7"/>
  <c r="I384" i="9"/>
  <c r="O384" i="9" s="1"/>
  <c r="U384" i="9"/>
  <c r="AA384" i="9" s="1"/>
  <c r="B420" i="7"/>
  <c r="X380" i="9"/>
  <c r="AD380" i="9" s="1"/>
  <c r="L380" i="9"/>
  <c r="R380" i="9" s="1"/>
  <c r="E416" i="7"/>
  <c r="J377" i="9"/>
  <c r="P377" i="9" s="1"/>
  <c r="V377" i="9"/>
  <c r="AB377" i="9" s="1"/>
  <c r="C413" i="7"/>
  <c r="I184" i="9"/>
  <c r="O184" i="9" s="1"/>
  <c r="U184" i="9"/>
  <c r="AA184" i="9" s="1"/>
  <c r="B220" i="7"/>
  <c r="I102" i="9"/>
  <c r="O102" i="9" s="1"/>
  <c r="U102" i="9"/>
  <c r="AA102" i="9" s="1"/>
  <c r="B138" i="7"/>
  <c r="K129" i="9"/>
  <c r="Q129" i="9" s="1"/>
  <c r="W129" i="9"/>
  <c r="AC129" i="9" s="1"/>
  <c r="D165" i="7"/>
  <c r="I51" i="9"/>
  <c r="O51" i="9" s="1"/>
  <c r="U51" i="9"/>
  <c r="AA51" i="9" s="1"/>
  <c r="B87" i="7"/>
  <c r="X76" i="9"/>
  <c r="AD76" i="9" s="1"/>
  <c r="L76" i="9"/>
  <c r="R76" i="9" s="1"/>
  <c r="E112" i="7"/>
  <c r="Y53" i="9"/>
  <c r="AE53" i="9" s="1"/>
  <c r="M53" i="9"/>
  <c r="S53" i="9" s="1"/>
  <c r="F89" i="7"/>
  <c r="K39" i="9"/>
  <c r="Q39" i="9" s="1"/>
  <c r="W39" i="9"/>
  <c r="AC39" i="9" s="1"/>
  <c r="D75" i="7"/>
  <c r="J42" i="9"/>
  <c r="P42" i="9" s="1"/>
  <c r="V42" i="9"/>
  <c r="AB42" i="9" s="1"/>
  <c r="C78" i="7"/>
  <c r="U70" i="9"/>
  <c r="AA70" i="9" s="1"/>
  <c r="I70" i="9"/>
  <c r="O70" i="9" s="1"/>
  <c r="B106" i="7"/>
  <c r="W47" i="9"/>
  <c r="AC47" i="9" s="1"/>
  <c r="K47" i="9"/>
  <c r="Q47" i="9" s="1"/>
  <c r="D83" i="7"/>
  <c r="K84" i="9"/>
  <c r="Q84" i="9" s="1"/>
  <c r="W84" i="9"/>
  <c r="AC84" i="9" s="1"/>
  <c r="D120" i="7"/>
  <c r="K55" i="9"/>
  <c r="Q55" i="9" s="1"/>
  <c r="W55" i="9"/>
  <c r="AC55" i="9" s="1"/>
  <c r="D91" i="7"/>
  <c r="B8" i="4" l="1"/>
  <c r="B8" i="5" s="1"/>
  <c r="F8" i="5" s="1"/>
  <c r="B8" i="8"/>
  <c r="B14" i="8"/>
  <c r="F5" i="8" s="1"/>
  <c r="B15" i="8"/>
  <c r="F3" i="8" s="1"/>
  <c r="B15" i="5"/>
  <c r="L7" i="5" s="1"/>
  <c r="B14" i="5"/>
  <c r="F9" i="5" s="1"/>
  <c r="E3" i="10"/>
  <c r="E2" i="10" s="1"/>
  <c r="J13" i="14"/>
  <c r="J14" i="14" s="1"/>
  <c r="J15" i="14" s="1"/>
  <c r="J16" i="14" s="1"/>
  <c r="J17" i="14" s="1"/>
  <c r="J18" i="14" s="1"/>
  <c r="J19" i="14" s="1"/>
  <c r="J20" i="14" s="1"/>
  <c r="J21" i="14" s="1"/>
  <c r="J22" i="14" s="1"/>
  <c r="J23" i="14" s="1"/>
  <c r="J24" i="14" s="1"/>
  <c r="J25" i="14" s="1"/>
  <c r="J26" i="14" s="1"/>
  <c r="J27" i="14" s="1"/>
  <c r="J28" i="14" s="1"/>
  <c r="J29" i="14" s="1"/>
  <c r="J30" i="14" s="1"/>
  <c r="J31" i="14" s="1"/>
  <c r="J32" i="14" s="1"/>
  <c r="J33" i="14" s="1"/>
  <c r="J34" i="14" s="1"/>
  <c r="J35" i="14" s="1"/>
  <c r="J36" i="14" s="1"/>
  <c r="J37" i="14" s="1"/>
  <c r="J38" i="14" s="1"/>
  <c r="J39" i="14" s="1"/>
  <c r="J40" i="14" s="1"/>
  <c r="J41" i="14" s="1"/>
  <c r="J42" i="14" s="1"/>
  <c r="J43" i="14" s="1"/>
  <c r="J44" i="14" s="1"/>
  <c r="J45" i="14" s="1"/>
  <c r="J46" i="14" s="1"/>
  <c r="J47" i="14" s="1"/>
  <c r="J48" i="14" s="1"/>
  <c r="J49" i="14" s="1"/>
  <c r="J50" i="14" s="1"/>
  <c r="J51" i="14" s="1"/>
  <c r="J52" i="14" s="1"/>
  <c r="J53" i="14" s="1"/>
  <c r="J54" i="14" s="1"/>
  <c r="J55" i="14" s="1"/>
  <c r="J56" i="14" s="1"/>
  <c r="J57" i="14" s="1"/>
  <c r="J58" i="14" s="1"/>
  <c r="J59" i="14" s="1"/>
  <c r="J60" i="14" s="1"/>
  <c r="J61" i="14" s="1"/>
  <c r="J62" i="14" s="1"/>
  <c r="J63" i="14" s="1"/>
  <c r="J64" i="14" s="1"/>
  <c r="J65" i="14" s="1"/>
  <c r="J66" i="14" s="1"/>
  <c r="J67" i="14" s="1"/>
  <c r="J68" i="14" s="1"/>
  <c r="J69" i="14" s="1"/>
  <c r="J70" i="14" s="1"/>
  <c r="J71" i="14" s="1"/>
  <c r="J72" i="14" s="1"/>
  <c r="J73" i="14" s="1"/>
  <c r="J74" i="14" s="1"/>
  <c r="J75" i="14" s="1"/>
  <c r="J76" i="14" s="1"/>
  <c r="J77" i="14" s="1"/>
  <c r="J78" i="14" s="1"/>
  <c r="J79" i="14" s="1"/>
  <c r="J80" i="14" s="1"/>
  <c r="J81" i="14" s="1"/>
  <c r="J82" i="14" s="1"/>
  <c r="J83" i="14" s="1"/>
  <c r="J84" i="14" s="1"/>
  <c r="J85" i="14" s="1"/>
  <c r="J86" i="14" s="1"/>
  <c r="J87" i="14" s="1"/>
  <c r="J88" i="14" s="1"/>
  <c r="J89" i="14" s="1"/>
  <c r="J90" i="14" s="1"/>
  <c r="J91" i="14" s="1"/>
  <c r="J92" i="14" s="1"/>
  <c r="J93" i="14" s="1"/>
  <c r="J94" i="14" s="1"/>
  <c r="J95" i="14" s="1"/>
  <c r="J96" i="14" s="1"/>
  <c r="J97" i="14" s="1"/>
  <c r="J98" i="14" s="1"/>
  <c r="J99" i="14" s="1"/>
  <c r="J100" i="14" s="1"/>
  <c r="J101" i="14" s="1"/>
  <c r="J102" i="14" s="1"/>
  <c r="J103" i="14" s="1"/>
  <c r="J104" i="14" s="1"/>
  <c r="J105" i="14" s="1"/>
  <c r="J106" i="14" s="1"/>
  <c r="J107" i="14" s="1"/>
  <c r="J108" i="14" s="1"/>
  <c r="J109" i="14" s="1"/>
  <c r="J110" i="14" s="1"/>
  <c r="J111" i="14" s="1"/>
  <c r="J112" i="14" s="1"/>
  <c r="J113" i="14" s="1"/>
  <c r="J114" i="14" s="1"/>
  <c r="J115" i="14" s="1"/>
  <c r="J116" i="14" s="1"/>
  <c r="J117" i="14" s="1"/>
  <c r="J118" i="14" s="1"/>
  <c r="J119" i="14" s="1"/>
  <c r="J120" i="14" s="1"/>
  <c r="J121" i="14" s="1"/>
  <c r="J122" i="14" s="1"/>
  <c r="J123" i="14" s="1"/>
  <c r="J124" i="14" s="1"/>
  <c r="J125" i="14" s="1"/>
  <c r="J126" i="14" s="1"/>
  <c r="J127" i="14" s="1"/>
  <c r="J128" i="14" s="1"/>
  <c r="J129" i="14" s="1"/>
  <c r="J130" i="14" s="1"/>
  <c r="J131" i="14" s="1"/>
  <c r="J132" i="14" s="1"/>
  <c r="J133" i="14" s="1"/>
  <c r="J134" i="14" s="1"/>
  <c r="J135" i="14" s="1"/>
  <c r="J136" i="14" s="1"/>
  <c r="J137" i="14" s="1"/>
  <c r="J138" i="14" s="1"/>
  <c r="J139" i="14" s="1"/>
  <c r="J140" i="14" s="1"/>
  <c r="J141" i="14" s="1"/>
  <c r="J142" i="14" s="1"/>
  <c r="J143" i="14" s="1"/>
  <c r="J144" i="14" s="1"/>
  <c r="J145" i="14" s="1"/>
  <c r="J146" i="14" s="1"/>
  <c r="J147" i="14" s="1"/>
  <c r="J148" i="14" s="1"/>
  <c r="J149" i="14" s="1"/>
  <c r="J150" i="14" s="1"/>
  <c r="J151" i="14" s="1"/>
  <c r="J152" i="14" s="1"/>
  <c r="J153" i="14" s="1"/>
  <c r="J154" i="14" s="1"/>
  <c r="J155" i="14" s="1"/>
  <c r="J156" i="14" s="1"/>
  <c r="J157" i="14" s="1"/>
  <c r="J158" i="14" s="1"/>
  <c r="J159" i="14" s="1"/>
  <c r="J160" i="14" s="1"/>
  <c r="J161" i="14" s="1"/>
  <c r="J162" i="14" s="1"/>
  <c r="J163" i="14" s="1"/>
  <c r="J164" i="14" s="1"/>
  <c r="J165" i="14" s="1"/>
  <c r="J166" i="14" s="1"/>
  <c r="J167" i="14" s="1"/>
  <c r="J168" i="14" s="1"/>
  <c r="J169" i="14" s="1"/>
  <c r="J170" i="14" s="1"/>
  <c r="J171" i="14" s="1"/>
  <c r="J172" i="14" s="1"/>
  <c r="J173" i="14" s="1"/>
  <c r="J174" i="14" s="1"/>
  <c r="J175" i="14" s="1"/>
  <c r="J176" i="14" s="1"/>
  <c r="J177" i="14" s="1"/>
  <c r="J178" i="14" s="1"/>
  <c r="J179" i="14" s="1"/>
  <c r="J180" i="14" s="1"/>
  <c r="J181" i="14" s="1"/>
  <c r="J182" i="14" s="1"/>
  <c r="J183" i="14" s="1"/>
  <c r="J184" i="14" s="1"/>
  <c r="J185" i="14" s="1"/>
  <c r="J186" i="14" s="1"/>
  <c r="J187" i="14" s="1"/>
  <c r="J188" i="14" s="1"/>
  <c r="J189" i="14" s="1"/>
  <c r="J190" i="14" s="1"/>
  <c r="J191" i="14" s="1"/>
  <c r="J192" i="14" s="1"/>
  <c r="J193" i="14" s="1"/>
  <c r="J194" i="14" s="1"/>
  <c r="J195" i="14" s="1"/>
  <c r="J196" i="14" s="1"/>
  <c r="J197" i="14" s="1"/>
  <c r="J198" i="14" s="1"/>
  <c r="J199" i="14" s="1"/>
  <c r="J200" i="14" s="1"/>
  <c r="J201" i="14" s="1"/>
  <c r="J202" i="14" s="1"/>
  <c r="J203" i="14" s="1"/>
  <c r="J204" i="14" s="1"/>
  <c r="J205" i="14" s="1"/>
  <c r="J206" i="14" s="1"/>
  <c r="J207" i="14" s="1"/>
  <c r="J208" i="14" s="1"/>
  <c r="J209" i="14" s="1"/>
  <c r="J210" i="14" s="1"/>
  <c r="J211" i="14" s="1"/>
  <c r="J212" i="14" s="1"/>
  <c r="J213" i="14" s="1"/>
  <c r="J214" i="14" s="1"/>
  <c r="J215" i="14" s="1"/>
  <c r="J216" i="14" s="1"/>
  <c r="J217" i="14" s="1"/>
  <c r="J218" i="14" s="1"/>
  <c r="J219" i="14" s="1"/>
  <c r="J220" i="14" s="1"/>
  <c r="J221" i="14" s="1"/>
  <c r="J222" i="14" s="1"/>
  <c r="J223" i="14" s="1"/>
  <c r="J224" i="14" s="1"/>
  <c r="J225" i="14" s="1"/>
  <c r="J226" i="14" s="1"/>
  <c r="J227" i="14" s="1"/>
  <c r="J228" i="14" s="1"/>
  <c r="J229" i="14" s="1"/>
  <c r="J230" i="14" s="1"/>
  <c r="J231" i="14" s="1"/>
  <c r="J232" i="14" s="1"/>
  <c r="J233" i="14" s="1"/>
  <c r="J234" i="14" s="1"/>
  <c r="J235" i="14" s="1"/>
  <c r="J236" i="14" s="1"/>
  <c r="J237" i="14" s="1"/>
  <c r="J238" i="14" s="1"/>
  <c r="J239" i="14" s="1"/>
  <c r="J240" i="14" s="1"/>
  <c r="J241" i="14" s="1"/>
  <c r="J242" i="14" s="1"/>
  <c r="J243" i="14" s="1"/>
  <c r="J244" i="14" s="1"/>
  <c r="J245" i="14" s="1"/>
  <c r="J246" i="14" s="1"/>
  <c r="J247" i="14" s="1"/>
  <c r="J248" i="14" s="1"/>
  <c r="J249" i="14" s="1"/>
  <c r="J250" i="14" s="1"/>
  <c r="J251" i="14" s="1"/>
  <c r="J252" i="14" s="1"/>
  <c r="J253" i="14" s="1"/>
  <c r="J254" i="14" s="1"/>
  <c r="J255" i="14" s="1"/>
  <c r="J256" i="14" s="1"/>
  <c r="J257" i="14" s="1"/>
  <c r="J258" i="14" s="1"/>
  <c r="J259" i="14" s="1"/>
  <c r="J260" i="14" s="1"/>
  <c r="J261" i="14" s="1"/>
  <c r="J262" i="14" s="1"/>
  <c r="J263" i="14" s="1"/>
  <c r="J264" i="14" s="1"/>
  <c r="J265" i="14" s="1"/>
  <c r="J266" i="14" s="1"/>
  <c r="J267" i="14" s="1"/>
  <c r="J268" i="14" s="1"/>
  <c r="J269" i="14" s="1"/>
  <c r="J270" i="14" s="1"/>
  <c r="J271" i="14" s="1"/>
  <c r="J272" i="14" s="1"/>
  <c r="J273" i="14" s="1"/>
  <c r="J274" i="14" s="1"/>
  <c r="J275" i="14" s="1"/>
  <c r="J276" i="14" s="1"/>
  <c r="J277" i="14" s="1"/>
  <c r="J278" i="14" s="1"/>
  <c r="J279" i="14" s="1"/>
  <c r="J280" i="14" s="1"/>
  <c r="J281" i="14" s="1"/>
  <c r="J282" i="14" s="1"/>
  <c r="J283" i="14" s="1"/>
  <c r="J284" i="14" s="1"/>
  <c r="J285" i="14" s="1"/>
  <c r="J286" i="14" s="1"/>
  <c r="J287" i="14" s="1"/>
  <c r="J288" i="14" s="1"/>
  <c r="J289" i="14" s="1"/>
  <c r="J290" i="14" s="1"/>
  <c r="J291" i="14" s="1"/>
  <c r="J292" i="14" s="1"/>
  <c r="J293" i="14" s="1"/>
  <c r="J294" i="14" s="1"/>
  <c r="J295" i="14" s="1"/>
  <c r="J296" i="14" s="1"/>
  <c r="J297" i="14" s="1"/>
  <c r="J298" i="14" s="1"/>
  <c r="J299" i="14" s="1"/>
  <c r="J300" i="14" s="1"/>
  <c r="J301" i="14" s="1"/>
  <c r="J302" i="14" s="1"/>
  <c r="J303" i="14" s="1"/>
  <c r="J304" i="14" s="1"/>
  <c r="J305" i="14" s="1"/>
  <c r="J306" i="14" s="1"/>
  <c r="J307" i="14" s="1"/>
  <c r="J308" i="14" s="1"/>
  <c r="J309" i="14" s="1"/>
  <c r="J310" i="14" s="1"/>
  <c r="J311" i="14" s="1"/>
  <c r="J312" i="14" s="1"/>
  <c r="J313" i="14" s="1"/>
  <c r="J314" i="14" s="1"/>
  <c r="J315" i="14" s="1"/>
  <c r="J316" i="14" s="1"/>
  <c r="J317" i="14" s="1"/>
  <c r="J318" i="14" s="1"/>
  <c r="J319" i="14" s="1"/>
  <c r="J320" i="14" s="1"/>
  <c r="J321" i="14" s="1"/>
  <c r="J322" i="14" s="1"/>
  <c r="J323" i="14" s="1"/>
  <c r="J324" i="14" s="1"/>
  <c r="J325" i="14" s="1"/>
  <c r="J326" i="14" s="1"/>
  <c r="J327" i="14" s="1"/>
  <c r="J328" i="14" s="1"/>
  <c r="J329" i="14" s="1"/>
  <c r="J330" i="14" s="1"/>
  <c r="J331" i="14" s="1"/>
  <c r="J332" i="14" s="1"/>
  <c r="J333" i="14" s="1"/>
  <c r="J334" i="14" s="1"/>
  <c r="J335" i="14" s="1"/>
  <c r="J336" i="14" s="1"/>
  <c r="J337" i="14" s="1"/>
  <c r="J338" i="14" s="1"/>
  <c r="J339" i="14" s="1"/>
  <c r="J340" i="14" s="1"/>
  <c r="J341" i="14" s="1"/>
  <c r="J342" i="14" s="1"/>
  <c r="J343" i="14" s="1"/>
  <c r="J344" i="14" s="1"/>
  <c r="J345" i="14" s="1"/>
  <c r="J346" i="14" s="1"/>
  <c r="J347" i="14" s="1"/>
  <c r="J348" i="14" s="1"/>
  <c r="J349" i="14" s="1"/>
  <c r="J350" i="14" s="1"/>
  <c r="J351" i="14" s="1"/>
  <c r="J352" i="14" s="1"/>
  <c r="J353" i="14" s="1"/>
  <c r="J354" i="14" s="1"/>
  <c r="J355" i="14" s="1"/>
  <c r="J356" i="14" s="1"/>
  <c r="J357" i="14" s="1"/>
  <c r="J358" i="14" s="1"/>
  <c r="J359" i="14" s="1"/>
  <c r="J360" i="14" s="1"/>
  <c r="J361" i="14" s="1"/>
  <c r="J362" i="14" s="1"/>
  <c r="J363" i="14" s="1"/>
  <c r="J364" i="14" s="1"/>
  <c r="J365" i="14" s="1"/>
  <c r="J366" i="14" s="1"/>
  <c r="J367" i="14" s="1"/>
  <c r="J368" i="14" s="1"/>
  <c r="J369" i="14" s="1"/>
  <c r="J370" i="14" s="1"/>
  <c r="J371" i="14" s="1"/>
  <c r="F9" i="13"/>
  <c r="G8" i="13"/>
  <c r="H8" i="13" s="1"/>
  <c r="I8" i="13" s="1"/>
  <c r="M29" i="9"/>
  <c r="G13" i="3" s="1"/>
  <c r="I13" i="3" s="1"/>
  <c r="K13" i="3" s="1"/>
  <c r="M28" i="9"/>
  <c r="B45" i="7"/>
  <c r="B27" i="9"/>
  <c r="F22" i="5" l="1"/>
  <c r="I8" i="5"/>
  <c r="L8" i="5"/>
  <c r="F8" i="8"/>
  <c r="F10" i="8" s="1"/>
  <c r="B29" i="2" s="1"/>
  <c r="D18" i="2" s="1"/>
  <c r="F10" i="2" s="1"/>
  <c r="J10" i="2" s="1"/>
  <c r="I7" i="5"/>
  <c r="F23" i="5"/>
  <c r="F21" i="5"/>
  <c r="I9" i="5"/>
  <c r="F7" i="5"/>
  <c r="F11" i="5" s="1"/>
  <c r="F12" i="5" s="1"/>
  <c r="L9" i="5"/>
  <c r="F8" i="2"/>
  <c r="K8" i="2" s="1"/>
  <c r="J8" i="2" s="1"/>
  <c r="G10" i="3"/>
  <c r="I10" i="3" s="1"/>
  <c r="K10" i="3" s="1"/>
  <c r="B28" i="9"/>
  <c r="B9" i="11" s="1"/>
  <c r="J28" i="9"/>
  <c r="G12" i="3"/>
  <c r="I12" i="3" s="1"/>
  <c r="K12" i="3" s="1"/>
  <c r="G9" i="13"/>
  <c r="H9" i="13" s="1"/>
  <c r="I9" i="13" s="1"/>
  <c r="F10" i="13" s="1"/>
  <c r="B30" i="14"/>
  <c r="F25" i="5" l="1"/>
  <c r="F27" i="5" s="1"/>
  <c r="L11" i="5"/>
  <c r="L12" i="5" s="1"/>
  <c r="I11" i="5"/>
  <c r="I13" i="5" s="1"/>
  <c r="F29" i="9"/>
  <c r="F27" i="9"/>
  <c r="F28" i="9" s="1"/>
  <c r="K10" i="2"/>
  <c r="F18" i="5"/>
  <c r="F17" i="5" s="1"/>
  <c r="F14" i="5"/>
  <c r="F16" i="5"/>
  <c r="F13" i="5"/>
  <c r="G10" i="13"/>
  <c r="H10" i="13" s="1"/>
  <c r="I10" i="13" s="1"/>
  <c r="F11" i="13" s="1"/>
  <c r="F29" i="5" l="1"/>
  <c r="F31" i="5" s="1"/>
  <c r="F26" i="5"/>
  <c r="L18" i="5"/>
  <c r="L17" i="5" s="1"/>
  <c r="L16" i="5"/>
  <c r="L13" i="5"/>
  <c r="B14" i="4" s="1"/>
  <c r="D13" i="2" s="1"/>
  <c r="I12" i="5"/>
  <c r="I16" i="5"/>
  <c r="I18" i="5"/>
  <c r="I17" i="5" s="1"/>
  <c r="G11" i="13"/>
  <c r="H11" i="13" s="1"/>
  <c r="I11" i="13" s="1"/>
  <c r="F12" i="13" s="1"/>
  <c r="B27" i="2" l="1"/>
  <c r="I87" i="7" s="1"/>
  <c r="O87" i="7" s="1"/>
  <c r="U87" i="7" s="1"/>
  <c r="AA87" i="7" s="1"/>
  <c r="C16" i="4"/>
  <c r="P94" i="4" s="1"/>
  <c r="T94" i="4" s="1"/>
  <c r="G12" i="13"/>
  <c r="H12" i="13" s="1"/>
  <c r="I12" i="13" s="1"/>
  <c r="F13" i="13" s="1"/>
  <c r="H298" i="7" l="1"/>
  <c r="N298" i="7" s="1"/>
  <c r="T298" i="7" s="1"/>
  <c r="Z298" i="7" s="1"/>
  <c r="L286" i="7"/>
  <c r="R286" i="7" s="1"/>
  <c r="X286" i="7" s="1"/>
  <c r="AD286" i="7" s="1"/>
  <c r="I198" i="7"/>
  <c r="O198" i="7" s="1"/>
  <c r="U198" i="7" s="1"/>
  <c r="AA198" i="7" s="1"/>
  <c r="L320" i="7"/>
  <c r="R320" i="7" s="1"/>
  <c r="X320" i="7" s="1"/>
  <c r="AD320" i="7" s="1"/>
  <c r="K123" i="7"/>
  <c r="Q123" i="7" s="1"/>
  <c r="W123" i="7" s="1"/>
  <c r="AC123" i="7" s="1"/>
  <c r="I230" i="7"/>
  <c r="O230" i="7" s="1"/>
  <c r="U230" i="7" s="1"/>
  <c r="AA230" i="7" s="1"/>
  <c r="I170" i="7"/>
  <c r="O170" i="7" s="1"/>
  <c r="U170" i="7" s="1"/>
  <c r="AA170" i="7" s="1"/>
  <c r="H218" i="7"/>
  <c r="N218" i="7" s="1"/>
  <c r="T218" i="7" s="1"/>
  <c r="Z218" i="7" s="1"/>
  <c r="J90" i="7"/>
  <c r="P90" i="7" s="1"/>
  <c r="V90" i="7" s="1"/>
  <c r="AB90" i="7" s="1"/>
  <c r="H97" i="7"/>
  <c r="N97" i="7" s="1"/>
  <c r="T97" i="7" s="1"/>
  <c r="Z97" i="7" s="1"/>
  <c r="H269" i="7"/>
  <c r="N269" i="7" s="1"/>
  <c r="T269" i="7" s="1"/>
  <c r="Z269" i="7" s="1"/>
  <c r="J193" i="7"/>
  <c r="P193" i="7" s="1"/>
  <c r="V193" i="7" s="1"/>
  <c r="AB193" i="7" s="1"/>
  <c r="K250" i="7"/>
  <c r="Q250" i="7" s="1"/>
  <c r="W250" i="7" s="1"/>
  <c r="AC250" i="7" s="1"/>
  <c r="H105" i="7"/>
  <c r="N105" i="7" s="1"/>
  <c r="T105" i="7" s="1"/>
  <c r="Z105" i="7" s="1"/>
  <c r="K265" i="7"/>
  <c r="Q265" i="7" s="1"/>
  <c r="W265" i="7" s="1"/>
  <c r="AC265" i="7" s="1"/>
  <c r="I223" i="7"/>
  <c r="O223" i="7" s="1"/>
  <c r="U223" i="7" s="1"/>
  <c r="AA223" i="7" s="1"/>
  <c r="K324" i="7"/>
  <c r="Q324" i="7" s="1"/>
  <c r="W324" i="7" s="1"/>
  <c r="AC324" i="7" s="1"/>
  <c r="K75" i="7"/>
  <c r="Q75" i="7" s="1"/>
  <c r="W75" i="7" s="1"/>
  <c r="AC75" i="7" s="1"/>
  <c r="H374" i="7"/>
  <c r="N374" i="7" s="1"/>
  <c r="T374" i="7" s="1"/>
  <c r="Z374" i="7" s="1"/>
  <c r="I93" i="7"/>
  <c r="O93" i="7" s="1"/>
  <c r="U93" i="7" s="1"/>
  <c r="AA93" i="7" s="1"/>
  <c r="I239" i="7"/>
  <c r="O239" i="7" s="1"/>
  <c r="U239" i="7" s="1"/>
  <c r="AA239" i="7" s="1"/>
  <c r="J136" i="7"/>
  <c r="P136" i="7" s="1"/>
  <c r="V136" i="7" s="1"/>
  <c r="AB136" i="7" s="1"/>
  <c r="I394" i="7"/>
  <c r="O394" i="7" s="1"/>
  <c r="U394" i="7" s="1"/>
  <c r="AA394" i="7" s="1"/>
  <c r="J404" i="7"/>
  <c r="P404" i="7" s="1"/>
  <c r="V404" i="7" s="1"/>
  <c r="AB404" i="7" s="1"/>
  <c r="I357" i="7"/>
  <c r="O357" i="7" s="1"/>
  <c r="U357" i="7" s="1"/>
  <c r="AA357" i="7" s="1"/>
  <c r="K140" i="7"/>
  <c r="Q140" i="7" s="1"/>
  <c r="W140" i="7" s="1"/>
  <c r="AC140" i="7" s="1"/>
  <c r="J211" i="7"/>
  <c r="P211" i="7" s="1"/>
  <c r="V211" i="7" s="1"/>
  <c r="AB211" i="7" s="1"/>
  <c r="L126" i="7"/>
  <c r="R126" i="7" s="1"/>
  <c r="X126" i="7" s="1"/>
  <c r="AD126" i="7" s="1"/>
  <c r="H312" i="7"/>
  <c r="N312" i="7" s="1"/>
  <c r="T312" i="7" s="1"/>
  <c r="Z312" i="7" s="1"/>
  <c r="H162" i="7"/>
  <c r="N162" i="7" s="1"/>
  <c r="T162" i="7" s="1"/>
  <c r="Z162" i="7" s="1"/>
  <c r="I72" i="7"/>
  <c r="O72" i="7" s="1"/>
  <c r="U72" i="7" s="1"/>
  <c r="AA72" i="7" s="1"/>
  <c r="L235" i="7"/>
  <c r="R235" i="7" s="1"/>
  <c r="X235" i="7" s="1"/>
  <c r="AD235" i="7" s="1"/>
  <c r="I390" i="7"/>
  <c r="O390" i="7" s="1"/>
  <c r="U390" i="7" s="1"/>
  <c r="AA390" i="7" s="1"/>
  <c r="J107" i="7"/>
  <c r="P107" i="7" s="1"/>
  <c r="V107" i="7" s="1"/>
  <c r="AB107" i="7" s="1"/>
  <c r="I147" i="7"/>
  <c r="O147" i="7" s="1"/>
  <c r="U147" i="7" s="1"/>
  <c r="AA147" i="7" s="1"/>
  <c r="H232" i="7"/>
  <c r="N232" i="7" s="1"/>
  <c r="T232" i="7" s="1"/>
  <c r="Z232" i="7" s="1"/>
  <c r="H273" i="7"/>
  <c r="N273" i="7" s="1"/>
  <c r="T273" i="7" s="1"/>
  <c r="Z273" i="7" s="1"/>
  <c r="I249" i="7"/>
  <c r="O249" i="7" s="1"/>
  <c r="U249" i="7" s="1"/>
  <c r="AA249" i="7" s="1"/>
  <c r="K176" i="7"/>
  <c r="Q176" i="7" s="1"/>
  <c r="W176" i="7" s="1"/>
  <c r="AC176" i="7" s="1"/>
  <c r="I136" i="7"/>
  <c r="O136" i="7" s="1"/>
  <c r="U136" i="7" s="1"/>
  <c r="AA136" i="7" s="1"/>
  <c r="J370" i="7"/>
  <c r="P370" i="7" s="1"/>
  <c r="V370" i="7" s="1"/>
  <c r="AB370" i="7" s="1"/>
  <c r="K384" i="7"/>
  <c r="Q384" i="7" s="1"/>
  <c r="W384" i="7" s="1"/>
  <c r="AC384" i="7" s="1"/>
  <c r="J344" i="7"/>
  <c r="P344" i="7" s="1"/>
  <c r="V344" i="7" s="1"/>
  <c r="AB344" i="7" s="1"/>
  <c r="K387" i="7"/>
  <c r="Q387" i="7" s="1"/>
  <c r="W387" i="7" s="1"/>
  <c r="AC387" i="7" s="1"/>
  <c r="L179" i="7"/>
  <c r="R179" i="7" s="1"/>
  <c r="X179" i="7" s="1"/>
  <c r="AD179" i="7" s="1"/>
  <c r="J117" i="7"/>
  <c r="P117" i="7" s="1"/>
  <c r="V117" i="7" s="1"/>
  <c r="AB117" i="7" s="1"/>
  <c r="I86" i="7"/>
  <c r="O86" i="7" s="1"/>
  <c r="U86" i="7" s="1"/>
  <c r="AA86" i="7" s="1"/>
  <c r="H266" i="7"/>
  <c r="N266" i="7" s="1"/>
  <c r="T266" i="7" s="1"/>
  <c r="Z266" i="7" s="1"/>
  <c r="I161" i="7"/>
  <c r="O161" i="7" s="1"/>
  <c r="U161" i="7" s="1"/>
  <c r="AA161" i="7" s="1"/>
  <c r="L91" i="7"/>
  <c r="R91" i="7" s="1"/>
  <c r="X91" i="7" s="1"/>
  <c r="AD91" i="7" s="1"/>
  <c r="K405" i="7"/>
  <c r="Q405" i="7" s="1"/>
  <c r="W405" i="7" s="1"/>
  <c r="AC405" i="7" s="1"/>
  <c r="K351" i="7"/>
  <c r="Q351" i="7" s="1"/>
  <c r="W351" i="7" s="1"/>
  <c r="AC351" i="7" s="1"/>
  <c r="J323" i="7"/>
  <c r="P323" i="7" s="1"/>
  <c r="V323" i="7" s="1"/>
  <c r="AB323" i="7" s="1"/>
  <c r="K399" i="7"/>
  <c r="Q399" i="7" s="1"/>
  <c r="W399" i="7" s="1"/>
  <c r="AC399" i="7" s="1"/>
  <c r="J372" i="7"/>
  <c r="P372" i="7" s="1"/>
  <c r="V372" i="7" s="1"/>
  <c r="AB372" i="7" s="1"/>
  <c r="H385" i="7"/>
  <c r="N385" i="7" s="1"/>
  <c r="T385" i="7" s="1"/>
  <c r="Z385" i="7" s="1"/>
  <c r="J292" i="7"/>
  <c r="P292" i="7" s="1"/>
  <c r="V292" i="7" s="1"/>
  <c r="AB292" i="7" s="1"/>
  <c r="H95" i="7"/>
  <c r="N95" i="7" s="1"/>
  <c r="T95" i="7" s="1"/>
  <c r="Z95" i="7" s="1"/>
  <c r="J75" i="7"/>
  <c r="P75" i="7" s="1"/>
  <c r="V75" i="7" s="1"/>
  <c r="AB75" i="7" s="1"/>
  <c r="J290" i="7"/>
  <c r="P290" i="7" s="1"/>
  <c r="V290" i="7" s="1"/>
  <c r="AB290" i="7" s="1"/>
  <c r="J281" i="7"/>
  <c r="P281" i="7" s="1"/>
  <c r="V281" i="7" s="1"/>
  <c r="AB281" i="7" s="1"/>
  <c r="J116" i="7"/>
  <c r="P116" i="7" s="1"/>
  <c r="V116" i="7" s="1"/>
  <c r="AB116" i="7" s="1"/>
  <c r="H77" i="7"/>
  <c r="N77" i="7" s="1"/>
  <c r="T77" i="7" s="1"/>
  <c r="Z77" i="7" s="1"/>
  <c r="L143" i="7"/>
  <c r="R143" i="7" s="1"/>
  <c r="X143" i="7" s="1"/>
  <c r="AD143" i="7" s="1"/>
  <c r="H354" i="7"/>
  <c r="N354" i="7" s="1"/>
  <c r="T354" i="7" s="1"/>
  <c r="Z354" i="7" s="1"/>
  <c r="J77" i="7"/>
  <c r="P77" i="7" s="1"/>
  <c r="V77" i="7" s="1"/>
  <c r="AB77" i="7" s="1"/>
  <c r="H179" i="7"/>
  <c r="N179" i="7" s="1"/>
  <c r="T179" i="7" s="1"/>
  <c r="Z179" i="7" s="1"/>
  <c r="K88" i="7"/>
  <c r="Q88" i="7" s="1"/>
  <c r="W88" i="7" s="1"/>
  <c r="AC88" i="7" s="1"/>
  <c r="I243" i="7"/>
  <c r="O243" i="7" s="1"/>
  <c r="U243" i="7" s="1"/>
  <c r="AA243" i="7" s="1"/>
  <c r="I173" i="7"/>
  <c r="O173" i="7" s="1"/>
  <c r="U173" i="7" s="1"/>
  <c r="AA173" i="7" s="1"/>
  <c r="K152" i="7"/>
  <c r="Q152" i="7" s="1"/>
  <c r="W152" i="7" s="1"/>
  <c r="AC152" i="7" s="1"/>
  <c r="K435" i="7"/>
  <c r="Q435" i="7" s="1"/>
  <c r="W435" i="7" s="1"/>
  <c r="AC435" i="7" s="1"/>
  <c r="J123" i="7"/>
  <c r="P123" i="7" s="1"/>
  <c r="V123" i="7" s="1"/>
  <c r="AB123" i="7" s="1"/>
  <c r="L408" i="7"/>
  <c r="R408" i="7" s="1"/>
  <c r="X408" i="7" s="1"/>
  <c r="AD408" i="7" s="1"/>
  <c r="K294" i="7"/>
  <c r="Q294" i="7" s="1"/>
  <c r="W294" i="7" s="1"/>
  <c r="AC294" i="7" s="1"/>
  <c r="K409" i="7"/>
  <c r="Q409" i="7" s="1"/>
  <c r="W409" i="7" s="1"/>
  <c r="AC409" i="7" s="1"/>
  <c r="J108" i="7"/>
  <c r="P108" i="7" s="1"/>
  <c r="V108" i="7" s="1"/>
  <c r="AB108" i="7" s="1"/>
  <c r="J166" i="7"/>
  <c r="P166" i="7" s="1"/>
  <c r="V166" i="7" s="1"/>
  <c r="AB166" i="7" s="1"/>
  <c r="I322" i="7"/>
  <c r="O322" i="7" s="1"/>
  <c r="U322" i="7" s="1"/>
  <c r="AA322" i="7" s="1"/>
  <c r="L411" i="7"/>
  <c r="R411" i="7" s="1"/>
  <c r="X411" i="7" s="1"/>
  <c r="AD411" i="7" s="1"/>
  <c r="H199" i="7"/>
  <c r="N199" i="7" s="1"/>
  <c r="T199" i="7" s="1"/>
  <c r="Z199" i="7" s="1"/>
  <c r="K193" i="7"/>
  <c r="Q193" i="7" s="1"/>
  <c r="W193" i="7" s="1"/>
  <c r="AC193" i="7" s="1"/>
  <c r="H89" i="7"/>
  <c r="N89" i="7" s="1"/>
  <c r="T89" i="7" s="1"/>
  <c r="Z89" i="7" s="1"/>
  <c r="K283" i="7"/>
  <c r="Q283" i="7" s="1"/>
  <c r="W283" i="7" s="1"/>
  <c r="AC283" i="7" s="1"/>
  <c r="K157" i="7"/>
  <c r="Q157" i="7" s="1"/>
  <c r="W157" i="7" s="1"/>
  <c r="AC157" i="7" s="1"/>
  <c r="I412" i="7"/>
  <c r="O412" i="7" s="1"/>
  <c r="U412" i="7" s="1"/>
  <c r="AA412" i="7" s="1"/>
  <c r="L80" i="7"/>
  <c r="R80" i="7" s="1"/>
  <c r="X80" i="7" s="1"/>
  <c r="AD80" i="7" s="1"/>
  <c r="J376" i="7"/>
  <c r="P376" i="7" s="1"/>
  <c r="V376" i="7" s="1"/>
  <c r="AB376" i="7" s="1"/>
  <c r="H327" i="7"/>
  <c r="N327" i="7" s="1"/>
  <c r="T327" i="7" s="1"/>
  <c r="Z327" i="7" s="1"/>
  <c r="L142" i="7"/>
  <c r="R142" i="7" s="1"/>
  <c r="X142" i="7" s="1"/>
  <c r="AD142" i="7" s="1"/>
  <c r="K353" i="7"/>
  <c r="Q353" i="7" s="1"/>
  <c r="W353" i="7" s="1"/>
  <c r="AC353" i="7" s="1"/>
  <c r="J174" i="7"/>
  <c r="P174" i="7" s="1"/>
  <c r="V174" i="7" s="1"/>
  <c r="AB174" i="7" s="1"/>
  <c r="I413" i="7"/>
  <c r="O413" i="7" s="1"/>
  <c r="U413" i="7" s="1"/>
  <c r="AA413" i="7" s="1"/>
  <c r="I181" i="7"/>
  <c r="O181" i="7" s="1"/>
  <c r="U181" i="7" s="1"/>
  <c r="AA181" i="7" s="1"/>
  <c r="H96" i="7"/>
  <c r="N96" i="7" s="1"/>
  <c r="T96" i="7" s="1"/>
  <c r="Z96" i="7" s="1"/>
  <c r="L71" i="7"/>
  <c r="R71" i="7" s="1"/>
  <c r="X71" i="7" s="1"/>
  <c r="AD71" i="7" s="1"/>
  <c r="K221" i="7"/>
  <c r="Q221" i="7" s="1"/>
  <c r="W221" i="7" s="1"/>
  <c r="AC221" i="7" s="1"/>
  <c r="J314" i="7"/>
  <c r="P314" i="7" s="1"/>
  <c r="V314" i="7" s="1"/>
  <c r="AB314" i="7" s="1"/>
  <c r="H112" i="7"/>
  <c r="N112" i="7" s="1"/>
  <c r="T112" i="7" s="1"/>
  <c r="Z112" i="7" s="1"/>
  <c r="H76" i="7"/>
  <c r="N76" i="7" s="1"/>
  <c r="T76" i="7" s="1"/>
  <c r="Z76" i="7" s="1"/>
  <c r="K310" i="7"/>
  <c r="Q310" i="7" s="1"/>
  <c r="W310" i="7" s="1"/>
  <c r="AC310" i="7" s="1"/>
  <c r="J150" i="7"/>
  <c r="P150" i="7" s="1"/>
  <c r="V150" i="7" s="1"/>
  <c r="AB150" i="7" s="1"/>
  <c r="J202" i="7"/>
  <c r="P202" i="7" s="1"/>
  <c r="V202" i="7" s="1"/>
  <c r="AB202" i="7" s="1"/>
  <c r="J346" i="7"/>
  <c r="P346" i="7" s="1"/>
  <c r="V346" i="7" s="1"/>
  <c r="AB346" i="7" s="1"/>
  <c r="K243" i="7"/>
  <c r="Q243" i="7" s="1"/>
  <c r="W243" i="7" s="1"/>
  <c r="AC243" i="7" s="1"/>
  <c r="L395" i="7"/>
  <c r="R395" i="7" s="1"/>
  <c r="X395" i="7" s="1"/>
  <c r="AD395" i="7" s="1"/>
  <c r="K94" i="7"/>
  <c r="Q94" i="7" s="1"/>
  <c r="W94" i="7" s="1"/>
  <c r="AC94" i="7" s="1"/>
  <c r="K207" i="7"/>
  <c r="Q207" i="7" s="1"/>
  <c r="W207" i="7" s="1"/>
  <c r="AC207" i="7" s="1"/>
  <c r="H309" i="7"/>
  <c r="N309" i="7" s="1"/>
  <c r="T309" i="7" s="1"/>
  <c r="Z309" i="7" s="1"/>
  <c r="L187" i="7"/>
  <c r="R187" i="7" s="1"/>
  <c r="X187" i="7" s="1"/>
  <c r="AD187" i="7" s="1"/>
  <c r="K421" i="7"/>
  <c r="Q421" i="7" s="1"/>
  <c r="W421" i="7" s="1"/>
  <c r="AC421" i="7" s="1"/>
  <c r="K74" i="7"/>
  <c r="Q74" i="7" s="1"/>
  <c r="W74" i="7" s="1"/>
  <c r="AC74" i="7" s="1"/>
  <c r="L217" i="7"/>
  <c r="R217" i="7" s="1"/>
  <c r="X217" i="7" s="1"/>
  <c r="AD217" i="7" s="1"/>
  <c r="J396" i="7"/>
  <c r="P396" i="7" s="1"/>
  <c r="V396" i="7" s="1"/>
  <c r="AB396" i="7" s="1"/>
  <c r="I291" i="7"/>
  <c r="O291" i="7" s="1"/>
  <c r="U291" i="7" s="1"/>
  <c r="AA291" i="7" s="1"/>
  <c r="I427" i="7"/>
  <c r="O427" i="7" s="1"/>
  <c r="U427" i="7" s="1"/>
  <c r="AA427" i="7" s="1"/>
  <c r="J191" i="7"/>
  <c r="P191" i="7" s="1"/>
  <c r="V191" i="7" s="1"/>
  <c r="AB191" i="7" s="1"/>
  <c r="I128" i="7"/>
  <c r="O128" i="7" s="1"/>
  <c r="U128" i="7" s="1"/>
  <c r="AA128" i="7" s="1"/>
  <c r="K229" i="7"/>
  <c r="Q229" i="7" s="1"/>
  <c r="W229" i="7" s="1"/>
  <c r="AC229" i="7" s="1"/>
  <c r="L86" i="7"/>
  <c r="R86" i="7" s="1"/>
  <c r="X86" i="7" s="1"/>
  <c r="AD86" i="7" s="1"/>
  <c r="H214" i="7"/>
  <c r="N214" i="7" s="1"/>
  <c r="T214" i="7" s="1"/>
  <c r="Z214" i="7" s="1"/>
  <c r="J377" i="7"/>
  <c r="P377" i="7" s="1"/>
  <c r="V377" i="7" s="1"/>
  <c r="AB377" i="7" s="1"/>
  <c r="L370" i="7"/>
  <c r="R370" i="7" s="1"/>
  <c r="X370" i="7" s="1"/>
  <c r="AD370" i="7" s="1"/>
  <c r="K160" i="7"/>
  <c r="Q160" i="7" s="1"/>
  <c r="W160" i="7" s="1"/>
  <c r="AC160" i="7" s="1"/>
  <c r="L190" i="7"/>
  <c r="R190" i="7" s="1"/>
  <c r="X190" i="7" s="1"/>
  <c r="AD190" i="7" s="1"/>
  <c r="L122" i="7"/>
  <c r="R122" i="7" s="1"/>
  <c r="X122" i="7" s="1"/>
  <c r="AD122" i="7" s="1"/>
  <c r="L431" i="7"/>
  <c r="R431" i="7" s="1"/>
  <c r="X431" i="7" s="1"/>
  <c r="AD431" i="7" s="1"/>
  <c r="K82" i="7"/>
  <c r="Q82" i="7" s="1"/>
  <c r="W82" i="7" s="1"/>
  <c r="AC82" i="7" s="1"/>
  <c r="I113" i="7"/>
  <c r="O113" i="7" s="1"/>
  <c r="U113" i="7" s="1"/>
  <c r="AA113" i="7" s="1"/>
  <c r="J99" i="7"/>
  <c r="P99" i="7" s="1"/>
  <c r="V99" i="7" s="1"/>
  <c r="AB99" i="7" s="1"/>
  <c r="H83" i="7"/>
  <c r="N83" i="7" s="1"/>
  <c r="T83" i="7" s="1"/>
  <c r="Z83" i="7" s="1"/>
  <c r="H274" i="7"/>
  <c r="N274" i="7" s="1"/>
  <c r="T274" i="7" s="1"/>
  <c r="Z274" i="7" s="1"/>
  <c r="J96" i="7"/>
  <c r="P96" i="7" s="1"/>
  <c r="V96" i="7" s="1"/>
  <c r="AB96" i="7" s="1"/>
  <c r="H348" i="7"/>
  <c r="N348" i="7" s="1"/>
  <c r="T348" i="7" s="1"/>
  <c r="Z348" i="7" s="1"/>
  <c r="I197" i="7"/>
  <c r="O197" i="7" s="1"/>
  <c r="U197" i="7" s="1"/>
  <c r="AA197" i="7" s="1"/>
  <c r="K378" i="7"/>
  <c r="Q378" i="7" s="1"/>
  <c r="W378" i="7" s="1"/>
  <c r="AC378" i="7" s="1"/>
  <c r="J163" i="7"/>
  <c r="P163" i="7" s="1"/>
  <c r="V163" i="7" s="1"/>
  <c r="AB163" i="7" s="1"/>
  <c r="H139" i="7"/>
  <c r="N139" i="7" s="1"/>
  <c r="T139" i="7" s="1"/>
  <c r="Z139" i="7" s="1"/>
  <c r="H390" i="7"/>
  <c r="N390" i="7" s="1"/>
  <c r="T390" i="7" s="1"/>
  <c r="Z390" i="7" s="1"/>
  <c r="H245" i="7"/>
  <c r="N245" i="7" s="1"/>
  <c r="T245" i="7" s="1"/>
  <c r="Z245" i="7" s="1"/>
  <c r="I403" i="7"/>
  <c r="O403" i="7" s="1"/>
  <c r="U403" i="7" s="1"/>
  <c r="AA403" i="7" s="1"/>
  <c r="I80" i="7"/>
  <c r="O80" i="7" s="1"/>
  <c r="U80" i="7" s="1"/>
  <c r="AA80" i="7" s="1"/>
  <c r="I79" i="7"/>
  <c r="O79" i="7" s="1"/>
  <c r="U79" i="7" s="1"/>
  <c r="AA79" i="7" s="1"/>
  <c r="H265" i="7"/>
  <c r="N265" i="7" s="1"/>
  <c r="T265" i="7" s="1"/>
  <c r="Z265" i="7" s="1"/>
  <c r="H330" i="7"/>
  <c r="N330" i="7" s="1"/>
  <c r="T330" i="7" s="1"/>
  <c r="Z330" i="7" s="1"/>
  <c r="L332" i="7"/>
  <c r="R332" i="7" s="1"/>
  <c r="X332" i="7" s="1"/>
  <c r="AD332" i="7" s="1"/>
  <c r="H90" i="7"/>
  <c r="N90" i="7" s="1"/>
  <c r="T90" i="7" s="1"/>
  <c r="Z90" i="7" s="1"/>
  <c r="H151" i="7"/>
  <c r="N151" i="7" s="1"/>
  <c r="T151" i="7" s="1"/>
  <c r="Z151" i="7" s="1"/>
  <c r="L283" i="7"/>
  <c r="R283" i="7" s="1"/>
  <c r="X283" i="7" s="1"/>
  <c r="AD283" i="7" s="1"/>
  <c r="I337" i="7"/>
  <c r="O337" i="7" s="1"/>
  <c r="U337" i="7" s="1"/>
  <c r="AA337" i="7" s="1"/>
  <c r="H315" i="7"/>
  <c r="N315" i="7" s="1"/>
  <c r="T315" i="7" s="1"/>
  <c r="Z315" i="7" s="1"/>
  <c r="I151" i="7"/>
  <c r="O151" i="7" s="1"/>
  <c r="U151" i="7" s="1"/>
  <c r="AA151" i="7" s="1"/>
  <c r="L103" i="7"/>
  <c r="R103" i="7" s="1"/>
  <c r="X103" i="7" s="1"/>
  <c r="AD103" i="7" s="1"/>
  <c r="L410" i="7"/>
  <c r="R410" i="7" s="1"/>
  <c r="X410" i="7" s="1"/>
  <c r="AD410" i="7" s="1"/>
  <c r="H74" i="7"/>
  <c r="N74" i="7" s="1"/>
  <c r="T74" i="7" s="1"/>
  <c r="Z74" i="7" s="1"/>
  <c r="H264" i="7"/>
  <c r="N264" i="7" s="1"/>
  <c r="T264" i="7" s="1"/>
  <c r="Z264" i="7" s="1"/>
  <c r="K240" i="7"/>
  <c r="Q240" i="7" s="1"/>
  <c r="W240" i="7" s="1"/>
  <c r="AC240" i="7" s="1"/>
  <c r="J152" i="7"/>
  <c r="P152" i="7" s="1"/>
  <c r="V152" i="7" s="1"/>
  <c r="AB152" i="7" s="1"/>
  <c r="L231" i="7"/>
  <c r="R231" i="7" s="1"/>
  <c r="X231" i="7" s="1"/>
  <c r="AD231" i="7" s="1"/>
  <c r="L339" i="7"/>
  <c r="R339" i="7" s="1"/>
  <c r="X339" i="7" s="1"/>
  <c r="AD339" i="7" s="1"/>
  <c r="J172" i="7"/>
  <c r="P172" i="7" s="1"/>
  <c r="V172" i="7" s="1"/>
  <c r="AB172" i="7" s="1"/>
  <c r="L112" i="7"/>
  <c r="R112" i="7" s="1"/>
  <c r="X112" i="7" s="1"/>
  <c r="AD112" i="7" s="1"/>
  <c r="I73" i="7"/>
  <c r="O73" i="7" s="1"/>
  <c r="U73" i="7" s="1"/>
  <c r="AA73" i="7" s="1"/>
  <c r="J98" i="7"/>
  <c r="P98" i="7" s="1"/>
  <c r="V98" i="7" s="1"/>
  <c r="AB98" i="7" s="1"/>
  <c r="K81" i="7"/>
  <c r="Q81" i="7" s="1"/>
  <c r="W81" i="7" s="1"/>
  <c r="AC81" i="7" s="1"/>
  <c r="H176" i="7"/>
  <c r="N176" i="7" s="1"/>
  <c r="T176" i="7" s="1"/>
  <c r="Z176" i="7" s="1"/>
  <c r="I416" i="7"/>
  <c r="O416" i="7" s="1"/>
  <c r="U416" i="7" s="1"/>
  <c r="AA416" i="7" s="1"/>
  <c r="I117" i="7"/>
  <c r="O117" i="7" s="1"/>
  <c r="U117" i="7" s="1"/>
  <c r="AA117" i="7" s="1"/>
  <c r="J260" i="7"/>
  <c r="P260" i="7" s="1"/>
  <c r="V260" i="7" s="1"/>
  <c r="AB260" i="7" s="1"/>
  <c r="I245" i="7"/>
  <c r="O245" i="7" s="1"/>
  <c r="U245" i="7" s="1"/>
  <c r="AA245" i="7" s="1"/>
  <c r="L106" i="7"/>
  <c r="R106" i="7" s="1"/>
  <c r="X106" i="7" s="1"/>
  <c r="AD106" i="7" s="1"/>
  <c r="L128" i="7"/>
  <c r="R128" i="7" s="1"/>
  <c r="X128" i="7" s="1"/>
  <c r="AD128" i="7" s="1"/>
  <c r="L154" i="7"/>
  <c r="R154" i="7" s="1"/>
  <c r="X154" i="7" s="1"/>
  <c r="AD154" i="7" s="1"/>
  <c r="H189" i="7"/>
  <c r="N189" i="7" s="1"/>
  <c r="T189" i="7" s="1"/>
  <c r="Z189" i="7" s="1"/>
  <c r="I150" i="7"/>
  <c r="O150" i="7" s="1"/>
  <c r="U150" i="7" s="1"/>
  <c r="AA150" i="7" s="1"/>
  <c r="L388" i="7"/>
  <c r="R388" i="7" s="1"/>
  <c r="X388" i="7" s="1"/>
  <c r="AD388" i="7" s="1"/>
  <c r="K328" i="7"/>
  <c r="Q328" i="7" s="1"/>
  <c r="W328" i="7" s="1"/>
  <c r="AC328" i="7" s="1"/>
  <c r="I163" i="7"/>
  <c r="O163" i="7" s="1"/>
  <c r="U163" i="7" s="1"/>
  <c r="AA163" i="7" s="1"/>
  <c r="H207" i="7"/>
  <c r="N207" i="7" s="1"/>
  <c r="T207" i="7" s="1"/>
  <c r="Z207" i="7" s="1"/>
  <c r="L221" i="7"/>
  <c r="R221" i="7" s="1"/>
  <c r="X221" i="7" s="1"/>
  <c r="AD221" i="7" s="1"/>
  <c r="K334" i="7"/>
  <c r="Q334" i="7" s="1"/>
  <c r="W334" i="7" s="1"/>
  <c r="AC334" i="7" s="1"/>
  <c r="I350" i="7"/>
  <c r="O350" i="7" s="1"/>
  <c r="U350" i="7" s="1"/>
  <c r="AA350" i="7" s="1"/>
  <c r="L108" i="7"/>
  <c r="R108" i="7" s="1"/>
  <c r="X108" i="7" s="1"/>
  <c r="AD108" i="7" s="1"/>
  <c r="L222" i="7"/>
  <c r="R222" i="7" s="1"/>
  <c r="X222" i="7" s="1"/>
  <c r="AD222" i="7" s="1"/>
  <c r="L227" i="7"/>
  <c r="R227" i="7" s="1"/>
  <c r="X227" i="7" s="1"/>
  <c r="AD227" i="7" s="1"/>
  <c r="J421" i="7"/>
  <c r="P421" i="7" s="1"/>
  <c r="V421" i="7" s="1"/>
  <c r="AB421" i="7" s="1"/>
  <c r="J415" i="7"/>
  <c r="P415" i="7" s="1"/>
  <c r="V415" i="7" s="1"/>
  <c r="AB415" i="7" s="1"/>
  <c r="K419" i="7"/>
  <c r="Q419" i="7" s="1"/>
  <c r="W419" i="7" s="1"/>
  <c r="AC419" i="7" s="1"/>
  <c r="H355" i="7"/>
  <c r="N355" i="7" s="1"/>
  <c r="T355" i="7" s="1"/>
  <c r="Z355" i="7" s="1"/>
  <c r="L375" i="7"/>
  <c r="R375" i="7" s="1"/>
  <c r="X375" i="7" s="1"/>
  <c r="AD375" i="7" s="1"/>
  <c r="I289" i="7"/>
  <c r="O289" i="7" s="1"/>
  <c r="U289" i="7" s="1"/>
  <c r="AA289" i="7" s="1"/>
  <c r="K122" i="7"/>
  <c r="Q122" i="7" s="1"/>
  <c r="W122" i="7" s="1"/>
  <c r="AC122" i="7" s="1"/>
  <c r="L399" i="7"/>
  <c r="R399" i="7" s="1"/>
  <c r="X399" i="7" s="1"/>
  <c r="AD399" i="7" s="1"/>
  <c r="L280" i="7"/>
  <c r="R280" i="7" s="1"/>
  <c r="X280" i="7" s="1"/>
  <c r="AD280" i="7" s="1"/>
  <c r="K414" i="7"/>
  <c r="Q414" i="7" s="1"/>
  <c r="W414" i="7" s="1"/>
  <c r="AC414" i="7" s="1"/>
  <c r="J283" i="7"/>
  <c r="P283" i="7" s="1"/>
  <c r="V283" i="7" s="1"/>
  <c r="AB283" i="7" s="1"/>
  <c r="L427" i="7"/>
  <c r="R427" i="7" s="1"/>
  <c r="X427" i="7" s="1"/>
  <c r="AD427" i="7" s="1"/>
  <c r="I277" i="7"/>
  <c r="O277" i="7" s="1"/>
  <c r="U277" i="7" s="1"/>
  <c r="AA277" i="7" s="1"/>
  <c r="J125" i="7"/>
  <c r="P125" i="7" s="1"/>
  <c r="V125" i="7" s="1"/>
  <c r="AB125" i="7" s="1"/>
  <c r="K350" i="7"/>
  <c r="Q350" i="7" s="1"/>
  <c r="W350" i="7" s="1"/>
  <c r="AC350" i="7" s="1"/>
  <c r="K297" i="7"/>
  <c r="Q297" i="7" s="1"/>
  <c r="W297" i="7" s="1"/>
  <c r="AC297" i="7" s="1"/>
  <c r="J423" i="7"/>
  <c r="P423" i="7" s="1"/>
  <c r="V423" i="7" s="1"/>
  <c r="AB423" i="7" s="1"/>
  <c r="J347" i="7"/>
  <c r="P347" i="7" s="1"/>
  <c r="V347" i="7" s="1"/>
  <c r="AB347" i="7" s="1"/>
  <c r="K237" i="7"/>
  <c r="Q237" i="7" s="1"/>
  <c r="W237" i="7" s="1"/>
  <c r="AC237" i="7" s="1"/>
  <c r="L328" i="7"/>
  <c r="R328" i="7" s="1"/>
  <c r="X328" i="7" s="1"/>
  <c r="AD328" i="7" s="1"/>
  <c r="H135" i="7"/>
  <c r="N135" i="7" s="1"/>
  <c r="T135" i="7" s="1"/>
  <c r="Z135" i="7" s="1"/>
  <c r="H241" i="7"/>
  <c r="N241" i="7" s="1"/>
  <c r="T241" i="7" s="1"/>
  <c r="Z241" i="7" s="1"/>
  <c r="K366" i="7"/>
  <c r="Q366" i="7" s="1"/>
  <c r="W366" i="7" s="1"/>
  <c r="AC366" i="7" s="1"/>
  <c r="J186" i="7"/>
  <c r="P186" i="7" s="1"/>
  <c r="V186" i="7" s="1"/>
  <c r="AB186" i="7" s="1"/>
  <c r="K209" i="7"/>
  <c r="Q209" i="7" s="1"/>
  <c r="W209" i="7" s="1"/>
  <c r="AC209" i="7" s="1"/>
  <c r="H405" i="7"/>
  <c r="N405" i="7" s="1"/>
  <c r="T405" i="7" s="1"/>
  <c r="Z405" i="7" s="1"/>
  <c r="K182" i="7"/>
  <c r="Q182" i="7" s="1"/>
  <c r="W182" i="7" s="1"/>
  <c r="AC182" i="7" s="1"/>
  <c r="L140" i="7"/>
  <c r="R140" i="7" s="1"/>
  <c r="X140" i="7" s="1"/>
  <c r="AD140" i="7" s="1"/>
  <c r="K356" i="7"/>
  <c r="Q356" i="7" s="1"/>
  <c r="W356" i="7" s="1"/>
  <c r="AC356" i="7" s="1"/>
  <c r="I162" i="7"/>
  <c r="O162" i="7" s="1"/>
  <c r="U162" i="7" s="1"/>
  <c r="AA162" i="7" s="1"/>
  <c r="L116" i="7"/>
  <c r="R116" i="7" s="1"/>
  <c r="X116" i="7" s="1"/>
  <c r="AD116" i="7" s="1"/>
  <c r="J151" i="7"/>
  <c r="P151" i="7" s="1"/>
  <c r="V151" i="7" s="1"/>
  <c r="AB151" i="7" s="1"/>
  <c r="J155" i="7"/>
  <c r="P155" i="7" s="1"/>
  <c r="V155" i="7" s="1"/>
  <c r="AB155" i="7" s="1"/>
  <c r="I133" i="7"/>
  <c r="O133" i="7" s="1"/>
  <c r="U133" i="7" s="1"/>
  <c r="AA133" i="7" s="1"/>
  <c r="L380" i="7"/>
  <c r="R380" i="7" s="1"/>
  <c r="X380" i="7" s="1"/>
  <c r="AD380" i="7" s="1"/>
  <c r="I71" i="7"/>
  <c r="O71" i="7" s="1"/>
  <c r="U71" i="7" s="1"/>
  <c r="AA71" i="7" s="1"/>
  <c r="L178" i="7"/>
  <c r="R178" i="7" s="1"/>
  <c r="X178" i="7" s="1"/>
  <c r="AD178" i="7" s="1"/>
  <c r="K276" i="7"/>
  <c r="Q276" i="7" s="1"/>
  <c r="W276" i="7" s="1"/>
  <c r="AC276" i="7" s="1"/>
  <c r="H289" i="7"/>
  <c r="N289" i="7" s="1"/>
  <c r="T289" i="7" s="1"/>
  <c r="Z289" i="7" s="1"/>
  <c r="L345" i="7"/>
  <c r="R345" i="7" s="1"/>
  <c r="X345" i="7" s="1"/>
  <c r="AD345" i="7" s="1"/>
  <c r="I130" i="7"/>
  <c r="O130" i="7" s="1"/>
  <c r="U130" i="7" s="1"/>
  <c r="AA130" i="7" s="1"/>
  <c r="L218" i="7"/>
  <c r="R218" i="7" s="1"/>
  <c r="X218" i="7" s="1"/>
  <c r="AD218" i="7" s="1"/>
  <c r="H380" i="7"/>
  <c r="N380" i="7" s="1"/>
  <c r="T380" i="7" s="1"/>
  <c r="Z380" i="7" s="1"/>
  <c r="H271" i="7"/>
  <c r="N271" i="7" s="1"/>
  <c r="T271" i="7" s="1"/>
  <c r="Z271" i="7" s="1"/>
  <c r="I372" i="7"/>
  <c r="O372" i="7" s="1"/>
  <c r="U372" i="7" s="1"/>
  <c r="AA372" i="7" s="1"/>
  <c r="L381" i="7"/>
  <c r="R381" i="7" s="1"/>
  <c r="X381" i="7" s="1"/>
  <c r="AD381" i="7" s="1"/>
  <c r="I214" i="7"/>
  <c r="O214" i="7" s="1"/>
  <c r="U214" i="7" s="1"/>
  <c r="AA214" i="7" s="1"/>
  <c r="L175" i="7"/>
  <c r="R175" i="7" s="1"/>
  <c r="X175" i="7" s="1"/>
  <c r="AD175" i="7" s="1"/>
  <c r="H340" i="7"/>
  <c r="N340" i="7" s="1"/>
  <c r="T340" i="7" s="1"/>
  <c r="Z340" i="7" s="1"/>
  <c r="H373" i="7"/>
  <c r="N373" i="7" s="1"/>
  <c r="T373" i="7" s="1"/>
  <c r="Z373" i="7" s="1"/>
  <c r="L356" i="7"/>
  <c r="R356" i="7" s="1"/>
  <c r="X356" i="7" s="1"/>
  <c r="AD356" i="7" s="1"/>
  <c r="K404" i="7"/>
  <c r="Q404" i="7" s="1"/>
  <c r="W404" i="7" s="1"/>
  <c r="AC404" i="7" s="1"/>
  <c r="H392" i="7"/>
  <c r="N392" i="7" s="1"/>
  <c r="T392" i="7" s="1"/>
  <c r="Z392" i="7" s="1"/>
  <c r="K253" i="7"/>
  <c r="Q253" i="7" s="1"/>
  <c r="W253" i="7" s="1"/>
  <c r="AC253" i="7" s="1"/>
  <c r="I242" i="7"/>
  <c r="O242" i="7" s="1"/>
  <c r="U242" i="7" s="1"/>
  <c r="AA242" i="7" s="1"/>
  <c r="I404" i="7"/>
  <c r="O404" i="7" s="1"/>
  <c r="U404" i="7" s="1"/>
  <c r="AA404" i="7" s="1"/>
  <c r="J317" i="7"/>
  <c r="P317" i="7" s="1"/>
  <c r="V317" i="7" s="1"/>
  <c r="AB317" i="7" s="1"/>
  <c r="L136" i="7"/>
  <c r="R136" i="7" s="1"/>
  <c r="X136" i="7" s="1"/>
  <c r="AD136" i="7" s="1"/>
  <c r="K412" i="7"/>
  <c r="Q412" i="7" s="1"/>
  <c r="W412" i="7" s="1"/>
  <c r="AC412" i="7" s="1"/>
  <c r="H228" i="7"/>
  <c r="N228" i="7" s="1"/>
  <c r="T228" i="7" s="1"/>
  <c r="Z228" i="7" s="1"/>
  <c r="I282" i="7"/>
  <c r="O282" i="7" s="1"/>
  <c r="U282" i="7" s="1"/>
  <c r="AA282" i="7" s="1"/>
  <c r="K234" i="7"/>
  <c r="Q234" i="7" s="1"/>
  <c r="W234" i="7" s="1"/>
  <c r="AC234" i="7" s="1"/>
  <c r="J222" i="7"/>
  <c r="P222" i="7" s="1"/>
  <c r="V222" i="7" s="1"/>
  <c r="AB222" i="7" s="1"/>
  <c r="K72" i="7"/>
  <c r="Q72" i="7" s="1"/>
  <c r="W72" i="7" s="1"/>
  <c r="AC72" i="7" s="1"/>
  <c r="H420" i="7"/>
  <c r="N420" i="7" s="1"/>
  <c r="T420" i="7" s="1"/>
  <c r="Z420" i="7" s="1"/>
  <c r="H233" i="7"/>
  <c r="N233" i="7" s="1"/>
  <c r="T233" i="7" s="1"/>
  <c r="Z233" i="7" s="1"/>
  <c r="L84" i="7"/>
  <c r="R84" i="7" s="1"/>
  <c r="X84" i="7" s="1"/>
  <c r="AD84" i="7" s="1"/>
  <c r="H267" i="7"/>
  <c r="N267" i="7" s="1"/>
  <c r="T267" i="7" s="1"/>
  <c r="Z267" i="7" s="1"/>
  <c r="K155" i="7"/>
  <c r="Q155" i="7" s="1"/>
  <c r="W155" i="7" s="1"/>
  <c r="AC155" i="7" s="1"/>
  <c r="K225" i="7"/>
  <c r="Q225" i="7" s="1"/>
  <c r="W225" i="7" s="1"/>
  <c r="AC225" i="7" s="1"/>
  <c r="J389" i="7"/>
  <c r="P389" i="7" s="1"/>
  <c r="V389" i="7" s="1"/>
  <c r="AB389" i="7" s="1"/>
  <c r="L308" i="7"/>
  <c r="R308" i="7" s="1"/>
  <c r="X308" i="7" s="1"/>
  <c r="AD308" i="7" s="1"/>
  <c r="J145" i="7"/>
  <c r="P145" i="7" s="1"/>
  <c r="V145" i="7" s="1"/>
  <c r="AB145" i="7" s="1"/>
  <c r="H257" i="7"/>
  <c r="N257" i="7" s="1"/>
  <c r="T257" i="7" s="1"/>
  <c r="Z257" i="7" s="1"/>
  <c r="L85" i="7"/>
  <c r="R85" i="7" s="1"/>
  <c r="X85" i="7" s="1"/>
  <c r="AD85" i="7" s="1"/>
  <c r="L124" i="7"/>
  <c r="R124" i="7" s="1"/>
  <c r="X124" i="7" s="1"/>
  <c r="AD124" i="7" s="1"/>
  <c r="K280" i="7"/>
  <c r="Q280" i="7" s="1"/>
  <c r="W280" i="7" s="1"/>
  <c r="AC280" i="7" s="1"/>
  <c r="J395" i="7"/>
  <c r="P395" i="7" s="1"/>
  <c r="V395" i="7" s="1"/>
  <c r="AB395" i="7" s="1"/>
  <c r="H124" i="7"/>
  <c r="N124" i="7" s="1"/>
  <c r="T124" i="7" s="1"/>
  <c r="Z124" i="7" s="1"/>
  <c r="H211" i="7"/>
  <c r="N211" i="7" s="1"/>
  <c r="T211" i="7" s="1"/>
  <c r="Z211" i="7" s="1"/>
  <c r="K321" i="7"/>
  <c r="Q321" i="7" s="1"/>
  <c r="W321" i="7" s="1"/>
  <c r="AC321" i="7" s="1"/>
  <c r="H82" i="7"/>
  <c r="N82" i="7" s="1"/>
  <c r="T82" i="7" s="1"/>
  <c r="Z82" i="7" s="1"/>
  <c r="H140" i="7"/>
  <c r="N140" i="7" s="1"/>
  <c r="T140" i="7" s="1"/>
  <c r="Z140" i="7" s="1"/>
  <c r="K85" i="7"/>
  <c r="Q85" i="7" s="1"/>
  <c r="W85" i="7" s="1"/>
  <c r="AC85" i="7" s="1"/>
  <c r="I279" i="7"/>
  <c r="O279" i="7" s="1"/>
  <c r="U279" i="7" s="1"/>
  <c r="AA279" i="7" s="1"/>
  <c r="H146" i="7"/>
  <c r="N146" i="7" s="1"/>
  <c r="T146" i="7" s="1"/>
  <c r="Z146" i="7" s="1"/>
  <c r="K327" i="7"/>
  <c r="Q327" i="7" s="1"/>
  <c r="W327" i="7" s="1"/>
  <c r="AC327" i="7" s="1"/>
  <c r="I373" i="7"/>
  <c r="O373" i="7" s="1"/>
  <c r="U373" i="7" s="1"/>
  <c r="AA373" i="7" s="1"/>
  <c r="I271" i="7"/>
  <c r="O271" i="7" s="1"/>
  <c r="U271" i="7" s="1"/>
  <c r="AA271" i="7" s="1"/>
  <c r="L282" i="7"/>
  <c r="R282" i="7" s="1"/>
  <c r="X282" i="7" s="1"/>
  <c r="AD282" i="7" s="1"/>
  <c r="L415" i="7"/>
  <c r="R415" i="7" s="1"/>
  <c r="X415" i="7" s="1"/>
  <c r="AD415" i="7" s="1"/>
  <c r="J197" i="7"/>
  <c r="P197" i="7" s="1"/>
  <c r="V197" i="7" s="1"/>
  <c r="AB197" i="7" s="1"/>
  <c r="K236" i="7"/>
  <c r="Q236" i="7" s="1"/>
  <c r="W236" i="7" s="1"/>
  <c r="AC236" i="7" s="1"/>
  <c r="L195" i="7"/>
  <c r="R195" i="7" s="1"/>
  <c r="X195" i="7" s="1"/>
  <c r="AD195" i="7" s="1"/>
  <c r="L287" i="7"/>
  <c r="R287" i="7" s="1"/>
  <c r="X287" i="7" s="1"/>
  <c r="AD287" i="7" s="1"/>
  <c r="I320" i="7"/>
  <c r="O320" i="7" s="1"/>
  <c r="U320" i="7" s="1"/>
  <c r="AA320" i="7" s="1"/>
  <c r="K304" i="7"/>
  <c r="Q304" i="7" s="1"/>
  <c r="W304" i="7" s="1"/>
  <c r="AC304" i="7" s="1"/>
  <c r="L362" i="7"/>
  <c r="R362" i="7" s="1"/>
  <c r="X362" i="7" s="1"/>
  <c r="AD362" i="7" s="1"/>
  <c r="L169" i="7"/>
  <c r="R169" i="7" s="1"/>
  <c r="X169" i="7" s="1"/>
  <c r="AD169" i="7" s="1"/>
  <c r="K420" i="7"/>
  <c r="Q420" i="7" s="1"/>
  <c r="W420" i="7" s="1"/>
  <c r="AC420" i="7" s="1"/>
  <c r="I331" i="7"/>
  <c r="O331" i="7" s="1"/>
  <c r="U331" i="7" s="1"/>
  <c r="AA331" i="7" s="1"/>
  <c r="H270" i="7"/>
  <c r="N270" i="7" s="1"/>
  <c r="T270" i="7" s="1"/>
  <c r="Z270" i="7" s="1"/>
  <c r="J369" i="7"/>
  <c r="P369" i="7" s="1"/>
  <c r="V369" i="7" s="1"/>
  <c r="AB369" i="7" s="1"/>
  <c r="L88" i="7"/>
  <c r="R88" i="7" s="1"/>
  <c r="X88" i="7" s="1"/>
  <c r="AD88" i="7" s="1"/>
  <c r="I220" i="7"/>
  <c r="O220" i="7" s="1"/>
  <c r="U220" i="7" s="1"/>
  <c r="AA220" i="7" s="1"/>
  <c r="H138" i="7"/>
  <c r="N138" i="7" s="1"/>
  <c r="T138" i="7" s="1"/>
  <c r="Z138" i="7" s="1"/>
  <c r="H307" i="7"/>
  <c r="N307" i="7" s="1"/>
  <c r="T307" i="7" s="1"/>
  <c r="Z307" i="7" s="1"/>
  <c r="K208" i="7"/>
  <c r="Q208" i="7" s="1"/>
  <c r="W208" i="7" s="1"/>
  <c r="AC208" i="7" s="1"/>
  <c r="I286" i="7"/>
  <c r="O286" i="7" s="1"/>
  <c r="U286" i="7" s="1"/>
  <c r="AA286" i="7" s="1"/>
  <c r="H411" i="7"/>
  <c r="N411" i="7" s="1"/>
  <c r="T411" i="7" s="1"/>
  <c r="Z411" i="7" s="1"/>
  <c r="I222" i="7"/>
  <c r="O222" i="7" s="1"/>
  <c r="U222" i="7" s="1"/>
  <c r="AA222" i="7" s="1"/>
  <c r="L223" i="7"/>
  <c r="R223" i="7" s="1"/>
  <c r="X223" i="7" s="1"/>
  <c r="AD223" i="7" s="1"/>
  <c r="L384" i="7"/>
  <c r="R384" i="7" s="1"/>
  <c r="X384" i="7" s="1"/>
  <c r="AD384" i="7" s="1"/>
  <c r="L111" i="7"/>
  <c r="R111" i="7" s="1"/>
  <c r="X111" i="7" s="1"/>
  <c r="AD111" i="7" s="1"/>
  <c r="J319" i="7"/>
  <c r="P319" i="7" s="1"/>
  <c r="V319" i="7" s="1"/>
  <c r="AB319" i="7" s="1"/>
  <c r="L391" i="7"/>
  <c r="R391" i="7" s="1"/>
  <c r="X391" i="7" s="1"/>
  <c r="AD391" i="7" s="1"/>
  <c r="L156" i="7"/>
  <c r="R156" i="7" s="1"/>
  <c r="X156" i="7" s="1"/>
  <c r="AD156" i="7" s="1"/>
  <c r="K102" i="7"/>
  <c r="Q102" i="7" s="1"/>
  <c r="W102" i="7" s="1"/>
  <c r="AC102" i="7" s="1"/>
  <c r="K79" i="7"/>
  <c r="Q79" i="7" s="1"/>
  <c r="W79" i="7" s="1"/>
  <c r="AC79" i="7" s="1"/>
  <c r="J118" i="7"/>
  <c r="P118" i="7" s="1"/>
  <c r="V118" i="7" s="1"/>
  <c r="AB118" i="7" s="1"/>
  <c r="H394" i="7"/>
  <c r="N394" i="7" s="1"/>
  <c r="T394" i="7" s="1"/>
  <c r="Z394" i="7" s="1"/>
  <c r="K427" i="7"/>
  <c r="Q427" i="7" s="1"/>
  <c r="W427" i="7" s="1"/>
  <c r="AC427" i="7" s="1"/>
  <c r="L81" i="7"/>
  <c r="R81" i="7" s="1"/>
  <c r="X81" i="7" s="1"/>
  <c r="AD81" i="7" s="1"/>
  <c r="K269" i="7"/>
  <c r="Q269" i="7" s="1"/>
  <c r="W269" i="7" s="1"/>
  <c r="AC269" i="7" s="1"/>
  <c r="J368" i="7"/>
  <c r="P368" i="7" s="1"/>
  <c r="V368" i="7" s="1"/>
  <c r="AB368" i="7" s="1"/>
  <c r="J419" i="7"/>
  <c r="P419" i="7" s="1"/>
  <c r="V419" i="7" s="1"/>
  <c r="AB419" i="7" s="1"/>
  <c r="H419" i="7"/>
  <c r="N419" i="7" s="1"/>
  <c r="T419" i="7" s="1"/>
  <c r="Z419" i="7" s="1"/>
  <c r="I346" i="7"/>
  <c r="O346" i="7" s="1"/>
  <c r="U346" i="7" s="1"/>
  <c r="AA346" i="7" s="1"/>
  <c r="L201" i="7"/>
  <c r="R201" i="7" s="1"/>
  <c r="X201" i="7" s="1"/>
  <c r="AD201" i="7" s="1"/>
  <c r="L428" i="7"/>
  <c r="R428" i="7" s="1"/>
  <c r="X428" i="7" s="1"/>
  <c r="AD428" i="7" s="1"/>
  <c r="L206" i="7"/>
  <c r="R206" i="7" s="1"/>
  <c r="X206" i="7" s="1"/>
  <c r="AD206" i="7" s="1"/>
  <c r="H362" i="7"/>
  <c r="N362" i="7" s="1"/>
  <c r="T362" i="7" s="1"/>
  <c r="Z362" i="7" s="1"/>
  <c r="K215" i="7"/>
  <c r="Q215" i="7" s="1"/>
  <c r="W215" i="7" s="1"/>
  <c r="AC215" i="7" s="1"/>
  <c r="J256" i="7"/>
  <c r="P256" i="7" s="1"/>
  <c r="V256" i="7" s="1"/>
  <c r="AB256" i="7" s="1"/>
  <c r="J348" i="7"/>
  <c r="P348" i="7" s="1"/>
  <c r="V348" i="7" s="1"/>
  <c r="AB348" i="7" s="1"/>
  <c r="J159" i="7"/>
  <c r="P159" i="7" s="1"/>
  <c r="V159" i="7" s="1"/>
  <c r="AB159" i="7" s="1"/>
  <c r="J416" i="7"/>
  <c r="P416" i="7" s="1"/>
  <c r="V416" i="7" s="1"/>
  <c r="AB416" i="7" s="1"/>
  <c r="J206" i="7"/>
  <c r="P206" i="7" s="1"/>
  <c r="V206" i="7" s="1"/>
  <c r="AB206" i="7" s="1"/>
  <c r="J135" i="7"/>
  <c r="P135" i="7" s="1"/>
  <c r="V135" i="7" s="1"/>
  <c r="AB135" i="7" s="1"/>
  <c r="J295" i="7"/>
  <c r="P295" i="7" s="1"/>
  <c r="V295" i="7" s="1"/>
  <c r="AB295" i="7" s="1"/>
  <c r="K401" i="7"/>
  <c r="Q401" i="7" s="1"/>
  <c r="W401" i="7" s="1"/>
  <c r="AC401" i="7" s="1"/>
  <c r="J227" i="7"/>
  <c r="P227" i="7" s="1"/>
  <c r="V227" i="7" s="1"/>
  <c r="AB227" i="7" s="1"/>
  <c r="K169" i="7"/>
  <c r="Q169" i="7" s="1"/>
  <c r="W169" i="7" s="1"/>
  <c r="AC169" i="7" s="1"/>
  <c r="J76" i="7"/>
  <c r="P76" i="7" s="1"/>
  <c r="V76" i="7" s="1"/>
  <c r="AB76" i="7" s="1"/>
  <c r="L255" i="7"/>
  <c r="R255" i="7" s="1"/>
  <c r="X255" i="7" s="1"/>
  <c r="AD255" i="7" s="1"/>
  <c r="K135" i="7"/>
  <c r="Q135" i="7" s="1"/>
  <c r="W135" i="7" s="1"/>
  <c r="AC135" i="7" s="1"/>
  <c r="J161" i="7"/>
  <c r="P161" i="7" s="1"/>
  <c r="V161" i="7" s="1"/>
  <c r="AB161" i="7" s="1"/>
  <c r="L343" i="7"/>
  <c r="R343" i="7" s="1"/>
  <c r="X343" i="7" s="1"/>
  <c r="AD343" i="7" s="1"/>
  <c r="I287" i="7"/>
  <c r="O287" i="7" s="1"/>
  <c r="U287" i="7" s="1"/>
  <c r="AA287" i="7" s="1"/>
  <c r="H407" i="7"/>
  <c r="N407" i="7" s="1"/>
  <c r="T407" i="7" s="1"/>
  <c r="Z407" i="7" s="1"/>
  <c r="J131" i="7"/>
  <c r="P131" i="7" s="1"/>
  <c r="V131" i="7" s="1"/>
  <c r="AB131" i="7" s="1"/>
  <c r="I364" i="7"/>
  <c r="O364" i="7" s="1"/>
  <c r="U364" i="7" s="1"/>
  <c r="AA364" i="7" s="1"/>
  <c r="J214" i="7"/>
  <c r="P214" i="7" s="1"/>
  <c r="V214" i="7" s="1"/>
  <c r="AB214" i="7" s="1"/>
  <c r="H256" i="7"/>
  <c r="N256" i="7" s="1"/>
  <c r="T256" i="7" s="1"/>
  <c r="Z256" i="7" s="1"/>
  <c r="J92" i="7"/>
  <c r="P92" i="7" s="1"/>
  <c r="V92" i="7" s="1"/>
  <c r="AB92" i="7" s="1"/>
  <c r="H368" i="7"/>
  <c r="N368" i="7" s="1"/>
  <c r="T368" i="7" s="1"/>
  <c r="Z368" i="7" s="1"/>
  <c r="L157" i="7"/>
  <c r="R157" i="7" s="1"/>
  <c r="X157" i="7" s="1"/>
  <c r="AD157" i="7" s="1"/>
  <c r="J101" i="7"/>
  <c r="P101" i="7" s="1"/>
  <c r="V101" i="7" s="1"/>
  <c r="AB101" i="7" s="1"/>
  <c r="K171" i="7"/>
  <c r="Q171" i="7" s="1"/>
  <c r="W171" i="7" s="1"/>
  <c r="AC171" i="7" s="1"/>
  <c r="H167" i="7"/>
  <c r="N167" i="7" s="1"/>
  <c r="T167" i="7" s="1"/>
  <c r="Z167" i="7" s="1"/>
  <c r="L208" i="7"/>
  <c r="R208" i="7" s="1"/>
  <c r="X208" i="7" s="1"/>
  <c r="AD208" i="7" s="1"/>
  <c r="K87" i="7"/>
  <c r="Q87" i="7" s="1"/>
  <c r="W87" i="7" s="1"/>
  <c r="AC87" i="7" s="1"/>
  <c r="L188" i="7"/>
  <c r="R188" i="7" s="1"/>
  <c r="X188" i="7" s="1"/>
  <c r="AD188" i="7" s="1"/>
  <c r="K93" i="7"/>
  <c r="Q93" i="7" s="1"/>
  <c r="W93" i="7" s="1"/>
  <c r="AC93" i="7" s="1"/>
  <c r="I359" i="7"/>
  <c r="O359" i="7" s="1"/>
  <c r="U359" i="7" s="1"/>
  <c r="AA359" i="7" s="1"/>
  <c r="L377" i="7"/>
  <c r="R377" i="7" s="1"/>
  <c r="X377" i="7" s="1"/>
  <c r="AD377" i="7" s="1"/>
  <c r="K411" i="7"/>
  <c r="Q411" i="7" s="1"/>
  <c r="W411" i="7" s="1"/>
  <c r="AC411" i="7" s="1"/>
  <c r="K396" i="7"/>
  <c r="Q396" i="7" s="1"/>
  <c r="W396" i="7" s="1"/>
  <c r="AC396" i="7" s="1"/>
  <c r="K259" i="7"/>
  <c r="Q259" i="7" s="1"/>
  <c r="W259" i="7" s="1"/>
  <c r="AC259" i="7" s="1"/>
  <c r="H126" i="7"/>
  <c r="N126" i="7" s="1"/>
  <c r="T126" i="7" s="1"/>
  <c r="Z126" i="7" s="1"/>
  <c r="J275" i="7"/>
  <c r="P275" i="7" s="1"/>
  <c r="V275" i="7" s="1"/>
  <c r="AB275" i="7" s="1"/>
  <c r="L129" i="7"/>
  <c r="R129" i="7" s="1"/>
  <c r="X129" i="7" s="1"/>
  <c r="AD129" i="7" s="1"/>
  <c r="L213" i="7"/>
  <c r="R213" i="7" s="1"/>
  <c r="X213" i="7" s="1"/>
  <c r="AD213" i="7" s="1"/>
  <c r="L146" i="7"/>
  <c r="R146" i="7" s="1"/>
  <c r="X146" i="7" s="1"/>
  <c r="AD146" i="7" s="1"/>
  <c r="I310" i="7"/>
  <c r="O310" i="7" s="1"/>
  <c r="U310" i="7" s="1"/>
  <c r="AA310" i="7" s="1"/>
  <c r="J288" i="7"/>
  <c r="P288" i="7" s="1"/>
  <c r="V288" i="7" s="1"/>
  <c r="AB288" i="7" s="1"/>
  <c r="H415" i="7"/>
  <c r="N415" i="7" s="1"/>
  <c r="T415" i="7" s="1"/>
  <c r="Z415" i="7" s="1"/>
  <c r="L270" i="7"/>
  <c r="R270" i="7" s="1"/>
  <c r="X270" i="7" s="1"/>
  <c r="AD270" i="7" s="1"/>
  <c r="J425" i="7"/>
  <c r="P425" i="7" s="1"/>
  <c r="V425" i="7" s="1"/>
  <c r="AB425" i="7" s="1"/>
  <c r="L141" i="7"/>
  <c r="R141" i="7" s="1"/>
  <c r="X141" i="7" s="1"/>
  <c r="AD141" i="7" s="1"/>
  <c r="H413" i="7"/>
  <c r="N413" i="7" s="1"/>
  <c r="T413" i="7" s="1"/>
  <c r="Z413" i="7" s="1"/>
  <c r="L89" i="7"/>
  <c r="R89" i="7" s="1"/>
  <c r="X89" i="7" s="1"/>
  <c r="AD89" i="7" s="1"/>
  <c r="L228" i="7"/>
  <c r="R228" i="7" s="1"/>
  <c r="X228" i="7" s="1"/>
  <c r="AD228" i="7" s="1"/>
  <c r="L197" i="7"/>
  <c r="R197" i="7" s="1"/>
  <c r="X197" i="7" s="1"/>
  <c r="AD197" i="7" s="1"/>
  <c r="L259" i="7"/>
  <c r="R259" i="7" s="1"/>
  <c r="X259" i="7" s="1"/>
  <c r="AD259" i="7" s="1"/>
  <c r="J231" i="7"/>
  <c r="P231" i="7" s="1"/>
  <c r="V231" i="7" s="1"/>
  <c r="AB231" i="7" s="1"/>
  <c r="K424" i="7"/>
  <c r="Q424" i="7" s="1"/>
  <c r="W424" i="7" s="1"/>
  <c r="AC424" i="7" s="1"/>
  <c r="K392" i="7"/>
  <c r="Q392" i="7" s="1"/>
  <c r="W392" i="7" s="1"/>
  <c r="AC392" i="7" s="1"/>
  <c r="J345" i="7"/>
  <c r="P345" i="7" s="1"/>
  <c r="V345" i="7" s="1"/>
  <c r="AB345" i="7" s="1"/>
  <c r="H224" i="7"/>
  <c r="N224" i="7" s="1"/>
  <c r="T224" i="7" s="1"/>
  <c r="Z224" i="7" s="1"/>
  <c r="H215" i="7"/>
  <c r="N215" i="7" s="1"/>
  <c r="T215" i="7" s="1"/>
  <c r="Z215" i="7" s="1"/>
  <c r="L214" i="7"/>
  <c r="R214" i="7" s="1"/>
  <c r="X214" i="7" s="1"/>
  <c r="AD214" i="7" s="1"/>
  <c r="J171" i="7"/>
  <c r="P171" i="7" s="1"/>
  <c r="V171" i="7" s="1"/>
  <c r="AB171" i="7" s="1"/>
  <c r="K120" i="7"/>
  <c r="Q120" i="7" s="1"/>
  <c r="W120" i="7" s="1"/>
  <c r="AC120" i="7" s="1"/>
  <c r="K147" i="7"/>
  <c r="Q147" i="7" s="1"/>
  <c r="W147" i="7" s="1"/>
  <c r="AC147" i="7" s="1"/>
  <c r="H409" i="7"/>
  <c r="N409" i="7" s="1"/>
  <c r="T409" i="7" s="1"/>
  <c r="Z409" i="7" s="1"/>
  <c r="L247" i="7"/>
  <c r="R247" i="7" s="1"/>
  <c r="X247" i="7" s="1"/>
  <c r="AD247" i="7" s="1"/>
  <c r="H308" i="7"/>
  <c r="N308" i="7" s="1"/>
  <c r="T308" i="7" s="1"/>
  <c r="Z308" i="7" s="1"/>
  <c r="H403" i="7"/>
  <c r="N403" i="7" s="1"/>
  <c r="T403" i="7" s="1"/>
  <c r="Z403" i="7" s="1"/>
  <c r="I383" i="7"/>
  <c r="O383" i="7" s="1"/>
  <c r="U383" i="7" s="1"/>
  <c r="AA383" i="7" s="1"/>
  <c r="J374" i="7"/>
  <c r="P374" i="7" s="1"/>
  <c r="V374" i="7" s="1"/>
  <c r="AB374" i="7" s="1"/>
  <c r="J84" i="7"/>
  <c r="P84" i="7" s="1"/>
  <c r="V84" i="7" s="1"/>
  <c r="AB84" i="7" s="1"/>
  <c r="J141" i="7"/>
  <c r="P141" i="7" s="1"/>
  <c r="V141" i="7" s="1"/>
  <c r="AB141" i="7" s="1"/>
  <c r="I251" i="7"/>
  <c r="O251" i="7" s="1"/>
  <c r="U251" i="7" s="1"/>
  <c r="AA251" i="7" s="1"/>
  <c r="K137" i="7"/>
  <c r="Q137" i="7" s="1"/>
  <c r="W137" i="7" s="1"/>
  <c r="AC137" i="7" s="1"/>
  <c r="K101" i="7"/>
  <c r="Q101" i="7" s="1"/>
  <c r="W101" i="7" s="1"/>
  <c r="AC101" i="7" s="1"/>
  <c r="L297" i="7"/>
  <c r="R297" i="7" s="1"/>
  <c r="X297" i="7" s="1"/>
  <c r="AD297" i="7" s="1"/>
  <c r="K186" i="7"/>
  <c r="Q186" i="7" s="1"/>
  <c r="W186" i="7" s="1"/>
  <c r="AC186" i="7" s="1"/>
  <c r="K217" i="7"/>
  <c r="Q217" i="7" s="1"/>
  <c r="W217" i="7" s="1"/>
  <c r="AC217" i="7" s="1"/>
  <c r="H231" i="7"/>
  <c r="N231" i="7" s="1"/>
  <c r="T231" i="7" s="1"/>
  <c r="Z231" i="7" s="1"/>
  <c r="J81" i="7"/>
  <c r="P81" i="7" s="1"/>
  <c r="V81" i="7" s="1"/>
  <c r="AB81" i="7" s="1"/>
  <c r="H239" i="7"/>
  <c r="N239" i="7" s="1"/>
  <c r="T239" i="7" s="1"/>
  <c r="Z239" i="7" s="1"/>
  <c r="H361" i="7"/>
  <c r="N361" i="7" s="1"/>
  <c r="T361" i="7" s="1"/>
  <c r="Z361" i="7" s="1"/>
  <c r="I371" i="7"/>
  <c r="O371" i="7" s="1"/>
  <c r="U371" i="7" s="1"/>
  <c r="AA371" i="7" s="1"/>
  <c r="H216" i="7"/>
  <c r="N216" i="7" s="1"/>
  <c r="T216" i="7" s="1"/>
  <c r="Z216" i="7" s="1"/>
  <c r="I75" i="7"/>
  <c r="O75" i="7" s="1"/>
  <c r="U75" i="7" s="1"/>
  <c r="AA75" i="7" s="1"/>
  <c r="J89" i="7"/>
  <c r="P89" i="7" s="1"/>
  <c r="V89" i="7" s="1"/>
  <c r="AB89" i="7" s="1"/>
  <c r="H285" i="7"/>
  <c r="N285" i="7" s="1"/>
  <c r="T285" i="7" s="1"/>
  <c r="Z285" i="7" s="1"/>
  <c r="J175" i="7"/>
  <c r="P175" i="7" s="1"/>
  <c r="V175" i="7" s="1"/>
  <c r="AB175" i="7" s="1"/>
  <c r="L373" i="7"/>
  <c r="R373" i="7" s="1"/>
  <c r="X373" i="7" s="1"/>
  <c r="AD373" i="7" s="1"/>
  <c r="K199" i="7"/>
  <c r="Q199" i="7" s="1"/>
  <c r="W199" i="7" s="1"/>
  <c r="AC199" i="7" s="1"/>
  <c r="J432" i="7"/>
  <c r="P432" i="7" s="1"/>
  <c r="V432" i="7" s="1"/>
  <c r="AB432" i="7" s="1"/>
  <c r="L418" i="7"/>
  <c r="R418" i="7" s="1"/>
  <c r="X418" i="7" s="1"/>
  <c r="AD418" i="7" s="1"/>
  <c r="I226" i="7"/>
  <c r="O226" i="7" s="1"/>
  <c r="U226" i="7" s="1"/>
  <c r="AA226" i="7" s="1"/>
  <c r="J278" i="7"/>
  <c r="P278" i="7" s="1"/>
  <c r="V278" i="7" s="1"/>
  <c r="AB278" i="7" s="1"/>
  <c r="H378" i="7"/>
  <c r="N378" i="7" s="1"/>
  <c r="T378" i="7" s="1"/>
  <c r="Z378" i="7" s="1"/>
  <c r="I172" i="7"/>
  <c r="O172" i="7" s="1"/>
  <c r="U172" i="7" s="1"/>
  <c r="AA172" i="7" s="1"/>
  <c r="L238" i="7"/>
  <c r="R238" i="7" s="1"/>
  <c r="X238" i="7" s="1"/>
  <c r="AD238" i="7" s="1"/>
  <c r="J85" i="7"/>
  <c r="P85" i="7" s="1"/>
  <c r="V85" i="7" s="1"/>
  <c r="AB85" i="7" s="1"/>
  <c r="I400" i="7"/>
  <c r="O400" i="7" s="1"/>
  <c r="U400" i="7" s="1"/>
  <c r="AA400" i="7" s="1"/>
  <c r="J210" i="7"/>
  <c r="P210" i="7" s="1"/>
  <c r="V210" i="7" s="1"/>
  <c r="AB210" i="7" s="1"/>
  <c r="H416" i="7"/>
  <c r="N416" i="7" s="1"/>
  <c r="T416" i="7" s="1"/>
  <c r="Z416" i="7" s="1"/>
  <c r="I338" i="7"/>
  <c r="O338" i="7" s="1"/>
  <c r="U338" i="7" s="1"/>
  <c r="AA338" i="7" s="1"/>
  <c r="J225" i="7"/>
  <c r="P225" i="7" s="1"/>
  <c r="V225" i="7" s="1"/>
  <c r="AB225" i="7" s="1"/>
  <c r="I175" i="7"/>
  <c r="O175" i="7" s="1"/>
  <c r="U175" i="7" s="1"/>
  <c r="AA175" i="7" s="1"/>
  <c r="I215" i="7"/>
  <c r="O215" i="7" s="1"/>
  <c r="U215" i="7" s="1"/>
  <c r="AA215" i="7" s="1"/>
  <c r="I250" i="7"/>
  <c r="O250" i="7" s="1"/>
  <c r="U250" i="7" s="1"/>
  <c r="AA250" i="7" s="1"/>
  <c r="J351" i="7"/>
  <c r="P351" i="7" s="1"/>
  <c r="V351" i="7" s="1"/>
  <c r="AB351" i="7" s="1"/>
  <c r="L90" i="7"/>
  <c r="R90" i="7" s="1"/>
  <c r="X90" i="7" s="1"/>
  <c r="AD90" i="7" s="1"/>
  <c r="I178" i="7"/>
  <c r="O178" i="7" s="1"/>
  <c r="U178" i="7" s="1"/>
  <c r="AA178" i="7" s="1"/>
  <c r="K83" i="7"/>
  <c r="Q83" i="7" s="1"/>
  <c r="W83" i="7" s="1"/>
  <c r="AC83" i="7" s="1"/>
  <c r="K252" i="7"/>
  <c r="Q252" i="7" s="1"/>
  <c r="W252" i="7" s="1"/>
  <c r="AC252" i="7" s="1"/>
  <c r="I103" i="7"/>
  <c r="O103" i="7" s="1"/>
  <c r="U103" i="7" s="1"/>
  <c r="AA103" i="7" s="1"/>
  <c r="I74" i="7"/>
  <c r="O74" i="7" s="1"/>
  <c r="U74" i="7" s="1"/>
  <c r="AA74" i="7" s="1"/>
  <c r="I92" i="7"/>
  <c r="O92" i="7" s="1"/>
  <c r="U92" i="7" s="1"/>
  <c r="AA92" i="7" s="1"/>
  <c r="K125" i="7"/>
  <c r="Q125" i="7" s="1"/>
  <c r="W125" i="7" s="1"/>
  <c r="AC125" i="7" s="1"/>
  <c r="L110" i="7"/>
  <c r="R110" i="7" s="1"/>
  <c r="X110" i="7" s="1"/>
  <c r="AD110" i="7" s="1"/>
  <c r="I225" i="7"/>
  <c r="O225" i="7" s="1"/>
  <c r="U225" i="7" s="1"/>
  <c r="AA225" i="7" s="1"/>
  <c r="H116" i="7"/>
  <c r="N116" i="7" s="1"/>
  <c r="T116" i="7" s="1"/>
  <c r="Z116" i="7" s="1"/>
  <c r="L372" i="7"/>
  <c r="R372" i="7" s="1"/>
  <c r="X372" i="7" s="1"/>
  <c r="AD372" i="7" s="1"/>
  <c r="H369" i="7"/>
  <c r="N369" i="7" s="1"/>
  <c r="T369" i="7" s="1"/>
  <c r="Z369" i="7" s="1"/>
  <c r="J215" i="7"/>
  <c r="P215" i="7" s="1"/>
  <c r="V215" i="7" s="1"/>
  <c r="AB215" i="7" s="1"/>
  <c r="L123" i="7"/>
  <c r="R123" i="7" s="1"/>
  <c r="X123" i="7" s="1"/>
  <c r="AD123" i="7" s="1"/>
  <c r="K181" i="7"/>
  <c r="Q181" i="7" s="1"/>
  <c r="W181" i="7" s="1"/>
  <c r="AC181" i="7" s="1"/>
  <c r="I85" i="7"/>
  <c r="O85" i="7" s="1"/>
  <c r="U85" i="7" s="1"/>
  <c r="AA85" i="7" s="1"/>
  <c r="I142" i="7"/>
  <c r="O142" i="7" s="1"/>
  <c r="U142" i="7" s="1"/>
  <c r="AA142" i="7" s="1"/>
  <c r="K71" i="7"/>
  <c r="Q71" i="7" s="1"/>
  <c r="W71" i="7" s="1"/>
  <c r="AC71" i="7" s="1"/>
  <c r="K352" i="7"/>
  <c r="Q352" i="7" s="1"/>
  <c r="W352" i="7" s="1"/>
  <c r="AC352" i="7" s="1"/>
  <c r="J398" i="7"/>
  <c r="P398" i="7" s="1"/>
  <c r="V398" i="7" s="1"/>
  <c r="AB398" i="7" s="1"/>
  <c r="L148" i="7"/>
  <c r="R148" i="7" s="1"/>
  <c r="X148" i="7" s="1"/>
  <c r="AD148" i="7" s="1"/>
  <c r="L302" i="7"/>
  <c r="R302" i="7" s="1"/>
  <c r="X302" i="7" s="1"/>
  <c r="AD302" i="7" s="1"/>
  <c r="H381" i="7"/>
  <c r="N381" i="7" s="1"/>
  <c r="T381" i="7" s="1"/>
  <c r="Z381" i="7" s="1"/>
  <c r="L284" i="7"/>
  <c r="R284" i="7" s="1"/>
  <c r="X284" i="7" s="1"/>
  <c r="AD284" i="7" s="1"/>
  <c r="K374" i="7"/>
  <c r="Q374" i="7" s="1"/>
  <c r="W374" i="7" s="1"/>
  <c r="AC374" i="7" s="1"/>
  <c r="K231" i="7"/>
  <c r="Q231" i="7" s="1"/>
  <c r="W231" i="7" s="1"/>
  <c r="AC231" i="7" s="1"/>
  <c r="L160" i="7"/>
  <c r="R160" i="7" s="1"/>
  <c r="X160" i="7" s="1"/>
  <c r="AD160" i="7" s="1"/>
  <c r="J245" i="7"/>
  <c r="P245" i="7" s="1"/>
  <c r="V245" i="7" s="1"/>
  <c r="AB245" i="7" s="1"/>
  <c r="H329" i="7"/>
  <c r="N329" i="7" s="1"/>
  <c r="T329" i="7" s="1"/>
  <c r="Z329" i="7" s="1"/>
  <c r="K96" i="7"/>
  <c r="Q96" i="7" s="1"/>
  <c r="W96" i="7" s="1"/>
  <c r="AC96" i="7" s="1"/>
  <c r="H181" i="7"/>
  <c r="N181" i="7" s="1"/>
  <c r="T181" i="7" s="1"/>
  <c r="Z181" i="7" s="1"/>
  <c r="K103" i="7"/>
  <c r="Q103" i="7" s="1"/>
  <c r="W103" i="7" s="1"/>
  <c r="AC103" i="7" s="1"/>
  <c r="L298" i="7"/>
  <c r="R298" i="7" s="1"/>
  <c r="X298" i="7" s="1"/>
  <c r="AD298" i="7" s="1"/>
  <c r="H429" i="7"/>
  <c r="N429" i="7" s="1"/>
  <c r="T429" i="7" s="1"/>
  <c r="Z429" i="7" s="1"/>
  <c r="I190" i="7"/>
  <c r="O190" i="7" s="1"/>
  <c r="U190" i="7" s="1"/>
  <c r="AA190" i="7" s="1"/>
  <c r="I191" i="7"/>
  <c r="O191" i="7" s="1"/>
  <c r="U191" i="7" s="1"/>
  <c r="AA191" i="7" s="1"/>
  <c r="K109" i="7"/>
  <c r="Q109" i="7" s="1"/>
  <c r="W109" i="7" s="1"/>
  <c r="AC109" i="7" s="1"/>
  <c r="I138" i="7"/>
  <c r="O138" i="7" s="1"/>
  <c r="U138" i="7" s="1"/>
  <c r="AA138" i="7" s="1"/>
  <c r="L257" i="7"/>
  <c r="R257" i="7" s="1"/>
  <c r="X257" i="7" s="1"/>
  <c r="AD257" i="7" s="1"/>
  <c r="J378" i="7"/>
  <c r="P378" i="7" s="1"/>
  <c r="V378" i="7" s="1"/>
  <c r="AB378" i="7" s="1"/>
  <c r="I342" i="7"/>
  <c r="O342" i="7" s="1"/>
  <c r="U342" i="7" s="1"/>
  <c r="AA342" i="7" s="1"/>
  <c r="L104" i="7"/>
  <c r="R104" i="7" s="1"/>
  <c r="X104" i="7" s="1"/>
  <c r="AD104" i="7" s="1"/>
  <c r="I194" i="7"/>
  <c r="O194" i="7" s="1"/>
  <c r="U194" i="7" s="1"/>
  <c r="AA194" i="7" s="1"/>
  <c r="L250" i="7"/>
  <c r="R250" i="7" s="1"/>
  <c r="X250" i="7" s="1"/>
  <c r="AD250" i="7" s="1"/>
  <c r="J350" i="7"/>
  <c r="P350" i="7" s="1"/>
  <c r="V350" i="7" s="1"/>
  <c r="AB350" i="7" s="1"/>
  <c r="K407" i="7"/>
  <c r="Q407" i="7" s="1"/>
  <c r="W407" i="7" s="1"/>
  <c r="AC407" i="7" s="1"/>
  <c r="H114" i="7"/>
  <c r="N114" i="7" s="1"/>
  <c r="T114" i="7" s="1"/>
  <c r="Z114" i="7" s="1"/>
  <c r="J102" i="7"/>
  <c r="P102" i="7" s="1"/>
  <c r="V102" i="7" s="1"/>
  <c r="AB102" i="7" s="1"/>
  <c r="L78" i="7"/>
  <c r="R78" i="7" s="1"/>
  <c r="X78" i="7" s="1"/>
  <c r="AD78" i="7" s="1"/>
  <c r="L131" i="7"/>
  <c r="R131" i="7" s="1"/>
  <c r="X131" i="7" s="1"/>
  <c r="AD131" i="7" s="1"/>
  <c r="H72" i="7"/>
  <c r="N72" i="7" s="1"/>
  <c r="T72" i="7" s="1"/>
  <c r="Z72" i="7" s="1"/>
  <c r="L127" i="7"/>
  <c r="R127" i="7" s="1"/>
  <c r="X127" i="7" s="1"/>
  <c r="AD127" i="7" s="1"/>
  <c r="J111" i="7"/>
  <c r="P111" i="7" s="1"/>
  <c r="V111" i="7" s="1"/>
  <c r="AB111" i="7" s="1"/>
  <c r="J224" i="7"/>
  <c r="P224" i="7" s="1"/>
  <c r="V224" i="7" s="1"/>
  <c r="AB224" i="7" s="1"/>
  <c r="L398" i="7"/>
  <c r="R398" i="7" s="1"/>
  <c r="X398" i="7" s="1"/>
  <c r="AD398" i="7" s="1"/>
  <c r="J422" i="7"/>
  <c r="P422" i="7" s="1"/>
  <c r="V422" i="7" s="1"/>
  <c r="AB422" i="7" s="1"/>
  <c r="J315" i="7"/>
  <c r="P315" i="7" s="1"/>
  <c r="V315" i="7" s="1"/>
  <c r="AB315" i="7" s="1"/>
  <c r="I385" i="7"/>
  <c r="O385" i="7" s="1"/>
  <c r="U385" i="7" s="1"/>
  <c r="AA385" i="7" s="1"/>
  <c r="I392" i="7"/>
  <c r="O392" i="7" s="1"/>
  <c r="U392" i="7" s="1"/>
  <c r="AA392" i="7" s="1"/>
  <c r="J160" i="7"/>
  <c r="P160" i="7" s="1"/>
  <c r="V160" i="7" s="1"/>
  <c r="AB160" i="7" s="1"/>
  <c r="J306" i="7"/>
  <c r="P306" i="7" s="1"/>
  <c r="V306" i="7" s="1"/>
  <c r="AB306" i="7" s="1"/>
  <c r="L383" i="7"/>
  <c r="R383" i="7" s="1"/>
  <c r="X383" i="7" s="1"/>
  <c r="AD383" i="7" s="1"/>
  <c r="I114" i="7"/>
  <c r="O114" i="7" s="1"/>
  <c r="U114" i="7" s="1"/>
  <c r="AA114" i="7" s="1"/>
  <c r="L170" i="7"/>
  <c r="R170" i="7" s="1"/>
  <c r="X170" i="7" s="1"/>
  <c r="AD170" i="7" s="1"/>
  <c r="K108" i="7"/>
  <c r="Q108" i="7" s="1"/>
  <c r="W108" i="7" s="1"/>
  <c r="AC108" i="7" s="1"/>
  <c r="K220" i="7"/>
  <c r="Q220" i="7" s="1"/>
  <c r="W220" i="7" s="1"/>
  <c r="AC220" i="7" s="1"/>
  <c r="I401" i="7"/>
  <c r="O401" i="7" s="1"/>
  <c r="U401" i="7" s="1"/>
  <c r="AA401" i="7" s="1"/>
  <c r="K219" i="7"/>
  <c r="Q219" i="7" s="1"/>
  <c r="W219" i="7" s="1"/>
  <c r="AC219" i="7" s="1"/>
  <c r="I405" i="7"/>
  <c r="O405" i="7" s="1"/>
  <c r="U405" i="7" s="1"/>
  <c r="AA405" i="7" s="1"/>
  <c r="K371" i="7"/>
  <c r="Q371" i="7" s="1"/>
  <c r="W371" i="7" s="1"/>
  <c r="AC371" i="7" s="1"/>
  <c r="L261" i="7"/>
  <c r="R261" i="7" s="1"/>
  <c r="X261" i="7" s="1"/>
  <c r="AD261" i="7" s="1"/>
  <c r="K195" i="7"/>
  <c r="Q195" i="7" s="1"/>
  <c r="W195" i="7" s="1"/>
  <c r="AC195" i="7" s="1"/>
  <c r="K154" i="7"/>
  <c r="Q154" i="7" s="1"/>
  <c r="W154" i="7" s="1"/>
  <c r="AC154" i="7" s="1"/>
  <c r="J217" i="7"/>
  <c r="P217" i="7" s="1"/>
  <c r="V217" i="7" s="1"/>
  <c r="AB217" i="7" s="1"/>
  <c r="I265" i="7"/>
  <c r="O265" i="7" s="1"/>
  <c r="U265" i="7" s="1"/>
  <c r="AA265" i="7" s="1"/>
  <c r="K398" i="7"/>
  <c r="Q398" i="7" s="1"/>
  <c r="W398" i="7" s="1"/>
  <c r="AC398" i="7" s="1"/>
  <c r="I228" i="7"/>
  <c r="O228" i="7" s="1"/>
  <c r="U228" i="7" s="1"/>
  <c r="AA228" i="7" s="1"/>
  <c r="L176" i="7"/>
  <c r="R176" i="7" s="1"/>
  <c r="X176" i="7" s="1"/>
  <c r="AD176" i="7" s="1"/>
  <c r="K376" i="7"/>
  <c r="Q376" i="7" s="1"/>
  <c r="W376" i="7" s="1"/>
  <c r="AC376" i="7" s="1"/>
  <c r="K299" i="7"/>
  <c r="Q299" i="7" s="1"/>
  <c r="W299" i="7" s="1"/>
  <c r="AC299" i="7" s="1"/>
  <c r="J294" i="7"/>
  <c r="P294" i="7" s="1"/>
  <c r="V294" i="7" s="1"/>
  <c r="AB294" i="7" s="1"/>
  <c r="K323" i="7"/>
  <c r="Q323" i="7" s="1"/>
  <c r="W323" i="7" s="1"/>
  <c r="AC323" i="7" s="1"/>
  <c r="L162" i="7"/>
  <c r="R162" i="7" s="1"/>
  <c r="X162" i="7" s="1"/>
  <c r="AD162" i="7" s="1"/>
  <c r="H272" i="7"/>
  <c r="N272" i="7" s="1"/>
  <c r="T272" i="7" s="1"/>
  <c r="Z272" i="7" s="1"/>
  <c r="K400" i="7"/>
  <c r="Q400" i="7" s="1"/>
  <c r="W400" i="7" s="1"/>
  <c r="AC400" i="7" s="1"/>
  <c r="I193" i="7"/>
  <c r="O193" i="7" s="1"/>
  <c r="U193" i="7" s="1"/>
  <c r="AA193" i="7" s="1"/>
  <c r="H396" i="7"/>
  <c r="N396" i="7" s="1"/>
  <c r="T396" i="7" s="1"/>
  <c r="Z396" i="7" s="1"/>
  <c r="J130" i="7"/>
  <c r="P130" i="7" s="1"/>
  <c r="V130" i="7" s="1"/>
  <c r="AB130" i="7" s="1"/>
  <c r="H184" i="7"/>
  <c r="N184" i="7" s="1"/>
  <c r="T184" i="7" s="1"/>
  <c r="Z184" i="7" s="1"/>
  <c r="J149" i="7"/>
  <c r="P149" i="7" s="1"/>
  <c r="V149" i="7" s="1"/>
  <c r="AB149" i="7" s="1"/>
  <c r="H84" i="7"/>
  <c r="N84" i="7" s="1"/>
  <c r="T84" i="7" s="1"/>
  <c r="Z84" i="7" s="1"/>
  <c r="I354" i="7"/>
  <c r="O354" i="7" s="1"/>
  <c r="U354" i="7" s="1"/>
  <c r="AA354" i="7" s="1"/>
  <c r="I432" i="7"/>
  <c r="O432" i="7" s="1"/>
  <c r="U432" i="7" s="1"/>
  <c r="AA432" i="7" s="1"/>
  <c r="I384" i="7"/>
  <c r="O384" i="7" s="1"/>
  <c r="U384" i="7" s="1"/>
  <c r="AA384" i="7" s="1"/>
  <c r="K89" i="7"/>
  <c r="Q89" i="7" s="1"/>
  <c r="W89" i="7" s="1"/>
  <c r="AC89" i="7" s="1"/>
  <c r="J154" i="7"/>
  <c r="P154" i="7" s="1"/>
  <c r="V154" i="7" s="1"/>
  <c r="AB154" i="7" s="1"/>
  <c r="I280" i="7"/>
  <c r="O280" i="7" s="1"/>
  <c r="U280" i="7" s="1"/>
  <c r="AA280" i="7" s="1"/>
  <c r="J265" i="7"/>
  <c r="P265" i="7" s="1"/>
  <c r="V265" i="7" s="1"/>
  <c r="AB265" i="7" s="1"/>
  <c r="L426" i="7"/>
  <c r="R426" i="7" s="1"/>
  <c r="X426" i="7" s="1"/>
  <c r="AD426" i="7" s="1"/>
  <c r="L303" i="7"/>
  <c r="R303" i="7" s="1"/>
  <c r="X303" i="7" s="1"/>
  <c r="AD303" i="7" s="1"/>
  <c r="H287" i="7"/>
  <c r="N287" i="7" s="1"/>
  <c r="T287" i="7" s="1"/>
  <c r="Z287" i="7" s="1"/>
  <c r="L368" i="7"/>
  <c r="R368" i="7" s="1"/>
  <c r="X368" i="7" s="1"/>
  <c r="AD368" i="7" s="1"/>
  <c r="L230" i="7"/>
  <c r="R230" i="7" s="1"/>
  <c r="X230" i="7" s="1"/>
  <c r="AD230" i="7" s="1"/>
  <c r="L422" i="7"/>
  <c r="R422" i="7" s="1"/>
  <c r="X422" i="7" s="1"/>
  <c r="AD422" i="7" s="1"/>
  <c r="J97" i="7"/>
  <c r="P97" i="7" s="1"/>
  <c r="V97" i="7" s="1"/>
  <c r="AB97" i="7" s="1"/>
  <c r="H187" i="7"/>
  <c r="N187" i="7" s="1"/>
  <c r="T187" i="7" s="1"/>
  <c r="Z187" i="7" s="1"/>
  <c r="L305" i="7"/>
  <c r="R305" i="7" s="1"/>
  <c r="X305" i="7" s="1"/>
  <c r="AD305" i="7" s="1"/>
  <c r="K428" i="7"/>
  <c r="Q428" i="7" s="1"/>
  <c r="W428" i="7" s="1"/>
  <c r="AC428" i="7" s="1"/>
  <c r="L75" i="7"/>
  <c r="R75" i="7" s="1"/>
  <c r="X75" i="7" s="1"/>
  <c r="AD75" i="7" s="1"/>
  <c r="H305" i="7"/>
  <c r="N305" i="7" s="1"/>
  <c r="T305" i="7" s="1"/>
  <c r="Z305" i="7" s="1"/>
  <c r="K285" i="7"/>
  <c r="Q285" i="7" s="1"/>
  <c r="W285" i="7" s="1"/>
  <c r="AC285" i="7" s="1"/>
  <c r="K185" i="7"/>
  <c r="Q185" i="7" s="1"/>
  <c r="W185" i="7" s="1"/>
  <c r="AC185" i="7" s="1"/>
  <c r="K241" i="7"/>
  <c r="Q241" i="7" s="1"/>
  <c r="W241" i="7" s="1"/>
  <c r="AC241" i="7" s="1"/>
  <c r="L393" i="7"/>
  <c r="R393" i="7" s="1"/>
  <c r="X393" i="7" s="1"/>
  <c r="AD393" i="7" s="1"/>
  <c r="K230" i="7"/>
  <c r="Q230" i="7" s="1"/>
  <c r="W230" i="7" s="1"/>
  <c r="AC230" i="7" s="1"/>
  <c r="I308" i="7"/>
  <c r="O308" i="7" s="1"/>
  <c r="U308" i="7" s="1"/>
  <c r="AA308" i="7" s="1"/>
  <c r="L87" i="7"/>
  <c r="R87" i="7" s="1"/>
  <c r="X87" i="7" s="1"/>
  <c r="AD87" i="7" s="1"/>
  <c r="K247" i="7"/>
  <c r="Q247" i="7" s="1"/>
  <c r="W247" i="7" s="1"/>
  <c r="AC247" i="7" s="1"/>
  <c r="I98" i="7"/>
  <c r="O98" i="7" s="1"/>
  <c r="U98" i="7" s="1"/>
  <c r="AA98" i="7" s="1"/>
  <c r="K292" i="7"/>
  <c r="Q292" i="7" s="1"/>
  <c r="W292" i="7" s="1"/>
  <c r="AC292" i="7" s="1"/>
  <c r="K110" i="7"/>
  <c r="Q110" i="7" s="1"/>
  <c r="W110" i="7" s="1"/>
  <c r="AC110" i="7" s="1"/>
  <c r="I244" i="7"/>
  <c r="O244" i="7" s="1"/>
  <c r="U244" i="7" s="1"/>
  <c r="AA244" i="7" s="1"/>
  <c r="H134" i="7"/>
  <c r="N134" i="7" s="1"/>
  <c r="T134" i="7" s="1"/>
  <c r="Z134" i="7" s="1"/>
  <c r="H304" i="7"/>
  <c r="N304" i="7" s="1"/>
  <c r="T304" i="7" s="1"/>
  <c r="Z304" i="7" s="1"/>
  <c r="L74" i="7"/>
  <c r="R74" i="7" s="1"/>
  <c r="X74" i="7" s="1"/>
  <c r="AD74" i="7" s="1"/>
  <c r="I144" i="7"/>
  <c r="O144" i="7" s="1"/>
  <c r="U144" i="7" s="1"/>
  <c r="AA144" i="7" s="1"/>
  <c r="J399" i="7"/>
  <c r="P399" i="7" s="1"/>
  <c r="V399" i="7" s="1"/>
  <c r="AB399" i="7" s="1"/>
  <c r="I435" i="7"/>
  <c r="O435" i="7" s="1"/>
  <c r="U435" i="7" s="1"/>
  <c r="AA435" i="7" s="1"/>
  <c r="I123" i="7"/>
  <c r="O123" i="7" s="1"/>
  <c r="U123" i="7" s="1"/>
  <c r="AA123" i="7" s="1"/>
  <c r="J86" i="7"/>
  <c r="P86" i="7" s="1"/>
  <c r="V86" i="7" s="1"/>
  <c r="AB86" i="7" s="1"/>
  <c r="J257" i="7"/>
  <c r="P257" i="7" s="1"/>
  <c r="V257" i="7" s="1"/>
  <c r="AB257" i="7" s="1"/>
  <c r="H128" i="7"/>
  <c r="N128" i="7" s="1"/>
  <c r="T128" i="7" s="1"/>
  <c r="Z128" i="7" s="1"/>
  <c r="I90" i="7"/>
  <c r="O90" i="7" s="1"/>
  <c r="U90" i="7" s="1"/>
  <c r="AA90" i="7" s="1"/>
  <c r="K124" i="7"/>
  <c r="Q124" i="7" s="1"/>
  <c r="W124" i="7" s="1"/>
  <c r="AC124" i="7" s="1"/>
  <c r="K205" i="7"/>
  <c r="Q205" i="7" s="1"/>
  <c r="W205" i="7" s="1"/>
  <c r="AC205" i="7" s="1"/>
  <c r="J433" i="7"/>
  <c r="P433" i="7" s="1"/>
  <c r="V433" i="7" s="1"/>
  <c r="AB433" i="7" s="1"/>
  <c r="L392" i="7"/>
  <c r="R392" i="7" s="1"/>
  <c r="X392" i="7" s="1"/>
  <c r="AD392" i="7" s="1"/>
  <c r="K201" i="7"/>
  <c r="Q201" i="7" s="1"/>
  <c r="W201" i="7" s="1"/>
  <c r="AC201" i="7" s="1"/>
  <c r="H290" i="7"/>
  <c r="N290" i="7" s="1"/>
  <c r="T290" i="7" s="1"/>
  <c r="Z290" i="7" s="1"/>
  <c r="K298" i="7"/>
  <c r="Q298" i="7" s="1"/>
  <c r="W298" i="7" s="1"/>
  <c r="AC298" i="7" s="1"/>
  <c r="I393" i="7"/>
  <c r="O393" i="7" s="1"/>
  <c r="U393" i="7" s="1"/>
  <c r="AA393" i="7" s="1"/>
  <c r="J198" i="7"/>
  <c r="P198" i="7" s="1"/>
  <c r="V198" i="7" s="1"/>
  <c r="AB198" i="7" s="1"/>
  <c r="J356" i="7"/>
  <c r="P356" i="7" s="1"/>
  <c r="V356" i="7" s="1"/>
  <c r="AB356" i="7" s="1"/>
  <c r="J194" i="7"/>
  <c r="P194" i="7" s="1"/>
  <c r="V194" i="7" s="1"/>
  <c r="AB194" i="7" s="1"/>
  <c r="L79" i="7"/>
  <c r="R79" i="7" s="1"/>
  <c r="X79" i="7" s="1"/>
  <c r="AD79" i="7" s="1"/>
  <c r="J129" i="7"/>
  <c r="P129" i="7" s="1"/>
  <c r="V129" i="7" s="1"/>
  <c r="AB129" i="7" s="1"/>
  <c r="L277" i="7"/>
  <c r="R277" i="7" s="1"/>
  <c r="X277" i="7" s="1"/>
  <c r="AD277" i="7" s="1"/>
  <c r="I409" i="7"/>
  <c r="O409" i="7" s="1"/>
  <c r="U409" i="7" s="1"/>
  <c r="AA409" i="7" s="1"/>
  <c r="I116" i="7"/>
  <c r="O116" i="7" s="1"/>
  <c r="U116" i="7" s="1"/>
  <c r="AA116" i="7" s="1"/>
  <c r="H132" i="7"/>
  <c r="N132" i="7" s="1"/>
  <c r="T132" i="7" s="1"/>
  <c r="Z132" i="7" s="1"/>
  <c r="I339" i="7"/>
  <c r="O339" i="7" s="1"/>
  <c r="U339" i="7" s="1"/>
  <c r="AA339" i="7" s="1"/>
  <c r="I317" i="7"/>
  <c r="O317" i="7" s="1"/>
  <c r="U317" i="7" s="1"/>
  <c r="AA317" i="7" s="1"/>
  <c r="K341" i="7"/>
  <c r="Q341" i="7" s="1"/>
  <c r="W341" i="7" s="1"/>
  <c r="AC341" i="7" s="1"/>
  <c r="I233" i="7"/>
  <c r="O233" i="7" s="1"/>
  <c r="U233" i="7" s="1"/>
  <c r="AA233" i="7" s="1"/>
  <c r="H363" i="7"/>
  <c r="N363" i="7" s="1"/>
  <c r="T363" i="7" s="1"/>
  <c r="Z363" i="7" s="1"/>
  <c r="K228" i="7"/>
  <c r="Q228" i="7" s="1"/>
  <c r="W228" i="7" s="1"/>
  <c r="AC228" i="7" s="1"/>
  <c r="K158" i="7"/>
  <c r="Q158" i="7" s="1"/>
  <c r="W158" i="7" s="1"/>
  <c r="AC158" i="7" s="1"/>
  <c r="L335" i="7"/>
  <c r="R335" i="7" s="1"/>
  <c r="X335" i="7" s="1"/>
  <c r="AD335" i="7" s="1"/>
  <c r="I368" i="7"/>
  <c r="O368" i="7" s="1"/>
  <c r="U368" i="7" s="1"/>
  <c r="AA368" i="7" s="1"/>
  <c r="K361" i="7"/>
  <c r="Q361" i="7" s="1"/>
  <c r="W361" i="7" s="1"/>
  <c r="AC361" i="7" s="1"/>
  <c r="K394" i="7"/>
  <c r="Q394" i="7" s="1"/>
  <c r="W394" i="7" s="1"/>
  <c r="AC394" i="7" s="1"/>
  <c r="L351" i="7"/>
  <c r="R351" i="7" s="1"/>
  <c r="X351" i="7" s="1"/>
  <c r="AD351" i="7" s="1"/>
  <c r="H115" i="7"/>
  <c r="N115" i="7" s="1"/>
  <c r="T115" i="7" s="1"/>
  <c r="Z115" i="7" s="1"/>
  <c r="K358" i="7"/>
  <c r="Q358" i="7" s="1"/>
  <c r="W358" i="7" s="1"/>
  <c r="AC358" i="7" s="1"/>
  <c r="K383" i="7"/>
  <c r="Q383" i="7" s="1"/>
  <c r="W383" i="7" s="1"/>
  <c r="AC383" i="7" s="1"/>
  <c r="H125" i="7"/>
  <c r="N125" i="7" s="1"/>
  <c r="T125" i="7" s="1"/>
  <c r="Z125" i="7" s="1"/>
  <c r="J187" i="7"/>
  <c r="P187" i="7" s="1"/>
  <c r="V187" i="7" s="1"/>
  <c r="AB187" i="7" s="1"/>
  <c r="I203" i="7"/>
  <c r="O203" i="7" s="1"/>
  <c r="U203" i="7" s="1"/>
  <c r="AA203" i="7" s="1"/>
  <c r="I96" i="7"/>
  <c r="O96" i="7" s="1"/>
  <c r="U96" i="7" s="1"/>
  <c r="AA96" i="7" s="1"/>
  <c r="H219" i="7"/>
  <c r="N219" i="7" s="1"/>
  <c r="T219" i="7" s="1"/>
  <c r="Z219" i="7" s="1"/>
  <c r="J379" i="7"/>
  <c r="P379" i="7" s="1"/>
  <c r="V379" i="7" s="1"/>
  <c r="AB379" i="7" s="1"/>
  <c r="I378" i="7"/>
  <c r="O378" i="7" s="1"/>
  <c r="U378" i="7" s="1"/>
  <c r="AA378" i="7" s="1"/>
  <c r="H107" i="7"/>
  <c r="N107" i="7" s="1"/>
  <c r="T107" i="7" s="1"/>
  <c r="Z107" i="7" s="1"/>
  <c r="I290" i="7"/>
  <c r="O290" i="7" s="1"/>
  <c r="U290" i="7" s="1"/>
  <c r="AA290" i="7" s="1"/>
  <c r="H258" i="7"/>
  <c r="N258" i="7" s="1"/>
  <c r="T258" i="7" s="1"/>
  <c r="Z258" i="7" s="1"/>
  <c r="L215" i="7"/>
  <c r="R215" i="7" s="1"/>
  <c r="X215" i="7" s="1"/>
  <c r="AD215" i="7" s="1"/>
  <c r="K272" i="7"/>
  <c r="Q272" i="7" s="1"/>
  <c r="W272" i="7" s="1"/>
  <c r="AC272" i="7" s="1"/>
  <c r="I281" i="7"/>
  <c r="O281" i="7" s="1"/>
  <c r="U281" i="7" s="1"/>
  <c r="AA281" i="7" s="1"/>
  <c r="H384" i="7"/>
  <c r="N384" i="7" s="1"/>
  <c r="T384" i="7" s="1"/>
  <c r="Z384" i="7" s="1"/>
  <c r="J168" i="7"/>
  <c r="P168" i="7" s="1"/>
  <c r="V168" i="7" s="1"/>
  <c r="AB168" i="7" s="1"/>
  <c r="I165" i="7"/>
  <c r="O165" i="7" s="1"/>
  <c r="U165" i="7" s="1"/>
  <c r="AA165" i="7" s="1"/>
  <c r="J289" i="7"/>
  <c r="P289" i="7" s="1"/>
  <c r="V289" i="7" s="1"/>
  <c r="AB289" i="7" s="1"/>
  <c r="H152" i="7"/>
  <c r="N152" i="7" s="1"/>
  <c r="T152" i="7" s="1"/>
  <c r="Z152" i="7" s="1"/>
  <c r="I121" i="7"/>
  <c r="O121" i="7" s="1"/>
  <c r="U121" i="7" s="1"/>
  <c r="AA121" i="7" s="1"/>
  <c r="I227" i="7"/>
  <c r="O227" i="7" s="1"/>
  <c r="U227" i="7" s="1"/>
  <c r="AA227" i="7" s="1"/>
  <c r="L338" i="7"/>
  <c r="R338" i="7" s="1"/>
  <c r="X338" i="7" s="1"/>
  <c r="AD338" i="7" s="1"/>
  <c r="I349" i="7"/>
  <c r="O349" i="7" s="1"/>
  <c r="U349" i="7" s="1"/>
  <c r="AA349" i="7" s="1"/>
  <c r="J333" i="7"/>
  <c r="P333" i="7" s="1"/>
  <c r="V333" i="7" s="1"/>
  <c r="AB333" i="7" s="1"/>
  <c r="I294" i="7"/>
  <c r="O294" i="7" s="1"/>
  <c r="U294" i="7" s="1"/>
  <c r="AA294" i="7" s="1"/>
  <c r="H131" i="7"/>
  <c r="N131" i="7" s="1"/>
  <c r="T131" i="7" s="1"/>
  <c r="Z131" i="7" s="1"/>
  <c r="K78" i="7"/>
  <c r="Q78" i="7" s="1"/>
  <c r="W78" i="7" s="1"/>
  <c r="AC78" i="7" s="1"/>
  <c r="H137" i="7"/>
  <c r="N137" i="7" s="1"/>
  <c r="T137" i="7" s="1"/>
  <c r="Z137" i="7" s="1"/>
  <c r="L430" i="7"/>
  <c r="R430" i="7" s="1"/>
  <c r="X430" i="7" s="1"/>
  <c r="AD430" i="7" s="1"/>
  <c r="I109" i="7"/>
  <c r="O109" i="7" s="1"/>
  <c r="U109" i="7" s="1"/>
  <c r="AA109" i="7" s="1"/>
  <c r="K433" i="7"/>
  <c r="Q433" i="7" s="1"/>
  <c r="W433" i="7" s="1"/>
  <c r="AC433" i="7" s="1"/>
  <c r="H377" i="7"/>
  <c r="N377" i="7" s="1"/>
  <c r="T377" i="7" s="1"/>
  <c r="Z377" i="7" s="1"/>
  <c r="J413" i="7"/>
  <c r="P413" i="7" s="1"/>
  <c r="V413" i="7" s="1"/>
  <c r="AB413" i="7" s="1"/>
  <c r="I376" i="7"/>
  <c r="O376" i="7" s="1"/>
  <c r="U376" i="7" s="1"/>
  <c r="AA376" i="7" s="1"/>
  <c r="J249" i="7"/>
  <c r="P249" i="7" s="1"/>
  <c r="V249" i="7" s="1"/>
  <c r="AB249" i="7" s="1"/>
  <c r="J165" i="7"/>
  <c r="P165" i="7" s="1"/>
  <c r="V165" i="7" s="1"/>
  <c r="AB165" i="7" s="1"/>
  <c r="K406" i="7"/>
  <c r="Q406" i="7" s="1"/>
  <c r="W406" i="7" s="1"/>
  <c r="AC406" i="7" s="1"/>
  <c r="H352" i="7"/>
  <c r="N352" i="7" s="1"/>
  <c r="T352" i="7" s="1"/>
  <c r="Z352" i="7" s="1"/>
  <c r="H288" i="7"/>
  <c r="N288" i="7" s="1"/>
  <c r="T288" i="7" s="1"/>
  <c r="Z288" i="7" s="1"/>
  <c r="K331" i="7"/>
  <c r="Q331" i="7" s="1"/>
  <c r="W331" i="7" s="1"/>
  <c r="AC331" i="7" s="1"/>
  <c r="K129" i="7"/>
  <c r="Q129" i="7" s="1"/>
  <c r="W129" i="7" s="1"/>
  <c r="AC129" i="7" s="1"/>
  <c r="L355" i="7"/>
  <c r="R355" i="7" s="1"/>
  <c r="X355" i="7" s="1"/>
  <c r="AD355" i="7" s="1"/>
  <c r="K288" i="7"/>
  <c r="Q288" i="7" s="1"/>
  <c r="W288" i="7" s="1"/>
  <c r="AC288" i="7" s="1"/>
  <c r="H170" i="7"/>
  <c r="N170" i="7" s="1"/>
  <c r="T170" i="7" s="1"/>
  <c r="Z170" i="7" s="1"/>
  <c r="I253" i="7"/>
  <c r="O253" i="7" s="1"/>
  <c r="U253" i="7" s="1"/>
  <c r="AA253" i="7" s="1"/>
  <c r="L158" i="7"/>
  <c r="R158" i="7" s="1"/>
  <c r="X158" i="7" s="1"/>
  <c r="AD158" i="7" s="1"/>
  <c r="I216" i="7"/>
  <c r="O216" i="7" s="1"/>
  <c r="U216" i="7" s="1"/>
  <c r="AA216" i="7" s="1"/>
  <c r="I419" i="7"/>
  <c r="O419" i="7" s="1"/>
  <c r="U419" i="7" s="1"/>
  <c r="AA419" i="7" s="1"/>
  <c r="H86" i="7"/>
  <c r="N86" i="7" s="1"/>
  <c r="T86" i="7" s="1"/>
  <c r="Z86" i="7" s="1"/>
  <c r="J105" i="7"/>
  <c r="P105" i="7" s="1"/>
  <c r="V105" i="7" s="1"/>
  <c r="AB105" i="7" s="1"/>
  <c r="K431" i="7"/>
  <c r="Q431" i="7" s="1"/>
  <c r="W431" i="7" s="1"/>
  <c r="AC431" i="7" s="1"/>
  <c r="K274" i="7"/>
  <c r="Q274" i="7" s="1"/>
  <c r="W274" i="7" s="1"/>
  <c r="AC274" i="7" s="1"/>
  <c r="H302" i="7"/>
  <c r="N302" i="7" s="1"/>
  <c r="T302" i="7" s="1"/>
  <c r="Z302" i="7" s="1"/>
  <c r="K375" i="7"/>
  <c r="Q375" i="7" s="1"/>
  <c r="W375" i="7" s="1"/>
  <c r="AC375" i="7" s="1"/>
  <c r="K100" i="7"/>
  <c r="Q100" i="7" s="1"/>
  <c r="W100" i="7" s="1"/>
  <c r="AC100" i="7" s="1"/>
  <c r="K262" i="7"/>
  <c r="Q262" i="7" s="1"/>
  <c r="W262" i="7" s="1"/>
  <c r="AC262" i="7" s="1"/>
  <c r="H277" i="7"/>
  <c r="N277" i="7" s="1"/>
  <c r="T277" i="7" s="1"/>
  <c r="Z277" i="7" s="1"/>
  <c r="I100" i="7"/>
  <c r="O100" i="7" s="1"/>
  <c r="U100" i="7" s="1"/>
  <c r="AA100" i="7" s="1"/>
  <c r="H356" i="7"/>
  <c r="N356" i="7" s="1"/>
  <c r="T356" i="7" s="1"/>
  <c r="Z356" i="7" s="1"/>
  <c r="H401" i="7"/>
  <c r="N401" i="7" s="1"/>
  <c r="T401" i="7" s="1"/>
  <c r="Z401" i="7" s="1"/>
  <c r="H387" i="7"/>
  <c r="N387" i="7" s="1"/>
  <c r="T387" i="7" s="1"/>
  <c r="Z387" i="7" s="1"/>
  <c r="J329" i="7"/>
  <c r="P329" i="7" s="1"/>
  <c r="V329" i="7" s="1"/>
  <c r="AB329" i="7" s="1"/>
  <c r="H164" i="7"/>
  <c r="N164" i="7" s="1"/>
  <c r="T164" i="7" s="1"/>
  <c r="Z164" i="7" s="1"/>
  <c r="I82" i="7"/>
  <c r="O82" i="7" s="1"/>
  <c r="U82" i="7" s="1"/>
  <c r="AA82" i="7" s="1"/>
  <c r="I293" i="7"/>
  <c r="O293" i="7" s="1"/>
  <c r="U293" i="7" s="1"/>
  <c r="AA293" i="7" s="1"/>
  <c r="H195" i="7"/>
  <c r="N195" i="7" s="1"/>
  <c r="T195" i="7" s="1"/>
  <c r="Z195" i="7" s="1"/>
  <c r="H159" i="7"/>
  <c r="N159" i="7" s="1"/>
  <c r="T159" i="7" s="1"/>
  <c r="Z159" i="7" s="1"/>
  <c r="L107" i="7"/>
  <c r="R107" i="7" s="1"/>
  <c r="X107" i="7" s="1"/>
  <c r="AD107" i="7" s="1"/>
  <c r="L232" i="7"/>
  <c r="R232" i="7" s="1"/>
  <c r="X232" i="7" s="1"/>
  <c r="AD232" i="7" s="1"/>
  <c r="K291" i="7"/>
  <c r="Q291" i="7" s="1"/>
  <c r="W291" i="7" s="1"/>
  <c r="AC291" i="7" s="1"/>
  <c r="H79" i="7"/>
  <c r="N79" i="7" s="1"/>
  <c r="T79" i="7" s="1"/>
  <c r="Z79" i="7" s="1"/>
  <c r="K97" i="7"/>
  <c r="Q97" i="7" s="1"/>
  <c r="W97" i="7" s="1"/>
  <c r="AC97" i="7" s="1"/>
  <c r="I324" i="7"/>
  <c r="O324" i="7" s="1"/>
  <c r="U324" i="7" s="1"/>
  <c r="AA324" i="7" s="1"/>
  <c r="I188" i="7"/>
  <c r="O188" i="7" s="1"/>
  <c r="U188" i="7" s="1"/>
  <c r="AA188" i="7" s="1"/>
  <c r="J104" i="7"/>
  <c r="P104" i="7" s="1"/>
  <c r="V104" i="7" s="1"/>
  <c r="AB104" i="7" s="1"/>
  <c r="K168" i="7"/>
  <c r="Q168" i="7" s="1"/>
  <c r="W168" i="7" s="1"/>
  <c r="AC168" i="7" s="1"/>
  <c r="I389" i="7"/>
  <c r="O389" i="7" s="1"/>
  <c r="U389" i="7" s="1"/>
  <c r="AA389" i="7" s="1"/>
  <c r="J120" i="7"/>
  <c r="P120" i="7" s="1"/>
  <c r="V120" i="7" s="1"/>
  <c r="AB120" i="7" s="1"/>
  <c r="L196" i="7"/>
  <c r="R196" i="7" s="1"/>
  <c r="X196" i="7" s="1"/>
  <c r="AD196" i="7" s="1"/>
  <c r="L417" i="7"/>
  <c r="R417" i="7" s="1"/>
  <c r="X417" i="7" s="1"/>
  <c r="AD417" i="7" s="1"/>
  <c r="H314" i="7"/>
  <c r="N314" i="7" s="1"/>
  <c r="T314" i="7" s="1"/>
  <c r="Z314" i="7" s="1"/>
  <c r="H144" i="7"/>
  <c r="N144" i="7" s="1"/>
  <c r="T144" i="7" s="1"/>
  <c r="Z144" i="7" s="1"/>
  <c r="K167" i="7"/>
  <c r="Q167" i="7" s="1"/>
  <c r="W167" i="7" s="1"/>
  <c r="AC167" i="7" s="1"/>
  <c r="K320" i="7"/>
  <c r="Q320" i="7" s="1"/>
  <c r="W320" i="7" s="1"/>
  <c r="AC320" i="7" s="1"/>
  <c r="K382" i="7"/>
  <c r="Q382" i="7" s="1"/>
  <c r="W382" i="7" s="1"/>
  <c r="AC382" i="7" s="1"/>
  <c r="L251" i="7"/>
  <c r="R251" i="7" s="1"/>
  <c r="X251" i="7" s="1"/>
  <c r="AD251" i="7" s="1"/>
  <c r="J127" i="7"/>
  <c r="P127" i="7" s="1"/>
  <c r="V127" i="7" s="1"/>
  <c r="AB127" i="7" s="1"/>
  <c r="K309" i="7"/>
  <c r="Q309" i="7" s="1"/>
  <c r="W309" i="7" s="1"/>
  <c r="AC309" i="7" s="1"/>
  <c r="L210" i="7"/>
  <c r="R210" i="7" s="1"/>
  <c r="X210" i="7" s="1"/>
  <c r="AD210" i="7" s="1"/>
  <c r="L288" i="7"/>
  <c r="R288" i="7" s="1"/>
  <c r="X288" i="7" s="1"/>
  <c r="AD288" i="7" s="1"/>
  <c r="I195" i="7"/>
  <c r="O195" i="7" s="1"/>
  <c r="U195" i="7" s="1"/>
  <c r="AA195" i="7" s="1"/>
  <c r="K98" i="7"/>
  <c r="Q98" i="7" s="1"/>
  <c r="W98" i="7" s="1"/>
  <c r="AC98" i="7" s="1"/>
  <c r="K92" i="7"/>
  <c r="Q92" i="7" s="1"/>
  <c r="W92" i="7" s="1"/>
  <c r="AC92" i="7" s="1"/>
  <c r="L95" i="7"/>
  <c r="R95" i="7" s="1"/>
  <c r="X95" i="7" s="1"/>
  <c r="AD95" i="7" s="1"/>
  <c r="I182" i="7"/>
  <c r="O182" i="7" s="1"/>
  <c r="U182" i="7" s="1"/>
  <c r="AA182" i="7" s="1"/>
  <c r="H142" i="7"/>
  <c r="N142" i="7" s="1"/>
  <c r="T142" i="7" s="1"/>
  <c r="Z142" i="7" s="1"/>
  <c r="K163" i="7"/>
  <c r="Q163" i="7" s="1"/>
  <c r="W163" i="7" s="1"/>
  <c r="AC163" i="7" s="1"/>
  <c r="K142" i="7"/>
  <c r="Q142" i="7" s="1"/>
  <c r="W142" i="7" s="1"/>
  <c r="AC142" i="7" s="1"/>
  <c r="L145" i="7"/>
  <c r="R145" i="7" s="1"/>
  <c r="X145" i="7" s="1"/>
  <c r="AD145" i="7" s="1"/>
  <c r="J128" i="7"/>
  <c r="P128" i="7" s="1"/>
  <c r="V128" i="7" s="1"/>
  <c r="AB128" i="7" s="1"/>
  <c r="K226" i="7"/>
  <c r="Q226" i="7" s="1"/>
  <c r="W226" i="7" s="1"/>
  <c r="AC226" i="7" s="1"/>
  <c r="I168" i="7"/>
  <c r="O168" i="7" s="1"/>
  <c r="U168" i="7" s="1"/>
  <c r="AA168" i="7" s="1"/>
  <c r="J241" i="7"/>
  <c r="P241" i="7" s="1"/>
  <c r="V241" i="7" s="1"/>
  <c r="AB241" i="7" s="1"/>
  <c r="H248" i="7"/>
  <c r="N248" i="7" s="1"/>
  <c r="T248" i="7" s="1"/>
  <c r="Z248" i="7" s="1"/>
  <c r="J429" i="7"/>
  <c r="P429" i="7" s="1"/>
  <c r="V429" i="7" s="1"/>
  <c r="AB429" i="7" s="1"/>
  <c r="K429" i="7"/>
  <c r="Q429" i="7" s="1"/>
  <c r="W429" i="7" s="1"/>
  <c r="AC429" i="7" s="1"/>
  <c r="H221" i="7"/>
  <c r="N221" i="7" s="1"/>
  <c r="T221" i="7" s="1"/>
  <c r="Z221" i="7" s="1"/>
  <c r="I430" i="7"/>
  <c r="O430" i="7" s="1"/>
  <c r="U430" i="7" s="1"/>
  <c r="AA430" i="7" s="1"/>
  <c r="L185" i="7"/>
  <c r="R185" i="7" s="1"/>
  <c r="X185" i="7" s="1"/>
  <c r="AD185" i="7" s="1"/>
  <c r="I186" i="7"/>
  <c r="O186" i="7" s="1"/>
  <c r="U186" i="7" s="1"/>
  <c r="AA186" i="7" s="1"/>
  <c r="I300" i="7"/>
  <c r="O300" i="7" s="1"/>
  <c r="U300" i="7" s="1"/>
  <c r="AA300" i="7" s="1"/>
  <c r="I399" i="7"/>
  <c r="O399" i="7" s="1"/>
  <c r="U399" i="7" s="1"/>
  <c r="AA399" i="7" s="1"/>
  <c r="I362" i="7"/>
  <c r="O362" i="7" s="1"/>
  <c r="U362" i="7" s="1"/>
  <c r="AA362" i="7" s="1"/>
  <c r="J420" i="7"/>
  <c r="P420" i="7" s="1"/>
  <c r="V420" i="7" s="1"/>
  <c r="AB420" i="7" s="1"/>
  <c r="I398" i="7"/>
  <c r="O398" i="7" s="1"/>
  <c r="U398" i="7" s="1"/>
  <c r="AA398" i="7" s="1"/>
  <c r="H185" i="7"/>
  <c r="N185" i="7" s="1"/>
  <c r="T185" i="7" s="1"/>
  <c r="Z185" i="7" s="1"/>
  <c r="K365" i="7"/>
  <c r="Q365" i="7" s="1"/>
  <c r="W365" i="7" s="1"/>
  <c r="AC365" i="7" s="1"/>
  <c r="J339" i="7"/>
  <c r="P339" i="7" s="1"/>
  <c r="V339" i="7" s="1"/>
  <c r="AB339" i="7" s="1"/>
  <c r="L155" i="7"/>
  <c r="R155" i="7" s="1"/>
  <c r="X155" i="7" s="1"/>
  <c r="AD155" i="7" s="1"/>
  <c r="K257" i="7"/>
  <c r="Q257" i="7" s="1"/>
  <c r="W257" i="7" s="1"/>
  <c r="AC257" i="7" s="1"/>
  <c r="I366" i="7"/>
  <c r="O366" i="7" s="1"/>
  <c r="U366" i="7" s="1"/>
  <c r="AA366" i="7" s="1"/>
  <c r="J401" i="7"/>
  <c r="P401" i="7" s="1"/>
  <c r="V401" i="7" s="1"/>
  <c r="AB401" i="7" s="1"/>
  <c r="J392" i="7"/>
  <c r="P392" i="7" s="1"/>
  <c r="V392" i="7" s="1"/>
  <c r="AB392" i="7" s="1"/>
  <c r="I232" i="7"/>
  <c r="O232" i="7" s="1"/>
  <c r="U232" i="7" s="1"/>
  <c r="AA232" i="7" s="1"/>
  <c r="K91" i="7"/>
  <c r="Q91" i="7" s="1"/>
  <c r="W91" i="7" s="1"/>
  <c r="AC91" i="7" s="1"/>
  <c r="L98" i="7"/>
  <c r="R98" i="7" s="1"/>
  <c r="X98" i="7" s="1"/>
  <c r="AD98" i="7" s="1"/>
  <c r="L149" i="7"/>
  <c r="R149" i="7" s="1"/>
  <c r="X149" i="7" s="1"/>
  <c r="AD149" i="7" s="1"/>
  <c r="H109" i="7"/>
  <c r="N109" i="7" s="1"/>
  <c r="T109" i="7" s="1"/>
  <c r="Z109" i="7" s="1"/>
  <c r="H87" i="7"/>
  <c r="N87" i="7" s="1"/>
  <c r="T87" i="7" s="1"/>
  <c r="Z87" i="7" s="1"/>
  <c r="H206" i="7"/>
  <c r="N206" i="7" s="1"/>
  <c r="T206" i="7" s="1"/>
  <c r="Z206" i="7" s="1"/>
  <c r="I179" i="7"/>
  <c r="O179" i="7" s="1"/>
  <c r="U179" i="7" s="1"/>
  <c r="AA179" i="7" s="1"/>
  <c r="L180" i="7"/>
  <c r="R180" i="7" s="1"/>
  <c r="X180" i="7" s="1"/>
  <c r="AD180" i="7" s="1"/>
  <c r="L340" i="7"/>
  <c r="R340" i="7" s="1"/>
  <c r="X340" i="7" s="1"/>
  <c r="AD340" i="7" s="1"/>
  <c r="J134" i="7"/>
  <c r="P134" i="7" s="1"/>
  <c r="V134" i="7" s="1"/>
  <c r="AB134" i="7" s="1"/>
  <c r="J80" i="7"/>
  <c r="P80" i="7" s="1"/>
  <c r="V80" i="7" s="1"/>
  <c r="AB80" i="7" s="1"/>
  <c r="K256" i="7"/>
  <c r="Q256" i="7" s="1"/>
  <c r="W256" i="7" s="1"/>
  <c r="AC256" i="7" s="1"/>
  <c r="I212" i="7"/>
  <c r="O212" i="7" s="1"/>
  <c r="U212" i="7" s="1"/>
  <c r="AA212" i="7" s="1"/>
  <c r="L290" i="7"/>
  <c r="R290" i="7" s="1"/>
  <c r="X290" i="7" s="1"/>
  <c r="AD290" i="7" s="1"/>
  <c r="J412" i="7"/>
  <c r="P412" i="7" s="1"/>
  <c r="V412" i="7" s="1"/>
  <c r="AB412" i="7" s="1"/>
  <c r="I159" i="7"/>
  <c r="O159" i="7" s="1"/>
  <c r="U159" i="7" s="1"/>
  <c r="AA159" i="7" s="1"/>
  <c r="H300" i="7"/>
  <c r="N300" i="7" s="1"/>
  <c r="T300" i="7" s="1"/>
  <c r="Z300" i="7" s="1"/>
  <c r="I278" i="7"/>
  <c r="O278" i="7" s="1"/>
  <c r="U278" i="7" s="1"/>
  <c r="AA278" i="7" s="1"/>
  <c r="L115" i="7"/>
  <c r="R115" i="7" s="1"/>
  <c r="X115" i="7" s="1"/>
  <c r="AD115" i="7" s="1"/>
  <c r="L387" i="7"/>
  <c r="R387" i="7" s="1"/>
  <c r="X387" i="7" s="1"/>
  <c r="AD387" i="7" s="1"/>
  <c r="H255" i="7"/>
  <c r="N255" i="7" s="1"/>
  <c r="T255" i="7" s="1"/>
  <c r="Z255" i="7" s="1"/>
  <c r="H104" i="7"/>
  <c r="N104" i="7" s="1"/>
  <c r="T104" i="7" s="1"/>
  <c r="Z104" i="7" s="1"/>
  <c r="H400" i="7"/>
  <c r="N400" i="7" s="1"/>
  <c r="T400" i="7" s="1"/>
  <c r="Z400" i="7" s="1"/>
  <c r="L267" i="7"/>
  <c r="R267" i="7" s="1"/>
  <c r="X267" i="7" s="1"/>
  <c r="AD267" i="7" s="1"/>
  <c r="I145" i="7"/>
  <c r="O145" i="7" s="1"/>
  <c r="U145" i="7" s="1"/>
  <c r="AA145" i="7" s="1"/>
  <c r="J391" i="7"/>
  <c r="P391" i="7" s="1"/>
  <c r="V391" i="7" s="1"/>
  <c r="AB391" i="7" s="1"/>
  <c r="L359" i="7"/>
  <c r="R359" i="7" s="1"/>
  <c r="X359" i="7" s="1"/>
  <c r="AD359" i="7" s="1"/>
  <c r="L354" i="7"/>
  <c r="R354" i="7" s="1"/>
  <c r="X354" i="7" s="1"/>
  <c r="AD354" i="7" s="1"/>
  <c r="H235" i="7"/>
  <c r="N235" i="7" s="1"/>
  <c r="T235" i="7" s="1"/>
  <c r="Z235" i="7" s="1"/>
  <c r="J296" i="7"/>
  <c r="P296" i="7" s="1"/>
  <c r="V296" i="7" s="1"/>
  <c r="AB296" i="7" s="1"/>
  <c r="K381" i="7"/>
  <c r="Q381" i="7" s="1"/>
  <c r="W381" i="7" s="1"/>
  <c r="AC381" i="7" s="1"/>
  <c r="L242" i="7"/>
  <c r="R242" i="7" s="1"/>
  <c r="X242" i="7" s="1"/>
  <c r="AD242" i="7" s="1"/>
  <c r="I429" i="7"/>
  <c r="O429" i="7" s="1"/>
  <c r="U429" i="7" s="1"/>
  <c r="AA429" i="7" s="1"/>
  <c r="I124" i="7"/>
  <c r="O124" i="7" s="1"/>
  <c r="U124" i="7" s="1"/>
  <c r="AA124" i="7" s="1"/>
  <c r="I313" i="7"/>
  <c r="O313" i="7" s="1"/>
  <c r="U313" i="7" s="1"/>
  <c r="AA313" i="7" s="1"/>
  <c r="H238" i="7"/>
  <c r="N238" i="7" s="1"/>
  <c r="T238" i="7" s="1"/>
  <c r="Z238" i="7" s="1"/>
  <c r="K80" i="7"/>
  <c r="Q80" i="7" s="1"/>
  <c r="W80" i="7" s="1"/>
  <c r="AC80" i="7" s="1"/>
  <c r="J286" i="7"/>
  <c r="P286" i="7" s="1"/>
  <c r="V286" i="7" s="1"/>
  <c r="AB286" i="7" s="1"/>
  <c r="K403" i="7"/>
  <c r="Q403" i="7" s="1"/>
  <c r="W403" i="7" s="1"/>
  <c r="AC403" i="7" s="1"/>
  <c r="L134" i="7"/>
  <c r="R134" i="7" s="1"/>
  <c r="X134" i="7" s="1"/>
  <c r="AD134" i="7" s="1"/>
  <c r="L296" i="7"/>
  <c r="R296" i="7" s="1"/>
  <c r="X296" i="7" s="1"/>
  <c r="AD296" i="7" s="1"/>
  <c r="J386" i="7"/>
  <c r="P386" i="7" s="1"/>
  <c r="V386" i="7" s="1"/>
  <c r="AB386" i="7" s="1"/>
  <c r="H281" i="7"/>
  <c r="N281" i="7" s="1"/>
  <c r="T281" i="7" s="1"/>
  <c r="Z281" i="7" s="1"/>
  <c r="J148" i="7"/>
  <c r="P148" i="7" s="1"/>
  <c r="V148" i="7" s="1"/>
  <c r="AB148" i="7" s="1"/>
  <c r="H100" i="7"/>
  <c r="N100" i="7" s="1"/>
  <c r="T100" i="7" s="1"/>
  <c r="Z100" i="7" s="1"/>
  <c r="L237" i="7"/>
  <c r="R237" i="7" s="1"/>
  <c r="X237" i="7" s="1"/>
  <c r="AD237" i="7" s="1"/>
  <c r="J153" i="7"/>
  <c r="P153" i="7" s="1"/>
  <c r="V153" i="7" s="1"/>
  <c r="AB153" i="7" s="1"/>
  <c r="I325" i="7"/>
  <c r="O325" i="7" s="1"/>
  <c r="U325" i="7" s="1"/>
  <c r="AA325" i="7" s="1"/>
  <c r="J305" i="7"/>
  <c r="P305" i="7" s="1"/>
  <c r="V305" i="7" s="1"/>
  <c r="AB305" i="7" s="1"/>
  <c r="K395" i="7"/>
  <c r="Q395" i="7" s="1"/>
  <c r="W395" i="7" s="1"/>
  <c r="AC395" i="7" s="1"/>
  <c r="K251" i="7"/>
  <c r="Q251" i="7" s="1"/>
  <c r="W251" i="7" s="1"/>
  <c r="AC251" i="7" s="1"/>
  <c r="L348" i="7"/>
  <c r="R348" i="7" s="1"/>
  <c r="X348" i="7" s="1"/>
  <c r="AD348" i="7" s="1"/>
  <c r="I382" i="7"/>
  <c r="O382" i="7" s="1"/>
  <c r="U382" i="7" s="1"/>
  <c r="AA382" i="7" s="1"/>
  <c r="L239" i="7"/>
  <c r="R239" i="7" s="1"/>
  <c r="X239" i="7" s="1"/>
  <c r="AD239" i="7" s="1"/>
  <c r="H242" i="7"/>
  <c r="N242" i="7" s="1"/>
  <c r="T242" i="7" s="1"/>
  <c r="Z242" i="7" s="1"/>
  <c r="K281" i="7"/>
  <c r="Q281" i="7" s="1"/>
  <c r="W281" i="7" s="1"/>
  <c r="AC281" i="7" s="1"/>
  <c r="I269" i="7"/>
  <c r="O269" i="7" s="1"/>
  <c r="U269" i="7" s="1"/>
  <c r="AA269" i="7" s="1"/>
  <c r="K413" i="7"/>
  <c r="Q413" i="7" s="1"/>
  <c r="W413" i="7" s="1"/>
  <c r="AC413" i="7" s="1"/>
  <c r="H172" i="7"/>
  <c r="N172" i="7" s="1"/>
  <c r="T172" i="7" s="1"/>
  <c r="Z172" i="7" s="1"/>
  <c r="J119" i="7"/>
  <c r="P119" i="7" s="1"/>
  <c r="V119" i="7" s="1"/>
  <c r="AB119" i="7" s="1"/>
  <c r="L331" i="7"/>
  <c r="R331" i="7" s="1"/>
  <c r="X331" i="7" s="1"/>
  <c r="AD331" i="7" s="1"/>
  <c r="J354" i="7"/>
  <c r="P354" i="7" s="1"/>
  <c r="V354" i="7" s="1"/>
  <c r="AB354" i="7" s="1"/>
  <c r="L209" i="7"/>
  <c r="R209" i="7" s="1"/>
  <c r="X209" i="7" s="1"/>
  <c r="AD209" i="7" s="1"/>
  <c r="H191" i="7"/>
  <c r="N191" i="7" s="1"/>
  <c r="T191" i="7" s="1"/>
  <c r="Z191" i="7" s="1"/>
  <c r="L406" i="7"/>
  <c r="R406" i="7" s="1"/>
  <c r="X406" i="7" s="1"/>
  <c r="AD406" i="7" s="1"/>
  <c r="K170" i="7"/>
  <c r="Q170" i="7" s="1"/>
  <c r="W170" i="7" s="1"/>
  <c r="AC170" i="7" s="1"/>
  <c r="I299" i="7"/>
  <c r="O299" i="7" s="1"/>
  <c r="U299" i="7" s="1"/>
  <c r="AA299" i="7" s="1"/>
  <c r="I202" i="7"/>
  <c r="O202" i="7" s="1"/>
  <c r="U202" i="7" s="1"/>
  <c r="AA202" i="7" s="1"/>
  <c r="I236" i="7"/>
  <c r="O236" i="7" s="1"/>
  <c r="U236" i="7" s="1"/>
  <c r="AA236" i="7" s="1"/>
  <c r="K311" i="7"/>
  <c r="Q311" i="7" s="1"/>
  <c r="W311" i="7" s="1"/>
  <c r="AC311" i="7" s="1"/>
  <c r="H92" i="7"/>
  <c r="N92" i="7" s="1"/>
  <c r="T92" i="7" s="1"/>
  <c r="Z92" i="7" s="1"/>
  <c r="I406" i="7"/>
  <c r="O406" i="7" s="1"/>
  <c r="U406" i="7" s="1"/>
  <c r="AA406" i="7" s="1"/>
  <c r="J405" i="7"/>
  <c r="P405" i="7" s="1"/>
  <c r="V405" i="7" s="1"/>
  <c r="AB405" i="7" s="1"/>
  <c r="K434" i="7"/>
  <c r="Q434" i="7" s="1"/>
  <c r="W434" i="7" s="1"/>
  <c r="AC434" i="7" s="1"/>
  <c r="H282" i="7"/>
  <c r="N282" i="7" s="1"/>
  <c r="T282" i="7" s="1"/>
  <c r="Z282" i="7" s="1"/>
  <c r="J126" i="7"/>
  <c r="P126" i="7" s="1"/>
  <c r="V126" i="7" s="1"/>
  <c r="AB126" i="7" s="1"/>
  <c r="I110" i="7"/>
  <c r="O110" i="7" s="1"/>
  <c r="U110" i="7" s="1"/>
  <c r="AA110" i="7" s="1"/>
  <c r="I224" i="7"/>
  <c r="O224" i="7" s="1"/>
  <c r="U224" i="7" s="1"/>
  <c r="AA224" i="7" s="1"/>
  <c r="L161" i="7"/>
  <c r="R161" i="7" s="1"/>
  <c r="X161" i="7" s="1"/>
  <c r="AD161" i="7" s="1"/>
  <c r="H110" i="7"/>
  <c r="N110" i="7" s="1"/>
  <c r="T110" i="7" s="1"/>
  <c r="Z110" i="7" s="1"/>
  <c r="J73" i="7"/>
  <c r="P73" i="7" s="1"/>
  <c r="V73" i="7" s="1"/>
  <c r="AB73" i="7" s="1"/>
  <c r="L101" i="7"/>
  <c r="R101" i="7" s="1"/>
  <c r="X101" i="7" s="1"/>
  <c r="AD101" i="7" s="1"/>
  <c r="J336" i="7"/>
  <c r="P336" i="7" s="1"/>
  <c r="V336" i="7" s="1"/>
  <c r="AB336" i="7" s="1"/>
  <c r="L322" i="7"/>
  <c r="R322" i="7" s="1"/>
  <c r="X322" i="7" s="1"/>
  <c r="AD322" i="7" s="1"/>
  <c r="H213" i="7"/>
  <c r="N213" i="7" s="1"/>
  <c r="T213" i="7" s="1"/>
  <c r="Z213" i="7" s="1"/>
  <c r="J164" i="7"/>
  <c r="P164" i="7" s="1"/>
  <c r="V164" i="7" s="1"/>
  <c r="AB164" i="7" s="1"/>
  <c r="H230" i="7"/>
  <c r="N230" i="7" s="1"/>
  <c r="T230" i="7" s="1"/>
  <c r="Z230" i="7" s="1"/>
  <c r="H71" i="7"/>
  <c r="N71" i="7" s="1"/>
  <c r="T71" i="7" s="1"/>
  <c r="Z71" i="7" s="1"/>
  <c r="I307" i="7"/>
  <c r="O307" i="7" s="1"/>
  <c r="U307" i="7" s="1"/>
  <c r="AA307" i="7" s="1"/>
  <c r="H229" i="7"/>
  <c r="N229" i="7" s="1"/>
  <c r="T229" i="7" s="1"/>
  <c r="Z229" i="7" s="1"/>
  <c r="K335" i="7"/>
  <c r="Q335" i="7" s="1"/>
  <c r="W335" i="7" s="1"/>
  <c r="AC335" i="7" s="1"/>
  <c r="L246" i="7"/>
  <c r="R246" i="7" s="1"/>
  <c r="X246" i="7" s="1"/>
  <c r="AD246" i="7" s="1"/>
  <c r="H194" i="7"/>
  <c r="N194" i="7" s="1"/>
  <c r="T194" i="7" s="1"/>
  <c r="Z194" i="7" s="1"/>
  <c r="H336" i="7"/>
  <c r="N336" i="7" s="1"/>
  <c r="T336" i="7" s="1"/>
  <c r="Z336" i="7" s="1"/>
  <c r="K239" i="7"/>
  <c r="Q239" i="7" s="1"/>
  <c r="W239" i="7" s="1"/>
  <c r="AC239" i="7" s="1"/>
  <c r="I201" i="7"/>
  <c r="O201" i="7" s="1"/>
  <c r="U201" i="7" s="1"/>
  <c r="AA201" i="7" s="1"/>
  <c r="L318" i="7"/>
  <c r="R318" i="7" s="1"/>
  <c r="X318" i="7" s="1"/>
  <c r="AD318" i="7" s="1"/>
  <c r="L346" i="7"/>
  <c r="R346" i="7" s="1"/>
  <c r="X346" i="7" s="1"/>
  <c r="AD346" i="7" s="1"/>
  <c r="K179" i="7"/>
  <c r="Q179" i="7" s="1"/>
  <c r="W179" i="7" s="1"/>
  <c r="AC179" i="7" s="1"/>
  <c r="L367" i="7"/>
  <c r="R367" i="7" s="1"/>
  <c r="X367" i="7" s="1"/>
  <c r="AD367" i="7" s="1"/>
  <c r="I275" i="7"/>
  <c r="O275" i="7" s="1"/>
  <c r="U275" i="7" s="1"/>
  <c r="AA275" i="7" s="1"/>
  <c r="L269" i="7"/>
  <c r="R269" i="7" s="1"/>
  <c r="X269" i="7" s="1"/>
  <c r="AD269" i="7" s="1"/>
  <c r="L117" i="7"/>
  <c r="R117" i="7" s="1"/>
  <c r="X117" i="7" s="1"/>
  <c r="AD117" i="7" s="1"/>
  <c r="H372" i="7"/>
  <c r="N372" i="7" s="1"/>
  <c r="T372" i="7" s="1"/>
  <c r="Z372" i="7" s="1"/>
  <c r="K330" i="7"/>
  <c r="Q330" i="7" s="1"/>
  <c r="W330" i="7" s="1"/>
  <c r="AC330" i="7" s="1"/>
  <c r="J427" i="7"/>
  <c r="P427" i="7" s="1"/>
  <c r="V427" i="7" s="1"/>
  <c r="AB427" i="7" s="1"/>
  <c r="J428" i="7"/>
  <c r="P428" i="7" s="1"/>
  <c r="V428" i="7" s="1"/>
  <c r="AB428" i="7" s="1"/>
  <c r="J220" i="7"/>
  <c r="P220" i="7" s="1"/>
  <c r="V220" i="7" s="1"/>
  <c r="AB220" i="7" s="1"/>
  <c r="K95" i="7"/>
  <c r="Q95" i="7" s="1"/>
  <c r="W95" i="7" s="1"/>
  <c r="AC95" i="7" s="1"/>
  <c r="K267" i="7"/>
  <c r="Q267" i="7" s="1"/>
  <c r="W267" i="7" s="1"/>
  <c r="AC267" i="7" s="1"/>
  <c r="I219" i="7"/>
  <c r="O219" i="7" s="1"/>
  <c r="U219" i="7" s="1"/>
  <c r="AA219" i="7" s="1"/>
  <c r="H154" i="7"/>
  <c r="N154" i="7" s="1"/>
  <c r="T154" i="7" s="1"/>
  <c r="Z154" i="7" s="1"/>
  <c r="L203" i="7"/>
  <c r="R203" i="7" s="1"/>
  <c r="X203" i="7" s="1"/>
  <c r="AD203" i="7" s="1"/>
  <c r="K302" i="7"/>
  <c r="Q302" i="7" s="1"/>
  <c r="W302" i="7" s="1"/>
  <c r="AC302" i="7" s="1"/>
  <c r="I352" i="7"/>
  <c r="O352" i="7" s="1"/>
  <c r="U352" i="7" s="1"/>
  <c r="AA352" i="7" s="1"/>
  <c r="K260" i="7"/>
  <c r="Q260" i="7" s="1"/>
  <c r="W260" i="7" s="1"/>
  <c r="AC260" i="7" s="1"/>
  <c r="L405" i="7"/>
  <c r="R405" i="7" s="1"/>
  <c r="X405" i="7" s="1"/>
  <c r="AD405" i="7" s="1"/>
  <c r="J91" i="7"/>
  <c r="P91" i="7" s="1"/>
  <c r="V91" i="7" s="1"/>
  <c r="AB91" i="7" s="1"/>
  <c r="L254" i="7"/>
  <c r="R254" i="7" s="1"/>
  <c r="X254" i="7" s="1"/>
  <c r="AD254" i="7" s="1"/>
  <c r="J218" i="7"/>
  <c r="P218" i="7" s="1"/>
  <c r="V218" i="7" s="1"/>
  <c r="AB218" i="7" s="1"/>
  <c r="H341" i="7"/>
  <c r="N341" i="7" s="1"/>
  <c r="T341" i="7" s="1"/>
  <c r="Z341" i="7" s="1"/>
  <c r="J189" i="7"/>
  <c r="P189" i="7" s="1"/>
  <c r="V189" i="7" s="1"/>
  <c r="AB189" i="7" s="1"/>
  <c r="J263" i="7"/>
  <c r="P263" i="7" s="1"/>
  <c r="V263" i="7" s="1"/>
  <c r="AB263" i="7" s="1"/>
  <c r="J418" i="7"/>
  <c r="P418" i="7" s="1"/>
  <c r="V418" i="7" s="1"/>
  <c r="AB418" i="7" s="1"/>
  <c r="K355" i="7"/>
  <c r="Q355" i="7" s="1"/>
  <c r="W355" i="7" s="1"/>
  <c r="AC355" i="7" s="1"/>
  <c r="I257" i="7"/>
  <c r="O257" i="7" s="1"/>
  <c r="U257" i="7" s="1"/>
  <c r="AA257" i="7" s="1"/>
  <c r="H358" i="7"/>
  <c r="N358" i="7" s="1"/>
  <c r="T358" i="7" s="1"/>
  <c r="Z358" i="7" s="1"/>
  <c r="J299" i="7"/>
  <c r="P299" i="7" s="1"/>
  <c r="V299" i="7" s="1"/>
  <c r="AB299" i="7" s="1"/>
  <c r="L224" i="7"/>
  <c r="R224" i="7" s="1"/>
  <c r="X224" i="7" s="1"/>
  <c r="AD224" i="7" s="1"/>
  <c r="J366" i="7"/>
  <c r="P366" i="7" s="1"/>
  <c r="V366" i="7" s="1"/>
  <c r="AB366" i="7" s="1"/>
  <c r="J332" i="7"/>
  <c r="P332" i="7" s="1"/>
  <c r="V332" i="7" s="1"/>
  <c r="AB332" i="7" s="1"/>
  <c r="I326" i="7"/>
  <c r="O326" i="7" s="1"/>
  <c r="U326" i="7" s="1"/>
  <c r="AA326" i="7" s="1"/>
  <c r="H188" i="7"/>
  <c r="N188" i="7" s="1"/>
  <c r="T188" i="7" s="1"/>
  <c r="Z188" i="7" s="1"/>
  <c r="J216" i="7"/>
  <c r="P216" i="7" s="1"/>
  <c r="V216" i="7" s="1"/>
  <c r="AB216" i="7" s="1"/>
  <c r="I111" i="7"/>
  <c r="O111" i="7" s="1"/>
  <c r="U111" i="7" s="1"/>
  <c r="AA111" i="7" s="1"/>
  <c r="J199" i="7"/>
  <c r="P199" i="7" s="1"/>
  <c r="V199" i="7" s="1"/>
  <c r="AB199" i="7" s="1"/>
  <c r="K151" i="7"/>
  <c r="Q151" i="7" s="1"/>
  <c r="W151" i="7" s="1"/>
  <c r="AC151" i="7" s="1"/>
  <c r="H276" i="7"/>
  <c r="N276" i="7" s="1"/>
  <c r="T276" i="7" s="1"/>
  <c r="Z276" i="7" s="1"/>
  <c r="L236" i="7"/>
  <c r="R236" i="7" s="1"/>
  <c r="X236" i="7" s="1"/>
  <c r="AD236" i="7" s="1"/>
  <c r="J185" i="7"/>
  <c r="P185" i="7" s="1"/>
  <c r="V185" i="7" s="1"/>
  <c r="AB185" i="7" s="1"/>
  <c r="K224" i="7"/>
  <c r="Q224" i="7" s="1"/>
  <c r="W224" i="7" s="1"/>
  <c r="AC224" i="7" s="1"/>
  <c r="H227" i="7"/>
  <c r="N227" i="7" s="1"/>
  <c r="T227" i="7" s="1"/>
  <c r="Z227" i="7" s="1"/>
  <c r="K316" i="7"/>
  <c r="Q316" i="7" s="1"/>
  <c r="W316" i="7" s="1"/>
  <c r="AC316" i="7" s="1"/>
  <c r="H177" i="7"/>
  <c r="N177" i="7" s="1"/>
  <c r="T177" i="7" s="1"/>
  <c r="Z177" i="7" s="1"/>
  <c r="I361" i="7"/>
  <c r="O361" i="7" s="1"/>
  <c r="U361" i="7" s="1"/>
  <c r="AA361" i="7" s="1"/>
  <c r="K347" i="7"/>
  <c r="Q347" i="7" s="1"/>
  <c r="W347" i="7" s="1"/>
  <c r="AC347" i="7" s="1"/>
  <c r="J270" i="7"/>
  <c r="P270" i="7" s="1"/>
  <c r="V270" i="7" s="1"/>
  <c r="AB270" i="7" s="1"/>
  <c r="I184" i="7"/>
  <c r="O184" i="7" s="1"/>
  <c r="U184" i="7" s="1"/>
  <c r="AA184" i="7" s="1"/>
  <c r="K106" i="7"/>
  <c r="Q106" i="7" s="1"/>
  <c r="W106" i="7" s="1"/>
  <c r="AC106" i="7" s="1"/>
  <c r="J316" i="7"/>
  <c r="P316" i="7" s="1"/>
  <c r="V316" i="7" s="1"/>
  <c r="AB316" i="7" s="1"/>
  <c r="H196" i="7"/>
  <c r="N196" i="7" s="1"/>
  <c r="T196" i="7" s="1"/>
  <c r="Z196" i="7" s="1"/>
  <c r="I254" i="7"/>
  <c r="O254" i="7" s="1"/>
  <c r="U254" i="7" s="1"/>
  <c r="AA254" i="7" s="1"/>
  <c r="K192" i="7"/>
  <c r="Q192" i="7" s="1"/>
  <c r="W192" i="7" s="1"/>
  <c r="AC192" i="7" s="1"/>
  <c r="I141" i="7"/>
  <c r="O141" i="7" s="1"/>
  <c r="U141" i="7" s="1"/>
  <c r="AA141" i="7" s="1"/>
  <c r="J364" i="7"/>
  <c r="P364" i="7" s="1"/>
  <c r="V364" i="7" s="1"/>
  <c r="AB364" i="7" s="1"/>
  <c r="K153" i="7"/>
  <c r="Q153" i="7" s="1"/>
  <c r="W153" i="7" s="1"/>
  <c r="AC153" i="7" s="1"/>
  <c r="K290" i="7"/>
  <c r="Q290" i="7" s="1"/>
  <c r="W290" i="7" s="1"/>
  <c r="AC290" i="7" s="1"/>
  <c r="I94" i="7"/>
  <c r="O94" i="7" s="1"/>
  <c r="U94" i="7" s="1"/>
  <c r="AA94" i="7" s="1"/>
  <c r="L337" i="7"/>
  <c r="R337" i="7" s="1"/>
  <c r="X337" i="7" s="1"/>
  <c r="AD337" i="7" s="1"/>
  <c r="K133" i="7"/>
  <c r="Q133" i="7" s="1"/>
  <c r="W133" i="7" s="1"/>
  <c r="AC133" i="7" s="1"/>
  <c r="I164" i="7"/>
  <c r="O164" i="7" s="1"/>
  <c r="U164" i="7" s="1"/>
  <c r="AA164" i="7" s="1"/>
  <c r="L371" i="7"/>
  <c r="R371" i="7" s="1"/>
  <c r="X371" i="7" s="1"/>
  <c r="AD371" i="7" s="1"/>
  <c r="K340" i="7"/>
  <c r="Q340" i="7" s="1"/>
  <c r="W340" i="7" s="1"/>
  <c r="AC340" i="7" s="1"/>
  <c r="L177" i="7"/>
  <c r="R177" i="7" s="1"/>
  <c r="X177" i="7" s="1"/>
  <c r="AD177" i="7" s="1"/>
  <c r="H426" i="7"/>
  <c r="N426" i="7" s="1"/>
  <c r="T426" i="7" s="1"/>
  <c r="Z426" i="7" s="1"/>
  <c r="L327" i="7"/>
  <c r="R327" i="7" s="1"/>
  <c r="X327" i="7" s="1"/>
  <c r="AD327" i="7" s="1"/>
  <c r="K148" i="7"/>
  <c r="Q148" i="7" s="1"/>
  <c r="W148" i="7" s="1"/>
  <c r="AC148" i="7" s="1"/>
  <c r="I97" i="7"/>
  <c r="O97" i="7" s="1"/>
  <c r="U97" i="7" s="1"/>
  <c r="AA97" i="7" s="1"/>
  <c r="J259" i="7"/>
  <c r="P259" i="7" s="1"/>
  <c r="V259" i="7" s="1"/>
  <c r="AB259" i="7" s="1"/>
  <c r="H73" i="7"/>
  <c r="N73" i="7" s="1"/>
  <c r="T73" i="7" s="1"/>
  <c r="Z73" i="7" s="1"/>
  <c r="K258" i="7"/>
  <c r="Q258" i="7" s="1"/>
  <c r="W258" i="7" s="1"/>
  <c r="AC258" i="7" s="1"/>
  <c r="J297" i="7"/>
  <c r="P297" i="7" s="1"/>
  <c r="V297" i="7" s="1"/>
  <c r="AB297" i="7" s="1"/>
  <c r="L307" i="7"/>
  <c r="R307" i="7" s="1"/>
  <c r="X307" i="7" s="1"/>
  <c r="AD307" i="7" s="1"/>
  <c r="L72" i="7"/>
  <c r="R72" i="7" s="1"/>
  <c r="X72" i="7" s="1"/>
  <c r="AD72" i="7" s="1"/>
  <c r="H250" i="7"/>
  <c r="N250" i="7" s="1"/>
  <c r="T250" i="7" s="1"/>
  <c r="Z250" i="7" s="1"/>
  <c r="L369" i="7"/>
  <c r="R369" i="7" s="1"/>
  <c r="X369" i="7" s="1"/>
  <c r="AD369" i="7" s="1"/>
  <c r="J236" i="7"/>
  <c r="P236" i="7" s="1"/>
  <c r="V236" i="7" s="1"/>
  <c r="AB236" i="7" s="1"/>
  <c r="H254" i="7"/>
  <c r="N254" i="7" s="1"/>
  <c r="T254" i="7" s="1"/>
  <c r="Z254" i="7" s="1"/>
  <c r="H344" i="7"/>
  <c r="N344" i="7" s="1"/>
  <c r="T344" i="7" s="1"/>
  <c r="Z344" i="7" s="1"/>
  <c r="L397" i="7"/>
  <c r="R397" i="7" s="1"/>
  <c r="X397" i="7" s="1"/>
  <c r="AD397" i="7" s="1"/>
  <c r="L344" i="7"/>
  <c r="R344" i="7" s="1"/>
  <c r="X344" i="7" s="1"/>
  <c r="AD344" i="7" s="1"/>
  <c r="J179" i="7"/>
  <c r="P179" i="7" s="1"/>
  <c r="V179" i="7" s="1"/>
  <c r="AB179" i="7" s="1"/>
  <c r="K379" i="7"/>
  <c r="Q379" i="7" s="1"/>
  <c r="W379" i="7" s="1"/>
  <c r="AC379" i="7" s="1"/>
  <c r="L73" i="7"/>
  <c r="R73" i="7" s="1"/>
  <c r="X73" i="7" s="1"/>
  <c r="AD73" i="7" s="1"/>
  <c r="I153" i="7"/>
  <c r="O153" i="7" s="1"/>
  <c r="U153" i="7" s="1"/>
  <c r="AA153" i="7" s="1"/>
  <c r="I207" i="7"/>
  <c r="O207" i="7" s="1"/>
  <c r="U207" i="7" s="1"/>
  <c r="AA207" i="7" s="1"/>
  <c r="K118" i="7"/>
  <c r="Q118" i="7" s="1"/>
  <c r="W118" i="7" s="1"/>
  <c r="AC118" i="7" s="1"/>
  <c r="H365" i="7"/>
  <c r="N365" i="7" s="1"/>
  <c r="T365" i="7" s="1"/>
  <c r="Z365" i="7" s="1"/>
  <c r="J146" i="7"/>
  <c r="P146" i="7" s="1"/>
  <c r="V146" i="7" s="1"/>
  <c r="AB146" i="7" s="1"/>
  <c r="H410" i="7"/>
  <c r="N410" i="7" s="1"/>
  <c r="T410" i="7" s="1"/>
  <c r="Z410" i="7" s="1"/>
  <c r="K214" i="7"/>
  <c r="Q214" i="7" s="1"/>
  <c r="W214" i="7" s="1"/>
  <c r="AC214" i="7" s="1"/>
  <c r="I336" i="7"/>
  <c r="O336" i="7" s="1"/>
  <c r="U336" i="7" s="1"/>
  <c r="AA336" i="7" s="1"/>
  <c r="K255" i="7"/>
  <c r="Q255" i="7" s="1"/>
  <c r="W255" i="7" s="1"/>
  <c r="AC255" i="7" s="1"/>
  <c r="L295" i="7"/>
  <c r="R295" i="7" s="1"/>
  <c r="X295" i="7" s="1"/>
  <c r="AD295" i="7" s="1"/>
  <c r="L183" i="7"/>
  <c r="R183" i="7" s="1"/>
  <c r="X183" i="7" s="1"/>
  <c r="AD183" i="7" s="1"/>
  <c r="L352" i="7"/>
  <c r="R352" i="7" s="1"/>
  <c r="X352" i="7" s="1"/>
  <c r="AD352" i="7" s="1"/>
  <c r="J367" i="7"/>
  <c r="P367" i="7" s="1"/>
  <c r="V367" i="7" s="1"/>
  <c r="AB367" i="7" s="1"/>
  <c r="L299" i="7"/>
  <c r="R299" i="7" s="1"/>
  <c r="X299" i="7" s="1"/>
  <c r="AD299" i="7" s="1"/>
  <c r="J121" i="7"/>
  <c r="P121" i="7" s="1"/>
  <c r="V121" i="7" s="1"/>
  <c r="AB121" i="7" s="1"/>
  <c r="J71" i="7"/>
  <c r="P71" i="7" s="1"/>
  <c r="V71" i="7" s="1"/>
  <c r="AB71" i="7" s="1"/>
  <c r="K121" i="7"/>
  <c r="Q121" i="7" s="1"/>
  <c r="W121" i="7" s="1"/>
  <c r="AC121" i="7" s="1"/>
  <c r="K266" i="7"/>
  <c r="Q266" i="7" s="1"/>
  <c r="W266" i="7" s="1"/>
  <c r="AC266" i="7" s="1"/>
  <c r="L390" i="7"/>
  <c r="R390" i="7" s="1"/>
  <c r="X390" i="7" s="1"/>
  <c r="AD390" i="7" s="1"/>
  <c r="I256" i="7"/>
  <c r="O256" i="7" s="1"/>
  <c r="U256" i="7" s="1"/>
  <c r="AA256" i="7" s="1"/>
  <c r="I237" i="7"/>
  <c r="O237" i="7" s="1"/>
  <c r="U237" i="7" s="1"/>
  <c r="AA237" i="7" s="1"/>
  <c r="K222" i="7"/>
  <c r="Q222" i="7" s="1"/>
  <c r="W222" i="7" s="1"/>
  <c r="AC222" i="7" s="1"/>
  <c r="J426" i="7"/>
  <c r="P426" i="7" s="1"/>
  <c r="V426" i="7" s="1"/>
  <c r="AB426" i="7" s="1"/>
  <c r="J282" i="7"/>
  <c r="P282" i="7" s="1"/>
  <c r="V282" i="7" s="1"/>
  <c r="AB282" i="7" s="1"/>
  <c r="H186" i="7"/>
  <c r="N186" i="7" s="1"/>
  <c r="T186" i="7" s="1"/>
  <c r="Z186" i="7" s="1"/>
  <c r="K191" i="7"/>
  <c r="Q191" i="7" s="1"/>
  <c r="W191" i="7" s="1"/>
  <c r="AC191" i="7" s="1"/>
  <c r="J274" i="7"/>
  <c r="P274" i="7" s="1"/>
  <c r="V274" i="7" s="1"/>
  <c r="AB274" i="7" s="1"/>
  <c r="K202" i="7"/>
  <c r="Q202" i="7" s="1"/>
  <c r="W202" i="7" s="1"/>
  <c r="AC202" i="7" s="1"/>
  <c r="I434" i="7"/>
  <c r="O434" i="7" s="1"/>
  <c r="U434" i="7" s="1"/>
  <c r="AA434" i="7" s="1"/>
  <c r="I408" i="7"/>
  <c r="O408" i="7" s="1"/>
  <c r="U408" i="7" s="1"/>
  <c r="AA408" i="7" s="1"/>
  <c r="K367" i="7"/>
  <c r="Q367" i="7" s="1"/>
  <c r="W367" i="7" s="1"/>
  <c r="AC367" i="7" s="1"/>
  <c r="H217" i="7"/>
  <c r="N217" i="7" s="1"/>
  <c r="T217" i="7" s="1"/>
  <c r="Z217" i="7" s="1"/>
  <c r="L211" i="7"/>
  <c r="R211" i="7" s="1"/>
  <c r="X211" i="7" s="1"/>
  <c r="AD211" i="7" s="1"/>
  <c r="I319" i="7"/>
  <c r="O319" i="7" s="1"/>
  <c r="U319" i="7" s="1"/>
  <c r="AA319" i="7" s="1"/>
  <c r="I344" i="7"/>
  <c r="O344" i="7" s="1"/>
  <c r="U344" i="7" s="1"/>
  <c r="AA344" i="7" s="1"/>
  <c r="L281" i="7"/>
  <c r="R281" i="7" s="1"/>
  <c r="X281" i="7" s="1"/>
  <c r="AD281" i="7" s="1"/>
  <c r="J132" i="7"/>
  <c r="P132" i="7" s="1"/>
  <c r="V132" i="7" s="1"/>
  <c r="AB132" i="7" s="1"/>
  <c r="I107" i="7"/>
  <c r="O107" i="7" s="1"/>
  <c r="U107" i="7" s="1"/>
  <c r="AA107" i="7" s="1"/>
  <c r="K113" i="7"/>
  <c r="Q113" i="7" s="1"/>
  <c r="W113" i="7" s="1"/>
  <c r="AC113" i="7" s="1"/>
  <c r="L293" i="7"/>
  <c r="R293" i="7" s="1"/>
  <c r="X293" i="7" s="1"/>
  <c r="AD293" i="7" s="1"/>
  <c r="K127" i="7"/>
  <c r="Q127" i="7" s="1"/>
  <c r="W127" i="7" s="1"/>
  <c r="AC127" i="7" s="1"/>
  <c r="I154" i="7"/>
  <c r="O154" i="7" s="1"/>
  <c r="U154" i="7" s="1"/>
  <c r="AA154" i="7" s="1"/>
  <c r="H212" i="7"/>
  <c r="N212" i="7" s="1"/>
  <c r="T212" i="7" s="1"/>
  <c r="Z212" i="7" s="1"/>
  <c r="H205" i="7"/>
  <c r="N205" i="7" s="1"/>
  <c r="T205" i="7" s="1"/>
  <c r="Z205" i="7" s="1"/>
  <c r="H130" i="7"/>
  <c r="N130" i="7" s="1"/>
  <c r="T130" i="7" s="1"/>
  <c r="Z130" i="7" s="1"/>
  <c r="L279" i="7"/>
  <c r="R279" i="7" s="1"/>
  <c r="X279" i="7" s="1"/>
  <c r="AD279" i="7" s="1"/>
  <c r="I185" i="7"/>
  <c r="O185" i="7" s="1"/>
  <c r="U185" i="7" s="1"/>
  <c r="AA185" i="7" s="1"/>
  <c r="L361" i="7"/>
  <c r="R361" i="7" s="1"/>
  <c r="X361" i="7" s="1"/>
  <c r="AD361" i="7" s="1"/>
  <c r="H268" i="7"/>
  <c r="N268" i="7" s="1"/>
  <c r="T268" i="7" s="1"/>
  <c r="Z268" i="7" s="1"/>
  <c r="H345" i="7"/>
  <c r="N345" i="7" s="1"/>
  <c r="T345" i="7" s="1"/>
  <c r="Z345" i="7" s="1"/>
  <c r="J304" i="7"/>
  <c r="P304" i="7" s="1"/>
  <c r="V304" i="7" s="1"/>
  <c r="AB304" i="7" s="1"/>
  <c r="H343" i="7"/>
  <c r="N343" i="7" s="1"/>
  <c r="T343" i="7" s="1"/>
  <c r="Z343" i="7" s="1"/>
  <c r="I298" i="7"/>
  <c r="O298" i="7" s="1"/>
  <c r="U298" i="7" s="1"/>
  <c r="AA298" i="7" s="1"/>
  <c r="L163" i="7"/>
  <c r="R163" i="7" s="1"/>
  <c r="X163" i="7" s="1"/>
  <c r="AD163" i="7" s="1"/>
  <c r="L252" i="7"/>
  <c r="R252" i="7" s="1"/>
  <c r="X252" i="7" s="1"/>
  <c r="AD252" i="7" s="1"/>
  <c r="I183" i="7"/>
  <c r="O183" i="7" s="1"/>
  <c r="U183" i="7" s="1"/>
  <c r="AA183" i="7" s="1"/>
  <c r="K223" i="7"/>
  <c r="Q223" i="7" s="1"/>
  <c r="W223" i="7" s="1"/>
  <c r="AC223" i="7" s="1"/>
  <c r="K333" i="7"/>
  <c r="Q333" i="7" s="1"/>
  <c r="W333" i="7" s="1"/>
  <c r="AC333" i="7" s="1"/>
  <c r="K132" i="7"/>
  <c r="Q132" i="7" s="1"/>
  <c r="W132" i="7" s="1"/>
  <c r="AC132" i="7" s="1"/>
  <c r="H240" i="7"/>
  <c r="N240" i="7" s="1"/>
  <c r="T240" i="7" s="1"/>
  <c r="Z240" i="7" s="1"/>
  <c r="L248" i="7"/>
  <c r="R248" i="7" s="1"/>
  <c r="X248" i="7" s="1"/>
  <c r="AD248" i="7" s="1"/>
  <c r="L244" i="7"/>
  <c r="R244" i="7" s="1"/>
  <c r="X244" i="7" s="1"/>
  <c r="AD244" i="7" s="1"/>
  <c r="H122" i="7"/>
  <c r="N122" i="7" s="1"/>
  <c r="T122" i="7" s="1"/>
  <c r="Z122" i="7" s="1"/>
  <c r="K391" i="7"/>
  <c r="Q391" i="7" s="1"/>
  <c r="W391" i="7" s="1"/>
  <c r="AC391" i="7" s="1"/>
  <c r="I348" i="7"/>
  <c r="O348" i="7" s="1"/>
  <c r="U348" i="7" s="1"/>
  <c r="AA348" i="7" s="1"/>
  <c r="L319" i="7"/>
  <c r="R319" i="7" s="1"/>
  <c r="X319" i="7" s="1"/>
  <c r="AD319" i="7" s="1"/>
  <c r="L403" i="7"/>
  <c r="R403" i="7" s="1"/>
  <c r="X403" i="7" s="1"/>
  <c r="AD403" i="7" s="1"/>
  <c r="K138" i="7"/>
  <c r="Q138" i="7" s="1"/>
  <c r="W138" i="7" s="1"/>
  <c r="AC138" i="7" s="1"/>
  <c r="K337" i="7"/>
  <c r="Q337" i="7" s="1"/>
  <c r="W337" i="7" s="1"/>
  <c r="AC337" i="7" s="1"/>
  <c r="K204" i="7"/>
  <c r="Q204" i="7" s="1"/>
  <c r="W204" i="7" s="1"/>
  <c r="AC204" i="7" s="1"/>
  <c r="L77" i="7"/>
  <c r="R77" i="7" s="1"/>
  <c r="X77" i="7" s="1"/>
  <c r="AD77" i="7" s="1"/>
  <c r="H301" i="7"/>
  <c r="N301" i="7" s="1"/>
  <c r="T301" i="7" s="1"/>
  <c r="Z301" i="7" s="1"/>
  <c r="H395" i="7"/>
  <c r="N395" i="7" s="1"/>
  <c r="T395" i="7" s="1"/>
  <c r="Z395" i="7" s="1"/>
  <c r="K286" i="7"/>
  <c r="Q286" i="7" s="1"/>
  <c r="W286" i="7" s="1"/>
  <c r="AC286" i="7" s="1"/>
  <c r="H324" i="7"/>
  <c r="N324" i="7" s="1"/>
  <c r="T324" i="7" s="1"/>
  <c r="Z324" i="7" s="1"/>
  <c r="J355" i="7"/>
  <c r="P355" i="7" s="1"/>
  <c r="V355" i="7" s="1"/>
  <c r="AB355" i="7" s="1"/>
  <c r="H367" i="7"/>
  <c r="N367" i="7" s="1"/>
  <c r="T367" i="7" s="1"/>
  <c r="Z367" i="7" s="1"/>
  <c r="H366" i="7"/>
  <c r="N366" i="7" s="1"/>
  <c r="T366" i="7" s="1"/>
  <c r="Z366" i="7" s="1"/>
  <c r="J142" i="7"/>
  <c r="P142" i="7" s="1"/>
  <c r="V142" i="7" s="1"/>
  <c r="AB142" i="7" s="1"/>
  <c r="J255" i="7"/>
  <c r="P255" i="7" s="1"/>
  <c r="V255" i="7" s="1"/>
  <c r="AB255" i="7" s="1"/>
  <c r="I345" i="7"/>
  <c r="O345" i="7" s="1"/>
  <c r="U345" i="7" s="1"/>
  <c r="AA345" i="7" s="1"/>
  <c r="K423" i="7"/>
  <c r="Q423" i="7" s="1"/>
  <c r="W423" i="7" s="1"/>
  <c r="AC423" i="7" s="1"/>
  <c r="I374" i="7"/>
  <c r="O374" i="7" s="1"/>
  <c r="U374" i="7" s="1"/>
  <c r="AA374" i="7" s="1"/>
  <c r="K173" i="7"/>
  <c r="Q173" i="7" s="1"/>
  <c r="W173" i="7" s="1"/>
  <c r="AC173" i="7" s="1"/>
  <c r="L249" i="7"/>
  <c r="R249" i="7" s="1"/>
  <c r="X249" i="7" s="1"/>
  <c r="AD249" i="7" s="1"/>
  <c r="K325" i="7"/>
  <c r="Q325" i="7" s="1"/>
  <c r="W325" i="7" s="1"/>
  <c r="AC325" i="7" s="1"/>
  <c r="H375" i="7"/>
  <c r="N375" i="7" s="1"/>
  <c r="T375" i="7" s="1"/>
  <c r="Z375" i="7" s="1"/>
  <c r="H339" i="7"/>
  <c r="N339" i="7" s="1"/>
  <c r="T339" i="7" s="1"/>
  <c r="Z339" i="7" s="1"/>
  <c r="K111" i="7"/>
  <c r="Q111" i="7" s="1"/>
  <c r="W111" i="7" s="1"/>
  <c r="AC111" i="7" s="1"/>
  <c r="I410" i="7"/>
  <c r="O410" i="7" s="1"/>
  <c r="U410" i="7" s="1"/>
  <c r="AA410" i="7" s="1"/>
  <c r="I246" i="7"/>
  <c r="O246" i="7" s="1"/>
  <c r="U246" i="7" s="1"/>
  <c r="AA246" i="7" s="1"/>
  <c r="L138" i="7"/>
  <c r="R138" i="7" s="1"/>
  <c r="X138" i="7" s="1"/>
  <c r="AD138" i="7" s="1"/>
  <c r="K245" i="7"/>
  <c r="Q245" i="7" s="1"/>
  <c r="W245" i="7" s="1"/>
  <c r="AC245" i="7" s="1"/>
  <c r="K287" i="7"/>
  <c r="Q287" i="7" s="1"/>
  <c r="W287" i="7" s="1"/>
  <c r="AC287" i="7" s="1"/>
  <c r="I335" i="7"/>
  <c r="O335" i="7" s="1"/>
  <c r="U335" i="7" s="1"/>
  <c r="AA335" i="7" s="1"/>
  <c r="K254" i="7"/>
  <c r="Q254" i="7" s="1"/>
  <c r="W254" i="7" s="1"/>
  <c r="AC254" i="7" s="1"/>
  <c r="J82" i="7"/>
  <c r="P82" i="7" s="1"/>
  <c r="V82" i="7" s="1"/>
  <c r="AB82" i="7" s="1"/>
  <c r="I126" i="7"/>
  <c r="O126" i="7" s="1"/>
  <c r="U126" i="7" s="1"/>
  <c r="AA126" i="7" s="1"/>
  <c r="J264" i="7"/>
  <c r="P264" i="7" s="1"/>
  <c r="V264" i="7" s="1"/>
  <c r="AB264" i="7" s="1"/>
  <c r="J320" i="7"/>
  <c r="P320" i="7" s="1"/>
  <c r="V320" i="7" s="1"/>
  <c r="AB320" i="7" s="1"/>
  <c r="J312" i="7"/>
  <c r="P312" i="7" s="1"/>
  <c r="V312" i="7" s="1"/>
  <c r="AB312" i="7" s="1"/>
  <c r="J195" i="7"/>
  <c r="P195" i="7" s="1"/>
  <c r="V195" i="7" s="1"/>
  <c r="AB195" i="7" s="1"/>
  <c r="H364" i="7"/>
  <c r="N364" i="7" s="1"/>
  <c r="T364" i="7" s="1"/>
  <c r="Z364" i="7" s="1"/>
  <c r="H204" i="7"/>
  <c r="N204" i="7" s="1"/>
  <c r="T204" i="7" s="1"/>
  <c r="Z204" i="7" s="1"/>
  <c r="L433" i="7"/>
  <c r="R433" i="7" s="1"/>
  <c r="X433" i="7" s="1"/>
  <c r="AD433" i="7" s="1"/>
  <c r="H350" i="7"/>
  <c r="N350" i="7" s="1"/>
  <c r="T350" i="7" s="1"/>
  <c r="Z350" i="7" s="1"/>
  <c r="I160" i="7"/>
  <c r="O160" i="7" s="1"/>
  <c r="U160" i="7" s="1"/>
  <c r="AA160" i="7" s="1"/>
  <c r="I266" i="7"/>
  <c r="O266" i="7" s="1"/>
  <c r="U266" i="7" s="1"/>
  <c r="AA266" i="7" s="1"/>
  <c r="K130" i="7"/>
  <c r="Q130" i="7" s="1"/>
  <c r="W130" i="7" s="1"/>
  <c r="AC130" i="7" s="1"/>
  <c r="H145" i="7"/>
  <c r="N145" i="7" s="1"/>
  <c r="T145" i="7" s="1"/>
  <c r="Z145" i="7" s="1"/>
  <c r="K402" i="7"/>
  <c r="Q402" i="7" s="1"/>
  <c r="W402" i="7" s="1"/>
  <c r="AC402" i="7" s="1"/>
  <c r="J380" i="7"/>
  <c r="P380" i="7" s="1"/>
  <c r="V380" i="7" s="1"/>
  <c r="AB380" i="7" s="1"/>
  <c r="L260" i="7"/>
  <c r="R260" i="7" s="1"/>
  <c r="X260" i="7" s="1"/>
  <c r="AD260" i="7" s="1"/>
  <c r="H322" i="7"/>
  <c r="N322" i="7" s="1"/>
  <c r="T322" i="7" s="1"/>
  <c r="Z322" i="7" s="1"/>
  <c r="H408" i="7"/>
  <c r="N408" i="7" s="1"/>
  <c r="T408" i="7" s="1"/>
  <c r="Z408" i="7" s="1"/>
  <c r="J254" i="7"/>
  <c r="P254" i="7" s="1"/>
  <c r="V254" i="7" s="1"/>
  <c r="AB254" i="7" s="1"/>
  <c r="H98" i="7"/>
  <c r="N98" i="7" s="1"/>
  <c r="T98" i="7" s="1"/>
  <c r="Z98" i="7" s="1"/>
  <c r="I428" i="7"/>
  <c r="O428" i="7" s="1"/>
  <c r="U428" i="7" s="1"/>
  <c r="AA428" i="7" s="1"/>
  <c r="J203" i="7"/>
  <c r="P203" i="7" s="1"/>
  <c r="V203" i="7" s="1"/>
  <c r="AB203" i="7" s="1"/>
  <c r="K210" i="7"/>
  <c r="Q210" i="7" s="1"/>
  <c r="W210" i="7" s="1"/>
  <c r="AC210" i="7" s="1"/>
  <c r="L394" i="7"/>
  <c r="R394" i="7" s="1"/>
  <c r="X394" i="7" s="1"/>
  <c r="AD394" i="7" s="1"/>
  <c r="K296" i="7"/>
  <c r="Q296" i="7" s="1"/>
  <c r="W296" i="7" s="1"/>
  <c r="AC296" i="7" s="1"/>
  <c r="J393" i="7"/>
  <c r="P393" i="7" s="1"/>
  <c r="V393" i="7" s="1"/>
  <c r="AB393" i="7" s="1"/>
  <c r="I330" i="7"/>
  <c r="O330" i="7" s="1"/>
  <c r="U330" i="7" s="1"/>
  <c r="AA330" i="7" s="1"/>
  <c r="J321" i="7"/>
  <c r="P321" i="7" s="1"/>
  <c r="V321" i="7" s="1"/>
  <c r="AB321" i="7" s="1"/>
  <c r="J373" i="7"/>
  <c r="P373" i="7" s="1"/>
  <c r="V373" i="7" s="1"/>
  <c r="AB373" i="7" s="1"/>
  <c r="L379" i="7"/>
  <c r="R379" i="7" s="1"/>
  <c r="X379" i="7" s="1"/>
  <c r="AD379" i="7" s="1"/>
  <c r="J318" i="7"/>
  <c r="P318" i="7" s="1"/>
  <c r="V318" i="7" s="1"/>
  <c r="AB318" i="7" s="1"/>
  <c r="K386" i="7"/>
  <c r="Q386" i="7" s="1"/>
  <c r="W386" i="7" s="1"/>
  <c r="AC386" i="7" s="1"/>
  <c r="J261" i="7"/>
  <c r="P261" i="7" s="1"/>
  <c r="V261" i="7" s="1"/>
  <c r="AB261" i="7" s="1"/>
  <c r="K159" i="7"/>
  <c r="Q159" i="7" s="1"/>
  <c r="W159" i="7" s="1"/>
  <c r="AC159" i="7" s="1"/>
  <c r="J313" i="7"/>
  <c r="P313" i="7" s="1"/>
  <c r="V313" i="7" s="1"/>
  <c r="AB313" i="7" s="1"/>
  <c r="I180" i="7"/>
  <c r="O180" i="7" s="1"/>
  <c r="U180" i="7" s="1"/>
  <c r="AA180" i="7" s="1"/>
  <c r="K359" i="7"/>
  <c r="Q359" i="7" s="1"/>
  <c r="W359" i="7" s="1"/>
  <c r="AC359" i="7" s="1"/>
  <c r="L376" i="7"/>
  <c r="R376" i="7" s="1"/>
  <c r="X376" i="7" s="1"/>
  <c r="AD376" i="7" s="1"/>
  <c r="H166" i="7"/>
  <c r="N166" i="7" s="1"/>
  <c r="T166" i="7" s="1"/>
  <c r="Z166" i="7" s="1"/>
  <c r="I115" i="7"/>
  <c r="O115" i="7" s="1"/>
  <c r="U115" i="7" s="1"/>
  <c r="AA115" i="7" s="1"/>
  <c r="H262" i="7"/>
  <c r="N262" i="7" s="1"/>
  <c r="T262" i="7" s="1"/>
  <c r="Z262" i="7" s="1"/>
  <c r="K305" i="7"/>
  <c r="Q305" i="7" s="1"/>
  <c r="W305" i="7" s="1"/>
  <c r="AC305" i="7" s="1"/>
  <c r="I417" i="7"/>
  <c r="O417" i="7" s="1"/>
  <c r="U417" i="7" s="1"/>
  <c r="AA417" i="7" s="1"/>
  <c r="K178" i="7"/>
  <c r="Q178" i="7" s="1"/>
  <c r="W178" i="7" s="1"/>
  <c r="AC178" i="7" s="1"/>
  <c r="L76" i="7"/>
  <c r="R76" i="7" s="1"/>
  <c r="X76" i="7" s="1"/>
  <c r="AD76" i="7" s="1"/>
  <c r="H318" i="7"/>
  <c r="N318" i="7" s="1"/>
  <c r="T318" i="7" s="1"/>
  <c r="Z318" i="7" s="1"/>
  <c r="I199" i="7"/>
  <c r="O199" i="7" s="1"/>
  <c r="U199" i="7" s="1"/>
  <c r="AA199" i="7" s="1"/>
  <c r="I341" i="7"/>
  <c r="O341" i="7" s="1"/>
  <c r="U341" i="7" s="1"/>
  <c r="AA341" i="7" s="1"/>
  <c r="H370" i="7"/>
  <c r="N370" i="7" s="1"/>
  <c r="T370" i="7" s="1"/>
  <c r="Z370" i="7" s="1"/>
  <c r="H432" i="7"/>
  <c r="N432" i="7" s="1"/>
  <c r="T432" i="7" s="1"/>
  <c r="Z432" i="7" s="1"/>
  <c r="J308" i="7"/>
  <c r="P308" i="7" s="1"/>
  <c r="V308" i="7" s="1"/>
  <c r="AB308" i="7" s="1"/>
  <c r="J230" i="7"/>
  <c r="P230" i="7" s="1"/>
  <c r="V230" i="7" s="1"/>
  <c r="AB230" i="7" s="1"/>
  <c r="J223" i="7"/>
  <c r="P223" i="7" s="1"/>
  <c r="V223" i="7" s="1"/>
  <c r="AB223" i="7" s="1"/>
  <c r="L93" i="7"/>
  <c r="R93" i="7" s="1"/>
  <c r="X93" i="7" s="1"/>
  <c r="AD93" i="7" s="1"/>
  <c r="I396" i="7"/>
  <c r="O396" i="7" s="1"/>
  <c r="U396" i="7" s="1"/>
  <c r="AA396" i="7" s="1"/>
  <c r="H102" i="7"/>
  <c r="N102" i="7" s="1"/>
  <c r="T102" i="7" s="1"/>
  <c r="Z102" i="7" s="1"/>
  <c r="I157" i="7"/>
  <c r="O157" i="7" s="1"/>
  <c r="U157" i="7" s="1"/>
  <c r="AA157" i="7" s="1"/>
  <c r="H180" i="7"/>
  <c r="N180" i="7" s="1"/>
  <c r="T180" i="7" s="1"/>
  <c r="Z180" i="7" s="1"/>
  <c r="H334" i="7"/>
  <c r="N334" i="7" s="1"/>
  <c r="T334" i="7" s="1"/>
  <c r="Z334" i="7" s="1"/>
  <c r="L83" i="7"/>
  <c r="R83" i="7" s="1"/>
  <c r="X83" i="7" s="1"/>
  <c r="AD83" i="7" s="1"/>
  <c r="I375" i="7"/>
  <c r="O375" i="7" s="1"/>
  <c r="U375" i="7" s="1"/>
  <c r="AA375" i="7" s="1"/>
  <c r="I395" i="7"/>
  <c r="O395" i="7" s="1"/>
  <c r="U395" i="7" s="1"/>
  <c r="AA395" i="7" s="1"/>
  <c r="J322" i="7"/>
  <c r="P322" i="7" s="1"/>
  <c r="V322" i="7" s="1"/>
  <c r="AB322" i="7" s="1"/>
  <c r="H155" i="7"/>
  <c r="N155" i="7" s="1"/>
  <c r="T155" i="7" s="1"/>
  <c r="Z155" i="7" s="1"/>
  <c r="H209" i="7"/>
  <c r="N209" i="7" s="1"/>
  <c r="T209" i="7" s="1"/>
  <c r="Z209" i="7" s="1"/>
  <c r="H75" i="7"/>
  <c r="N75" i="7" s="1"/>
  <c r="T75" i="7" s="1"/>
  <c r="Z75" i="7" s="1"/>
  <c r="I255" i="7"/>
  <c r="O255" i="7" s="1"/>
  <c r="U255" i="7" s="1"/>
  <c r="AA255" i="7" s="1"/>
  <c r="K364" i="7"/>
  <c r="Q364" i="7" s="1"/>
  <c r="W364" i="7" s="1"/>
  <c r="AC364" i="7" s="1"/>
  <c r="L121" i="7"/>
  <c r="R121" i="7" s="1"/>
  <c r="X121" i="7" s="1"/>
  <c r="AD121" i="7" s="1"/>
  <c r="K84" i="7"/>
  <c r="Q84" i="7" s="1"/>
  <c r="W84" i="7" s="1"/>
  <c r="AC84" i="7" s="1"/>
  <c r="L301" i="7"/>
  <c r="R301" i="7" s="1"/>
  <c r="X301" i="7" s="1"/>
  <c r="AD301" i="7" s="1"/>
  <c r="L424" i="7"/>
  <c r="R424" i="7" s="1"/>
  <c r="X424" i="7" s="1"/>
  <c r="AD424" i="7" s="1"/>
  <c r="J192" i="7"/>
  <c r="P192" i="7" s="1"/>
  <c r="V192" i="7" s="1"/>
  <c r="AB192" i="7" s="1"/>
  <c r="I196" i="7"/>
  <c r="O196" i="7" s="1"/>
  <c r="U196" i="7" s="1"/>
  <c r="AA196" i="7" s="1"/>
  <c r="K345" i="7"/>
  <c r="Q345" i="7" s="1"/>
  <c r="W345" i="7" s="1"/>
  <c r="AC345" i="7" s="1"/>
  <c r="H136" i="7"/>
  <c r="N136" i="7" s="1"/>
  <c r="T136" i="7" s="1"/>
  <c r="Z136" i="7" s="1"/>
  <c r="L309" i="7"/>
  <c r="R309" i="7" s="1"/>
  <c r="X309" i="7" s="1"/>
  <c r="AD309" i="7" s="1"/>
  <c r="H261" i="7"/>
  <c r="N261" i="7" s="1"/>
  <c r="T261" i="7" s="1"/>
  <c r="Z261" i="7" s="1"/>
  <c r="K339" i="7"/>
  <c r="Q339" i="7" s="1"/>
  <c r="W339" i="7" s="1"/>
  <c r="AC339" i="7" s="1"/>
  <c r="J273" i="7"/>
  <c r="P273" i="7" s="1"/>
  <c r="V273" i="7" s="1"/>
  <c r="AB273" i="7" s="1"/>
  <c r="J309" i="7"/>
  <c r="P309" i="7" s="1"/>
  <c r="V309" i="7" s="1"/>
  <c r="AB309" i="7" s="1"/>
  <c r="K184" i="7"/>
  <c r="Q184" i="7" s="1"/>
  <c r="W184" i="7" s="1"/>
  <c r="AC184" i="7" s="1"/>
  <c r="K348" i="7"/>
  <c r="Q348" i="7" s="1"/>
  <c r="W348" i="7" s="1"/>
  <c r="AC348" i="7" s="1"/>
  <c r="I356" i="7"/>
  <c r="O356" i="7" s="1"/>
  <c r="U356" i="7" s="1"/>
  <c r="AA356" i="7" s="1"/>
  <c r="I353" i="7"/>
  <c r="O353" i="7" s="1"/>
  <c r="U353" i="7" s="1"/>
  <c r="AA353" i="7" s="1"/>
  <c r="I292" i="7"/>
  <c r="O292" i="7" s="1"/>
  <c r="U292" i="7" s="1"/>
  <c r="AA292" i="7" s="1"/>
  <c r="J325" i="7"/>
  <c r="P325" i="7" s="1"/>
  <c r="V325" i="7" s="1"/>
  <c r="AB325" i="7" s="1"/>
  <c r="I283" i="7"/>
  <c r="O283" i="7" s="1"/>
  <c r="U283" i="7" s="1"/>
  <c r="AA283" i="7" s="1"/>
  <c r="H157" i="7"/>
  <c r="N157" i="7" s="1"/>
  <c r="T157" i="7" s="1"/>
  <c r="Z157" i="7" s="1"/>
  <c r="I306" i="7"/>
  <c r="O306" i="7" s="1"/>
  <c r="U306" i="7" s="1"/>
  <c r="AA306" i="7" s="1"/>
  <c r="L432" i="7"/>
  <c r="R432" i="7" s="1"/>
  <c r="X432" i="7" s="1"/>
  <c r="AD432" i="7" s="1"/>
  <c r="K162" i="7"/>
  <c r="Q162" i="7" s="1"/>
  <c r="W162" i="7" s="1"/>
  <c r="AC162" i="7" s="1"/>
  <c r="L271" i="7"/>
  <c r="R271" i="7" s="1"/>
  <c r="X271" i="7" s="1"/>
  <c r="AD271" i="7" s="1"/>
  <c r="K112" i="7"/>
  <c r="Q112" i="7" s="1"/>
  <c r="W112" i="7" s="1"/>
  <c r="AC112" i="7" s="1"/>
  <c r="I143" i="7"/>
  <c r="O143" i="7" s="1"/>
  <c r="U143" i="7" s="1"/>
  <c r="AA143" i="7" s="1"/>
  <c r="J239" i="7"/>
  <c r="P239" i="7" s="1"/>
  <c r="V239" i="7" s="1"/>
  <c r="AB239" i="7" s="1"/>
  <c r="J157" i="7"/>
  <c r="P157" i="7" s="1"/>
  <c r="V157" i="7" s="1"/>
  <c r="AB157" i="7" s="1"/>
  <c r="H278" i="7"/>
  <c r="N278" i="7" s="1"/>
  <c r="T278" i="7" s="1"/>
  <c r="Z278" i="7" s="1"/>
  <c r="I315" i="7"/>
  <c r="O315" i="7" s="1"/>
  <c r="U315" i="7" s="1"/>
  <c r="AA315" i="7" s="1"/>
  <c r="L92" i="7"/>
  <c r="R92" i="7" s="1"/>
  <c r="X92" i="7" s="1"/>
  <c r="AD92" i="7" s="1"/>
  <c r="L167" i="7"/>
  <c r="R167" i="7" s="1"/>
  <c r="X167" i="7" s="1"/>
  <c r="AD167" i="7" s="1"/>
  <c r="K430" i="7"/>
  <c r="Q430" i="7" s="1"/>
  <c r="W430" i="7" s="1"/>
  <c r="AC430" i="7" s="1"/>
  <c r="I423" i="7"/>
  <c r="O423" i="7" s="1"/>
  <c r="U423" i="7" s="1"/>
  <c r="AA423" i="7" s="1"/>
  <c r="H201" i="7"/>
  <c r="N201" i="7" s="1"/>
  <c r="T201" i="7" s="1"/>
  <c r="Z201" i="7" s="1"/>
  <c r="H319" i="7"/>
  <c r="N319" i="7" s="1"/>
  <c r="T319" i="7" s="1"/>
  <c r="Z319" i="7" s="1"/>
  <c r="J196" i="7"/>
  <c r="P196" i="7" s="1"/>
  <c r="V196" i="7" s="1"/>
  <c r="AB196" i="7" s="1"/>
  <c r="J424" i="7"/>
  <c r="P424" i="7" s="1"/>
  <c r="V424" i="7" s="1"/>
  <c r="AB424" i="7" s="1"/>
  <c r="I260" i="7"/>
  <c r="O260" i="7" s="1"/>
  <c r="U260" i="7" s="1"/>
  <c r="AA260" i="7" s="1"/>
  <c r="J371" i="7"/>
  <c r="P371" i="7" s="1"/>
  <c r="V371" i="7" s="1"/>
  <c r="AB371" i="7" s="1"/>
  <c r="I77" i="7"/>
  <c r="O77" i="7" s="1"/>
  <c r="U77" i="7" s="1"/>
  <c r="AA77" i="7" s="1"/>
  <c r="K289" i="7"/>
  <c r="Q289" i="7" s="1"/>
  <c r="W289" i="7" s="1"/>
  <c r="AC289" i="7" s="1"/>
  <c r="I120" i="7"/>
  <c r="O120" i="7" s="1"/>
  <c r="U120" i="7" s="1"/>
  <c r="AA120" i="7" s="1"/>
  <c r="L199" i="7"/>
  <c r="R199" i="7" s="1"/>
  <c r="X199" i="7" s="1"/>
  <c r="AD199" i="7" s="1"/>
  <c r="H371" i="7"/>
  <c r="N371" i="7" s="1"/>
  <c r="T371" i="7" s="1"/>
  <c r="Z371" i="7" s="1"/>
  <c r="H353" i="7"/>
  <c r="N353" i="7" s="1"/>
  <c r="T353" i="7" s="1"/>
  <c r="Z353" i="7" s="1"/>
  <c r="I204" i="7"/>
  <c r="O204" i="7" s="1"/>
  <c r="U204" i="7" s="1"/>
  <c r="AA204" i="7" s="1"/>
  <c r="H117" i="7"/>
  <c r="N117" i="7" s="1"/>
  <c r="T117" i="7" s="1"/>
  <c r="Z117" i="7" s="1"/>
  <c r="L420" i="7"/>
  <c r="R420" i="7" s="1"/>
  <c r="X420" i="7" s="1"/>
  <c r="AD420" i="7" s="1"/>
  <c r="K107" i="7"/>
  <c r="Q107" i="7" s="1"/>
  <c r="W107" i="7" s="1"/>
  <c r="AC107" i="7" s="1"/>
  <c r="H280" i="7"/>
  <c r="N280" i="7" s="1"/>
  <c r="T280" i="7" s="1"/>
  <c r="Z280" i="7" s="1"/>
  <c r="J212" i="7"/>
  <c r="P212" i="7" s="1"/>
  <c r="V212" i="7" s="1"/>
  <c r="AB212" i="7" s="1"/>
  <c r="J184" i="7"/>
  <c r="P184" i="7" s="1"/>
  <c r="V184" i="7" s="1"/>
  <c r="AB184" i="7" s="1"/>
  <c r="I102" i="7"/>
  <c r="O102" i="7" s="1"/>
  <c r="U102" i="7" s="1"/>
  <c r="AA102" i="7" s="1"/>
  <c r="L315" i="7"/>
  <c r="R315" i="7" s="1"/>
  <c r="X315" i="7" s="1"/>
  <c r="AD315" i="7" s="1"/>
  <c r="I229" i="7"/>
  <c r="O229" i="7" s="1"/>
  <c r="U229" i="7" s="1"/>
  <c r="AA229" i="7" s="1"/>
  <c r="L219" i="7"/>
  <c r="R219" i="7" s="1"/>
  <c r="X219" i="7" s="1"/>
  <c r="AD219" i="7" s="1"/>
  <c r="I314" i="7"/>
  <c r="O314" i="7" s="1"/>
  <c r="U314" i="7" s="1"/>
  <c r="AA314" i="7" s="1"/>
  <c r="H430" i="7"/>
  <c r="N430" i="7" s="1"/>
  <c r="T430" i="7" s="1"/>
  <c r="Z430" i="7" s="1"/>
  <c r="H386" i="7"/>
  <c r="N386" i="7" s="1"/>
  <c r="T386" i="7" s="1"/>
  <c r="Z386" i="7" s="1"/>
  <c r="J226" i="7"/>
  <c r="P226" i="7" s="1"/>
  <c r="V226" i="7" s="1"/>
  <c r="AB226" i="7" s="1"/>
  <c r="K227" i="7"/>
  <c r="Q227" i="7" s="1"/>
  <c r="W227" i="7" s="1"/>
  <c r="AC227" i="7" s="1"/>
  <c r="H94" i="7"/>
  <c r="N94" i="7" s="1"/>
  <c r="T94" i="7" s="1"/>
  <c r="Z94" i="7" s="1"/>
  <c r="L336" i="7"/>
  <c r="R336" i="7" s="1"/>
  <c r="X336" i="7" s="1"/>
  <c r="AD336" i="7" s="1"/>
  <c r="H246" i="7"/>
  <c r="N246" i="7" s="1"/>
  <c r="T246" i="7" s="1"/>
  <c r="Z246" i="7" s="1"/>
  <c r="J100" i="7"/>
  <c r="P100" i="7" s="1"/>
  <c r="V100" i="7" s="1"/>
  <c r="AB100" i="7" s="1"/>
  <c r="J388" i="7"/>
  <c r="P388" i="7" s="1"/>
  <c r="V388" i="7" s="1"/>
  <c r="AB388" i="7" s="1"/>
  <c r="H158" i="7"/>
  <c r="N158" i="7" s="1"/>
  <c r="T158" i="7" s="1"/>
  <c r="Z158" i="7" s="1"/>
  <c r="L147" i="7"/>
  <c r="R147" i="7" s="1"/>
  <c r="X147" i="7" s="1"/>
  <c r="AD147" i="7" s="1"/>
  <c r="J213" i="7"/>
  <c r="P213" i="7" s="1"/>
  <c r="V213" i="7" s="1"/>
  <c r="AB213" i="7" s="1"/>
  <c r="H275" i="7"/>
  <c r="N275" i="7" s="1"/>
  <c r="T275" i="7" s="1"/>
  <c r="Z275" i="7" s="1"/>
  <c r="J362" i="7"/>
  <c r="P362" i="7" s="1"/>
  <c r="V362" i="7" s="1"/>
  <c r="AB362" i="7" s="1"/>
  <c r="L358" i="7"/>
  <c r="R358" i="7" s="1"/>
  <c r="X358" i="7" s="1"/>
  <c r="AD358" i="7" s="1"/>
  <c r="H376" i="7"/>
  <c r="N376" i="7" s="1"/>
  <c r="T376" i="7" s="1"/>
  <c r="Z376" i="7" s="1"/>
  <c r="L396" i="7"/>
  <c r="R396" i="7" s="1"/>
  <c r="X396" i="7" s="1"/>
  <c r="AD396" i="7" s="1"/>
  <c r="K388" i="7"/>
  <c r="Q388" i="7" s="1"/>
  <c r="W388" i="7" s="1"/>
  <c r="AC388" i="7" s="1"/>
  <c r="H427" i="7"/>
  <c r="N427" i="7" s="1"/>
  <c r="T427" i="7" s="1"/>
  <c r="Z427" i="7" s="1"/>
  <c r="J331" i="7"/>
  <c r="P331" i="7" s="1"/>
  <c r="V331" i="7" s="1"/>
  <c r="AB331" i="7" s="1"/>
  <c r="J147" i="7"/>
  <c r="P147" i="7" s="1"/>
  <c r="V147" i="7" s="1"/>
  <c r="AB147" i="7" s="1"/>
  <c r="L366" i="7"/>
  <c r="R366" i="7" s="1"/>
  <c r="X366" i="7" s="1"/>
  <c r="AD366" i="7" s="1"/>
  <c r="I78" i="7"/>
  <c r="O78" i="7" s="1"/>
  <c r="U78" i="7" s="1"/>
  <c r="AA78" i="7" s="1"/>
  <c r="H306" i="7"/>
  <c r="N306" i="7" s="1"/>
  <c r="T306" i="7" s="1"/>
  <c r="Z306" i="7" s="1"/>
  <c r="K301" i="7"/>
  <c r="Q301" i="7" s="1"/>
  <c r="W301" i="7" s="1"/>
  <c r="AC301" i="7" s="1"/>
  <c r="I131" i="7"/>
  <c r="O131" i="7" s="1"/>
  <c r="U131" i="7" s="1"/>
  <c r="AA131" i="7" s="1"/>
  <c r="J382" i="7"/>
  <c r="P382" i="7" s="1"/>
  <c r="V382" i="7" s="1"/>
  <c r="AB382" i="7" s="1"/>
  <c r="L120" i="7"/>
  <c r="R120" i="7" s="1"/>
  <c r="X120" i="7" s="1"/>
  <c r="AD120" i="7" s="1"/>
  <c r="J200" i="7"/>
  <c r="P200" i="7" s="1"/>
  <c r="V200" i="7" s="1"/>
  <c r="AB200" i="7" s="1"/>
  <c r="J338" i="7"/>
  <c r="P338" i="7" s="1"/>
  <c r="V338" i="7" s="1"/>
  <c r="AB338" i="7" s="1"/>
  <c r="H165" i="7"/>
  <c r="N165" i="7" s="1"/>
  <c r="T165" i="7" s="1"/>
  <c r="Z165" i="7" s="1"/>
  <c r="L353" i="7"/>
  <c r="R353" i="7" s="1"/>
  <c r="X353" i="7" s="1"/>
  <c r="AD353" i="7" s="1"/>
  <c r="L310" i="7"/>
  <c r="R310" i="7" s="1"/>
  <c r="X310" i="7" s="1"/>
  <c r="AD310" i="7" s="1"/>
  <c r="K90" i="7"/>
  <c r="Q90" i="7" s="1"/>
  <c r="W90" i="7" s="1"/>
  <c r="AC90" i="7" s="1"/>
  <c r="I125" i="7"/>
  <c r="O125" i="7" s="1"/>
  <c r="U125" i="7" s="1"/>
  <c r="AA125" i="7" s="1"/>
  <c r="J253" i="7"/>
  <c r="P253" i="7" s="1"/>
  <c r="V253" i="7" s="1"/>
  <c r="AB253" i="7" s="1"/>
  <c r="I312" i="7"/>
  <c r="O312" i="7" s="1"/>
  <c r="U312" i="7" s="1"/>
  <c r="AA312" i="7" s="1"/>
  <c r="J201" i="7"/>
  <c r="P201" i="7" s="1"/>
  <c r="V201" i="7" s="1"/>
  <c r="AB201" i="7" s="1"/>
  <c r="L333" i="7"/>
  <c r="R333" i="7" s="1"/>
  <c r="X333" i="7" s="1"/>
  <c r="AD333" i="7" s="1"/>
  <c r="J240" i="7"/>
  <c r="P240" i="7" s="1"/>
  <c r="V240" i="7" s="1"/>
  <c r="AB240" i="7" s="1"/>
  <c r="I377" i="7"/>
  <c r="O377" i="7" s="1"/>
  <c r="U377" i="7" s="1"/>
  <c r="AA377" i="7" s="1"/>
  <c r="H351" i="7"/>
  <c r="N351" i="7" s="1"/>
  <c r="T351" i="7" s="1"/>
  <c r="Z351" i="7" s="1"/>
  <c r="H422" i="7"/>
  <c r="N422" i="7" s="1"/>
  <c r="T422" i="7" s="1"/>
  <c r="Z422" i="7" s="1"/>
  <c r="L323" i="7"/>
  <c r="R323" i="7" s="1"/>
  <c r="X323" i="7" s="1"/>
  <c r="AD323" i="7" s="1"/>
  <c r="I358" i="7"/>
  <c r="O358" i="7" s="1"/>
  <c r="U358" i="7" s="1"/>
  <c r="AA358" i="7" s="1"/>
  <c r="L326" i="7"/>
  <c r="R326" i="7" s="1"/>
  <c r="X326" i="7" s="1"/>
  <c r="AD326" i="7" s="1"/>
  <c r="L225" i="7"/>
  <c r="R225" i="7" s="1"/>
  <c r="X225" i="7" s="1"/>
  <c r="AD225" i="7" s="1"/>
  <c r="H331" i="7"/>
  <c r="N331" i="7" s="1"/>
  <c r="T331" i="7" s="1"/>
  <c r="Z331" i="7" s="1"/>
  <c r="J250" i="7"/>
  <c r="P250" i="7" s="1"/>
  <c r="V250" i="7" s="1"/>
  <c r="AB250" i="7" s="1"/>
  <c r="I91" i="7"/>
  <c r="O91" i="7" s="1"/>
  <c r="U91" i="7" s="1"/>
  <c r="AA91" i="7" s="1"/>
  <c r="H431" i="7"/>
  <c r="N431" i="7" s="1"/>
  <c r="T431" i="7" s="1"/>
  <c r="Z431" i="7" s="1"/>
  <c r="K216" i="7"/>
  <c r="Q216" i="7" s="1"/>
  <c r="W216" i="7" s="1"/>
  <c r="AC216" i="7" s="1"/>
  <c r="J87" i="7"/>
  <c r="P87" i="7" s="1"/>
  <c r="V87" i="7" s="1"/>
  <c r="AB87" i="7" s="1"/>
  <c r="H175" i="7"/>
  <c r="N175" i="7" s="1"/>
  <c r="T175" i="7" s="1"/>
  <c r="Z175" i="7" s="1"/>
  <c r="I388" i="7"/>
  <c r="O388" i="7" s="1"/>
  <c r="U388" i="7" s="1"/>
  <c r="AA388" i="7" s="1"/>
  <c r="H325" i="7"/>
  <c r="N325" i="7" s="1"/>
  <c r="T325" i="7" s="1"/>
  <c r="Z325" i="7" s="1"/>
  <c r="H93" i="7"/>
  <c r="N93" i="7" s="1"/>
  <c r="T93" i="7" s="1"/>
  <c r="Z93" i="7" s="1"/>
  <c r="K312" i="7"/>
  <c r="Q312" i="7" s="1"/>
  <c r="W312" i="7" s="1"/>
  <c r="AC312" i="7" s="1"/>
  <c r="L423" i="7"/>
  <c r="R423" i="7" s="1"/>
  <c r="X423" i="7" s="1"/>
  <c r="AD423" i="7" s="1"/>
  <c r="K105" i="7"/>
  <c r="Q105" i="7" s="1"/>
  <c r="W105" i="7" s="1"/>
  <c r="AC105" i="7" s="1"/>
  <c r="L364" i="7"/>
  <c r="R364" i="7" s="1"/>
  <c r="X364" i="7" s="1"/>
  <c r="AD364" i="7" s="1"/>
  <c r="K164" i="7"/>
  <c r="Q164" i="7" s="1"/>
  <c r="W164" i="7" s="1"/>
  <c r="AC164" i="7" s="1"/>
  <c r="H389" i="7"/>
  <c r="N389" i="7" s="1"/>
  <c r="T389" i="7" s="1"/>
  <c r="Z389" i="7" s="1"/>
  <c r="H382" i="7"/>
  <c r="N382" i="7" s="1"/>
  <c r="T382" i="7" s="1"/>
  <c r="Z382" i="7" s="1"/>
  <c r="K362" i="7"/>
  <c r="Q362" i="7" s="1"/>
  <c r="W362" i="7" s="1"/>
  <c r="AC362" i="7" s="1"/>
  <c r="L253" i="7"/>
  <c r="R253" i="7" s="1"/>
  <c r="X253" i="7" s="1"/>
  <c r="AD253" i="7" s="1"/>
  <c r="I83" i="7"/>
  <c r="O83" i="7" s="1"/>
  <c r="U83" i="7" s="1"/>
  <c r="AA83" i="7" s="1"/>
  <c r="H160" i="7"/>
  <c r="N160" i="7" s="1"/>
  <c r="T160" i="7" s="1"/>
  <c r="Z160" i="7" s="1"/>
  <c r="L171" i="7"/>
  <c r="R171" i="7" s="1"/>
  <c r="X171" i="7" s="1"/>
  <c r="AD171" i="7" s="1"/>
  <c r="H243" i="7"/>
  <c r="N243" i="7" s="1"/>
  <c r="T243" i="7" s="1"/>
  <c r="Z243" i="7" s="1"/>
  <c r="K198" i="7"/>
  <c r="Q198" i="7" s="1"/>
  <c r="W198" i="7" s="1"/>
  <c r="AC198" i="7" s="1"/>
  <c r="H197" i="7"/>
  <c r="N197" i="7" s="1"/>
  <c r="T197" i="7" s="1"/>
  <c r="Z197" i="7" s="1"/>
  <c r="J334" i="7"/>
  <c r="P334" i="7" s="1"/>
  <c r="V334" i="7" s="1"/>
  <c r="AB334" i="7" s="1"/>
  <c r="L137" i="7"/>
  <c r="R137" i="7" s="1"/>
  <c r="X137" i="7" s="1"/>
  <c r="AD137" i="7" s="1"/>
  <c r="J170" i="7"/>
  <c r="P170" i="7" s="1"/>
  <c r="V170" i="7" s="1"/>
  <c r="AB170" i="7" s="1"/>
  <c r="L407" i="7"/>
  <c r="R407" i="7" s="1"/>
  <c r="X407" i="7" s="1"/>
  <c r="AD407" i="7" s="1"/>
  <c r="H295" i="7"/>
  <c r="N295" i="7" s="1"/>
  <c r="T295" i="7" s="1"/>
  <c r="Z295" i="7" s="1"/>
  <c r="L256" i="7"/>
  <c r="R256" i="7" s="1"/>
  <c r="X256" i="7" s="1"/>
  <c r="AD256" i="7" s="1"/>
  <c r="K218" i="7"/>
  <c r="Q218" i="7" s="1"/>
  <c r="W218" i="7" s="1"/>
  <c r="AC218" i="7" s="1"/>
  <c r="I218" i="7"/>
  <c r="O218" i="7" s="1"/>
  <c r="U218" i="7" s="1"/>
  <c r="AA218" i="7" s="1"/>
  <c r="I267" i="7"/>
  <c r="O267" i="7" s="1"/>
  <c r="U267" i="7" s="1"/>
  <c r="AA267" i="7" s="1"/>
  <c r="L99" i="7"/>
  <c r="R99" i="7" s="1"/>
  <c r="X99" i="7" s="1"/>
  <c r="AD99" i="7" s="1"/>
  <c r="I321" i="7"/>
  <c r="O321" i="7" s="1"/>
  <c r="U321" i="7" s="1"/>
  <c r="AA321" i="7" s="1"/>
  <c r="I351" i="7"/>
  <c r="O351" i="7" s="1"/>
  <c r="U351" i="7" s="1"/>
  <c r="AA351" i="7" s="1"/>
  <c r="K134" i="7"/>
  <c r="Q134" i="7" s="1"/>
  <c r="W134" i="7" s="1"/>
  <c r="AC134" i="7" s="1"/>
  <c r="L347" i="7"/>
  <c r="R347" i="7" s="1"/>
  <c r="X347" i="7" s="1"/>
  <c r="AD347" i="7" s="1"/>
  <c r="L276" i="7"/>
  <c r="R276" i="7" s="1"/>
  <c r="X276" i="7" s="1"/>
  <c r="AD276" i="7" s="1"/>
  <c r="I268" i="7"/>
  <c r="O268" i="7" s="1"/>
  <c r="U268" i="7" s="1"/>
  <c r="AA268" i="7" s="1"/>
  <c r="J252" i="7"/>
  <c r="P252" i="7" s="1"/>
  <c r="V252" i="7" s="1"/>
  <c r="AB252" i="7" s="1"/>
  <c r="K293" i="7"/>
  <c r="Q293" i="7" s="1"/>
  <c r="W293" i="7" s="1"/>
  <c r="AC293" i="7" s="1"/>
  <c r="L268" i="7"/>
  <c r="R268" i="7" s="1"/>
  <c r="X268" i="7" s="1"/>
  <c r="AD268" i="7" s="1"/>
  <c r="L212" i="7"/>
  <c r="R212" i="7" s="1"/>
  <c r="X212" i="7" s="1"/>
  <c r="AD212" i="7" s="1"/>
  <c r="J237" i="7"/>
  <c r="P237" i="7" s="1"/>
  <c r="V237" i="7" s="1"/>
  <c r="AB237" i="7" s="1"/>
  <c r="J88" i="7"/>
  <c r="P88" i="7" s="1"/>
  <c r="V88" i="7" s="1"/>
  <c r="AB88" i="7" s="1"/>
  <c r="K270" i="7"/>
  <c r="Q270" i="7" s="1"/>
  <c r="W270" i="7" s="1"/>
  <c r="AC270" i="7" s="1"/>
  <c r="J361" i="7"/>
  <c r="P361" i="7" s="1"/>
  <c r="V361" i="7" s="1"/>
  <c r="AB361" i="7" s="1"/>
  <c r="K303" i="7"/>
  <c r="Q303" i="7" s="1"/>
  <c r="W303" i="7" s="1"/>
  <c r="AC303" i="7" s="1"/>
  <c r="K282" i="7"/>
  <c r="Q282" i="7" s="1"/>
  <c r="W282" i="7" s="1"/>
  <c r="AC282" i="7" s="1"/>
  <c r="I84" i="7"/>
  <c r="O84" i="7" s="1"/>
  <c r="U84" i="7" s="1"/>
  <c r="AA84" i="7" s="1"/>
  <c r="J180" i="7"/>
  <c r="P180" i="7" s="1"/>
  <c r="V180" i="7" s="1"/>
  <c r="AB180" i="7" s="1"/>
  <c r="K246" i="7"/>
  <c r="Q246" i="7" s="1"/>
  <c r="W246" i="7" s="1"/>
  <c r="AC246" i="7" s="1"/>
  <c r="L202" i="7"/>
  <c r="R202" i="7" s="1"/>
  <c r="X202" i="7" s="1"/>
  <c r="AD202" i="7" s="1"/>
  <c r="H259" i="7"/>
  <c r="N259" i="7" s="1"/>
  <c r="T259" i="7" s="1"/>
  <c r="Z259" i="7" s="1"/>
  <c r="H423" i="7"/>
  <c r="N423" i="7" s="1"/>
  <c r="T423" i="7" s="1"/>
  <c r="Z423" i="7" s="1"/>
  <c r="H192" i="7"/>
  <c r="N192" i="7" s="1"/>
  <c r="T192" i="7" s="1"/>
  <c r="Z192" i="7" s="1"/>
  <c r="I140" i="7"/>
  <c r="O140" i="7" s="1"/>
  <c r="U140" i="7" s="1"/>
  <c r="AA140" i="7" s="1"/>
  <c r="L291" i="7"/>
  <c r="R291" i="7" s="1"/>
  <c r="X291" i="7" s="1"/>
  <c r="AD291" i="7" s="1"/>
  <c r="I431" i="7"/>
  <c r="O431" i="7" s="1"/>
  <c r="U431" i="7" s="1"/>
  <c r="AA431" i="7" s="1"/>
  <c r="K410" i="7"/>
  <c r="Q410" i="7" s="1"/>
  <c r="W410" i="7" s="1"/>
  <c r="AC410" i="7" s="1"/>
  <c r="L192" i="7"/>
  <c r="R192" i="7" s="1"/>
  <c r="X192" i="7" s="1"/>
  <c r="AD192" i="7" s="1"/>
  <c r="K318" i="7"/>
  <c r="Q318" i="7" s="1"/>
  <c r="W318" i="7" s="1"/>
  <c r="AC318" i="7" s="1"/>
  <c r="J228" i="7"/>
  <c r="P228" i="7" s="1"/>
  <c r="V228" i="7" s="1"/>
  <c r="AB228" i="7" s="1"/>
  <c r="J140" i="7"/>
  <c r="P140" i="7" s="1"/>
  <c r="V140" i="7" s="1"/>
  <c r="AB140" i="7" s="1"/>
  <c r="H347" i="7"/>
  <c r="N347" i="7" s="1"/>
  <c r="T347" i="7" s="1"/>
  <c r="Z347" i="7" s="1"/>
  <c r="I258" i="7"/>
  <c r="O258" i="7" s="1"/>
  <c r="U258" i="7" s="1"/>
  <c r="AA258" i="7" s="1"/>
  <c r="H150" i="7"/>
  <c r="N150" i="7" s="1"/>
  <c r="T150" i="7" s="1"/>
  <c r="Z150" i="7" s="1"/>
  <c r="K232" i="7"/>
  <c r="Q232" i="7" s="1"/>
  <c r="W232" i="7" s="1"/>
  <c r="AC232" i="7" s="1"/>
  <c r="L316" i="7"/>
  <c r="R316" i="7" s="1"/>
  <c r="X316" i="7" s="1"/>
  <c r="AD316" i="7" s="1"/>
  <c r="J242" i="7"/>
  <c r="P242" i="7" s="1"/>
  <c r="V242" i="7" s="1"/>
  <c r="AB242" i="7" s="1"/>
  <c r="H311" i="7"/>
  <c r="N311" i="7" s="1"/>
  <c r="T311" i="7" s="1"/>
  <c r="Z311" i="7" s="1"/>
  <c r="I402" i="7"/>
  <c r="O402" i="7" s="1"/>
  <c r="U402" i="7" s="1"/>
  <c r="AA402" i="7" s="1"/>
  <c r="K136" i="7"/>
  <c r="Q136" i="7" s="1"/>
  <c r="W136" i="7" s="1"/>
  <c r="AC136" i="7" s="1"/>
  <c r="L262" i="7"/>
  <c r="R262" i="7" s="1"/>
  <c r="X262" i="7" s="1"/>
  <c r="AD262" i="7" s="1"/>
  <c r="I247" i="7"/>
  <c r="O247" i="7" s="1"/>
  <c r="U247" i="7" s="1"/>
  <c r="AA247" i="7" s="1"/>
  <c r="I365" i="7"/>
  <c r="O365" i="7" s="1"/>
  <c r="U365" i="7" s="1"/>
  <c r="AA365" i="7" s="1"/>
  <c r="I424" i="7"/>
  <c r="O424" i="7" s="1"/>
  <c r="U424" i="7" s="1"/>
  <c r="AA424" i="7" s="1"/>
  <c r="L311" i="7"/>
  <c r="R311" i="7" s="1"/>
  <c r="X311" i="7" s="1"/>
  <c r="AD311" i="7" s="1"/>
  <c r="J109" i="7"/>
  <c r="P109" i="7" s="1"/>
  <c r="V109" i="7" s="1"/>
  <c r="AB109" i="7" s="1"/>
  <c r="H220" i="7"/>
  <c r="N220" i="7" s="1"/>
  <c r="T220" i="7" s="1"/>
  <c r="Z220" i="7" s="1"/>
  <c r="H174" i="7"/>
  <c r="N174" i="7" s="1"/>
  <c r="T174" i="7" s="1"/>
  <c r="Z174" i="7" s="1"/>
  <c r="J280" i="7"/>
  <c r="P280" i="7" s="1"/>
  <c r="V280" i="7" s="1"/>
  <c r="AB280" i="7" s="1"/>
  <c r="H249" i="7"/>
  <c r="N249" i="7" s="1"/>
  <c r="T249" i="7" s="1"/>
  <c r="Z249" i="7" s="1"/>
  <c r="J330" i="7"/>
  <c r="P330" i="7" s="1"/>
  <c r="V330" i="7" s="1"/>
  <c r="AB330" i="7" s="1"/>
  <c r="I248" i="7"/>
  <c r="O248" i="7" s="1"/>
  <c r="U248" i="7" s="1"/>
  <c r="AA248" i="7" s="1"/>
  <c r="J78" i="7"/>
  <c r="P78" i="7" s="1"/>
  <c r="V78" i="7" s="1"/>
  <c r="AB78" i="7" s="1"/>
  <c r="L306" i="7"/>
  <c r="R306" i="7" s="1"/>
  <c r="X306" i="7" s="1"/>
  <c r="AD306" i="7" s="1"/>
  <c r="I414" i="7"/>
  <c r="O414" i="7" s="1"/>
  <c r="U414" i="7" s="1"/>
  <c r="AA414" i="7" s="1"/>
  <c r="K188" i="7"/>
  <c r="Q188" i="7" s="1"/>
  <c r="W188" i="7" s="1"/>
  <c r="AC188" i="7" s="1"/>
  <c r="H183" i="7"/>
  <c r="N183" i="7" s="1"/>
  <c r="T183" i="7" s="1"/>
  <c r="Z183" i="7" s="1"/>
  <c r="K238" i="7"/>
  <c r="Q238" i="7" s="1"/>
  <c r="W238" i="7" s="1"/>
  <c r="AC238" i="7" s="1"/>
  <c r="L434" i="7"/>
  <c r="R434" i="7" s="1"/>
  <c r="X434" i="7" s="1"/>
  <c r="AD434" i="7" s="1"/>
  <c r="H103" i="7"/>
  <c r="N103" i="7" s="1"/>
  <c r="T103" i="7" s="1"/>
  <c r="Z103" i="7" s="1"/>
  <c r="L389" i="7"/>
  <c r="R389" i="7" s="1"/>
  <c r="X389" i="7" s="1"/>
  <c r="AD389" i="7" s="1"/>
  <c r="K344" i="7"/>
  <c r="Q344" i="7" s="1"/>
  <c r="W344" i="7" s="1"/>
  <c r="AC344" i="7" s="1"/>
  <c r="K235" i="7"/>
  <c r="Q235" i="7" s="1"/>
  <c r="W235" i="7" s="1"/>
  <c r="AC235" i="7" s="1"/>
  <c r="I158" i="7"/>
  <c r="O158" i="7" s="1"/>
  <c r="U158" i="7" s="1"/>
  <c r="AA158" i="7" s="1"/>
  <c r="K300" i="7"/>
  <c r="Q300" i="7" s="1"/>
  <c r="W300" i="7" s="1"/>
  <c r="AC300" i="7" s="1"/>
  <c r="K156" i="7"/>
  <c r="Q156" i="7" s="1"/>
  <c r="W156" i="7" s="1"/>
  <c r="AC156" i="7" s="1"/>
  <c r="K370" i="7"/>
  <c r="Q370" i="7" s="1"/>
  <c r="W370" i="7" s="1"/>
  <c r="AC370" i="7" s="1"/>
  <c r="I323" i="7"/>
  <c r="O323" i="7" s="1"/>
  <c r="U323" i="7" s="1"/>
  <c r="AA323" i="7" s="1"/>
  <c r="K146" i="7"/>
  <c r="Q146" i="7" s="1"/>
  <c r="W146" i="7" s="1"/>
  <c r="AC146" i="7" s="1"/>
  <c r="L118" i="7"/>
  <c r="R118" i="7" s="1"/>
  <c r="X118" i="7" s="1"/>
  <c r="AD118" i="7" s="1"/>
  <c r="L278" i="7"/>
  <c r="R278" i="7" s="1"/>
  <c r="X278" i="7" s="1"/>
  <c r="AD278" i="7" s="1"/>
  <c r="H359" i="7"/>
  <c r="N359" i="7" s="1"/>
  <c r="T359" i="7" s="1"/>
  <c r="Z359" i="7" s="1"/>
  <c r="H321" i="7"/>
  <c r="N321" i="7" s="1"/>
  <c r="T321" i="7" s="1"/>
  <c r="Z321" i="7" s="1"/>
  <c r="I189" i="7"/>
  <c r="O189" i="7" s="1"/>
  <c r="U189" i="7" s="1"/>
  <c r="AA189" i="7" s="1"/>
  <c r="K174" i="7"/>
  <c r="Q174" i="7" s="1"/>
  <c r="W174" i="7" s="1"/>
  <c r="AC174" i="7" s="1"/>
  <c r="K86" i="7"/>
  <c r="Q86" i="7" s="1"/>
  <c r="W86" i="7" s="1"/>
  <c r="AC86" i="7" s="1"/>
  <c r="H406" i="7"/>
  <c r="N406" i="7" s="1"/>
  <c r="T406" i="7" s="1"/>
  <c r="Z406" i="7" s="1"/>
  <c r="I311" i="7"/>
  <c r="O311" i="7" s="1"/>
  <c r="U311" i="7" s="1"/>
  <c r="AA311" i="7" s="1"/>
  <c r="L357" i="7"/>
  <c r="R357" i="7" s="1"/>
  <c r="X357" i="7" s="1"/>
  <c r="AD357" i="7" s="1"/>
  <c r="J262" i="7"/>
  <c r="P262" i="7" s="1"/>
  <c r="V262" i="7" s="1"/>
  <c r="AB262" i="7" s="1"/>
  <c r="I343" i="7"/>
  <c r="O343" i="7" s="1"/>
  <c r="U343" i="7" s="1"/>
  <c r="AA343" i="7" s="1"/>
  <c r="J360" i="7"/>
  <c r="P360" i="7" s="1"/>
  <c r="V360" i="7" s="1"/>
  <c r="AB360" i="7" s="1"/>
  <c r="I332" i="7"/>
  <c r="O332" i="7" s="1"/>
  <c r="U332" i="7" s="1"/>
  <c r="AA332" i="7" s="1"/>
  <c r="H247" i="7"/>
  <c r="N247" i="7" s="1"/>
  <c r="T247" i="7" s="1"/>
  <c r="Z247" i="7" s="1"/>
  <c r="H203" i="7"/>
  <c r="N203" i="7" s="1"/>
  <c r="T203" i="7" s="1"/>
  <c r="Z203" i="7" s="1"/>
  <c r="J390" i="7"/>
  <c r="P390" i="7" s="1"/>
  <c r="V390" i="7" s="1"/>
  <c r="AB390" i="7" s="1"/>
  <c r="H338" i="7"/>
  <c r="N338" i="7" s="1"/>
  <c r="T338" i="7" s="1"/>
  <c r="Z338" i="7" s="1"/>
  <c r="I139" i="7"/>
  <c r="O139" i="7" s="1"/>
  <c r="U139" i="7" s="1"/>
  <c r="AA139" i="7" s="1"/>
  <c r="K128" i="7"/>
  <c r="Q128" i="7" s="1"/>
  <c r="W128" i="7" s="1"/>
  <c r="AC128" i="7" s="1"/>
  <c r="J268" i="7"/>
  <c r="P268" i="7" s="1"/>
  <c r="V268" i="7" s="1"/>
  <c r="AB268" i="7" s="1"/>
  <c r="H320" i="7"/>
  <c r="N320" i="7" s="1"/>
  <c r="T320" i="7" s="1"/>
  <c r="Z320" i="7" s="1"/>
  <c r="H296" i="7"/>
  <c r="N296" i="7" s="1"/>
  <c r="T296" i="7" s="1"/>
  <c r="Z296" i="7" s="1"/>
  <c r="I171" i="7"/>
  <c r="O171" i="7" s="1"/>
  <c r="U171" i="7" s="1"/>
  <c r="AA171" i="7" s="1"/>
  <c r="I302" i="7"/>
  <c r="O302" i="7" s="1"/>
  <c r="U302" i="7" s="1"/>
  <c r="AA302" i="7" s="1"/>
  <c r="H153" i="7"/>
  <c r="N153" i="7" s="1"/>
  <c r="T153" i="7" s="1"/>
  <c r="Z153" i="7" s="1"/>
  <c r="I415" i="7"/>
  <c r="O415" i="7" s="1"/>
  <c r="U415" i="7" s="1"/>
  <c r="AA415" i="7" s="1"/>
  <c r="L349" i="7"/>
  <c r="R349" i="7" s="1"/>
  <c r="X349" i="7" s="1"/>
  <c r="AD349" i="7" s="1"/>
  <c r="I122" i="7"/>
  <c r="O122" i="7" s="1"/>
  <c r="U122" i="7" s="1"/>
  <c r="AA122" i="7" s="1"/>
  <c r="H333" i="7"/>
  <c r="N333" i="7" s="1"/>
  <c r="T333" i="7" s="1"/>
  <c r="Z333" i="7" s="1"/>
  <c r="I205" i="7"/>
  <c r="O205" i="7" s="1"/>
  <c r="U205" i="7" s="1"/>
  <c r="AA205" i="7" s="1"/>
  <c r="J357" i="7"/>
  <c r="P357" i="7" s="1"/>
  <c r="V357" i="7" s="1"/>
  <c r="AB357" i="7" s="1"/>
  <c r="L263" i="7"/>
  <c r="R263" i="7" s="1"/>
  <c r="X263" i="7" s="1"/>
  <c r="AD263" i="7" s="1"/>
  <c r="J381" i="7"/>
  <c r="P381" i="7" s="1"/>
  <c r="V381" i="7" s="1"/>
  <c r="AB381" i="7" s="1"/>
  <c r="L419" i="7"/>
  <c r="R419" i="7" s="1"/>
  <c r="X419" i="7" s="1"/>
  <c r="AD419" i="7" s="1"/>
  <c r="I422" i="7"/>
  <c r="O422" i="7" s="1"/>
  <c r="U422" i="7" s="1"/>
  <c r="AA422" i="7" s="1"/>
  <c r="J243" i="7"/>
  <c r="P243" i="7" s="1"/>
  <c r="V243" i="7" s="1"/>
  <c r="AB243" i="7" s="1"/>
  <c r="J383" i="7"/>
  <c r="P383" i="7" s="1"/>
  <c r="V383" i="7" s="1"/>
  <c r="AB383" i="7" s="1"/>
  <c r="H91" i="7"/>
  <c r="N91" i="7" s="1"/>
  <c r="T91" i="7" s="1"/>
  <c r="Z91" i="7" s="1"/>
  <c r="I407" i="7"/>
  <c r="O407" i="7" s="1"/>
  <c r="U407" i="7" s="1"/>
  <c r="AA407" i="7" s="1"/>
  <c r="I274" i="7"/>
  <c r="O274" i="7" s="1"/>
  <c r="U274" i="7" s="1"/>
  <c r="AA274" i="7" s="1"/>
  <c r="L300" i="7"/>
  <c r="R300" i="7" s="1"/>
  <c r="X300" i="7" s="1"/>
  <c r="AD300" i="7" s="1"/>
  <c r="K242" i="7"/>
  <c r="Q242" i="7" s="1"/>
  <c r="W242" i="7" s="1"/>
  <c r="AC242" i="7" s="1"/>
  <c r="K338" i="7"/>
  <c r="Q338" i="7" s="1"/>
  <c r="W338" i="7" s="1"/>
  <c r="AC338" i="7" s="1"/>
  <c r="J94" i="7"/>
  <c r="P94" i="7" s="1"/>
  <c r="V94" i="7" s="1"/>
  <c r="AB94" i="7" s="1"/>
  <c r="L241" i="7"/>
  <c r="R241" i="7" s="1"/>
  <c r="X241" i="7" s="1"/>
  <c r="AD241" i="7" s="1"/>
  <c r="H337" i="7"/>
  <c r="N337" i="7" s="1"/>
  <c r="T337" i="7" s="1"/>
  <c r="Z337" i="7" s="1"/>
  <c r="J177" i="7"/>
  <c r="P177" i="7" s="1"/>
  <c r="V177" i="7" s="1"/>
  <c r="AB177" i="7" s="1"/>
  <c r="J411" i="7"/>
  <c r="P411" i="7" s="1"/>
  <c r="V411" i="7" s="1"/>
  <c r="AB411" i="7" s="1"/>
  <c r="J410" i="7"/>
  <c r="P410" i="7" s="1"/>
  <c r="V410" i="7" s="1"/>
  <c r="AB410" i="7" s="1"/>
  <c r="L385" i="7"/>
  <c r="R385" i="7" s="1"/>
  <c r="X385" i="7" s="1"/>
  <c r="AD385" i="7" s="1"/>
  <c r="H78" i="7"/>
  <c r="N78" i="7" s="1"/>
  <c r="T78" i="7" s="1"/>
  <c r="Z78" i="7" s="1"/>
  <c r="J414" i="7"/>
  <c r="P414" i="7" s="1"/>
  <c r="V414" i="7" s="1"/>
  <c r="AB414" i="7" s="1"/>
  <c r="L191" i="7"/>
  <c r="R191" i="7" s="1"/>
  <c r="X191" i="7" s="1"/>
  <c r="AD191" i="7" s="1"/>
  <c r="K385" i="7"/>
  <c r="Q385" i="7" s="1"/>
  <c r="W385" i="7" s="1"/>
  <c r="AC385" i="7" s="1"/>
  <c r="H260" i="7"/>
  <c r="N260" i="7" s="1"/>
  <c r="T260" i="7" s="1"/>
  <c r="Z260" i="7" s="1"/>
  <c r="K119" i="7"/>
  <c r="Q119" i="7" s="1"/>
  <c r="W119" i="7" s="1"/>
  <c r="AC119" i="7" s="1"/>
  <c r="J178" i="7"/>
  <c r="P178" i="7" s="1"/>
  <c r="V178" i="7" s="1"/>
  <c r="AB178" i="7" s="1"/>
  <c r="I264" i="7"/>
  <c r="O264" i="7" s="1"/>
  <c r="U264" i="7" s="1"/>
  <c r="AA264" i="7" s="1"/>
  <c r="L184" i="7"/>
  <c r="R184" i="7" s="1"/>
  <c r="X184" i="7" s="1"/>
  <c r="AD184" i="7" s="1"/>
  <c r="I261" i="7"/>
  <c r="O261" i="7" s="1"/>
  <c r="U261" i="7" s="1"/>
  <c r="AA261" i="7" s="1"/>
  <c r="H190" i="7"/>
  <c r="N190" i="7" s="1"/>
  <c r="T190" i="7" s="1"/>
  <c r="Z190" i="7" s="1"/>
  <c r="I155" i="7"/>
  <c r="O155" i="7" s="1"/>
  <c r="U155" i="7" s="1"/>
  <c r="AA155" i="7" s="1"/>
  <c r="L173" i="7"/>
  <c r="R173" i="7" s="1"/>
  <c r="X173" i="7" s="1"/>
  <c r="AD173" i="7" s="1"/>
  <c r="K233" i="7"/>
  <c r="Q233" i="7" s="1"/>
  <c r="W233" i="7" s="1"/>
  <c r="AC233" i="7" s="1"/>
  <c r="L133" i="7"/>
  <c r="R133" i="7" s="1"/>
  <c r="X133" i="7" s="1"/>
  <c r="AD133" i="7" s="1"/>
  <c r="L317" i="7"/>
  <c r="R317" i="7" s="1"/>
  <c r="X317" i="7" s="1"/>
  <c r="AD317" i="7" s="1"/>
  <c r="H106" i="7"/>
  <c r="N106" i="7" s="1"/>
  <c r="T106" i="7" s="1"/>
  <c r="Z106" i="7" s="1"/>
  <c r="H251" i="7"/>
  <c r="N251" i="7" s="1"/>
  <c r="T251" i="7" s="1"/>
  <c r="Z251" i="7" s="1"/>
  <c r="J207" i="7"/>
  <c r="P207" i="7" s="1"/>
  <c r="V207" i="7" s="1"/>
  <c r="AB207" i="7" s="1"/>
  <c r="I305" i="7"/>
  <c r="O305" i="7" s="1"/>
  <c r="U305" i="7" s="1"/>
  <c r="AA305" i="7" s="1"/>
  <c r="K145" i="7"/>
  <c r="Q145" i="7" s="1"/>
  <c r="W145" i="7" s="1"/>
  <c r="AC145" i="7" s="1"/>
  <c r="I209" i="7"/>
  <c r="O209" i="7" s="1"/>
  <c r="U209" i="7" s="1"/>
  <c r="AA209" i="7" s="1"/>
  <c r="J343" i="7"/>
  <c r="P343" i="7" s="1"/>
  <c r="V343" i="7" s="1"/>
  <c r="AB343" i="7" s="1"/>
  <c r="I221" i="7"/>
  <c r="O221" i="7" s="1"/>
  <c r="U221" i="7" s="1"/>
  <c r="AA221" i="7" s="1"/>
  <c r="K203" i="7"/>
  <c r="Q203" i="7" s="1"/>
  <c r="W203" i="7" s="1"/>
  <c r="AC203" i="7" s="1"/>
  <c r="J72" i="7"/>
  <c r="P72" i="7" s="1"/>
  <c r="V72" i="7" s="1"/>
  <c r="AB72" i="7" s="1"/>
  <c r="I134" i="7"/>
  <c r="O134" i="7" s="1"/>
  <c r="U134" i="7" s="1"/>
  <c r="AA134" i="7" s="1"/>
  <c r="J103" i="7"/>
  <c r="P103" i="7" s="1"/>
  <c r="V103" i="7" s="1"/>
  <c r="AB103" i="7" s="1"/>
  <c r="H113" i="7"/>
  <c r="N113" i="7" s="1"/>
  <c r="T113" i="7" s="1"/>
  <c r="Z113" i="7" s="1"/>
  <c r="J122" i="7"/>
  <c r="P122" i="7" s="1"/>
  <c r="V122" i="7" s="1"/>
  <c r="AB122" i="7" s="1"/>
  <c r="K76" i="7"/>
  <c r="Q76" i="7" s="1"/>
  <c r="W76" i="7" s="1"/>
  <c r="AC76" i="7" s="1"/>
  <c r="K277" i="7"/>
  <c r="Q277" i="7" s="1"/>
  <c r="W277" i="7" s="1"/>
  <c r="AC277" i="7" s="1"/>
  <c r="L181" i="7"/>
  <c r="R181" i="7" s="1"/>
  <c r="X181" i="7" s="1"/>
  <c r="AD181" i="7" s="1"/>
  <c r="K314" i="7"/>
  <c r="Q314" i="7" s="1"/>
  <c r="W314" i="7" s="1"/>
  <c r="AC314" i="7" s="1"/>
  <c r="K363" i="7"/>
  <c r="Q363" i="7" s="1"/>
  <c r="W363" i="7" s="1"/>
  <c r="AC363" i="7" s="1"/>
  <c r="J434" i="7"/>
  <c r="P434" i="7" s="1"/>
  <c r="V434" i="7" s="1"/>
  <c r="AB434" i="7" s="1"/>
  <c r="L266" i="7"/>
  <c r="R266" i="7" s="1"/>
  <c r="X266" i="7" s="1"/>
  <c r="AD266" i="7" s="1"/>
  <c r="I238" i="7"/>
  <c r="O238" i="7" s="1"/>
  <c r="U238" i="7" s="1"/>
  <c r="AA238" i="7" s="1"/>
  <c r="I347" i="7"/>
  <c r="O347" i="7" s="1"/>
  <c r="U347" i="7" s="1"/>
  <c r="AA347" i="7" s="1"/>
  <c r="L166" i="7"/>
  <c r="R166" i="7" s="1"/>
  <c r="X166" i="7" s="1"/>
  <c r="AD166" i="7" s="1"/>
  <c r="H129" i="7"/>
  <c r="N129" i="7" s="1"/>
  <c r="T129" i="7" s="1"/>
  <c r="Z129" i="7" s="1"/>
  <c r="J229" i="7"/>
  <c r="P229" i="7" s="1"/>
  <c r="V229" i="7" s="1"/>
  <c r="AB229" i="7" s="1"/>
  <c r="J337" i="7"/>
  <c r="P337" i="7" s="1"/>
  <c r="V337" i="7" s="1"/>
  <c r="AB337" i="7" s="1"/>
  <c r="I240" i="7"/>
  <c r="O240" i="7" s="1"/>
  <c r="U240" i="7" s="1"/>
  <c r="AA240" i="7" s="1"/>
  <c r="I363" i="7"/>
  <c r="O363" i="7" s="1"/>
  <c r="U363" i="7" s="1"/>
  <c r="AA363" i="7" s="1"/>
  <c r="H379" i="7"/>
  <c r="N379" i="7" s="1"/>
  <c r="T379" i="7" s="1"/>
  <c r="Z379" i="7" s="1"/>
  <c r="H148" i="7"/>
  <c r="N148" i="7" s="1"/>
  <c r="T148" i="7" s="1"/>
  <c r="Z148" i="7" s="1"/>
  <c r="J205" i="7"/>
  <c r="P205" i="7" s="1"/>
  <c r="V205" i="7" s="1"/>
  <c r="AB205" i="7" s="1"/>
  <c r="J208" i="7"/>
  <c r="P208" i="7" s="1"/>
  <c r="V208" i="7" s="1"/>
  <c r="AB208" i="7" s="1"/>
  <c r="K278" i="7"/>
  <c r="Q278" i="7" s="1"/>
  <c r="W278" i="7" s="1"/>
  <c r="AC278" i="7" s="1"/>
  <c r="K346" i="7"/>
  <c r="Q346" i="7" s="1"/>
  <c r="W346" i="7" s="1"/>
  <c r="AC346" i="7" s="1"/>
  <c r="I99" i="7"/>
  <c r="O99" i="7" s="1"/>
  <c r="U99" i="7" s="1"/>
  <c r="AA99" i="7" s="1"/>
  <c r="J397" i="7"/>
  <c r="P397" i="7" s="1"/>
  <c r="V397" i="7" s="1"/>
  <c r="AB397" i="7" s="1"/>
  <c r="H310" i="7"/>
  <c r="N310" i="7" s="1"/>
  <c r="T310" i="7" s="1"/>
  <c r="Z310" i="7" s="1"/>
  <c r="L272" i="7"/>
  <c r="R272" i="7" s="1"/>
  <c r="X272" i="7" s="1"/>
  <c r="AD272" i="7" s="1"/>
  <c r="I318" i="7"/>
  <c r="O318" i="7" s="1"/>
  <c r="U318" i="7" s="1"/>
  <c r="AA318" i="7" s="1"/>
  <c r="J182" i="7"/>
  <c r="P182" i="7" s="1"/>
  <c r="V182" i="7" s="1"/>
  <c r="AB182" i="7" s="1"/>
  <c r="H393" i="7"/>
  <c r="N393" i="7" s="1"/>
  <c r="T393" i="7" s="1"/>
  <c r="Z393" i="7" s="1"/>
  <c r="J158" i="7"/>
  <c r="P158" i="7" s="1"/>
  <c r="V158" i="7" s="1"/>
  <c r="AB158" i="7" s="1"/>
  <c r="I169" i="7"/>
  <c r="O169" i="7" s="1"/>
  <c r="U169" i="7" s="1"/>
  <c r="AA169" i="7" s="1"/>
  <c r="H244" i="7"/>
  <c r="N244" i="7" s="1"/>
  <c r="T244" i="7" s="1"/>
  <c r="Z244" i="7" s="1"/>
  <c r="J110" i="7"/>
  <c r="P110" i="7" s="1"/>
  <c r="V110" i="7" s="1"/>
  <c r="AB110" i="7" s="1"/>
  <c r="H118" i="7"/>
  <c r="N118" i="7" s="1"/>
  <c r="T118" i="7" s="1"/>
  <c r="Z118" i="7" s="1"/>
  <c r="H198" i="7"/>
  <c r="N198" i="7" s="1"/>
  <c r="T198" i="7" s="1"/>
  <c r="Z198" i="7" s="1"/>
  <c r="I327" i="7"/>
  <c r="O327" i="7" s="1"/>
  <c r="U327" i="7" s="1"/>
  <c r="AA327" i="7" s="1"/>
  <c r="K415" i="7"/>
  <c r="Q415" i="7" s="1"/>
  <c r="W415" i="7" s="1"/>
  <c r="AC415" i="7" s="1"/>
  <c r="H326" i="7"/>
  <c r="N326" i="7" s="1"/>
  <c r="T326" i="7" s="1"/>
  <c r="Z326" i="7" s="1"/>
  <c r="H291" i="7"/>
  <c r="N291" i="7" s="1"/>
  <c r="T291" i="7" s="1"/>
  <c r="Z291" i="7" s="1"/>
  <c r="J342" i="7"/>
  <c r="P342" i="7" s="1"/>
  <c r="V342" i="7" s="1"/>
  <c r="AB342" i="7" s="1"/>
  <c r="J435" i="7"/>
  <c r="P435" i="7" s="1"/>
  <c r="V435" i="7" s="1"/>
  <c r="AB435" i="7" s="1"/>
  <c r="J238" i="7"/>
  <c r="P238" i="7" s="1"/>
  <c r="V238" i="7" s="1"/>
  <c r="AB238" i="7" s="1"/>
  <c r="I380" i="7"/>
  <c r="O380" i="7" s="1"/>
  <c r="U380" i="7" s="1"/>
  <c r="AA380" i="7" s="1"/>
  <c r="L289" i="7"/>
  <c r="R289" i="7" s="1"/>
  <c r="X289" i="7" s="1"/>
  <c r="AD289" i="7" s="1"/>
  <c r="J363" i="7"/>
  <c r="P363" i="7" s="1"/>
  <c r="V363" i="7" s="1"/>
  <c r="AB363" i="7" s="1"/>
  <c r="H388" i="7"/>
  <c r="N388" i="7" s="1"/>
  <c r="T388" i="7" s="1"/>
  <c r="Z388" i="7" s="1"/>
  <c r="K77" i="7"/>
  <c r="Q77" i="7" s="1"/>
  <c r="W77" i="7" s="1"/>
  <c r="AC77" i="7" s="1"/>
  <c r="J340" i="7"/>
  <c r="P340" i="7" s="1"/>
  <c r="V340" i="7" s="1"/>
  <c r="AB340" i="7" s="1"/>
  <c r="L229" i="7"/>
  <c r="R229" i="7" s="1"/>
  <c r="X229" i="7" s="1"/>
  <c r="AD229" i="7" s="1"/>
  <c r="L220" i="7"/>
  <c r="R220" i="7" s="1"/>
  <c r="X220" i="7" s="1"/>
  <c r="AD220" i="7" s="1"/>
  <c r="H200" i="7"/>
  <c r="N200" i="7" s="1"/>
  <c r="T200" i="7" s="1"/>
  <c r="Z200" i="7" s="1"/>
  <c r="L132" i="7"/>
  <c r="R132" i="7" s="1"/>
  <c r="X132" i="7" s="1"/>
  <c r="AD132" i="7" s="1"/>
  <c r="J219" i="7"/>
  <c r="P219" i="7" s="1"/>
  <c r="V219" i="7" s="1"/>
  <c r="AB219" i="7" s="1"/>
  <c r="K131" i="7"/>
  <c r="Q131" i="7" s="1"/>
  <c r="W131" i="7" s="1"/>
  <c r="AC131" i="7" s="1"/>
  <c r="K144" i="7"/>
  <c r="Q144" i="7" s="1"/>
  <c r="W144" i="7" s="1"/>
  <c r="AC144" i="7" s="1"/>
  <c r="J183" i="7"/>
  <c r="P183" i="7" s="1"/>
  <c r="V183" i="7" s="1"/>
  <c r="AB183" i="7" s="1"/>
  <c r="L234" i="7"/>
  <c r="R234" i="7" s="1"/>
  <c r="X234" i="7" s="1"/>
  <c r="AD234" i="7" s="1"/>
  <c r="I370" i="7"/>
  <c r="O370" i="7" s="1"/>
  <c r="U370" i="7" s="1"/>
  <c r="AA370" i="7" s="1"/>
  <c r="K349" i="7"/>
  <c r="Q349" i="7" s="1"/>
  <c r="W349" i="7" s="1"/>
  <c r="AC349" i="7" s="1"/>
  <c r="I206" i="7"/>
  <c r="O206" i="7" s="1"/>
  <c r="U206" i="7" s="1"/>
  <c r="AA206" i="7" s="1"/>
  <c r="L151" i="7"/>
  <c r="R151" i="7" s="1"/>
  <c r="X151" i="7" s="1"/>
  <c r="AD151" i="7" s="1"/>
  <c r="I425" i="7"/>
  <c r="O425" i="7" s="1"/>
  <c r="U425" i="7" s="1"/>
  <c r="AA425" i="7" s="1"/>
  <c r="I262" i="7"/>
  <c r="O262" i="7" s="1"/>
  <c r="U262" i="7" s="1"/>
  <c r="AA262" i="7" s="1"/>
  <c r="I303" i="7"/>
  <c r="O303" i="7" s="1"/>
  <c r="U303" i="7" s="1"/>
  <c r="AA303" i="7" s="1"/>
  <c r="L274" i="7"/>
  <c r="R274" i="7" s="1"/>
  <c r="X274" i="7" s="1"/>
  <c r="AD274" i="7" s="1"/>
  <c r="H236" i="7"/>
  <c r="N236" i="7" s="1"/>
  <c r="T236" i="7" s="1"/>
  <c r="Z236" i="7" s="1"/>
  <c r="H404" i="7"/>
  <c r="N404" i="7" s="1"/>
  <c r="T404" i="7" s="1"/>
  <c r="Z404" i="7" s="1"/>
  <c r="J83" i="7"/>
  <c r="P83" i="7" s="1"/>
  <c r="V83" i="7" s="1"/>
  <c r="AB83" i="7" s="1"/>
  <c r="J406" i="7"/>
  <c r="P406" i="7" s="1"/>
  <c r="V406" i="7" s="1"/>
  <c r="AB406" i="7" s="1"/>
  <c r="L144" i="7"/>
  <c r="R144" i="7" s="1"/>
  <c r="X144" i="7" s="1"/>
  <c r="AD144" i="7" s="1"/>
  <c r="L102" i="7"/>
  <c r="R102" i="7" s="1"/>
  <c r="X102" i="7" s="1"/>
  <c r="AD102" i="7" s="1"/>
  <c r="K115" i="7"/>
  <c r="Q115" i="7" s="1"/>
  <c r="W115" i="7" s="1"/>
  <c r="AC115" i="7" s="1"/>
  <c r="J138" i="7"/>
  <c r="P138" i="7" s="1"/>
  <c r="V138" i="7" s="1"/>
  <c r="AB138" i="7" s="1"/>
  <c r="L174" i="7"/>
  <c r="R174" i="7" s="1"/>
  <c r="X174" i="7" s="1"/>
  <c r="AD174" i="7" s="1"/>
  <c r="J307" i="7"/>
  <c r="P307" i="7" s="1"/>
  <c r="V307" i="7" s="1"/>
  <c r="AB307" i="7" s="1"/>
  <c r="H299" i="7"/>
  <c r="N299" i="7" s="1"/>
  <c r="T299" i="7" s="1"/>
  <c r="Z299" i="7" s="1"/>
  <c r="H316" i="7"/>
  <c r="N316" i="7" s="1"/>
  <c r="T316" i="7" s="1"/>
  <c r="Z316" i="7" s="1"/>
  <c r="K194" i="7"/>
  <c r="Q194" i="7" s="1"/>
  <c r="W194" i="7" s="1"/>
  <c r="AC194" i="7" s="1"/>
  <c r="J190" i="7"/>
  <c r="P190" i="7" s="1"/>
  <c r="V190" i="7" s="1"/>
  <c r="AB190" i="7" s="1"/>
  <c r="J341" i="7"/>
  <c r="P341" i="7" s="1"/>
  <c r="V341" i="7" s="1"/>
  <c r="AB341" i="7" s="1"/>
  <c r="K422" i="7"/>
  <c r="Q422" i="7" s="1"/>
  <c r="W422" i="7" s="1"/>
  <c r="AC422" i="7" s="1"/>
  <c r="I88" i="7"/>
  <c r="O88" i="7" s="1"/>
  <c r="U88" i="7" s="1"/>
  <c r="AA88" i="7" s="1"/>
  <c r="H143" i="7"/>
  <c r="N143" i="7" s="1"/>
  <c r="T143" i="7" s="1"/>
  <c r="Z143" i="7" s="1"/>
  <c r="I420" i="7"/>
  <c r="O420" i="7" s="1"/>
  <c r="U420" i="7" s="1"/>
  <c r="AA420" i="7" s="1"/>
  <c r="I81" i="7"/>
  <c r="O81" i="7" s="1"/>
  <c r="U81" i="7" s="1"/>
  <c r="AA81" i="7" s="1"/>
  <c r="I411" i="7"/>
  <c r="O411" i="7" s="1"/>
  <c r="U411" i="7" s="1"/>
  <c r="AA411" i="7" s="1"/>
  <c r="K306" i="7"/>
  <c r="Q306" i="7" s="1"/>
  <c r="W306" i="7" s="1"/>
  <c r="AC306" i="7" s="1"/>
  <c r="L119" i="7"/>
  <c r="R119" i="7" s="1"/>
  <c r="X119" i="7" s="1"/>
  <c r="AD119" i="7" s="1"/>
  <c r="J133" i="7"/>
  <c r="P133" i="7" s="1"/>
  <c r="V133" i="7" s="1"/>
  <c r="AB133" i="7" s="1"/>
  <c r="J387" i="7"/>
  <c r="P387" i="7" s="1"/>
  <c r="V387" i="7" s="1"/>
  <c r="AB387" i="7" s="1"/>
  <c r="I187" i="7"/>
  <c r="O187" i="7" s="1"/>
  <c r="U187" i="7" s="1"/>
  <c r="AA187" i="7" s="1"/>
  <c r="L402" i="7"/>
  <c r="R402" i="7" s="1"/>
  <c r="X402" i="7" s="1"/>
  <c r="AD402" i="7" s="1"/>
  <c r="I297" i="7"/>
  <c r="O297" i="7" s="1"/>
  <c r="U297" i="7" s="1"/>
  <c r="AA297" i="7" s="1"/>
  <c r="K329" i="7"/>
  <c r="Q329" i="7" s="1"/>
  <c r="W329" i="7" s="1"/>
  <c r="AC329" i="7" s="1"/>
  <c r="H147" i="7"/>
  <c r="N147" i="7" s="1"/>
  <c r="T147" i="7" s="1"/>
  <c r="Z147" i="7" s="1"/>
  <c r="J269" i="7"/>
  <c r="P269" i="7" s="1"/>
  <c r="V269" i="7" s="1"/>
  <c r="AB269" i="7" s="1"/>
  <c r="L412" i="7"/>
  <c r="R412" i="7" s="1"/>
  <c r="X412" i="7" s="1"/>
  <c r="AD412" i="7" s="1"/>
  <c r="J402" i="7"/>
  <c r="P402" i="7" s="1"/>
  <c r="V402" i="7" s="1"/>
  <c r="AB402" i="7" s="1"/>
  <c r="I231" i="7"/>
  <c r="O231" i="7" s="1"/>
  <c r="U231" i="7" s="1"/>
  <c r="AA231" i="7" s="1"/>
  <c r="H335" i="7"/>
  <c r="N335" i="7" s="1"/>
  <c r="T335" i="7" s="1"/>
  <c r="Z335" i="7" s="1"/>
  <c r="I217" i="7"/>
  <c r="O217" i="7" s="1"/>
  <c r="U217" i="7" s="1"/>
  <c r="AA217" i="7" s="1"/>
  <c r="K248" i="7"/>
  <c r="Q248" i="7" s="1"/>
  <c r="W248" i="7" s="1"/>
  <c r="AC248" i="7" s="1"/>
  <c r="K183" i="7"/>
  <c r="Q183" i="7" s="1"/>
  <c r="W183" i="7" s="1"/>
  <c r="AC183" i="7" s="1"/>
  <c r="K175" i="7"/>
  <c r="Q175" i="7" s="1"/>
  <c r="W175" i="7" s="1"/>
  <c r="AC175" i="7" s="1"/>
  <c r="H178" i="7"/>
  <c r="N178" i="7" s="1"/>
  <c r="T178" i="7" s="1"/>
  <c r="Z178" i="7" s="1"/>
  <c r="J106" i="7"/>
  <c r="P106" i="7" s="1"/>
  <c r="V106" i="7" s="1"/>
  <c r="AB106" i="7" s="1"/>
  <c r="I234" i="7"/>
  <c r="O234" i="7" s="1"/>
  <c r="U234" i="7" s="1"/>
  <c r="AA234" i="7" s="1"/>
  <c r="J327" i="7"/>
  <c r="P327" i="7" s="1"/>
  <c r="V327" i="7" s="1"/>
  <c r="AB327" i="7" s="1"/>
  <c r="K264" i="7"/>
  <c r="Q264" i="7" s="1"/>
  <c r="W264" i="7" s="1"/>
  <c r="AC264" i="7" s="1"/>
  <c r="H292" i="7"/>
  <c r="N292" i="7" s="1"/>
  <c r="T292" i="7" s="1"/>
  <c r="Z292" i="7" s="1"/>
  <c r="L97" i="7"/>
  <c r="R97" i="7" s="1"/>
  <c r="X97" i="7" s="1"/>
  <c r="AD97" i="7" s="1"/>
  <c r="K196" i="7"/>
  <c r="Q196" i="7" s="1"/>
  <c r="W196" i="7" s="1"/>
  <c r="AC196" i="7" s="1"/>
  <c r="J400" i="7"/>
  <c r="P400" i="7" s="1"/>
  <c r="V400" i="7" s="1"/>
  <c r="AB400" i="7" s="1"/>
  <c r="L193" i="7"/>
  <c r="R193" i="7" s="1"/>
  <c r="X193" i="7" s="1"/>
  <c r="AD193" i="7" s="1"/>
  <c r="I167" i="7"/>
  <c r="O167" i="7" s="1"/>
  <c r="U167" i="7" s="1"/>
  <c r="AA167" i="7" s="1"/>
  <c r="J74" i="7"/>
  <c r="P74" i="7" s="1"/>
  <c r="V74" i="7" s="1"/>
  <c r="AB74" i="7" s="1"/>
  <c r="I76" i="7"/>
  <c r="O76" i="7" s="1"/>
  <c r="U76" i="7" s="1"/>
  <c r="AA76" i="7" s="1"/>
  <c r="K212" i="7"/>
  <c r="Q212" i="7" s="1"/>
  <c r="W212" i="7" s="1"/>
  <c r="AC212" i="7" s="1"/>
  <c r="K263" i="7"/>
  <c r="Q263" i="7" s="1"/>
  <c r="W263" i="7" s="1"/>
  <c r="AC263" i="7" s="1"/>
  <c r="L258" i="7"/>
  <c r="R258" i="7" s="1"/>
  <c r="X258" i="7" s="1"/>
  <c r="AD258" i="7" s="1"/>
  <c r="I329" i="7"/>
  <c r="O329" i="7" s="1"/>
  <c r="U329" i="7" s="1"/>
  <c r="AA329" i="7" s="1"/>
  <c r="J271" i="7"/>
  <c r="P271" i="7" s="1"/>
  <c r="V271" i="7" s="1"/>
  <c r="AB271" i="7" s="1"/>
  <c r="I149" i="7"/>
  <c r="O149" i="7" s="1"/>
  <c r="U149" i="7" s="1"/>
  <c r="AA149" i="7" s="1"/>
  <c r="K373" i="7"/>
  <c r="Q373" i="7" s="1"/>
  <c r="W373" i="7" s="1"/>
  <c r="AC373" i="7" s="1"/>
  <c r="L360" i="7"/>
  <c r="R360" i="7" s="1"/>
  <c r="X360" i="7" s="1"/>
  <c r="AD360" i="7" s="1"/>
  <c r="I127" i="7"/>
  <c r="O127" i="7" s="1"/>
  <c r="U127" i="7" s="1"/>
  <c r="AA127" i="7" s="1"/>
  <c r="L363" i="7"/>
  <c r="R363" i="7" s="1"/>
  <c r="X363" i="7" s="1"/>
  <c r="AD363" i="7" s="1"/>
  <c r="J181" i="7"/>
  <c r="P181" i="7" s="1"/>
  <c r="V181" i="7" s="1"/>
  <c r="AB181" i="7" s="1"/>
  <c r="L194" i="7"/>
  <c r="R194" i="7" s="1"/>
  <c r="X194" i="7" s="1"/>
  <c r="AD194" i="7" s="1"/>
  <c r="I235" i="7"/>
  <c r="O235" i="7" s="1"/>
  <c r="U235" i="7" s="1"/>
  <c r="AA235" i="7" s="1"/>
  <c r="H263" i="7"/>
  <c r="N263" i="7" s="1"/>
  <c r="T263" i="7" s="1"/>
  <c r="Z263" i="7" s="1"/>
  <c r="L164" i="7"/>
  <c r="R164" i="7" s="1"/>
  <c r="X164" i="7" s="1"/>
  <c r="AD164" i="7" s="1"/>
  <c r="I340" i="7"/>
  <c r="O340" i="7" s="1"/>
  <c r="U340" i="7" s="1"/>
  <c r="AA340" i="7" s="1"/>
  <c r="K416" i="7"/>
  <c r="Q416" i="7" s="1"/>
  <c r="W416" i="7" s="1"/>
  <c r="AC416" i="7" s="1"/>
  <c r="J298" i="7"/>
  <c r="P298" i="7" s="1"/>
  <c r="V298" i="7" s="1"/>
  <c r="AB298" i="7" s="1"/>
  <c r="K377" i="7"/>
  <c r="Q377" i="7" s="1"/>
  <c r="W377" i="7" s="1"/>
  <c r="AC377" i="7" s="1"/>
  <c r="K187" i="7"/>
  <c r="Q187" i="7" s="1"/>
  <c r="W187" i="7" s="1"/>
  <c r="AC187" i="7" s="1"/>
  <c r="K139" i="7"/>
  <c r="Q139" i="7" s="1"/>
  <c r="W139" i="7" s="1"/>
  <c r="AC139" i="7" s="1"/>
  <c r="J431" i="7"/>
  <c r="P431" i="7" s="1"/>
  <c r="V431" i="7" s="1"/>
  <c r="AB431" i="7" s="1"/>
  <c r="K273" i="7"/>
  <c r="Q273" i="7" s="1"/>
  <c r="W273" i="7" s="1"/>
  <c r="AC273" i="7" s="1"/>
  <c r="I369" i="7"/>
  <c r="O369" i="7" s="1"/>
  <c r="U369" i="7" s="1"/>
  <c r="AA369" i="7" s="1"/>
  <c r="I296" i="7"/>
  <c r="O296" i="7" s="1"/>
  <c r="U296" i="7" s="1"/>
  <c r="AA296" i="7" s="1"/>
  <c r="L334" i="7"/>
  <c r="R334" i="7" s="1"/>
  <c r="X334" i="7" s="1"/>
  <c r="AD334" i="7" s="1"/>
  <c r="H284" i="7"/>
  <c r="N284" i="7" s="1"/>
  <c r="T284" i="7" s="1"/>
  <c r="Z284" i="7" s="1"/>
  <c r="I177" i="7"/>
  <c r="O177" i="7" s="1"/>
  <c r="U177" i="7" s="1"/>
  <c r="AA177" i="7" s="1"/>
  <c r="L321" i="7"/>
  <c r="R321" i="7" s="1"/>
  <c r="X321" i="7" s="1"/>
  <c r="AD321" i="7" s="1"/>
  <c r="J169" i="7"/>
  <c r="P169" i="7" s="1"/>
  <c r="V169" i="7" s="1"/>
  <c r="AB169" i="7" s="1"/>
  <c r="J188" i="7"/>
  <c r="P188" i="7" s="1"/>
  <c r="V188" i="7" s="1"/>
  <c r="AB188" i="7" s="1"/>
  <c r="I304" i="7"/>
  <c r="O304" i="7" s="1"/>
  <c r="U304" i="7" s="1"/>
  <c r="AA304" i="7" s="1"/>
  <c r="H99" i="7"/>
  <c r="N99" i="7" s="1"/>
  <c r="T99" i="7" s="1"/>
  <c r="Z99" i="7" s="1"/>
  <c r="I284" i="7"/>
  <c r="O284" i="7" s="1"/>
  <c r="U284" i="7" s="1"/>
  <c r="AA284" i="7" s="1"/>
  <c r="I381" i="7"/>
  <c r="O381" i="7" s="1"/>
  <c r="U381" i="7" s="1"/>
  <c r="AA381" i="7" s="1"/>
  <c r="J79" i="7"/>
  <c r="P79" i="7" s="1"/>
  <c r="V79" i="7" s="1"/>
  <c r="AB79" i="7" s="1"/>
  <c r="H412" i="7"/>
  <c r="N412" i="7" s="1"/>
  <c r="T412" i="7" s="1"/>
  <c r="Z412" i="7" s="1"/>
  <c r="J246" i="7"/>
  <c r="P246" i="7" s="1"/>
  <c r="V246" i="7" s="1"/>
  <c r="AB246" i="7" s="1"/>
  <c r="I166" i="7"/>
  <c r="O166" i="7" s="1"/>
  <c r="U166" i="7" s="1"/>
  <c r="AA166" i="7" s="1"/>
  <c r="H360" i="7"/>
  <c r="N360" i="7" s="1"/>
  <c r="T360" i="7" s="1"/>
  <c r="Z360" i="7" s="1"/>
  <c r="H237" i="7"/>
  <c r="N237" i="7" s="1"/>
  <c r="T237" i="7" s="1"/>
  <c r="Z237" i="7" s="1"/>
  <c r="K268" i="7"/>
  <c r="Q268" i="7" s="1"/>
  <c r="W268" i="7" s="1"/>
  <c r="AC268" i="7" s="1"/>
  <c r="J385" i="7"/>
  <c r="P385" i="7" s="1"/>
  <c r="V385" i="7" s="1"/>
  <c r="AB385" i="7" s="1"/>
  <c r="L125" i="7"/>
  <c r="R125" i="7" s="1"/>
  <c r="X125" i="7" s="1"/>
  <c r="AD125" i="7" s="1"/>
  <c r="I210" i="7"/>
  <c r="O210" i="7" s="1"/>
  <c r="U210" i="7" s="1"/>
  <c r="AA210" i="7" s="1"/>
  <c r="K244" i="7"/>
  <c r="Q244" i="7" s="1"/>
  <c r="W244" i="7" s="1"/>
  <c r="AC244" i="7" s="1"/>
  <c r="K149" i="7"/>
  <c r="Q149" i="7" s="1"/>
  <c r="W149" i="7" s="1"/>
  <c r="AC149" i="7" s="1"/>
  <c r="H303" i="7"/>
  <c r="N303" i="7" s="1"/>
  <c r="T303" i="7" s="1"/>
  <c r="Z303" i="7" s="1"/>
  <c r="L165" i="7"/>
  <c r="R165" i="7" s="1"/>
  <c r="X165" i="7" s="1"/>
  <c r="AD165" i="7" s="1"/>
  <c r="I137" i="7"/>
  <c r="O137" i="7" s="1"/>
  <c r="U137" i="7" s="1"/>
  <c r="AA137" i="7" s="1"/>
  <c r="K117" i="7"/>
  <c r="Q117" i="7" s="1"/>
  <c r="W117" i="7" s="1"/>
  <c r="AC117" i="7" s="1"/>
  <c r="L294" i="7"/>
  <c r="R294" i="7" s="1"/>
  <c r="X294" i="7" s="1"/>
  <c r="AD294" i="7" s="1"/>
  <c r="I211" i="7"/>
  <c r="O211" i="7" s="1"/>
  <c r="U211" i="7" s="1"/>
  <c r="AA211" i="7" s="1"/>
  <c r="J235" i="7"/>
  <c r="P235" i="7" s="1"/>
  <c r="V235" i="7" s="1"/>
  <c r="AB235" i="7" s="1"/>
  <c r="K116" i="7"/>
  <c r="Q116" i="7" s="1"/>
  <c r="W116" i="7" s="1"/>
  <c r="AC116" i="7" s="1"/>
  <c r="I192" i="7"/>
  <c r="O192" i="7" s="1"/>
  <c r="U192" i="7" s="1"/>
  <c r="AA192" i="7" s="1"/>
  <c r="L153" i="7"/>
  <c r="R153" i="7" s="1"/>
  <c r="X153" i="7" s="1"/>
  <c r="AD153" i="7" s="1"/>
  <c r="K315" i="7"/>
  <c r="Q315" i="7" s="1"/>
  <c r="W315" i="7" s="1"/>
  <c r="AC315" i="7" s="1"/>
  <c r="I101" i="7"/>
  <c r="O101" i="7" s="1"/>
  <c r="U101" i="7" s="1"/>
  <c r="AA101" i="7" s="1"/>
  <c r="H317" i="7"/>
  <c r="N317" i="7" s="1"/>
  <c r="T317" i="7" s="1"/>
  <c r="Z317" i="7" s="1"/>
  <c r="L304" i="7"/>
  <c r="R304" i="7" s="1"/>
  <c r="X304" i="7" s="1"/>
  <c r="AD304" i="7" s="1"/>
  <c r="I252" i="7"/>
  <c r="O252" i="7" s="1"/>
  <c r="U252" i="7" s="1"/>
  <c r="AA252" i="7" s="1"/>
  <c r="L245" i="7"/>
  <c r="R245" i="7" s="1"/>
  <c r="X245" i="7" s="1"/>
  <c r="AD245" i="7" s="1"/>
  <c r="L265" i="7"/>
  <c r="R265" i="7" s="1"/>
  <c r="X265" i="7" s="1"/>
  <c r="AD265" i="7" s="1"/>
  <c r="H182" i="7"/>
  <c r="N182" i="7" s="1"/>
  <c r="T182" i="7" s="1"/>
  <c r="Z182" i="7" s="1"/>
  <c r="H332" i="7"/>
  <c r="N332" i="7" s="1"/>
  <c r="T332" i="7" s="1"/>
  <c r="Z332" i="7" s="1"/>
  <c r="H417" i="7"/>
  <c r="N417" i="7" s="1"/>
  <c r="T417" i="7" s="1"/>
  <c r="Z417" i="7" s="1"/>
  <c r="L159" i="7"/>
  <c r="R159" i="7" s="1"/>
  <c r="X159" i="7" s="1"/>
  <c r="AD159" i="7" s="1"/>
  <c r="H133" i="7"/>
  <c r="N133" i="7" s="1"/>
  <c r="T133" i="7" s="1"/>
  <c r="Z133" i="7" s="1"/>
  <c r="J144" i="7"/>
  <c r="P144" i="7" s="1"/>
  <c r="V144" i="7" s="1"/>
  <c r="AB144" i="7" s="1"/>
  <c r="I156" i="7"/>
  <c r="O156" i="7" s="1"/>
  <c r="U156" i="7" s="1"/>
  <c r="AA156" i="7" s="1"/>
  <c r="L114" i="7"/>
  <c r="R114" i="7" s="1"/>
  <c r="X114" i="7" s="1"/>
  <c r="AD114" i="7" s="1"/>
  <c r="I334" i="7"/>
  <c r="O334" i="7" s="1"/>
  <c r="U334" i="7" s="1"/>
  <c r="AA334" i="7" s="1"/>
  <c r="I112" i="7"/>
  <c r="O112" i="7" s="1"/>
  <c r="U112" i="7" s="1"/>
  <c r="AA112" i="7" s="1"/>
  <c r="I200" i="7"/>
  <c r="O200" i="7" s="1"/>
  <c r="U200" i="7" s="1"/>
  <c r="AA200" i="7" s="1"/>
  <c r="J302" i="7"/>
  <c r="P302" i="7" s="1"/>
  <c r="V302" i="7" s="1"/>
  <c r="AB302" i="7" s="1"/>
  <c r="I391" i="7"/>
  <c r="O391" i="7" s="1"/>
  <c r="U391" i="7" s="1"/>
  <c r="AA391" i="7" s="1"/>
  <c r="L198" i="7"/>
  <c r="R198" i="7" s="1"/>
  <c r="X198" i="7" s="1"/>
  <c r="AD198" i="7" s="1"/>
  <c r="J156" i="7"/>
  <c r="P156" i="7" s="1"/>
  <c r="V156" i="7" s="1"/>
  <c r="AB156" i="7" s="1"/>
  <c r="L182" i="7"/>
  <c r="R182" i="7" s="1"/>
  <c r="X182" i="7" s="1"/>
  <c r="AD182" i="7" s="1"/>
  <c r="I105" i="7"/>
  <c r="O105" i="7" s="1"/>
  <c r="U105" i="7" s="1"/>
  <c r="AA105" i="7" s="1"/>
  <c r="H425" i="7"/>
  <c r="N425" i="7" s="1"/>
  <c r="T425" i="7" s="1"/>
  <c r="Z425" i="7" s="1"/>
  <c r="I301" i="7"/>
  <c r="O301" i="7" s="1"/>
  <c r="U301" i="7" s="1"/>
  <c r="AA301" i="7" s="1"/>
  <c r="L429" i="7"/>
  <c r="R429" i="7" s="1"/>
  <c r="X429" i="7" s="1"/>
  <c r="AD429" i="7" s="1"/>
  <c r="H349" i="7"/>
  <c r="N349" i="7" s="1"/>
  <c r="T349" i="7" s="1"/>
  <c r="Z349" i="7" s="1"/>
  <c r="L152" i="7"/>
  <c r="R152" i="7" s="1"/>
  <c r="X152" i="7" s="1"/>
  <c r="AD152" i="7" s="1"/>
  <c r="J267" i="7"/>
  <c r="P267" i="7" s="1"/>
  <c r="V267" i="7" s="1"/>
  <c r="AB267" i="7" s="1"/>
  <c r="L130" i="7"/>
  <c r="R130" i="7" s="1"/>
  <c r="X130" i="7" s="1"/>
  <c r="AD130" i="7" s="1"/>
  <c r="H435" i="7"/>
  <c r="N435" i="7" s="1"/>
  <c r="T435" i="7" s="1"/>
  <c r="Z435" i="7" s="1"/>
  <c r="K275" i="7"/>
  <c r="Q275" i="7" s="1"/>
  <c r="W275" i="7" s="1"/>
  <c r="AC275" i="7" s="1"/>
  <c r="K295" i="7"/>
  <c r="Q295" i="7" s="1"/>
  <c r="W295" i="7" s="1"/>
  <c r="AC295" i="7" s="1"/>
  <c r="L341" i="7"/>
  <c r="R341" i="7" s="1"/>
  <c r="X341" i="7" s="1"/>
  <c r="AD341" i="7" s="1"/>
  <c r="J232" i="7"/>
  <c r="P232" i="7" s="1"/>
  <c r="V232" i="7" s="1"/>
  <c r="AB232" i="7" s="1"/>
  <c r="I421" i="7"/>
  <c r="O421" i="7" s="1"/>
  <c r="U421" i="7" s="1"/>
  <c r="AA421" i="7" s="1"/>
  <c r="J394" i="7"/>
  <c r="P394" i="7" s="1"/>
  <c r="V394" i="7" s="1"/>
  <c r="AB394" i="7" s="1"/>
  <c r="H253" i="7"/>
  <c r="N253" i="7" s="1"/>
  <c r="T253" i="7" s="1"/>
  <c r="Z253" i="7" s="1"/>
  <c r="H120" i="7"/>
  <c r="N120" i="7" s="1"/>
  <c r="T120" i="7" s="1"/>
  <c r="Z120" i="7" s="1"/>
  <c r="J143" i="7"/>
  <c r="P143" i="7" s="1"/>
  <c r="V143" i="7" s="1"/>
  <c r="AB143" i="7" s="1"/>
  <c r="I379" i="7"/>
  <c r="O379" i="7" s="1"/>
  <c r="U379" i="7" s="1"/>
  <c r="AA379" i="7" s="1"/>
  <c r="K380" i="7"/>
  <c r="Q380" i="7" s="1"/>
  <c r="W380" i="7" s="1"/>
  <c r="AC380" i="7" s="1"/>
  <c r="J291" i="7"/>
  <c r="P291" i="7" s="1"/>
  <c r="V291" i="7" s="1"/>
  <c r="AB291" i="7" s="1"/>
  <c r="I213" i="7"/>
  <c r="O213" i="7" s="1"/>
  <c r="U213" i="7" s="1"/>
  <c r="AA213" i="7" s="1"/>
  <c r="L233" i="7"/>
  <c r="R233" i="7" s="1"/>
  <c r="X233" i="7" s="1"/>
  <c r="AD233" i="7" s="1"/>
  <c r="K114" i="7"/>
  <c r="Q114" i="7" s="1"/>
  <c r="W114" i="7" s="1"/>
  <c r="AC114" i="7" s="1"/>
  <c r="K104" i="7"/>
  <c r="Q104" i="7" s="1"/>
  <c r="W104" i="7" s="1"/>
  <c r="AC104" i="7" s="1"/>
  <c r="H391" i="7"/>
  <c r="N391" i="7" s="1"/>
  <c r="T391" i="7" s="1"/>
  <c r="Z391" i="7" s="1"/>
  <c r="J358" i="7"/>
  <c r="P358" i="7" s="1"/>
  <c r="V358" i="7" s="1"/>
  <c r="AB358" i="7" s="1"/>
  <c r="L96" i="7"/>
  <c r="R96" i="7" s="1"/>
  <c r="X96" i="7" s="1"/>
  <c r="AD96" i="7" s="1"/>
  <c r="K322" i="7"/>
  <c r="Q322" i="7" s="1"/>
  <c r="W322" i="7" s="1"/>
  <c r="AC322" i="7" s="1"/>
  <c r="J328" i="7"/>
  <c r="P328" i="7" s="1"/>
  <c r="V328" i="7" s="1"/>
  <c r="AB328" i="7" s="1"/>
  <c r="K206" i="7"/>
  <c r="Q206" i="7" s="1"/>
  <c r="W206" i="7" s="1"/>
  <c r="AC206" i="7" s="1"/>
  <c r="I146" i="7"/>
  <c r="O146" i="7" s="1"/>
  <c r="U146" i="7" s="1"/>
  <c r="AA146" i="7" s="1"/>
  <c r="L365" i="7"/>
  <c r="R365" i="7" s="1"/>
  <c r="X365" i="7" s="1"/>
  <c r="AD365" i="7" s="1"/>
  <c r="J167" i="7"/>
  <c r="P167" i="7" s="1"/>
  <c r="V167" i="7" s="1"/>
  <c r="AB167" i="7" s="1"/>
  <c r="J430" i="7"/>
  <c r="P430" i="7" s="1"/>
  <c r="V430" i="7" s="1"/>
  <c r="AB430" i="7" s="1"/>
  <c r="J221" i="7"/>
  <c r="P221" i="7" s="1"/>
  <c r="V221" i="7" s="1"/>
  <c r="AB221" i="7" s="1"/>
  <c r="H398" i="7"/>
  <c r="N398" i="7" s="1"/>
  <c r="T398" i="7" s="1"/>
  <c r="Z398" i="7" s="1"/>
  <c r="H208" i="7"/>
  <c r="N208" i="7" s="1"/>
  <c r="T208" i="7" s="1"/>
  <c r="Z208" i="7" s="1"/>
  <c r="L378" i="7"/>
  <c r="R378" i="7" s="1"/>
  <c r="X378" i="7" s="1"/>
  <c r="AD378" i="7" s="1"/>
  <c r="H402" i="7"/>
  <c r="N402" i="7" s="1"/>
  <c r="T402" i="7" s="1"/>
  <c r="Z402" i="7" s="1"/>
  <c r="J248" i="7"/>
  <c r="P248" i="7" s="1"/>
  <c r="V248" i="7" s="1"/>
  <c r="AB248" i="7" s="1"/>
  <c r="K326" i="7"/>
  <c r="Q326" i="7" s="1"/>
  <c r="W326" i="7" s="1"/>
  <c r="AC326" i="7" s="1"/>
  <c r="I176" i="7"/>
  <c r="O176" i="7" s="1"/>
  <c r="U176" i="7" s="1"/>
  <c r="AA176" i="7" s="1"/>
  <c r="H357" i="7"/>
  <c r="N357" i="7" s="1"/>
  <c r="T357" i="7" s="1"/>
  <c r="Z357" i="7" s="1"/>
  <c r="L82" i="7"/>
  <c r="R82" i="7" s="1"/>
  <c r="X82" i="7" s="1"/>
  <c r="AD82" i="7" s="1"/>
  <c r="H222" i="7"/>
  <c r="N222" i="7" s="1"/>
  <c r="T222" i="7" s="1"/>
  <c r="Z222" i="7" s="1"/>
  <c r="I309" i="7"/>
  <c r="O309" i="7" s="1"/>
  <c r="U309" i="7" s="1"/>
  <c r="AA309" i="7" s="1"/>
  <c r="I129" i="7"/>
  <c r="O129" i="7" s="1"/>
  <c r="U129" i="7" s="1"/>
  <c r="AA129" i="7" s="1"/>
  <c r="K99" i="7"/>
  <c r="Q99" i="7" s="1"/>
  <c r="W99" i="7" s="1"/>
  <c r="AC99" i="7" s="1"/>
  <c r="J176" i="7"/>
  <c r="P176" i="7" s="1"/>
  <c r="V176" i="7" s="1"/>
  <c r="AB176" i="7" s="1"/>
  <c r="L314" i="7"/>
  <c r="R314" i="7" s="1"/>
  <c r="X314" i="7" s="1"/>
  <c r="AD314" i="7" s="1"/>
  <c r="H424" i="7"/>
  <c r="N424" i="7" s="1"/>
  <c r="T424" i="7" s="1"/>
  <c r="Z424" i="7" s="1"/>
  <c r="K284" i="7"/>
  <c r="Q284" i="7" s="1"/>
  <c r="W284" i="7" s="1"/>
  <c r="AC284" i="7" s="1"/>
  <c r="I108" i="7"/>
  <c r="O108" i="7" s="1"/>
  <c r="U108" i="7" s="1"/>
  <c r="AA108" i="7" s="1"/>
  <c r="I418" i="7"/>
  <c r="O418" i="7" s="1"/>
  <c r="U418" i="7" s="1"/>
  <c r="AA418" i="7" s="1"/>
  <c r="L421" i="7"/>
  <c r="R421" i="7" s="1"/>
  <c r="X421" i="7" s="1"/>
  <c r="AD421" i="7" s="1"/>
  <c r="H210" i="7"/>
  <c r="N210" i="7" s="1"/>
  <c r="T210" i="7" s="1"/>
  <c r="Z210" i="7" s="1"/>
  <c r="L292" i="7"/>
  <c r="R292" i="7" s="1"/>
  <c r="X292" i="7" s="1"/>
  <c r="AD292" i="7" s="1"/>
  <c r="I386" i="7"/>
  <c r="O386" i="7" s="1"/>
  <c r="U386" i="7" s="1"/>
  <c r="AA386" i="7" s="1"/>
  <c r="K360" i="7"/>
  <c r="Q360" i="7" s="1"/>
  <c r="W360" i="7" s="1"/>
  <c r="AC360" i="7" s="1"/>
  <c r="L226" i="7"/>
  <c r="R226" i="7" s="1"/>
  <c r="X226" i="7" s="1"/>
  <c r="AD226" i="7" s="1"/>
  <c r="J204" i="7"/>
  <c r="P204" i="7" s="1"/>
  <c r="V204" i="7" s="1"/>
  <c r="AB204" i="7" s="1"/>
  <c r="K213" i="7"/>
  <c r="Q213" i="7" s="1"/>
  <c r="W213" i="7" s="1"/>
  <c r="AC213" i="7" s="1"/>
  <c r="H433" i="7"/>
  <c r="N433" i="7" s="1"/>
  <c r="T433" i="7" s="1"/>
  <c r="Z433" i="7" s="1"/>
  <c r="H294" i="7"/>
  <c r="N294" i="7" s="1"/>
  <c r="T294" i="7" s="1"/>
  <c r="Z294" i="7" s="1"/>
  <c r="J324" i="7"/>
  <c r="P324" i="7" s="1"/>
  <c r="V324" i="7" s="1"/>
  <c r="AB324" i="7" s="1"/>
  <c r="K369" i="7"/>
  <c r="Q369" i="7" s="1"/>
  <c r="W369" i="7" s="1"/>
  <c r="AC369" i="7" s="1"/>
  <c r="K432" i="7"/>
  <c r="Q432" i="7" s="1"/>
  <c r="W432" i="7" s="1"/>
  <c r="AC432" i="7" s="1"/>
  <c r="H234" i="7"/>
  <c r="N234" i="7" s="1"/>
  <c r="T234" i="7" s="1"/>
  <c r="Z234" i="7" s="1"/>
  <c r="H202" i="7"/>
  <c r="N202" i="7" s="1"/>
  <c r="T202" i="7" s="1"/>
  <c r="Z202" i="7" s="1"/>
  <c r="K271" i="7"/>
  <c r="Q271" i="7" s="1"/>
  <c r="W271" i="7" s="1"/>
  <c r="AC271" i="7" s="1"/>
  <c r="I132" i="7"/>
  <c r="O132" i="7" s="1"/>
  <c r="U132" i="7" s="1"/>
  <c r="AA132" i="7" s="1"/>
  <c r="J417" i="7"/>
  <c r="P417" i="7" s="1"/>
  <c r="V417" i="7" s="1"/>
  <c r="AB417" i="7" s="1"/>
  <c r="H121" i="7"/>
  <c r="N121" i="7" s="1"/>
  <c r="T121" i="7" s="1"/>
  <c r="Z121" i="7" s="1"/>
  <c r="K73" i="7"/>
  <c r="Q73" i="7" s="1"/>
  <c r="W73" i="7" s="1"/>
  <c r="AC73" i="7" s="1"/>
  <c r="H421" i="7"/>
  <c r="N421" i="7" s="1"/>
  <c r="T421" i="7" s="1"/>
  <c r="Z421" i="7" s="1"/>
  <c r="K200" i="7"/>
  <c r="Q200" i="7" s="1"/>
  <c r="W200" i="7" s="1"/>
  <c r="AC200" i="7" s="1"/>
  <c r="K180" i="7"/>
  <c r="Q180" i="7" s="1"/>
  <c r="W180" i="7" s="1"/>
  <c r="AC180" i="7" s="1"/>
  <c r="K418" i="7"/>
  <c r="Q418" i="7" s="1"/>
  <c r="W418" i="7" s="1"/>
  <c r="AC418" i="7" s="1"/>
  <c r="J284" i="7"/>
  <c r="P284" i="7" s="1"/>
  <c r="V284" i="7" s="1"/>
  <c r="AB284" i="7" s="1"/>
  <c r="K189" i="7"/>
  <c r="Q189" i="7" s="1"/>
  <c r="W189" i="7" s="1"/>
  <c r="AC189" i="7" s="1"/>
  <c r="I276" i="7"/>
  <c r="O276" i="7" s="1"/>
  <c r="U276" i="7" s="1"/>
  <c r="AA276" i="7" s="1"/>
  <c r="J113" i="7"/>
  <c r="P113" i="7" s="1"/>
  <c r="V113" i="7" s="1"/>
  <c r="AB113" i="7" s="1"/>
  <c r="K393" i="7"/>
  <c r="Q393" i="7" s="1"/>
  <c r="W393" i="7" s="1"/>
  <c r="AC393" i="7" s="1"/>
  <c r="H323" i="7"/>
  <c r="N323" i="7" s="1"/>
  <c r="T323" i="7" s="1"/>
  <c r="Z323" i="7" s="1"/>
  <c r="J266" i="7"/>
  <c r="P266" i="7" s="1"/>
  <c r="V266" i="7" s="1"/>
  <c r="AB266" i="7" s="1"/>
  <c r="J251" i="7"/>
  <c r="P251" i="7" s="1"/>
  <c r="V251" i="7" s="1"/>
  <c r="AB251" i="7" s="1"/>
  <c r="J311" i="7"/>
  <c r="P311" i="7" s="1"/>
  <c r="V311" i="7" s="1"/>
  <c r="AB311" i="7" s="1"/>
  <c r="L94" i="7"/>
  <c r="R94" i="7" s="1"/>
  <c r="X94" i="7" s="1"/>
  <c r="AD94" i="7" s="1"/>
  <c r="I333" i="7"/>
  <c r="O333" i="7" s="1"/>
  <c r="U333" i="7" s="1"/>
  <c r="AA333" i="7" s="1"/>
  <c r="I387" i="7"/>
  <c r="O387" i="7" s="1"/>
  <c r="U387" i="7" s="1"/>
  <c r="AA387" i="7" s="1"/>
  <c r="H111" i="7"/>
  <c r="N111" i="7" s="1"/>
  <c r="T111" i="7" s="1"/>
  <c r="Z111" i="7" s="1"/>
  <c r="K190" i="7"/>
  <c r="Q190" i="7" s="1"/>
  <c r="W190" i="7" s="1"/>
  <c r="AC190" i="7" s="1"/>
  <c r="L216" i="7"/>
  <c r="R216" i="7" s="1"/>
  <c r="X216" i="7" s="1"/>
  <c r="AD216" i="7" s="1"/>
  <c r="H119" i="7"/>
  <c r="N119" i="7" s="1"/>
  <c r="T119" i="7" s="1"/>
  <c r="Z119" i="7" s="1"/>
  <c r="J310" i="7"/>
  <c r="P310" i="7" s="1"/>
  <c r="V310" i="7" s="1"/>
  <c r="AB310" i="7" s="1"/>
  <c r="L205" i="7"/>
  <c r="R205" i="7" s="1"/>
  <c r="X205" i="7" s="1"/>
  <c r="AD205" i="7" s="1"/>
  <c r="H328" i="7"/>
  <c r="N328" i="7" s="1"/>
  <c r="T328" i="7" s="1"/>
  <c r="Z328" i="7" s="1"/>
  <c r="H252" i="7"/>
  <c r="N252" i="7" s="1"/>
  <c r="T252" i="7" s="1"/>
  <c r="Z252" i="7" s="1"/>
  <c r="H226" i="7"/>
  <c r="N226" i="7" s="1"/>
  <c r="T226" i="7" s="1"/>
  <c r="Z226" i="7" s="1"/>
  <c r="J303" i="7"/>
  <c r="P303" i="7" s="1"/>
  <c r="V303" i="7" s="1"/>
  <c r="AB303" i="7" s="1"/>
  <c r="I328" i="7"/>
  <c r="O328" i="7" s="1"/>
  <c r="U328" i="7" s="1"/>
  <c r="AA328" i="7" s="1"/>
  <c r="J352" i="7"/>
  <c r="P352" i="7" s="1"/>
  <c r="V352" i="7" s="1"/>
  <c r="AB352" i="7" s="1"/>
  <c r="J173" i="7"/>
  <c r="P173" i="7" s="1"/>
  <c r="V173" i="7" s="1"/>
  <c r="AB173" i="7" s="1"/>
  <c r="I241" i="7"/>
  <c r="O241" i="7" s="1"/>
  <c r="U241" i="7" s="1"/>
  <c r="AA241" i="7" s="1"/>
  <c r="L329" i="7"/>
  <c r="R329" i="7" s="1"/>
  <c r="X329" i="7" s="1"/>
  <c r="AD329" i="7" s="1"/>
  <c r="J162" i="7"/>
  <c r="P162" i="7" s="1"/>
  <c r="V162" i="7" s="1"/>
  <c r="AB162" i="7" s="1"/>
  <c r="H85" i="7"/>
  <c r="N85" i="7" s="1"/>
  <c r="T85" i="7" s="1"/>
  <c r="Z85" i="7" s="1"/>
  <c r="I426" i="7"/>
  <c r="O426" i="7" s="1"/>
  <c r="U426" i="7" s="1"/>
  <c r="AA426" i="7" s="1"/>
  <c r="I263" i="7"/>
  <c r="O263" i="7" s="1"/>
  <c r="U263" i="7" s="1"/>
  <c r="AA263" i="7" s="1"/>
  <c r="H163" i="7"/>
  <c r="N163" i="7" s="1"/>
  <c r="T163" i="7" s="1"/>
  <c r="Z163" i="7" s="1"/>
  <c r="I295" i="7"/>
  <c r="O295" i="7" s="1"/>
  <c r="U295" i="7" s="1"/>
  <c r="AA295" i="7" s="1"/>
  <c r="L386" i="7"/>
  <c r="R386" i="7" s="1"/>
  <c r="X386" i="7" s="1"/>
  <c r="AD386" i="7" s="1"/>
  <c r="L324" i="7"/>
  <c r="R324" i="7" s="1"/>
  <c r="X324" i="7" s="1"/>
  <c r="AD324" i="7" s="1"/>
  <c r="K336" i="7"/>
  <c r="Q336" i="7" s="1"/>
  <c r="W336" i="7" s="1"/>
  <c r="AC336" i="7" s="1"/>
  <c r="J353" i="7"/>
  <c r="P353" i="7" s="1"/>
  <c r="V353" i="7" s="1"/>
  <c r="AB353" i="7" s="1"/>
  <c r="L207" i="7"/>
  <c r="R207" i="7" s="1"/>
  <c r="X207" i="7" s="1"/>
  <c r="AD207" i="7" s="1"/>
  <c r="I316" i="7"/>
  <c r="O316" i="7" s="1"/>
  <c r="U316" i="7" s="1"/>
  <c r="AA316" i="7" s="1"/>
  <c r="K261" i="7"/>
  <c r="Q261" i="7" s="1"/>
  <c r="W261" i="7" s="1"/>
  <c r="AC261" i="7" s="1"/>
  <c r="H156" i="7"/>
  <c r="N156" i="7" s="1"/>
  <c r="T156" i="7" s="1"/>
  <c r="Z156" i="7" s="1"/>
  <c r="K143" i="7"/>
  <c r="Q143" i="7" s="1"/>
  <c r="W143" i="7" s="1"/>
  <c r="AC143" i="7" s="1"/>
  <c r="J365" i="7"/>
  <c r="P365" i="7" s="1"/>
  <c r="V365" i="7" s="1"/>
  <c r="AB365" i="7" s="1"/>
  <c r="H346" i="7"/>
  <c r="N346" i="7" s="1"/>
  <c r="T346" i="7" s="1"/>
  <c r="Z346" i="7" s="1"/>
  <c r="J384" i="7"/>
  <c r="P384" i="7" s="1"/>
  <c r="V384" i="7" s="1"/>
  <c r="AB384" i="7" s="1"/>
  <c r="K313" i="7"/>
  <c r="Q313" i="7" s="1"/>
  <c r="W313" i="7" s="1"/>
  <c r="AC313" i="7" s="1"/>
  <c r="L401" i="7"/>
  <c r="R401" i="7" s="1"/>
  <c r="X401" i="7" s="1"/>
  <c r="AD401" i="7" s="1"/>
  <c r="I174" i="7"/>
  <c r="O174" i="7" s="1"/>
  <c r="U174" i="7" s="1"/>
  <c r="AA174" i="7" s="1"/>
  <c r="H418" i="7"/>
  <c r="N418" i="7" s="1"/>
  <c r="T418" i="7" s="1"/>
  <c r="Z418" i="7" s="1"/>
  <c r="L189" i="7"/>
  <c r="R189" i="7" s="1"/>
  <c r="X189" i="7" s="1"/>
  <c r="AD189" i="7" s="1"/>
  <c r="K197" i="7"/>
  <c r="Q197" i="7" s="1"/>
  <c r="W197" i="7" s="1"/>
  <c r="AC197" i="7" s="1"/>
  <c r="J375" i="7"/>
  <c r="P375" i="7" s="1"/>
  <c r="V375" i="7" s="1"/>
  <c r="AB375" i="7" s="1"/>
  <c r="H434" i="7"/>
  <c r="N434" i="7" s="1"/>
  <c r="T434" i="7" s="1"/>
  <c r="Z434" i="7" s="1"/>
  <c r="L109" i="7"/>
  <c r="R109" i="7" s="1"/>
  <c r="X109" i="7" s="1"/>
  <c r="AD109" i="7" s="1"/>
  <c r="J359" i="7"/>
  <c r="P359" i="7" s="1"/>
  <c r="V359" i="7" s="1"/>
  <c r="AB359" i="7" s="1"/>
  <c r="K307" i="7"/>
  <c r="Q307" i="7" s="1"/>
  <c r="W307" i="7" s="1"/>
  <c r="AC307" i="7" s="1"/>
  <c r="I367" i="7"/>
  <c r="O367" i="7" s="1"/>
  <c r="U367" i="7" s="1"/>
  <c r="AA367" i="7" s="1"/>
  <c r="I95" i="7"/>
  <c r="O95" i="7" s="1"/>
  <c r="U95" i="7" s="1"/>
  <c r="AA95" i="7" s="1"/>
  <c r="L168" i="7"/>
  <c r="R168" i="7" s="1"/>
  <c r="X168" i="7" s="1"/>
  <c r="AD168" i="7" s="1"/>
  <c r="J277" i="7"/>
  <c r="P277" i="7" s="1"/>
  <c r="V277" i="7" s="1"/>
  <c r="AB277" i="7" s="1"/>
  <c r="J139" i="7"/>
  <c r="P139" i="7" s="1"/>
  <c r="V139" i="7" s="1"/>
  <c r="AB139" i="7" s="1"/>
  <c r="H399" i="7"/>
  <c r="N399" i="7" s="1"/>
  <c r="T399" i="7" s="1"/>
  <c r="Z399" i="7" s="1"/>
  <c r="L409" i="7"/>
  <c r="R409" i="7" s="1"/>
  <c r="X409" i="7" s="1"/>
  <c r="AD409" i="7" s="1"/>
  <c r="K426" i="7"/>
  <c r="Q426" i="7" s="1"/>
  <c r="W426" i="7" s="1"/>
  <c r="AC426" i="7" s="1"/>
  <c r="K165" i="7"/>
  <c r="Q165" i="7" s="1"/>
  <c r="W165" i="7" s="1"/>
  <c r="AC165" i="7" s="1"/>
  <c r="L435" i="7"/>
  <c r="R435" i="7" s="1"/>
  <c r="X435" i="7" s="1"/>
  <c r="AD435" i="7" s="1"/>
  <c r="H286" i="7"/>
  <c r="N286" i="7" s="1"/>
  <c r="T286" i="7" s="1"/>
  <c r="Z286" i="7" s="1"/>
  <c r="I288" i="7"/>
  <c r="O288" i="7" s="1"/>
  <c r="U288" i="7" s="1"/>
  <c r="AA288" i="7" s="1"/>
  <c r="H414" i="7"/>
  <c r="N414" i="7" s="1"/>
  <c r="T414" i="7" s="1"/>
  <c r="Z414" i="7" s="1"/>
  <c r="I208" i="7"/>
  <c r="O208" i="7" s="1"/>
  <c r="U208" i="7" s="1"/>
  <c r="AA208" i="7" s="1"/>
  <c r="J272" i="7"/>
  <c r="P272" i="7" s="1"/>
  <c r="V272" i="7" s="1"/>
  <c r="AB272" i="7" s="1"/>
  <c r="K354" i="7"/>
  <c r="Q354" i="7" s="1"/>
  <c r="W354" i="7" s="1"/>
  <c r="AC354" i="7" s="1"/>
  <c r="J276" i="7"/>
  <c r="P276" i="7" s="1"/>
  <c r="V276" i="7" s="1"/>
  <c r="AB276" i="7" s="1"/>
  <c r="L172" i="7"/>
  <c r="R172" i="7" s="1"/>
  <c r="X172" i="7" s="1"/>
  <c r="AD172" i="7" s="1"/>
  <c r="L139" i="7"/>
  <c r="R139" i="7" s="1"/>
  <c r="X139" i="7" s="1"/>
  <c r="AD139" i="7" s="1"/>
  <c r="H127" i="7"/>
  <c r="N127" i="7" s="1"/>
  <c r="T127" i="7" s="1"/>
  <c r="Z127" i="7" s="1"/>
  <c r="J234" i="7"/>
  <c r="P234" i="7" s="1"/>
  <c r="V234" i="7" s="1"/>
  <c r="AB234" i="7" s="1"/>
  <c r="I89" i="7"/>
  <c r="O89" i="7" s="1"/>
  <c r="U89" i="7" s="1"/>
  <c r="AA89" i="7" s="1"/>
  <c r="H81" i="7"/>
  <c r="N81" i="7" s="1"/>
  <c r="T81" i="7" s="1"/>
  <c r="Z81" i="7" s="1"/>
  <c r="L414" i="7"/>
  <c r="R414" i="7" s="1"/>
  <c r="X414" i="7" s="1"/>
  <c r="AD414" i="7" s="1"/>
  <c r="H80" i="7"/>
  <c r="N80" i="7" s="1"/>
  <c r="T80" i="7" s="1"/>
  <c r="Z80" i="7" s="1"/>
  <c r="J300" i="7"/>
  <c r="P300" i="7" s="1"/>
  <c r="V300" i="7" s="1"/>
  <c r="AB300" i="7" s="1"/>
  <c r="J244" i="7"/>
  <c r="P244" i="7" s="1"/>
  <c r="V244" i="7" s="1"/>
  <c r="AB244" i="7" s="1"/>
  <c r="H297" i="7"/>
  <c r="N297" i="7" s="1"/>
  <c r="T297" i="7" s="1"/>
  <c r="Z297" i="7" s="1"/>
  <c r="H342" i="7"/>
  <c r="N342" i="7" s="1"/>
  <c r="T342" i="7" s="1"/>
  <c r="Z342" i="7" s="1"/>
  <c r="L264" i="7"/>
  <c r="R264" i="7" s="1"/>
  <c r="X264" i="7" s="1"/>
  <c r="AD264" i="7" s="1"/>
  <c r="H383" i="7"/>
  <c r="N383" i="7" s="1"/>
  <c r="T383" i="7" s="1"/>
  <c r="Z383" i="7" s="1"/>
  <c r="J285" i="7"/>
  <c r="P285" i="7" s="1"/>
  <c r="V285" i="7" s="1"/>
  <c r="AB285" i="7" s="1"/>
  <c r="I106" i="7"/>
  <c r="O106" i="7" s="1"/>
  <c r="U106" i="7" s="1"/>
  <c r="AA106" i="7" s="1"/>
  <c r="K141" i="7"/>
  <c r="Q141" i="7" s="1"/>
  <c r="W141" i="7" s="1"/>
  <c r="AC141" i="7" s="1"/>
  <c r="J112" i="7"/>
  <c r="P112" i="7" s="1"/>
  <c r="V112" i="7" s="1"/>
  <c r="AB112" i="7" s="1"/>
  <c r="H101" i="7"/>
  <c r="N101" i="7" s="1"/>
  <c r="T101" i="7" s="1"/>
  <c r="Z101" i="7" s="1"/>
  <c r="I259" i="7"/>
  <c r="O259" i="7" s="1"/>
  <c r="U259" i="7" s="1"/>
  <c r="AA259" i="7" s="1"/>
  <c r="L382" i="7"/>
  <c r="R382" i="7" s="1"/>
  <c r="X382" i="7" s="1"/>
  <c r="AD382" i="7" s="1"/>
  <c r="J326" i="7"/>
  <c r="P326" i="7" s="1"/>
  <c r="V326" i="7" s="1"/>
  <c r="AB326" i="7" s="1"/>
  <c r="L425" i="7"/>
  <c r="R425" i="7" s="1"/>
  <c r="X425" i="7" s="1"/>
  <c r="AD425" i="7" s="1"/>
  <c r="J293" i="7"/>
  <c r="P293" i="7" s="1"/>
  <c r="V293" i="7" s="1"/>
  <c r="AB293" i="7" s="1"/>
  <c r="H223" i="7"/>
  <c r="N223" i="7" s="1"/>
  <c r="T223" i="7" s="1"/>
  <c r="Z223" i="7" s="1"/>
  <c r="K372" i="7"/>
  <c r="Q372" i="7" s="1"/>
  <c r="W372" i="7" s="1"/>
  <c r="AC372" i="7" s="1"/>
  <c r="I148" i="7"/>
  <c r="O148" i="7" s="1"/>
  <c r="U148" i="7" s="1"/>
  <c r="AA148" i="7" s="1"/>
  <c r="I355" i="7"/>
  <c r="O355" i="7" s="1"/>
  <c r="U355" i="7" s="1"/>
  <c r="AA355" i="7" s="1"/>
  <c r="H397" i="7"/>
  <c r="N397" i="7" s="1"/>
  <c r="T397" i="7" s="1"/>
  <c r="Z397" i="7" s="1"/>
  <c r="K357" i="7"/>
  <c r="Q357" i="7" s="1"/>
  <c r="W357" i="7" s="1"/>
  <c r="AC357" i="7" s="1"/>
  <c r="L416" i="7"/>
  <c r="R416" i="7" s="1"/>
  <c r="X416" i="7" s="1"/>
  <c r="AD416" i="7" s="1"/>
  <c r="L312" i="7"/>
  <c r="R312" i="7" s="1"/>
  <c r="X312" i="7" s="1"/>
  <c r="AD312" i="7" s="1"/>
  <c r="I272" i="7"/>
  <c r="O272" i="7" s="1"/>
  <c r="U272" i="7" s="1"/>
  <c r="AA272" i="7" s="1"/>
  <c r="I118" i="7"/>
  <c r="O118" i="7" s="1"/>
  <c r="U118" i="7" s="1"/>
  <c r="AA118" i="7" s="1"/>
  <c r="J124" i="7"/>
  <c r="P124" i="7" s="1"/>
  <c r="V124" i="7" s="1"/>
  <c r="AB124" i="7" s="1"/>
  <c r="L330" i="7"/>
  <c r="R330" i="7" s="1"/>
  <c r="X330" i="7" s="1"/>
  <c r="AD330" i="7" s="1"/>
  <c r="L325" i="7"/>
  <c r="R325" i="7" s="1"/>
  <c r="X325" i="7" s="1"/>
  <c r="AD325" i="7" s="1"/>
  <c r="J349" i="7"/>
  <c r="P349" i="7" s="1"/>
  <c r="V349" i="7" s="1"/>
  <c r="AB349" i="7" s="1"/>
  <c r="L275" i="7"/>
  <c r="R275" i="7" s="1"/>
  <c r="X275" i="7" s="1"/>
  <c r="AD275" i="7" s="1"/>
  <c r="K150" i="7"/>
  <c r="Q150" i="7" s="1"/>
  <c r="W150" i="7" s="1"/>
  <c r="AC150" i="7" s="1"/>
  <c r="K368" i="7"/>
  <c r="Q368" i="7" s="1"/>
  <c r="W368" i="7" s="1"/>
  <c r="AC368" i="7" s="1"/>
  <c r="H193" i="7"/>
  <c r="N193" i="7" s="1"/>
  <c r="T193" i="7" s="1"/>
  <c r="Z193" i="7" s="1"/>
  <c r="J279" i="7"/>
  <c r="P279" i="7" s="1"/>
  <c r="V279" i="7" s="1"/>
  <c r="AB279" i="7" s="1"/>
  <c r="K172" i="7"/>
  <c r="Q172" i="7" s="1"/>
  <c r="W172" i="7" s="1"/>
  <c r="AC172" i="7" s="1"/>
  <c r="J95" i="7"/>
  <c r="P95" i="7" s="1"/>
  <c r="V95" i="7" s="1"/>
  <c r="AB95" i="7" s="1"/>
  <c r="K389" i="7"/>
  <c r="Q389" i="7" s="1"/>
  <c r="W389" i="7" s="1"/>
  <c r="AC389" i="7" s="1"/>
  <c r="L240" i="7"/>
  <c r="R240" i="7" s="1"/>
  <c r="X240" i="7" s="1"/>
  <c r="AD240" i="7" s="1"/>
  <c r="L243" i="7"/>
  <c r="R243" i="7" s="1"/>
  <c r="X243" i="7" s="1"/>
  <c r="AD243" i="7" s="1"/>
  <c r="J233" i="7"/>
  <c r="P233" i="7" s="1"/>
  <c r="V233" i="7" s="1"/>
  <c r="AB233" i="7" s="1"/>
  <c r="H225" i="7"/>
  <c r="N225" i="7" s="1"/>
  <c r="T225" i="7" s="1"/>
  <c r="Z225" i="7" s="1"/>
  <c r="I285" i="7"/>
  <c r="O285" i="7" s="1"/>
  <c r="U285" i="7" s="1"/>
  <c r="AA285" i="7" s="1"/>
  <c r="K166" i="7"/>
  <c r="Q166" i="7" s="1"/>
  <c r="W166" i="7" s="1"/>
  <c r="AC166" i="7" s="1"/>
  <c r="H161" i="7"/>
  <c r="N161" i="7" s="1"/>
  <c r="T161" i="7" s="1"/>
  <c r="Z161" i="7" s="1"/>
  <c r="J209" i="7"/>
  <c r="P209" i="7" s="1"/>
  <c r="V209" i="7" s="1"/>
  <c r="AB209" i="7" s="1"/>
  <c r="L100" i="7"/>
  <c r="R100" i="7" s="1"/>
  <c r="X100" i="7" s="1"/>
  <c r="AD100" i="7" s="1"/>
  <c r="H279" i="7"/>
  <c r="N279" i="7" s="1"/>
  <c r="T279" i="7" s="1"/>
  <c r="Z279" i="7" s="1"/>
  <c r="L135" i="7"/>
  <c r="R135" i="7" s="1"/>
  <c r="X135" i="7" s="1"/>
  <c r="AD135" i="7" s="1"/>
  <c r="L413" i="7"/>
  <c r="R413" i="7" s="1"/>
  <c r="X413" i="7" s="1"/>
  <c r="AD413" i="7" s="1"/>
  <c r="J301" i="7"/>
  <c r="P301" i="7" s="1"/>
  <c r="V301" i="7" s="1"/>
  <c r="AB301" i="7" s="1"/>
  <c r="J408" i="7"/>
  <c r="P408" i="7" s="1"/>
  <c r="V408" i="7" s="1"/>
  <c r="AB408" i="7" s="1"/>
  <c r="L374" i="7"/>
  <c r="R374" i="7" s="1"/>
  <c r="X374" i="7" s="1"/>
  <c r="AD374" i="7" s="1"/>
  <c r="J403" i="7"/>
  <c r="P403" i="7" s="1"/>
  <c r="V403" i="7" s="1"/>
  <c r="AB403" i="7" s="1"/>
  <c r="K211" i="7"/>
  <c r="Q211" i="7" s="1"/>
  <c r="W211" i="7" s="1"/>
  <c r="AC211" i="7" s="1"/>
  <c r="H313" i="7"/>
  <c r="N313" i="7" s="1"/>
  <c r="T313" i="7" s="1"/>
  <c r="Z313" i="7" s="1"/>
  <c r="H171" i="7"/>
  <c r="N171" i="7" s="1"/>
  <c r="T171" i="7" s="1"/>
  <c r="Z171" i="7" s="1"/>
  <c r="K279" i="7"/>
  <c r="Q279" i="7" s="1"/>
  <c r="W279" i="7" s="1"/>
  <c r="AC279" i="7" s="1"/>
  <c r="J335" i="7"/>
  <c r="P335" i="7" s="1"/>
  <c r="V335" i="7" s="1"/>
  <c r="AB335" i="7" s="1"/>
  <c r="K126" i="7"/>
  <c r="Q126" i="7" s="1"/>
  <c r="W126" i="7" s="1"/>
  <c r="AC126" i="7" s="1"/>
  <c r="L204" i="7"/>
  <c r="R204" i="7" s="1"/>
  <c r="X204" i="7" s="1"/>
  <c r="AD204" i="7" s="1"/>
  <c r="K343" i="7"/>
  <c r="Q343" i="7" s="1"/>
  <c r="W343" i="7" s="1"/>
  <c r="AC343" i="7" s="1"/>
  <c r="H293" i="7"/>
  <c r="N293" i="7" s="1"/>
  <c r="T293" i="7" s="1"/>
  <c r="Z293" i="7" s="1"/>
  <c r="K417" i="7"/>
  <c r="Q417" i="7" s="1"/>
  <c r="W417" i="7" s="1"/>
  <c r="AC417" i="7" s="1"/>
  <c r="H283" i="7"/>
  <c r="N283" i="7" s="1"/>
  <c r="T283" i="7" s="1"/>
  <c r="Z283" i="7" s="1"/>
  <c r="K342" i="7"/>
  <c r="Q342" i="7" s="1"/>
  <c r="W342" i="7" s="1"/>
  <c r="AC342" i="7" s="1"/>
  <c r="H149" i="7"/>
  <c r="N149" i="7" s="1"/>
  <c r="T149" i="7" s="1"/>
  <c r="Z149" i="7" s="1"/>
  <c r="H88" i="7"/>
  <c r="N88" i="7" s="1"/>
  <c r="T88" i="7" s="1"/>
  <c r="Z88" i="7" s="1"/>
  <c r="J137" i="7"/>
  <c r="P137" i="7" s="1"/>
  <c r="V137" i="7" s="1"/>
  <c r="AB137" i="7" s="1"/>
  <c r="L273" i="7"/>
  <c r="R273" i="7" s="1"/>
  <c r="X273" i="7" s="1"/>
  <c r="AD273" i="7" s="1"/>
  <c r="H108" i="7"/>
  <c r="N108" i="7" s="1"/>
  <c r="T108" i="7" s="1"/>
  <c r="Z108" i="7" s="1"/>
  <c r="I360" i="7"/>
  <c r="O360" i="7" s="1"/>
  <c r="U360" i="7" s="1"/>
  <c r="AA360" i="7" s="1"/>
  <c r="L400" i="7"/>
  <c r="R400" i="7" s="1"/>
  <c r="X400" i="7" s="1"/>
  <c r="AD400" i="7" s="1"/>
  <c r="K332" i="7"/>
  <c r="Q332" i="7" s="1"/>
  <c r="W332" i="7" s="1"/>
  <c r="AC332" i="7" s="1"/>
  <c r="L200" i="7"/>
  <c r="R200" i="7" s="1"/>
  <c r="X200" i="7" s="1"/>
  <c r="AD200" i="7" s="1"/>
  <c r="L285" i="7"/>
  <c r="R285" i="7" s="1"/>
  <c r="X285" i="7" s="1"/>
  <c r="AD285" i="7" s="1"/>
  <c r="I152" i="7"/>
  <c r="O152" i="7" s="1"/>
  <c r="U152" i="7" s="1"/>
  <c r="AA152" i="7" s="1"/>
  <c r="K397" i="7"/>
  <c r="Q397" i="7" s="1"/>
  <c r="W397" i="7" s="1"/>
  <c r="AC397" i="7" s="1"/>
  <c r="L150" i="7"/>
  <c r="R150" i="7" s="1"/>
  <c r="X150" i="7" s="1"/>
  <c r="AD150" i="7" s="1"/>
  <c r="J114" i="7"/>
  <c r="P114" i="7" s="1"/>
  <c r="V114" i="7" s="1"/>
  <c r="AB114" i="7" s="1"/>
  <c r="H428" i="7"/>
  <c r="N428" i="7" s="1"/>
  <c r="T428" i="7" s="1"/>
  <c r="Z428" i="7" s="1"/>
  <c r="H169" i="7"/>
  <c r="N169" i="7" s="1"/>
  <c r="T169" i="7" s="1"/>
  <c r="Z169" i="7" s="1"/>
  <c r="I270" i="7"/>
  <c r="O270" i="7" s="1"/>
  <c r="U270" i="7" s="1"/>
  <c r="AA270" i="7" s="1"/>
  <c r="H141" i="7"/>
  <c r="N141" i="7" s="1"/>
  <c r="T141" i="7" s="1"/>
  <c r="Z141" i="7" s="1"/>
  <c r="I119" i="7"/>
  <c r="O119" i="7" s="1"/>
  <c r="U119" i="7" s="1"/>
  <c r="AA119" i="7" s="1"/>
  <c r="J247" i="7"/>
  <c r="P247" i="7" s="1"/>
  <c r="V247" i="7" s="1"/>
  <c r="AB247" i="7" s="1"/>
  <c r="L313" i="7"/>
  <c r="R313" i="7" s="1"/>
  <c r="X313" i="7" s="1"/>
  <c r="AD313" i="7" s="1"/>
  <c r="J258" i="7"/>
  <c r="P258" i="7" s="1"/>
  <c r="V258" i="7" s="1"/>
  <c r="AB258" i="7" s="1"/>
  <c r="K408" i="7"/>
  <c r="Q408" i="7" s="1"/>
  <c r="W408" i="7" s="1"/>
  <c r="AC408" i="7" s="1"/>
  <c r="I397" i="7"/>
  <c r="O397" i="7" s="1"/>
  <c r="U397" i="7" s="1"/>
  <c r="AA397" i="7" s="1"/>
  <c r="I104" i="7"/>
  <c r="O104" i="7" s="1"/>
  <c r="U104" i="7" s="1"/>
  <c r="AA104" i="7" s="1"/>
  <c r="J409" i="7"/>
  <c r="P409" i="7" s="1"/>
  <c r="V409" i="7" s="1"/>
  <c r="AB409" i="7" s="1"/>
  <c r="K161" i="7"/>
  <c r="Q161" i="7" s="1"/>
  <c r="W161" i="7" s="1"/>
  <c r="AC161" i="7" s="1"/>
  <c r="H168" i="7"/>
  <c r="N168" i="7" s="1"/>
  <c r="T168" i="7" s="1"/>
  <c r="Z168" i="7" s="1"/>
  <c r="L350" i="7"/>
  <c r="R350" i="7" s="1"/>
  <c r="X350" i="7" s="1"/>
  <c r="AD350" i="7" s="1"/>
  <c r="K249" i="7"/>
  <c r="Q249" i="7" s="1"/>
  <c r="W249" i="7" s="1"/>
  <c r="AC249" i="7" s="1"/>
  <c r="I135" i="7"/>
  <c r="O135" i="7" s="1"/>
  <c r="U135" i="7" s="1"/>
  <c r="AA135" i="7" s="1"/>
  <c r="L404" i="7"/>
  <c r="R404" i="7" s="1"/>
  <c r="X404" i="7" s="1"/>
  <c r="AD404" i="7" s="1"/>
  <c r="L105" i="7"/>
  <c r="R105" i="7" s="1"/>
  <c r="X105" i="7" s="1"/>
  <c r="AD105" i="7" s="1"/>
  <c r="K425" i="7"/>
  <c r="Q425" i="7" s="1"/>
  <c r="W425" i="7" s="1"/>
  <c r="AC425" i="7" s="1"/>
  <c r="J93" i="7"/>
  <c r="P93" i="7" s="1"/>
  <c r="V93" i="7" s="1"/>
  <c r="AB93" i="7" s="1"/>
  <c r="K390" i="7"/>
  <c r="Q390" i="7" s="1"/>
  <c r="W390" i="7" s="1"/>
  <c r="AC390" i="7" s="1"/>
  <c r="H173" i="7"/>
  <c r="N173" i="7" s="1"/>
  <c r="T173" i="7" s="1"/>
  <c r="Z173" i="7" s="1"/>
  <c r="K319" i="7"/>
  <c r="Q319" i="7" s="1"/>
  <c r="W319" i="7" s="1"/>
  <c r="AC319" i="7" s="1"/>
  <c r="K317" i="7"/>
  <c r="Q317" i="7" s="1"/>
  <c r="W317" i="7" s="1"/>
  <c r="AC317" i="7" s="1"/>
  <c r="K177" i="7"/>
  <c r="Q177" i="7" s="1"/>
  <c r="W177" i="7" s="1"/>
  <c r="AC177" i="7" s="1"/>
  <c r="I433" i="7"/>
  <c r="O433" i="7" s="1"/>
  <c r="U433" i="7" s="1"/>
  <c r="AA433" i="7" s="1"/>
  <c r="L342" i="7"/>
  <c r="R342" i="7" s="1"/>
  <c r="X342" i="7" s="1"/>
  <c r="AD342" i="7" s="1"/>
  <c r="J287" i="7"/>
  <c r="P287" i="7" s="1"/>
  <c r="V287" i="7" s="1"/>
  <c r="AB287" i="7" s="1"/>
  <c r="L113" i="7"/>
  <c r="R113" i="7" s="1"/>
  <c r="X113" i="7" s="1"/>
  <c r="AD113" i="7" s="1"/>
  <c r="H123" i="7"/>
  <c r="N123" i="7" s="1"/>
  <c r="T123" i="7" s="1"/>
  <c r="Z123" i="7" s="1"/>
  <c r="I273" i="7"/>
  <c r="O273" i="7" s="1"/>
  <c r="U273" i="7" s="1"/>
  <c r="AA273" i="7" s="1"/>
  <c r="J407" i="7"/>
  <c r="P407" i="7" s="1"/>
  <c r="V407" i="7" s="1"/>
  <c r="AB407" i="7" s="1"/>
  <c r="K308" i="7"/>
  <c r="Q308" i="7" s="1"/>
  <c r="W308" i="7" s="1"/>
  <c r="AC308" i="7" s="1"/>
  <c r="L186" i="7"/>
  <c r="R186" i="7" s="1"/>
  <c r="X186" i="7" s="1"/>
  <c r="AD186" i="7" s="1"/>
  <c r="J115" i="7"/>
  <c r="P115" i="7" s="1"/>
  <c r="V115" i="7" s="1"/>
  <c r="AB115" i="7" s="1"/>
  <c r="P280" i="4"/>
  <c r="T280" i="4" s="1"/>
  <c r="AF215" i="4"/>
  <c r="AH215" i="4" s="1"/>
  <c r="P246" i="4"/>
  <c r="T246" i="4" s="1"/>
  <c r="AF320" i="4"/>
  <c r="AJ320" i="4" s="1"/>
  <c r="X226" i="4"/>
  <c r="AB226" i="4" s="1"/>
  <c r="AN232" i="4"/>
  <c r="AP232" i="4" s="1"/>
  <c r="P356" i="4"/>
  <c r="R356" i="4" s="1"/>
  <c r="P132" i="4"/>
  <c r="T132" i="4" s="1"/>
  <c r="AF340" i="4"/>
  <c r="AH340" i="4" s="1"/>
  <c r="P265" i="4"/>
  <c r="T265" i="4" s="1"/>
  <c r="AN289" i="4"/>
  <c r="AR289" i="4" s="1"/>
  <c r="P188" i="4"/>
  <c r="T188" i="4" s="1"/>
  <c r="AF350" i="4"/>
  <c r="AJ350" i="4" s="1"/>
  <c r="AN229" i="4"/>
  <c r="AP229" i="4" s="1"/>
  <c r="H255" i="4"/>
  <c r="J255" i="4" s="1"/>
  <c r="P237" i="4"/>
  <c r="T237" i="4" s="1"/>
  <c r="P339" i="4"/>
  <c r="R339" i="4" s="1"/>
  <c r="AF292" i="4"/>
  <c r="AJ292" i="4" s="1"/>
  <c r="AN79" i="4"/>
  <c r="AP79" i="4" s="1"/>
  <c r="P360" i="4"/>
  <c r="R360" i="4" s="1"/>
  <c r="AN356" i="4"/>
  <c r="AP356" i="4" s="1"/>
  <c r="AF338" i="4"/>
  <c r="AH338" i="4" s="1"/>
  <c r="X27" i="4"/>
  <c r="Z27" i="4" s="1"/>
  <c r="AN367" i="4"/>
  <c r="AP367" i="4" s="1"/>
  <c r="AF165" i="4"/>
  <c r="AJ165" i="4" s="1"/>
  <c r="H312" i="4"/>
  <c r="J312" i="4" s="1"/>
  <c r="AF230" i="4"/>
  <c r="AH230" i="4" s="1"/>
  <c r="P113" i="4"/>
  <c r="T113" i="4" s="1"/>
  <c r="P295" i="4"/>
  <c r="T295" i="4" s="1"/>
  <c r="H326" i="4"/>
  <c r="L326" i="4" s="1"/>
  <c r="P278" i="4"/>
  <c r="T278" i="4" s="1"/>
  <c r="H341" i="4"/>
  <c r="L341" i="4" s="1"/>
  <c r="H353" i="4"/>
  <c r="L353" i="4" s="1"/>
  <c r="AF343" i="4"/>
  <c r="AH343" i="4" s="1"/>
  <c r="X266" i="4"/>
  <c r="AB266" i="4" s="1"/>
  <c r="X257" i="4"/>
  <c r="Z257" i="4" s="1"/>
  <c r="P222" i="4"/>
  <c r="T222" i="4" s="1"/>
  <c r="P341" i="4"/>
  <c r="T341" i="4" s="1"/>
  <c r="AF347" i="4"/>
  <c r="AJ347" i="4" s="1"/>
  <c r="AF192" i="4"/>
  <c r="AH192" i="4" s="1"/>
  <c r="AN307" i="4"/>
  <c r="AP307" i="4" s="1"/>
  <c r="X123" i="4"/>
  <c r="AB123" i="4" s="1"/>
  <c r="P259" i="4"/>
  <c r="T259" i="4" s="1"/>
  <c r="AF272" i="4"/>
  <c r="AJ272" i="4" s="1"/>
  <c r="H361" i="4"/>
  <c r="L361" i="4" s="1"/>
  <c r="AN252" i="4"/>
  <c r="AR252" i="4" s="1"/>
  <c r="AN363" i="4"/>
  <c r="AR363" i="4" s="1"/>
  <c r="P279" i="4"/>
  <c r="T279" i="4" s="1"/>
  <c r="X278" i="4"/>
  <c r="AB278" i="4" s="1"/>
  <c r="H207" i="4"/>
  <c r="J207" i="4" s="1"/>
  <c r="AF310" i="4"/>
  <c r="AJ310" i="4" s="1"/>
  <c r="AF316" i="4"/>
  <c r="AJ316" i="4" s="1"/>
  <c r="AF274" i="4"/>
  <c r="AH274" i="4" s="1"/>
  <c r="AN268" i="4"/>
  <c r="AR268" i="4" s="1"/>
  <c r="H194" i="4"/>
  <c r="J194" i="4" s="1"/>
  <c r="X252" i="4"/>
  <c r="AB252" i="4" s="1"/>
  <c r="X69" i="4"/>
  <c r="Z69" i="4" s="1"/>
  <c r="X117" i="4"/>
  <c r="Z117" i="4" s="1"/>
  <c r="P51" i="4"/>
  <c r="R51" i="4" s="1"/>
  <c r="X84" i="4"/>
  <c r="AB84" i="4" s="1"/>
  <c r="AN263" i="4"/>
  <c r="AR263" i="4" s="1"/>
  <c r="P183" i="4"/>
  <c r="T183" i="4" s="1"/>
  <c r="X367" i="4"/>
  <c r="AB367" i="4" s="1"/>
  <c r="P349" i="4"/>
  <c r="T349" i="4" s="1"/>
  <c r="H347" i="4"/>
  <c r="L347" i="4" s="1"/>
  <c r="AF237" i="4"/>
  <c r="AJ237" i="4" s="1"/>
  <c r="AF228" i="4"/>
  <c r="AH228" i="4" s="1"/>
  <c r="AF214" i="4"/>
  <c r="AJ214" i="4" s="1"/>
  <c r="P346" i="4"/>
  <c r="T346" i="4" s="1"/>
  <c r="H269" i="4"/>
  <c r="J269" i="4" s="1"/>
  <c r="P167" i="4"/>
  <c r="R167" i="4" s="1"/>
  <c r="X281" i="4"/>
  <c r="Z281" i="4" s="1"/>
  <c r="H219" i="4"/>
  <c r="J219" i="4" s="1"/>
  <c r="H229" i="4"/>
  <c r="J229" i="4" s="1"/>
  <c r="AN149" i="4"/>
  <c r="AR149" i="4" s="1"/>
  <c r="AF285" i="4"/>
  <c r="AJ285" i="4" s="1"/>
  <c r="H299" i="4"/>
  <c r="L299" i="4" s="1"/>
  <c r="AN344" i="4"/>
  <c r="AP344" i="4" s="1"/>
  <c r="H297" i="4"/>
  <c r="J297" i="4" s="1"/>
  <c r="AN305" i="4"/>
  <c r="AR305" i="4" s="1"/>
  <c r="AF120" i="4"/>
  <c r="AH120" i="4" s="1"/>
  <c r="H221" i="4"/>
  <c r="L221" i="4" s="1"/>
  <c r="AN351" i="4"/>
  <c r="AR351" i="4" s="1"/>
  <c r="P238" i="4"/>
  <c r="T238" i="4" s="1"/>
  <c r="AN331" i="4"/>
  <c r="AR331" i="4" s="1"/>
  <c r="P228" i="4"/>
  <c r="T228" i="4" s="1"/>
  <c r="AN180" i="4"/>
  <c r="AR180" i="4" s="1"/>
  <c r="AN74" i="4"/>
  <c r="AR74" i="4" s="1"/>
  <c r="AF127" i="4"/>
  <c r="AH127" i="4" s="1"/>
  <c r="AF56" i="4"/>
  <c r="AJ56" i="4" s="1"/>
  <c r="H166" i="4"/>
  <c r="J166" i="4" s="1"/>
  <c r="AN186" i="4"/>
  <c r="AP186" i="4" s="1"/>
  <c r="AF324" i="4"/>
  <c r="AJ324" i="4" s="1"/>
  <c r="AN221" i="4"/>
  <c r="AP221" i="4" s="1"/>
  <c r="H106" i="4"/>
  <c r="L106" i="4" s="1"/>
  <c r="X368" i="4"/>
  <c r="AB368" i="4" s="1"/>
  <c r="AN347" i="4"/>
  <c r="AR347" i="4" s="1"/>
  <c r="AF348" i="4"/>
  <c r="AH348" i="4" s="1"/>
  <c r="H327" i="4"/>
  <c r="L327" i="4" s="1"/>
  <c r="X309" i="4"/>
  <c r="AB309" i="4" s="1"/>
  <c r="H218" i="4"/>
  <c r="J218" i="4" s="1"/>
  <c r="H308" i="4"/>
  <c r="L308" i="4" s="1"/>
  <c r="P240" i="4"/>
  <c r="T240" i="4" s="1"/>
  <c r="P180" i="4"/>
  <c r="T180" i="4" s="1"/>
  <c r="AF345" i="4"/>
  <c r="AJ345" i="4" s="1"/>
  <c r="X161" i="4"/>
  <c r="Z161" i="4" s="1"/>
  <c r="X280" i="4"/>
  <c r="AB280" i="4" s="1"/>
  <c r="AN210" i="4"/>
  <c r="AR210" i="4" s="1"/>
  <c r="H228" i="4"/>
  <c r="J228" i="4" s="1"/>
  <c r="X241" i="4"/>
  <c r="Z241" i="4" s="1"/>
  <c r="AN364" i="4"/>
  <c r="AP364" i="4" s="1"/>
  <c r="AN267" i="4"/>
  <c r="AR267" i="4" s="1"/>
  <c r="AF299" i="4"/>
  <c r="AH299" i="4" s="1"/>
  <c r="AF194" i="4"/>
  <c r="AJ194" i="4" s="1"/>
  <c r="X306" i="4"/>
  <c r="Z306" i="4" s="1"/>
  <c r="H351" i="4"/>
  <c r="L351" i="4" s="1"/>
  <c r="AF314" i="4"/>
  <c r="AJ314" i="4" s="1"/>
  <c r="AF250" i="4"/>
  <c r="AH250" i="4" s="1"/>
  <c r="AN241" i="4"/>
  <c r="AR241" i="4" s="1"/>
  <c r="P207" i="4"/>
  <c r="T207" i="4" s="1"/>
  <c r="AF24" i="4"/>
  <c r="AH24" i="4" s="1"/>
  <c r="AN8" i="4"/>
  <c r="AP8" i="4" s="1"/>
  <c r="AN89" i="4"/>
  <c r="AR89" i="4" s="1"/>
  <c r="AF5" i="4"/>
  <c r="AJ5" i="4" s="1"/>
  <c r="AF342" i="4"/>
  <c r="AJ342" i="4" s="1"/>
  <c r="P317" i="4"/>
  <c r="R317" i="4" s="1"/>
  <c r="P257" i="4"/>
  <c r="R257" i="4" s="1"/>
  <c r="H365" i="4"/>
  <c r="J365" i="4" s="1"/>
  <c r="AF341" i="4"/>
  <c r="AJ341" i="4" s="1"/>
  <c r="H331" i="4"/>
  <c r="J331" i="4" s="1"/>
  <c r="AN293" i="4"/>
  <c r="AP293" i="4" s="1"/>
  <c r="AF277" i="4"/>
  <c r="AJ277" i="4" s="1"/>
  <c r="X160" i="4"/>
  <c r="Z160" i="4" s="1"/>
  <c r="X325" i="4"/>
  <c r="AB325" i="4" s="1"/>
  <c r="P343" i="4"/>
  <c r="T343" i="4" s="1"/>
  <c r="X151" i="4"/>
  <c r="Z151" i="4" s="1"/>
  <c r="AF301" i="4"/>
  <c r="AJ301" i="4" s="1"/>
  <c r="AF132" i="4"/>
  <c r="AH132" i="4" s="1"/>
  <c r="AF251" i="4"/>
  <c r="AH251" i="4" s="1"/>
  <c r="H182" i="4"/>
  <c r="L182" i="4" s="1"/>
  <c r="H313" i="4"/>
  <c r="J313" i="4" s="1"/>
  <c r="H274" i="4"/>
  <c r="L274" i="4" s="1"/>
  <c r="P321" i="4"/>
  <c r="T321" i="4" s="1"/>
  <c r="H145" i="4"/>
  <c r="L145" i="4" s="1"/>
  <c r="X269" i="4"/>
  <c r="Z269" i="4" s="1"/>
  <c r="P229" i="4"/>
  <c r="T229" i="4" s="1"/>
  <c r="AF269" i="4"/>
  <c r="AH269" i="4" s="1"/>
  <c r="X335" i="4"/>
  <c r="Z335" i="4" s="1"/>
  <c r="X292" i="4"/>
  <c r="Z292" i="4" s="1"/>
  <c r="AN340" i="4"/>
  <c r="AP340" i="4" s="1"/>
  <c r="X223" i="4"/>
  <c r="AB223" i="4" s="1"/>
  <c r="AN204" i="4"/>
  <c r="AR204" i="4" s="1"/>
  <c r="AF17" i="4"/>
  <c r="AH17" i="4" s="1"/>
  <c r="P93" i="4"/>
  <c r="T93" i="4" s="1"/>
  <c r="P127" i="4"/>
  <c r="R127" i="4" s="1"/>
  <c r="H155" i="4"/>
  <c r="J155" i="4" s="1"/>
  <c r="X344" i="4"/>
  <c r="Z344" i="4" s="1"/>
  <c r="AN301" i="4"/>
  <c r="AR301" i="4" s="1"/>
  <c r="AN235" i="4"/>
  <c r="AP235" i="4" s="1"/>
  <c r="X55" i="4"/>
  <c r="AB55" i="4" s="1"/>
  <c r="AF363" i="4"/>
  <c r="AH363" i="4" s="1"/>
  <c r="H345" i="4"/>
  <c r="L345" i="4" s="1"/>
  <c r="P338" i="4"/>
  <c r="T338" i="4" s="1"/>
  <c r="H265" i="4"/>
  <c r="L265" i="4" s="1"/>
  <c r="X271" i="4"/>
  <c r="AB271" i="4" s="1"/>
  <c r="H195" i="4"/>
  <c r="J195" i="4" s="1"/>
  <c r="AN330" i="4"/>
  <c r="AP330" i="4" s="1"/>
  <c r="H271" i="4"/>
  <c r="L271" i="4" s="1"/>
  <c r="X213" i="4"/>
  <c r="AB213" i="4" s="1"/>
  <c r="X295" i="4"/>
  <c r="AB295" i="4" s="1"/>
  <c r="AF206" i="4"/>
  <c r="AJ206" i="4" s="1"/>
  <c r="P250" i="4"/>
  <c r="R250" i="4" s="1"/>
  <c r="AN187" i="4"/>
  <c r="AP187" i="4" s="1"/>
  <c r="H307" i="4"/>
  <c r="J307" i="4" s="1"/>
  <c r="AF369" i="4"/>
  <c r="AJ369" i="4" s="1"/>
  <c r="X254" i="4"/>
  <c r="AB254" i="4" s="1"/>
  <c r="P177" i="4"/>
  <c r="R177" i="4" s="1"/>
  <c r="AF289" i="4"/>
  <c r="AJ289" i="4" s="1"/>
  <c r="AF352" i="4"/>
  <c r="AH352" i="4" s="1"/>
  <c r="X287" i="4"/>
  <c r="Z287" i="4" s="1"/>
  <c r="H349" i="4"/>
  <c r="L349" i="4" s="1"/>
  <c r="AF253" i="4"/>
  <c r="AH253" i="4" s="1"/>
  <c r="AF325" i="4"/>
  <c r="AJ325" i="4" s="1"/>
  <c r="X282" i="4"/>
  <c r="AB282" i="4" s="1"/>
  <c r="AN352" i="4"/>
  <c r="AR352" i="4" s="1"/>
  <c r="H33" i="4"/>
  <c r="L33" i="4" s="1"/>
  <c r="H54" i="4"/>
  <c r="J54" i="4" s="1"/>
  <c r="AF101" i="4"/>
  <c r="AJ101" i="4" s="1"/>
  <c r="X87" i="4"/>
  <c r="AB87" i="4" s="1"/>
  <c r="AN357" i="4"/>
  <c r="AP357" i="4" s="1"/>
  <c r="H304" i="4"/>
  <c r="L304" i="4" s="1"/>
  <c r="H339" i="4"/>
  <c r="L339" i="4" s="1"/>
  <c r="P194" i="4"/>
  <c r="T194" i="4" s="1"/>
  <c r="AF147" i="4"/>
  <c r="AJ147" i="4" s="1"/>
  <c r="H367" i="4"/>
  <c r="J367" i="4" s="1"/>
  <c r="H346" i="4"/>
  <c r="L346" i="4" s="1"/>
  <c r="X310" i="4"/>
  <c r="Z310" i="4" s="1"/>
  <c r="P236" i="4"/>
  <c r="R236" i="4" s="1"/>
  <c r="P332" i="4"/>
  <c r="T332" i="4" s="1"/>
  <c r="X137" i="4"/>
  <c r="AB137" i="4" s="1"/>
  <c r="H264" i="4"/>
  <c r="J264" i="4" s="1"/>
  <c r="AN288" i="4"/>
  <c r="AR288" i="4" s="1"/>
  <c r="AF367" i="4"/>
  <c r="AJ367" i="4" s="1"/>
  <c r="AF255" i="4"/>
  <c r="AJ255" i="4" s="1"/>
  <c r="P181" i="4"/>
  <c r="T181" i="4" s="1"/>
  <c r="AF333" i="4"/>
  <c r="AJ333" i="4" s="1"/>
  <c r="X162" i="4"/>
  <c r="Z162" i="4" s="1"/>
  <c r="AF276" i="4"/>
  <c r="AH276" i="4" s="1"/>
  <c r="P214" i="4"/>
  <c r="R214" i="4" s="1"/>
  <c r="P224" i="4"/>
  <c r="R224" i="4" s="1"/>
  <c r="H183" i="4"/>
  <c r="J183" i="4" s="1"/>
  <c r="X283" i="4"/>
  <c r="AB283" i="4" s="1"/>
  <c r="P354" i="4"/>
  <c r="T354" i="4" s="1"/>
  <c r="P258" i="4"/>
  <c r="T258" i="4" s="1"/>
  <c r="AN306" i="4"/>
  <c r="AR306" i="4" s="1"/>
  <c r="H350" i="4"/>
  <c r="L350" i="4" s="1"/>
  <c r="H280" i="4"/>
  <c r="L280" i="4" s="1"/>
  <c r="AN259" i="4"/>
  <c r="AP259" i="4" s="1"/>
  <c r="H139" i="4"/>
  <c r="L139" i="4" s="1"/>
  <c r="AF43" i="4"/>
  <c r="AJ43" i="4" s="1"/>
  <c r="AN62" i="4"/>
  <c r="AR62" i="4" s="1"/>
  <c r="AN100" i="4"/>
  <c r="AP100" i="4" s="1"/>
  <c r="H37" i="4"/>
  <c r="L37" i="4" s="1"/>
  <c r="AN279" i="4"/>
  <c r="AP279" i="4" s="1"/>
  <c r="P231" i="4"/>
  <c r="R231" i="4" s="1"/>
  <c r="AF243" i="4"/>
  <c r="AJ243" i="4" s="1"/>
  <c r="AN315" i="4"/>
  <c r="AP315" i="4" s="1"/>
  <c r="H285" i="4"/>
  <c r="L285" i="4" s="1"/>
  <c r="H109" i="4"/>
  <c r="L109" i="4" s="1"/>
  <c r="H95" i="4"/>
  <c r="L95" i="4" s="1"/>
  <c r="P362" i="4"/>
  <c r="R362" i="4" s="1"/>
  <c r="X224" i="4"/>
  <c r="AB224" i="4" s="1"/>
  <c r="P363" i="4"/>
  <c r="T363" i="4" s="1"/>
  <c r="X351" i="4"/>
  <c r="AB351" i="4" s="1"/>
  <c r="X297" i="4"/>
  <c r="Z297" i="4" s="1"/>
  <c r="AF156" i="4"/>
  <c r="AH156" i="4" s="1"/>
  <c r="X135" i="4"/>
  <c r="Z135" i="4" s="1"/>
  <c r="P34" i="4"/>
  <c r="R34" i="4" s="1"/>
  <c r="AF362" i="4"/>
  <c r="AH362" i="4" s="1"/>
  <c r="X355" i="4"/>
  <c r="Z355" i="4" s="1"/>
  <c r="AN327" i="4"/>
  <c r="AP327" i="4" s="1"/>
  <c r="AF287" i="4"/>
  <c r="AH287" i="4" s="1"/>
  <c r="X273" i="4"/>
  <c r="AB273" i="4" s="1"/>
  <c r="AF182" i="4"/>
  <c r="AJ182" i="4" s="1"/>
  <c r="AN233" i="4"/>
  <c r="AR233" i="4" s="1"/>
  <c r="X308" i="4"/>
  <c r="Z308" i="4" s="1"/>
  <c r="AN343" i="4"/>
  <c r="AR343" i="4" s="1"/>
  <c r="AF268" i="4"/>
  <c r="AJ268" i="4" s="1"/>
  <c r="AF339" i="4"/>
  <c r="AJ339" i="4" s="1"/>
  <c r="X235" i="4"/>
  <c r="AB235" i="4" s="1"/>
  <c r="AF146" i="4"/>
  <c r="AH146" i="4" s="1"/>
  <c r="AN296" i="4"/>
  <c r="AR296" i="4" s="1"/>
  <c r="AN127" i="4"/>
  <c r="AP127" i="4" s="1"/>
  <c r="AN246" i="4"/>
  <c r="AR246" i="4" s="1"/>
  <c r="AN141" i="4"/>
  <c r="AR141" i="4" s="1"/>
  <c r="AF256" i="4"/>
  <c r="AH256" i="4" s="1"/>
  <c r="AF311" i="4"/>
  <c r="AH311" i="4" s="1"/>
  <c r="AF167" i="4"/>
  <c r="AH167" i="4" s="1"/>
  <c r="AF330" i="4"/>
  <c r="AH330" i="4" s="1"/>
  <c r="AN273" i="4"/>
  <c r="AR273" i="4" s="1"/>
  <c r="X234" i="4"/>
  <c r="AB234" i="4" s="1"/>
  <c r="H336" i="4"/>
  <c r="J336" i="4" s="1"/>
  <c r="H185" i="4"/>
  <c r="J185" i="4" s="1"/>
  <c r="AN207" i="4"/>
  <c r="AR207" i="4" s="1"/>
  <c r="H17" i="4"/>
  <c r="L17" i="4" s="1"/>
  <c r="P96" i="4"/>
  <c r="R96" i="4" s="1"/>
  <c r="AF73" i="4"/>
  <c r="AJ73" i="4" s="1"/>
  <c r="P312" i="4"/>
  <c r="T312" i="4" s="1"/>
  <c r="AF303" i="4"/>
  <c r="AJ303" i="4" s="1"/>
  <c r="AN325" i="4"/>
  <c r="AP325" i="4" s="1"/>
  <c r="AN320" i="4"/>
  <c r="AP320" i="4" s="1"/>
  <c r="AN345" i="4"/>
  <c r="AP345" i="4" s="1"/>
  <c r="X175" i="4"/>
  <c r="AB175" i="4" s="1"/>
  <c r="AF275" i="4"/>
  <c r="AJ275" i="4" s="1"/>
  <c r="H333" i="4"/>
  <c r="J333" i="4" s="1"/>
  <c r="AN313" i="4"/>
  <c r="AP313" i="4" s="1"/>
  <c r="P216" i="4"/>
  <c r="T216" i="4" s="1"/>
  <c r="P333" i="4"/>
  <c r="R333" i="4" s="1"/>
  <c r="AF244" i="4"/>
  <c r="AJ244" i="4" s="1"/>
  <c r="H125" i="4"/>
  <c r="L125" i="4" s="1"/>
  <c r="P285" i="4"/>
  <c r="R285" i="4" s="1"/>
  <c r="X277" i="4"/>
  <c r="AB277" i="4" s="1"/>
  <c r="P367" i="4"/>
  <c r="T367" i="4" s="1"/>
  <c r="AF257" i="4"/>
  <c r="AJ257" i="4" s="1"/>
  <c r="AF368" i="4"/>
  <c r="AJ368" i="4" s="1"/>
  <c r="P334" i="4"/>
  <c r="T334" i="4" s="1"/>
  <c r="AF208" i="4"/>
  <c r="AJ208" i="4" s="1"/>
  <c r="AF290" i="4"/>
  <c r="AJ290" i="4" s="1"/>
  <c r="AN201" i="4"/>
  <c r="AR201" i="4" s="1"/>
  <c r="X245" i="4"/>
  <c r="AB245" i="4" s="1"/>
  <c r="AN203" i="4"/>
  <c r="AR203" i="4" s="1"/>
  <c r="AF245" i="4"/>
  <c r="AJ245" i="4" s="1"/>
  <c r="AN244" i="4"/>
  <c r="AP244" i="4" s="1"/>
  <c r="X173" i="4"/>
  <c r="Z173" i="4" s="1"/>
  <c r="AN304" i="4"/>
  <c r="AR304" i="4" s="1"/>
  <c r="H300" i="4"/>
  <c r="L300" i="4" s="1"/>
  <c r="AF294" i="4"/>
  <c r="AJ294" i="4" s="1"/>
  <c r="H134" i="4"/>
  <c r="J134" i="4" s="1"/>
  <c r="AF184" i="4"/>
  <c r="AJ184" i="4" s="1"/>
  <c r="X93" i="4"/>
  <c r="Z93" i="4" s="1"/>
  <c r="AF112" i="4"/>
  <c r="AH112" i="4" s="1"/>
  <c r="P139" i="4"/>
  <c r="T139" i="4" s="1"/>
  <c r="AF80" i="4"/>
  <c r="AJ80" i="4" s="1"/>
  <c r="P286" i="4"/>
  <c r="R286" i="4" s="1"/>
  <c r="X339" i="4"/>
  <c r="AB339" i="4" s="1"/>
  <c r="X349" i="4"/>
  <c r="AB349" i="4" s="1"/>
  <c r="P319" i="4"/>
  <c r="R319" i="4" s="1"/>
  <c r="AN226" i="4"/>
  <c r="AR226" i="4" s="1"/>
  <c r="P342" i="4"/>
  <c r="R342" i="4" s="1"/>
  <c r="P264" i="4"/>
  <c r="T264" i="4" s="1"/>
  <c r="AF331" i="4"/>
  <c r="AH331" i="4" s="1"/>
  <c r="P293" i="4"/>
  <c r="T293" i="4" s="1"/>
  <c r="P352" i="4"/>
  <c r="T352" i="4" s="1"/>
  <c r="P44" i="4"/>
  <c r="T44" i="4" s="1"/>
  <c r="P361" i="4"/>
  <c r="T361" i="4" s="1"/>
  <c r="AN346" i="4"/>
  <c r="AR346" i="4" s="1"/>
  <c r="AN258" i="4"/>
  <c r="AP258" i="4" s="1"/>
  <c r="AF364" i="4"/>
  <c r="AJ364" i="4" s="1"/>
  <c r="X345" i="4"/>
  <c r="Z345" i="4" s="1"/>
  <c r="AN366" i="4"/>
  <c r="AR366" i="4" s="1"/>
  <c r="H230" i="4"/>
  <c r="J230" i="4" s="1"/>
  <c r="AF233" i="4"/>
  <c r="AJ233" i="4" s="1"/>
  <c r="AN215" i="4"/>
  <c r="AR215" i="4" s="1"/>
  <c r="X256" i="4"/>
  <c r="Z256" i="4" s="1"/>
  <c r="AF154" i="4"/>
  <c r="AH154" i="4" s="1"/>
  <c r="X290" i="4"/>
  <c r="AB290" i="4" s="1"/>
  <c r="AN303" i="4"/>
  <c r="AR303" i="4" s="1"/>
  <c r="P359" i="4"/>
  <c r="R359" i="4" s="1"/>
  <c r="H284" i="4"/>
  <c r="L284" i="4" s="1"/>
  <c r="AN362" i="4"/>
  <c r="AR362" i="4" s="1"/>
  <c r="AN250" i="4"/>
  <c r="AR250" i="4" s="1"/>
  <c r="X288" i="4"/>
  <c r="AB288" i="4" s="1"/>
  <c r="H324" i="4"/>
  <c r="J324" i="4" s="1"/>
  <c r="AF355" i="4"/>
  <c r="AJ355" i="4" s="1"/>
  <c r="AN291" i="4"/>
  <c r="AR291" i="4" s="1"/>
  <c r="H329" i="4"/>
  <c r="L329" i="4" s="1"/>
  <c r="AF218" i="4"/>
  <c r="AJ218" i="4" s="1"/>
  <c r="H252" i="4"/>
  <c r="L252" i="4" s="1"/>
  <c r="P310" i="4"/>
  <c r="T310" i="4" s="1"/>
  <c r="AN274" i="4"/>
  <c r="AR274" i="4" s="1"/>
  <c r="AF284" i="4"/>
  <c r="AJ284" i="4" s="1"/>
  <c r="X170" i="4"/>
  <c r="AB170" i="4" s="1"/>
  <c r="P91" i="4"/>
  <c r="R91" i="4" s="1"/>
  <c r="X110" i="4"/>
  <c r="AB110" i="4" s="1"/>
  <c r="AN60" i="4"/>
  <c r="AP60" i="4" s="1"/>
  <c r="AN369" i="4"/>
  <c r="AP369" i="4" s="1"/>
  <c r="P30" i="4"/>
  <c r="T30" i="4" s="1"/>
  <c r="H87" i="4"/>
  <c r="L87" i="4" s="1"/>
  <c r="AF121" i="4"/>
  <c r="AH121" i="4" s="1"/>
  <c r="AF76" i="4"/>
  <c r="AJ76" i="4" s="1"/>
  <c r="X126" i="4"/>
  <c r="Z126" i="4" s="1"/>
  <c r="H178" i="4"/>
  <c r="J178" i="4" s="1"/>
  <c r="H42" i="4"/>
  <c r="J42" i="4" s="1"/>
  <c r="AF115" i="4"/>
  <c r="AJ115" i="4" s="1"/>
  <c r="AN56" i="4"/>
  <c r="AR56" i="4" s="1"/>
  <c r="AN67" i="4"/>
  <c r="AR67" i="4" s="1"/>
  <c r="AN166" i="4"/>
  <c r="AR166" i="4" s="1"/>
  <c r="X58" i="4"/>
  <c r="Z58" i="4" s="1"/>
  <c r="H97" i="4"/>
  <c r="L97" i="4" s="1"/>
  <c r="P25" i="4"/>
  <c r="T25" i="4" s="1"/>
  <c r="H113" i="4"/>
  <c r="L113" i="4" s="1"/>
  <c r="X157" i="4"/>
  <c r="AB157" i="4" s="1"/>
  <c r="H168" i="4"/>
  <c r="L168" i="4" s="1"/>
  <c r="X190" i="4"/>
  <c r="Z190" i="4" s="1"/>
  <c r="AF172" i="4"/>
  <c r="AH172" i="4" s="1"/>
  <c r="AN190" i="4"/>
  <c r="AR190" i="4" s="1"/>
  <c r="H217" i="4"/>
  <c r="J217" i="4" s="1"/>
  <c r="H246" i="4"/>
  <c r="L246" i="4" s="1"/>
  <c r="H170" i="4"/>
  <c r="J170" i="4" s="1"/>
  <c r="AN322" i="4"/>
  <c r="AR322" i="4" s="1"/>
  <c r="H272" i="4"/>
  <c r="J272" i="4" s="1"/>
  <c r="P261" i="4"/>
  <c r="R261" i="4" s="1"/>
  <c r="AF288" i="4"/>
  <c r="AJ288" i="4" s="1"/>
  <c r="AF358" i="4"/>
  <c r="AJ358" i="4" s="1"/>
  <c r="X247" i="4"/>
  <c r="AB247" i="4" s="1"/>
  <c r="P251" i="4"/>
  <c r="T251" i="4" s="1"/>
  <c r="X233" i="4"/>
  <c r="AB233" i="4" s="1"/>
  <c r="X332" i="4"/>
  <c r="Z332" i="4" s="1"/>
  <c r="H302" i="4"/>
  <c r="J302" i="4" s="1"/>
  <c r="H358" i="4"/>
  <c r="L358" i="4" s="1"/>
  <c r="AN348" i="4"/>
  <c r="AR348" i="4" s="1"/>
  <c r="X361" i="4"/>
  <c r="AB361" i="4" s="1"/>
  <c r="H161" i="4"/>
  <c r="J161" i="4" s="1"/>
  <c r="X196" i="4"/>
  <c r="Z196" i="4" s="1"/>
  <c r="H322" i="4"/>
  <c r="J322" i="4" s="1"/>
  <c r="AN249" i="4"/>
  <c r="AR249" i="4" s="1"/>
  <c r="H266" i="4"/>
  <c r="J266" i="4" s="1"/>
  <c r="X338" i="4"/>
  <c r="AB338" i="4" s="1"/>
  <c r="H354" i="4"/>
  <c r="L354" i="4" s="1"/>
  <c r="X149" i="4"/>
  <c r="Z149" i="4" s="1"/>
  <c r="P234" i="4"/>
  <c r="T234" i="4" s="1"/>
  <c r="X285" i="4"/>
  <c r="AB285" i="4" s="1"/>
  <c r="P322" i="4"/>
  <c r="T322" i="4" s="1"/>
  <c r="AN365" i="4"/>
  <c r="AP365" i="4" s="1"/>
  <c r="AF360" i="4"/>
  <c r="AJ360" i="4" s="1"/>
  <c r="AF170" i="4"/>
  <c r="AJ170" i="4" s="1"/>
  <c r="H206" i="4"/>
  <c r="J206" i="4" s="1"/>
  <c r="P355" i="4"/>
  <c r="T355" i="4" s="1"/>
  <c r="X259" i="4"/>
  <c r="AB259" i="4" s="1"/>
  <c r="AN41" i="4"/>
  <c r="AR41" i="4" s="1"/>
  <c r="P174" i="4"/>
  <c r="R174" i="4" s="1"/>
  <c r="X41" i="4"/>
  <c r="AB41" i="4" s="1"/>
  <c r="AN80" i="4"/>
  <c r="AR80" i="4" s="1"/>
  <c r="P66" i="4"/>
  <c r="R66" i="4" s="1"/>
  <c r="AN152" i="4"/>
  <c r="AP152" i="4" s="1"/>
  <c r="AF99" i="4"/>
  <c r="AH99" i="4" s="1"/>
  <c r="X59" i="4"/>
  <c r="AB59" i="4" s="1"/>
  <c r="X114" i="4"/>
  <c r="Z114" i="4" s="1"/>
  <c r="H15" i="4"/>
  <c r="J15" i="4" s="1"/>
  <c r="AN184" i="4"/>
  <c r="AP184" i="4" s="1"/>
  <c r="H116" i="4"/>
  <c r="J116" i="4" s="1"/>
  <c r="P95" i="4"/>
  <c r="T95" i="4" s="1"/>
  <c r="AF22" i="4"/>
  <c r="AJ22" i="4" s="1"/>
  <c r="X158" i="4"/>
  <c r="AB158" i="4" s="1"/>
  <c r="H68" i="4"/>
  <c r="J68" i="4" s="1"/>
  <c r="AN223" i="4"/>
  <c r="AP223" i="4" s="1"/>
  <c r="AN131" i="4"/>
  <c r="AR131" i="4" s="1"/>
  <c r="AF134" i="4"/>
  <c r="AJ134" i="4" s="1"/>
  <c r="X163" i="4"/>
  <c r="AB163" i="4" s="1"/>
  <c r="AN316" i="4"/>
  <c r="AP316" i="4" s="1"/>
  <c r="AF282" i="4"/>
  <c r="AH282" i="4" s="1"/>
  <c r="P226" i="4"/>
  <c r="R226" i="4" s="1"/>
  <c r="P271" i="4"/>
  <c r="R271" i="4" s="1"/>
  <c r="P254" i="4"/>
  <c r="T254" i="4" s="1"/>
  <c r="P323" i="4"/>
  <c r="R323" i="4" s="1"/>
  <c r="AF238" i="4"/>
  <c r="AH238" i="4" s="1"/>
  <c r="AN324" i="4"/>
  <c r="AR324" i="4" s="1"/>
  <c r="AN224" i="4"/>
  <c r="AR224" i="4" s="1"/>
  <c r="H231" i="4"/>
  <c r="J231" i="4" s="1"/>
  <c r="P320" i="4"/>
  <c r="R320" i="4" s="1"/>
  <c r="P297" i="4"/>
  <c r="R297" i="4" s="1"/>
  <c r="X279" i="4"/>
  <c r="AB279" i="4" s="1"/>
  <c r="AN311" i="4"/>
  <c r="AR311" i="4" s="1"/>
  <c r="H314" i="4"/>
  <c r="J314" i="4" s="1"/>
  <c r="AF351" i="4"/>
  <c r="AJ351" i="4" s="1"/>
  <c r="AN189" i="4"/>
  <c r="AR189" i="4" s="1"/>
  <c r="AN230" i="4"/>
  <c r="AR230" i="4" s="1"/>
  <c r="AN240" i="4"/>
  <c r="AP240" i="4" s="1"/>
  <c r="AF278" i="4"/>
  <c r="AJ278" i="4" s="1"/>
  <c r="AN294" i="4"/>
  <c r="AP294" i="4" s="1"/>
  <c r="H335" i="4"/>
  <c r="J335" i="4" s="1"/>
  <c r="H199" i="4"/>
  <c r="J199" i="4" s="1"/>
  <c r="P178" i="4"/>
  <c r="T178" i="4" s="1"/>
  <c r="H263" i="4"/>
  <c r="J263" i="4" s="1"/>
  <c r="H318" i="4"/>
  <c r="J318" i="4" s="1"/>
  <c r="AF240" i="4"/>
  <c r="AH240" i="4" s="1"/>
  <c r="AF249" i="4"/>
  <c r="AJ249" i="4" s="1"/>
  <c r="H359" i="4"/>
  <c r="J359" i="4" s="1"/>
  <c r="X199" i="4"/>
  <c r="AB199" i="4" s="1"/>
  <c r="AN342" i="4"/>
  <c r="AR342" i="4" s="1"/>
  <c r="X250" i="4"/>
  <c r="AB250" i="4" s="1"/>
  <c r="P288" i="4"/>
  <c r="T288" i="4" s="1"/>
  <c r="X304" i="4"/>
  <c r="Z304" i="4" s="1"/>
  <c r="AN353" i="4"/>
  <c r="AR353" i="4" s="1"/>
  <c r="P206" i="4"/>
  <c r="T206" i="4" s="1"/>
  <c r="X185" i="4"/>
  <c r="Z185" i="4" s="1"/>
  <c r="P270" i="4"/>
  <c r="T270" i="4" s="1"/>
  <c r="X329" i="4"/>
  <c r="AB329" i="4" s="1"/>
  <c r="AN247" i="4"/>
  <c r="AP247" i="4" s="1"/>
  <c r="AN256" i="4"/>
  <c r="AR256" i="4" s="1"/>
  <c r="P366" i="4"/>
  <c r="R366" i="4" s="1"/>
  <c r="P204" i="4"/>
  <c r="R204" i="4" s="1"/>
  <c r="H121" i="4"/>
  <c r="L121" i="4" s="1"/>
  <c r="P255" i="4"/>
  <c r="R255" i="4" s="1"/>
  <c r="H293" i="4"/>
  <c r="L293" i="4" s="1"/>
  <c r="X307" i="4"/>
  <c r="Z307" i="4" s="1"/>
  <c r="P368" i="4"/>
  <c r="T368" i="4" s="1"/>
  <c r="H211" i="4"/>
  <c r="L211" i="4" s="1"/>
  <c r="P190" i="4"/>
  <c r="T190" i="4" s="1"/>
  <c r="H275" i="4"/>
  <c r="L275" i="4" s="1"/>
  <c r="H340" i="4"/>
  <c r="J340" i="4" s="1"/>
  <c r="AF252" i="4"/>
  <c r="AH252" i="4" s="1"/>
  <c r="AF261" i="4"/>
  <c r="AJ261" i="4" s="1"/>
  <c r="AN338" i="4"/>
  <c r="AP338" i="4" s="1"/>
  <c r="H209" i="4"/>
  <c r="L209" i="4" s="1"/>
  <c r="AN125" i="4"/>
  <c r="AR125" i="4" s="1"/>
  <c r="H260" i="4"/>
  <c r="L260" i="4" s="1"/>
  <c r="AN297" i="4"/>
  <c r="AP297" i="4" s="1"/>
  <c r="X313" i="4"/>
  <c r="AB313" i="4" s="1"/>
  <c r="X323" i="4"/>
  <c r="Z323" i="4" s="1"/>
  <c r="H187" i="4"/>
  <c r="J187" i="4" s="1"/>
  <c r="P166" i="4"/>
  <c r="R166" i="4" s="1"/>
  <c r="H251" i="4"/>
  <c r="L251" i="4" s="1"/>
  <c r="P302" i="4"/>
  <c r="T302" i="4" s="1"/>
  <c r="AF23" i="4"/>
  <c r="AH23" i="4" s="1"/>
  <c r="AF107" i="4"/>
  <c r="AJ107" i="4" s="1"/>
  <c r="X193" i="4"/>
  <c r="AB193" i="4" s="1"/>
  <c r="AN92" i="4"/>
  <c r="AR92" i="4" s="1"/>
  <c r="AN75" i="4"/>
  <c r="AP75" i="4" s="1"/>
  <c r="P60" i="4"/>
  <c r="T60" i="4" s="1"/>
  <c r="H124" i="4"/>
  <c r="J124" i="4" s="1"/>
  <c r="P110" i="4"/>
  <c r="R110" i="4" s="1"/>
  <c r="X60" i="4"/>
  <c r="AB60" i="4" s="1"/>
  <c r="X6" i="4"/>
  <c r="AB6" i="4" s="1"/>
  <c r="AF140" i="4"/>
  <c r="AJ140" i="4" s="1"/>
  <c r="H77" i="4"/>
  <c r="J77" i="4" s="1"/>
  <c r="P41" i="4"/>
  <c r="T41" i="4" s="1"/>
  <c r="AF95" i="4"/>
  <c r="AJ95" i="4" s="1"/>
  <c r="P5" i="4"/>
  <c r="T5" i="4" s="1"/>
  <c r="AN123" i="4"/>
  <c r="AP123" i="4" s="1"/>
  <c r="H141" i="4"/>
  <c r="L141" i="4" s="1"/>
  <c r="P195" i="4"/>
  <c r="R195" i="4" s="1"/>
  <c r="X300" i="4"/>
  <c r="AB300" i="4" s="1"/>
  <c r="H197" i="4"/>
  <c r="L197" i="4" s="1"/>
  <c r="AN198" i="4"/>
  <c r="AP198" i="4" s="1"/>
  <c r="X318" i="4"/>
  <c r="Z318" i="4" s="1"/>
  <c r="AF318" i="4"/>
  <c r="AJ318" i="4" s="1"/>
  <c r="AN161" i="4"/>
  <c r="AP161" i="4" s="1"/>
  <c r="AF229" i="4"/>
  <c r="AJ229" i="4" s="1"/>
  <c r="AF313" i="4"/>
  <c r="AJ313" i="4" s="1"/>
  <c r="AN295" i="4"/>
  <c r="AP295" i="4" s="1"/>
  <c r="AF319" i="4"/>
  <c r="AH319" i="4" s="1"/>
  <c r="H291" i="4"/>
  <c r="L291" i="4" s="1"/>
  <c r="H290" i="4"/>
  <c r="L290" i="4" s="1"/>
  <c r="AN269" i="4"/>
  <c r="AR269" i="4" s="1"/>
  <c r="P247" i="4"/>
  <c r="T247" i="4" s="1"/>
  <c r="H338" i="4"/>
  <c r="J338" i="4" s="1"/>
  <c r="P335" i="4"/>
  <c r="R335" i="4" s="1"/>
  <c r="X363" i="4"/>
  <c r="AB363" i="4" s="1"/>
  <c r="X348" i="4"/>
  <c r="AB348" i="4" s="1"/>
  <c r="AN176" i="4"/>
  <c r="AP176" i="4" s="1"/>
  <c r="P164" i="4"/>
  <c r="T164" i="4" s="1"/>
  <c r="X298" i="4"/>
  <c r="AB298" i="4" s="1"/>
  <c r="P227" i="4"/>
  <c r="T227" i="4" s="1"/>
  <c r="X243" i="4"/>
  <c r="AB243" i="4" s="1"/>
  <c r="AF317" i="4"/>
  <c r="AJ317" i="4" s="1"/>
  <c r="H198" i="4"/>
  <c r="L198" i="4" s="1"/>
  <c r="H298" i="4"/>
  <c r="J298" i="4" s="1"/>
  <c r="P331" i="4"/>
  <c r="T331" i="4" s="1"/>
  <c r="X272" i="4"/>
  <c r="AB272" i="4" s="1"/>
  <c r="P298" i="4"/>
  <c r="R298" i="4" s="1"/>
  <c r="P311" i="4"/>
  <c r="R311" i="4" s="1"/>
  <c r="AF354" i="4"/>
  <c r="AJ354" i="4" s="1"/>
  <c r="X186" i="4"/>
  <c r="Z186" i="4" s="1"/>
  <c r="AN173" i="4"/>
  <c r="AR173" i="4" s="1"/>
  <c r="P307" i="4"/>
  <c r="T307" i="4" s="1"/>
  <c r="AN236" i="4"/>
  <c r="AR236" i="4" s="1"/>
  <c r="H253" i="4"/>
  <c r="L253" i="4" s="1"/>
  <c r="P327" i="4"/>
  <c r="T327" i="4" s="1"/>
  <c r="P205" i="4"/>
  <c r="T205" i="4" s="1"/>
  <c r="H122" i="4"/>
  <c r="L122" i="4" s="1"/>
  <c r="P369" i="4"/>
  <c r="T369" i="4" s="1"/>
  <c r="AF279" i="4"/>
  <c r="AJ279" i="4" s="1"/>
  <c r="X305" i="4"/>
  <c r="Z305" i="4" s="1"/>
  <c r="AN319" i="4"/>
  <c r="AR319" i="4" s="1"/>
  <c r="AN361" i="4"/>
  <c r="AR361" i="4" s="1"/>
  <c r="P191" i="4"/>
  <c r="R191" i="4" s="1"/>
  <c r="AF178" i="4"/>
  <c r="AJ178" i="4" s="1"/>
  <c r="P313" i="4"/>
  <c r="T313" i="4" s="1"/>
  <c r="AF241" i="4"/>
  <c r="AJ241" i="4" s="1"/>
  <c r="AN257" i="4"/>
  <c r="AR257" i="4" s="1"/>
  <c r="H332" i="4"/>
  <c r="L332" i="4" s="1"/>
  <c r="H210" i="4"/>
  <c r="L210" i="4" s="1"/>
  <c r="AN126" i="4"/>
  <c r="AR126" i="4" s="1"/>
  <c r="AF246" i="4"/>
  <c r="AJ246" i="4" s="1"/>
  <c r="X284" i="4"/>
  <c r="AB284" i="4" s="1"/>
  <c r="AF308" i="4"/>
  <c r="AJ308" i="4" s="1"/>
  <c r="AN329" i="4"/>
  <c r="AR329" i="4" s="1"/>
  <c r="AF366" i="4"/>
  <c r="AJ366" i="4" s="1"/>
  <c r="H196" i="4"/>
  <c r="J196" i="4" s="1"/>
  <c r="X183" i="4"/>
  <c r="AB183" i="4" s="1"/>
  <c r="X317" i="4"/>
  <c r="AB317" i="4" s="1"/>
  <c r="X246" i="4"/>
  <c r="AB246" i="4" s="1"/>
  <c r="AF262" i="4"/>
  <c r="AJ262" i="4" s="1"/>
  <c r="AN336" i="4"/>
  <c r="AR336" i="4" s="1"/>
  <c r="H186" i="4"/>
  <c r="L186" i="4" s="1"/>
  <c r="X221" i="4"/>
  <c r="Z221" i="4" s="1"/>
  <c r="AF312" i="4"/>
  <c r="AJ312" i="4" s="1"/>
  <c r="X260" i="4"/>
  <c r="AB260" i="4" s="1"/>
  <c r="H64" i="4"/>
  <c r="L64" i="4" s="1"/>
  <c r="H6" i="4"/>
  <c r="J6" i="4" s="1"/>
  <c r="H31" i="4"/>
  <c r="L31" i="4" s="1"/>
  <c r="X37" i="4"/>
  <c r="AB37" i="4" s="1"/>
  <c r="P162" i="4"/>
  <c r="R162" i="4" s="1"/>
  <c r="H14" i="4"/>
  <c r="J14" i="4" s="1"/>
  <c r="H10" i="4"/>
  <c r="J10" i="4" s="1"/>
  <c r="P49" i="4"/>
  <c r="T49" i="4" s="1"/>
  <c r="AN118" i="4"/>
  <c r="AR118" i="4" s="1"/>
  <c r="P59" i="4"/>
  <c r="T59" i="4" s="1"/>
  <c r="X77" i="4"/>
  <c r="Z77" i="4" s="1"/>
  <c r="X176" i="4"/>
  <c r="AB176" i="4" s="1"/>
  <c r="AN98" i="4"/>
  <c r="AP98" i="4" s="1"/>
  <c r="AF106" i="4"/>
  <c r="AJ106" i="4" s="1"/>
  <c r="AF60" i="4"/>
  <c r="AH60" i="4" s="1"/>
  <c r="AF86" i="4"/>
  <c r="AJ86" i="4" s="1"/>
  <c r="X154" i="4"/>
  <c r="Z154" i="4" s="1"/>
  <c r="AF136" i="4"/>
  <c r="AJ136" i="4" s="1"/>
  <c r="P203" i="4"/>
  <c r="R203" i="4" s="1"/>
  <c r="AN175" i="4"/>
  <c r="AP175" i="4" s="1"/>
  <c r="AF305" i="4"/>
  <c r="AH305" i="4" s="1"/>
  <c r="X222" i="4"/>
  <c r="Z222" i="4" s="1"/>
  <c r="P223" i="4"/>
  <c r="R223" i="4" s="1"/>
  <c r="H227" i="4"/>
  <c r="J227" i="4" s="1"/>
  <c r="AF239" i="4"/>
  <c r="AH239" i="4" s="1"/>
  <c r="AF293" i="4"/>
  <c r="AJ293" i="4" s="1"/>
  <c r="AN245" i="4"/>
  <c r="AP245" i="4" s="1"/>
  <c r="H292" i="4"/>
  <c r="L292" i="4" s="1"/>
  <c r="AF263" i="4"/>
  <c r="AH263" i="4" s="1"/>
  <c r="X267" i="4"/>
  <c r="AB267" i="4" s="1"/>
  <c r="X242" i="4"/>
  <c r="AB242" i="4" s="1"/>
  <c r="AF335" i="4"/>
  <c r="AJ335" i="4" s="1"/>
  <c r="P357" i="4"/>
  <c r="R357" i="4" s="1"/>
  <c r="AF346" i="4"/>
  <c r="AJ346" i="4" s="1"/>
  <c r="P350" i="4"/>
  <c r="R350" i="4" s="1"/>
  <c r="X356" i="4"/>
  <c r="AB356" i="4" s="1"/>
  <c r="AF205" i="4"/>
  <c r="AJ205" i="4" s="1"/>
  <c r="H193" i="4"/>
  <c r="L193" i="4" s="1"/>
  <c r="P336" i="4"/>
  <c r="T336" i="4" s="1"/>
  <c r="H256" i="4"/>
  <c r="J256" i="4" s="1"/>
  <c r="P272" i="4"/>
  <c r="T272" i="4" s="1"/>
  <c r="X364" i="4"/>
  <c r="AB364" i="4" s="1"/>
  <c r="X276" i="4"/>
  <c r="AB276" i="4" s="1"/>
  <c r="AF143" i="4"/>
  <c r="AJ143" i="4" s="1"/>
  <c r="X263" i="4"/>
  <c r="Z263" i="4" s="1"/>
  <c r="P301" i="4"/>
  <c r="T301" i="4" s="1"/>
  <c r="P337" i="4"/>
  <c r="T337" i="4" s="1"/>
  <c r="AN332" i="4"/>
  <c r="AR332" i="4" s="1"/>
  <c r="P351" i="4"/>
  <c r="T351" i="4" s="1"/>
  <c r="P215" i="4"/>
  <c r="R215" i="4" s="1"/>
  <c r="AF202" i="4"/>
  <c r="AJ202" i="4" s="1"/>
  <c r="AF232" i="4"/>
  <c r="AH232" i="4" s="1"/>
  <c r="AF265" i="4"/>
  <c r="AH265" i="4" s="1"/>
  <c r="AN281" i="4"/>
  <c r="AR281" i="4" s="1"/>
  <c r="H319" i="4"/>
  <c r="L319" i="4" s="1"/>
  <c r="X315" i="4"/>
  <c r="AB315" i="4" s="1"/>
  <c r="AN150" i="4"/>
  <c r="AP150" i="4" s="1"/>
  <c r="AF270" i="4"/>
  <c r="AJ270" i="4" s="1"/>
  <c r="H316" i="4"/>
  <c r="L316" i="4" s="1"/>
  <c r="X362" i="4"/>
  <c r="Z362" i="4" s="1"/>
  <c r="X342" i="4"/>
  <c r="AB342" i="4" s="1"/>
  <c r="X358" i="4"/>
  <c r="Z358" i="4" s="1"/>
  <c r="H220" i="4"/>
  <c r="L220" i="4" s="1"/>
  <c r="X207" i="4"/>
  <c r="AB207" i="4" s="1"/>
  <c r="X237" i="4"/>
  <c r="AB237" i="4" s="1"/>
  <c r="X270" i="4"/>
  <c r="AB270" i="4" s="1"/>
  <c r="AF286" i="4"/>
  <c r="AJ286" i="4" s="1"/>
  <c r="AN323" i="4"/>
  <c r="AR323" i="4" s="1"/>
  <c r="P120" i="4"/>
  <c r="T120" i="4" s="1"/>
  <c r="AF155" i="4"/>
  <c r="AH155" i="4" s="1"/>
  <c r="X275" i="4"/>
  <c r="AB275" i="4" s="1"/>
  <c r="AF321" i="4"/>
  <c r="AJ321" i="4" s="1"/>
  <c r="P225" i="4"/>
  <c r="T225" i="4" s="1"/>
  <c r="X352" i="4"/>
  <c r="AB352" i="4" s="1"/>
  <c r="AF365" i="4"/>
  <c r="AH365" i="4" s="1"/>
  <c r="AF223" i="4"/>
  <c r="AH223" i="4" s="1"/>
  <c r="P212" i="4"/>
  <c r="T212" i="4" s="1"/>
  <c r="P242" i="4"/>
  <c r="T242" i="4" s="1"/>
  <c r="P275" i="4"/>
  <c r="T275" i="4" s="1"/>
  <c r="X291" i="4"/>
  <c r="AB291" i="4" s="1"/>
  <c r="AF328" i="4"/>
  <c r="AJ328" i="4" s="1"/>
  <c r="AN214" i="4"/>
  <c r="AR214" i="4" s="1"/>
  <c r="AF131" i="4"/>
  <c r="AH131" i="4" s="1"/>
  <c r="X251" i="4"/>
  <c r="AB251" i="4" s="1"/>
  <c r="P289" i="4"/>
  <c r="T289" i="4" s="1"/>
  <c r="X112" i="4"/>
  <c r="AB112" i="4" s="1"/>
  <c r="AF77" i="4"/>
  <c r="AJ77" i="4" s="1"/>
  <c r="H214" i="4"/>
  <c r="L214" i="4" s="1"/>
  <c r="AF32" i="4"/>
  <c r="AH32" i="4" s="1"/>
  <c r="P145" i="4"/>
  <c r="R145" i="4" s="1"/>
  <c r="H120" i="4"/>
  <c r="J120" i="4" s="1"/>
  <c r="P92" i="4"/>
  <c r="T92" i="4" s="1"/>
  <c r="AN69" i="4"/>
  <c r="AR69" i="4" s="1"/>
  <c r="AF123" i="4"/>
  <c r="AJ123" i="4" s="1"/>
  <c r="P55" i="4"/>
  <c r="T55" i="4" s="1"/>
  <c r="H74" i="4"/>
  <c r="L74" i="4" s="1"/>
  <c r="AF188" i="4"/>
  <c r="AH188" i="4" s="1"/>
  <c r="P100" i="4"/>
  <c r="R100" i="4" s="1"/>
  <c r="H36" i="4"/>
  <c r="L36" i="4" s="1"/>
  <c r="X28" i="4"/>
  <c r="AB28" i="4" s="1"/>
  <c r="X206" i="4"/>
  <c r="AB206" i="4" s="1"/>
  <c r="H163" i="4"/>
  <c r="L163" i="4" s="1"/>
  <c r="H172" i="4"/>
  <c r="J172" i="4" s="1"/>
  <c r="AF174" i="4"/>
  <c r="AJ174" i="4" s="1"/>
  <c r="P179" i="4"/>
  <c r="T179" i="4" s="1"/>
  <c r="P325" i="4"/>
  <c r="R325" i="4" s="1"/>
  <c r="H311" i="4"/>
  <c r="L311" i="4" s="1"/>
  <c r="AN174" i="4"/>
  <c r="AP174" i="4" s="1"/>
  <c r="AN253" i="4"/>
  <c r="AR253" i="4" s="1"/>
  <c r="AF297" i="4"/>
  <c r="AJ297" i="4" s="1"/>
  <c r="AN275" i="4"/>
  <c r="AR275" i="4" s="1"/>
  <c r="P330" i="4"/>
  <c r="T330" i="4" s="1"/>
  <c r="AN271" i="4"/>
  <c r="AR271" i="4" s="1"/>
  <c r="H241" i="4"/>
  <c r="J241" i="4" s="1"/>
  <c r="H240" i="4"/>
  <c r="L240" i="4" s="1"/>
  <c r="P309" i="4"/>
  <c r="T309" i="4" s="1"/>
  <c r="AF356" i="4"/>
  <c r="AJ356" i="4" s="1"/>
  <c r="X353" i="4"/>
  <c r="AB353" i="4" s="1"/>
  <c r="X333" i="4"/>
  <c r="AB333" i="4" s="1"/>
  <c r="AN318" i="4"/>
  <c r="AR318" i="4" s="1"/>
  <c r="H366" i="4"/>
  <c r="J366" i="4" s="1"/>
  <c r="P281" i="4"/>
  <c r="T281" i="4" s="1"/>
  <c r="X225" i="4"/>
  <c r="Z225" i="4" s="1"/>
  <c r="AN251" i="4"/>
  <c r="AR251" i="4" s="1"/>
  <c r="AN284" i="4"/>
  <c r="AR284" i="4" s="1"/>
  <c r="H301" i="4"/>
  <c r="L301" i="4" s="1"/>
  <c r="H343" i="4"/>
  <c r="J343" i="4" s="1"/>
  <c r="H137" i="4"/>
  <c r="L137" i="4" s="1"/>
  <c r="X172" i="4"/>
  <c r="Z172" i="4" s="1"/>
  <c r="P292" i="4"/>
  <c r="T292" i="4" s="1"/>
  <c r="AN225" i="4"/>
  <c r="AR225" i="4" s="1"/>
  <c r="H242" i="4"/>
  <c r="J242" i="4" s="1"/>
  <c r="X316" i="4"/>
  <c r="Z316" i="4" s="1"/>
  <c r="X357" i="4"/>
  <c r="Z357" i="4" s="1"/>
  <c r="X125" i="4"/>
  <c r="Z125" i="4" s="1"/>
  <c r="P245" i="4"/>
  <c r="T245" i="4" s="1"/>
  <c r="X261" i="4"/>
  <c r="AB261" i="4" s="1"/>
  <c r="X294" i="4"/>
  <c r="AB294" i="4" s="1"/>
  <c r="AF306" i="4"/>
  <c r="AH306" i="4" s="1"/>
  <c r="AN368" i="4"/>
  <c r="AR368" i="4" s="1"/>
  <c r="P144" i="4"/>
  <c r="T144" i="4" s="1"/>
  <c r="AF179" i="4"/>
  <c r="AH179" i="4" s="1"/>
  <c r="X299" i="4"/>
  <c r="AB299" i="4" s="1"/>
  <c r="H233" i="4"/>
  <c r="L233" i="4" s="1"/>
  <c r="P249" i="4"/>
  <c r="R249" i="4" s="1"/>
  <c r="AF323" i="4"/>
  <c r="AH323" i="4" s="1"/>
  <c r="X369" i="4"/>
  <c r="Z369" i="4" s="1"/>
  <c r="P130" i="4"/>
  <c r="T130" i="4" s="1"/>
  <c r="AN302" i="4"/>
  <c r="AP302" i="4" s="1"/>
  <c r="P266" i="4"/>
  <c r="R266" i="4" s="1"/>
  <c r="P299" i="4"/>
  <c r="R299" i="4" s="1"/>
  <c r="AN314" i="4"/>
  <c r="AR314" i="4" s="1"/>
  <c r="X341" i="4"/>
  <c r="Z341" i="4" s="1"/>
  <c r="H149" i="4"/>
  <c r="L149" i="4" s="1"/>
  <c r="X184" i="4"/>
  <c r="Z184" i="4" s="1"/>
  <c r="P304" i="4"/>
  <c r="T304" i="4" s="1"/>
  <c r="AN237" i="4"/>
  <c r="AR237" i="4" s="1"/>
  <c r="H254" i="4"/>
  <c r="J254" i="4" s="1"/>
  <c r="X328" i="4"/>
  <c r="Z328" i="4" s="1"/>
  <c r="H342" i="4"/>
  <c r="L342" i="4" s="1"/>
  <c r="H135" i="4"/>
  <c r="J135" i="4" s="1"/>
  <c r="X324" i="4"/>
  <c r="Z324" i="4" s="1"/>
  <c r="AN146" i="4"/>
  <c r="AR146" i="4" s="1"/>
  <c r="P131" i="4"/>
  <c r="T131" i="4" s="1"/>
  <c r="P27" i="4"/>
  <c r="T27" i="4" s="1"/>
  <c r="H47" i="4"/>
  <c r="L47" i="4" s="1"/>
  <c r="P138" i="4"/>
  <c r="T138" i="4" s="1"/>
  <c r="P43" i="4"/>
  <c r="T43" i="4" s="1"/>
  <c r="AN34" i="4"/>
  <c r="AR34" i="4" s="1"/>
  <c r="AN7" i="4"/>
  <c r="AR7" i="4" s="1"/>
  <c r="H55" i="4"/>
  <c r="J55" i="4" s="1"/>
  <c r="X128" i="4"/>
  <c r="AB128" i="4" s="1"/>
  <c r="P17" i="4"/>
  <c r="T17" i="4" s="1"/>
  <c r="P160" i="4"/>
  <c r="T160" i="4" s="1"/>
  <c r="AN35" i="4"/>
  <c r="AR35" i="4" s="1"/>
  <c r="AN99" i="4"/>
  <c r="AP99" i="4" s="1"/>
  <c r="P58" i="4"/>
  <c r="T58" i="4" s="1"/>
  <c r="P124" i="4"/>
  <c r="T124" i="4" s="1"/>
  <c r="AF210" i="4"/>
  <c r="AJ210" i="4" s="1"/>
  <c r="AF197" i="4"/>
  <c r="AJ197" i="4" s="1"/>
  <c r="X178" i="4"/>
  <c r="AB178" i="4" s="1"/>
  <c r="H208" i="4"/>
  <c r="J208" i="4" s="1"/>
  <c r="H296" i="4"/>
  <c r="L296" i="4" s="1"/>
  <c r="X249" i="4"/>
  <c r="AB249" i="4" s="1"/>
  <c r="AF142" i="4"/>
  <c r="AJ142" i="4" s="1"/>
  <c r="H248" i="4"/>
  <c r="J248" i="4" s="1"/>
  <c r="P294" i="4"/>
  <c r="R294" i="4" s="1"/>
  <c r="AF349" i="4"/>
  <c r="AJ349" i="4" s="1"/>
  <c r="AF300" i="4"/>
  <c r="AH300" i="4" s="1"/>
  <c r="X244" i="4"/>
  <c r="AB244" i="4" s="1"/>
  <c r="AF336" i="4"/>
  <c r="AJ336" i="4" s="1"/>
  <c r="X330" i="4"/>
  <c r="Z330" i="4" s="1"/>
  <c r="H363" i="4"/>
  <c r="L363" i="4" s="1"/>
  <c r="AF322" i="4"/>
  <c r="AJ322" i="4" s="1"/>
  <c r="P358" i="4"/>
  <c r="R358" i="4" s="1"/>
  <c r="H357" i="4"/>
  <c r="L357" i="4" s="1"/>
  <c r="X340" i="4"/>
  <c r="Z340" i="4" s="1"/>
  <c r="X347" i="4"/>
  <c r="AB347" i="4" s="1"/>
  <c r="AF144" i="4"/>
  <c r="AH144" i="4" s="1"/>
  <c r="X229" i="4"/>
  <c r="AB229" i="4" s="1"/>
  <c r="AF280" i="4"/>
  <c r="AJ280" i="4" s="1"/>
  <c r="X312" i="4"/>
  <c r="Z312" i="4" s="1"/>
  <c r="P344" i="4"/>
  <c r="T344" i="4" s="1"/>
  <c r="AN355" i="4"/>
  <c r="AR355" i="4" s="1"/>
  <c r="AN165" i="4"/>
  <c r="AR165" i="4" s="1"/>
  <c r="P201" i="4"/>
  <c r="R201" i="4" s="1"/>
  <c r="H330" i="4"/>
  <c r="J330" i="4" s="1"/>
  <c r="AF254" i="4"/>
  <c r="AJ254" i="4" s="1"/>
  <c r="AN270" i="4"/>
  <c r="AP270" i="4" s="1"/>
  <c r="X350" i="4"/>
  <c r="AB350" i="4" s="1"/>
  <c r="AN358" i="4"/>
  <c r="AP358" i="4" s="1"/>
  <c r="P154" i="4"/>
  <c r="R154" i="4" s="1"/>
  <c r="H239" i="4"/>
  <c r="L239" i="4" s="1"/>
  <c r="P290" i="4"/>
  <c r="T290" i="4" s="1"/>
  <c r="AN326" i="4"/>
  <c r="AP326" i="4" s="1"/>
  <c r="AF225" i="4"/>
  <c r="AJ225" i="4" s="1"/>
  <c r="X365" i="4"/>
  <c r="Z365" i="4" s="1"/>
  <c r="H173" i="4"/>
  <c r="L173" i="4" s="1"/>
  <c r="X208" i="4"/>
  <c r="Z208" i="4" s="1"/>
  <c r="H224" i="4"/>
  <c r="L224" i="4" s="1"/>
  <c r="AN261" i="4"/>
  <c r="AR261" i="4" s="1"/>
  <c r="H278" i="4"/>
  <c r="J278" i="4" s="1"/>
  <c r="P318" i="4"/>
  <c r="T318" i="4" s="1"/>
  <c r="X343" i="4"/>
  <c r="Z343" i="4" s="1"/>
  <c r="H159" i="4"/>
  <c r="J159" i="4" s="1"/>
  <c r="AN243" i="4"/>
  <c r="AR243" i="4" s="1"/>
  <c r="H295" i="4"/>
  <c r="L295" i="4" s="1"/>
  <c r="X336" i="4"/>
  <c r="Z336" i="4" s="1"/>
  <c r="X230" i="4"/>
  <c r="AB230" i="4" s="1"/>
  <c r="AN339" i="4"/>
  <c r="AP339" i="4" s="1"/>
  <c r="AN177" i="4"/>
  <c r="AR177" i="4" s="1"/>
  <c r="P213" i="4"/>
  <c r="R213" i="4" s="1"/>
  <c r="AN228" i="4"/>
  <c r="AR228" i="4" s="1"/>
  <c r="AF266" i="4"/>
  <c r="AJ266" i="4" s="1"/>
  <c r="AN282" i="4"/>
  <c r="AP282" i="4" s="1"/>
  <c r="H323" i="4"/>
  <c r="L323" i="4" s="1"/>
  <c r="P348" i="4"/>
  <c r="T348" i="4" s="1"/>
  <c r="AN163" i="4"/>
  <c r="AP163" i="4" s="1"/>
  <c r="AF248" i="4"/>
  <c r="AJ248" i="4" s="1"/>
  <c r="AN299" i="4"/>
  <c r="AR299" i="4" s="1"/>
  <c r="H360" i="4"/>
  <c r="J360" i="4" s="1"/>
  <c r="P235" i="4"/>
  <c r="R235" i="4" s="1"/>
  <c r="AF344" i="4"/>
  <c r="AJ344" i="4" s="1"/>
  <c r="AN153" i="4"/>
  <c r="AR153" i="4" s="1"/>
  <c r="P189" i="4"/>
  <c r="T189" i="4" s="1"/>
  <c r="AN308" i="4"/>
  <c r="AP308" i="4" s="1"/>
  <c r="AF242" i="4"/>
  <c r="AJ242" i="4" s="1"/>
  <c r="P198" i="4"/>
  <c r="T198" i="4" s="1"/>
  <c r="H111" i="4"/>
  <c r="L111" i="4" s="1"/>
  <c r="H52" i="4"/>
  <c r="L52" i="4" s="1"/>
  <c r="AF100" i="4"/>
  <c r="AH100" i="4" s="1"/>
  <c r="AN159" i="4"/>
  <c r="AR159" i="4" s="1"/>
  <c r="H107" i="4"/>
  <c r="J107" i="4" s="1"/>
  <c r="H13" i="4"/>
  <c r="J13" i="4" s="1"/>
  <c r="X18" i="4"/>
  <c r="AB18" i="4" s="1"/>
  <c r="P109" i="4"/>
  <c r="R109" i="4" s="1"/>
  <c r="P64" i="4"/>
  <c r="T64" i="4" s="1"/>
  <c r="AN124" i="4"/>
  <c r="AR124" i="4" s="1"/>
  <c r="X100" i="4"/>
  <c r="Z100" i="4" s="1"/>
  <c r="H90" i="4"/>
  <c r="L90" i="4" s="1"/>
  <c r="H45" i="4"/>
  <c r="J45" i="4" s="1"/>
  <c r="P71" i="4"/>
  <c r="T71" i="4" s="1"/>
  <c r="H188" i="4"/>
  <c r="L188" i="4" s="1"/>
  <c r="AF195" i="4"/>
  <c r="AH195" i="4" s="1"/>
  <c r="X174" i="4"/>
  <c r="Z174" i="4" s="1"/>
  <c r="P156" i="4"/>
  <c r="T156" i="4" s="1"/>
  <c r="P165" i="4"/>
  <c r="T165" i="4" s="1"/>
  <c r="X136" i="4"/>
  <c r="Z136" i="4" s="1"/>
  <c r="AN262" i="4"/>
  <c r="AR262" i="4" s="1"/>
  <c r="X326" i="4"/>
  <c r="AB326" i="4" s="1"/>
  <c r="P252" i="4"/>
  <c r="T252" i="4" s="1"/>
  <c r="AN276" i="4"/>
  <c r="AR276" i="4" s="1"/>
  <c r="X268" i="4"/>
  <c r="Z268" i="4" s="1"/>
  <c r="AF357" i="4"/>
  <c r="AJ357" i="4" s="1"/>
  <c r="P306" i="4"/>
  <c r="R306" i="4" s="1"/>
  <c r="P315" i="4"/>
  <c r="T315" i="4" s="1"/>
  <c r="H306" i="4"/>
  <c r="L306" i="4" s="1"/>
  <c r="AN298" i="4"/>
  <c r="AR298" i="4" s="1"/>
  <c r="AN285" i="4"/>
  <c r="AP285" i="4" s="1"/>
  <c r="X337" i="4"/>
  <c r="AB337" i="4" s="1"/>
  <c r="P328" i="4"/>
  <c r="R328" i="4" s="1"/>
  <c r="AF353" i="4"/>
  <c r="AH353" i="4" s="1"/>
  <c r="AF222" i="4"/>
  <c r="AJ222" i="4" s="1"/>
  <c r="P202" i="4"/>
  <c r="R202" i="4" s="1"/>
  <c r="H287" i="4"/>
  <c r="L287" i="4" s="1"/>
  <c r="AN238" i="4"/>
  <c r="AR238" i="4" s="1"/>
  <c r="AF264" i="4"/>
  <c r="AH264" i="4" s="1"/>
  <c r="AF273" i="4"/>
  <c r="AJ273" i="4" s="1"/>
  <c r="AN350" i="4"/>
  <c r="AR350" i="4" s="1"/>
  <c r="H237" i="4"/>
  <c r="L237" i="4" s="1"/>
  <c r="P140" i="4"/>
  <c r="T140" i="4" s="1"/>
  <c r="X274" i="4"/>
  <c r="AB274" i="4" s="1"/>
  <c r="AF315" i="4"/>
  <c r="AJ315" i="4" s="1"/>
  <c r="X354" i="4"/>
  <c r="AB354" i="4" s="1"/>
  <c r="AN337" i="4"/>
  <c r="AP337" i="4" s="1"/>
  <c r="AF259" i="4"/>
  <c r="AH259" i="4" s="1"/>
  <c r="AN211" i="4"/>
  <c r="AP211" i="4" s="1"/>
  <c r="AF296" i="4"/>
  <c r="AH296" i="4" s="1"/>
  <c r="X248" i="4"/>
  <c r="AB248" i="4" s="1"/>
  <c r="P274" i="4"/>
  <c r="T274" i="4" s="1"/>
  <c r="P283" i="4"/>
  <c r="T283" i="4" s="1"/>
  <c r="X360" i="4"/>
  <c r="AB360" i="4" s="1"/>
  <c r="H160" i="4"/>
  <c r="J160" i="4" s="1"/>
  <c r="X147" i="4"/>
  <c r="AB147" i="4" s="1"/>
  <c r="AF281" i="4"/>
  <c r="AJ281" i="4" s="1"/>
  <c r="AN328" i="4"/>
  <c r="AR328" i="4" s="1"/>
  <c r="AF226" i="4"/>
  <c r="AJ226" i="4" s="1"/>
  <c r="H352" i="4"/>
  <c r="L352" i="4" s="1"/>
  <c r="AF309" i="4"/>
  <c r="AJ309" i="4" s="1"/>
  <c r="AF216" i="4"/>
  <c r="AH216" i="4" s="1"/>
  <c r="X301" i="4"/>
  <c r="AB301" i="4" s="1"/>
  <c r="P253" i="4"/>
  <c r="T253" i="4" s="1"/>
  <c r="H279" i="4"/>
  <c r="J279" i="4" s="1"/>
  <c r="H288" i="4"/>
  <c r="L288" i="4" s="1"/>
  <c r="P365" i="4"/>
  <c r="T365" i="4" s="1"/>
  <c r="AN164" i="4"/>
  <c r="AP164" i="4" s="1"/>
  <c r="P152" i="4"/>
  <c r="T152" i="4" s="1"/>
  <c r="X286" i="4"/>
  <c r="AB286" i="4" s="1"/>
  <c r="AN341" i="4"/>
  <c r="AR341" i="4" s="1"/>
  <c r="X231" i="4"/>
  <c r="Z231" i="4" s="1"/>
  <c r="X366" i="4"/>
  <c r="Z366" i="4" s="1"/>
  <c r="AF183" i="4"/>
  <c r="AJ183" i="4" s="1"/>
  <c r="AN220" i="4"/>
  <c r="AP220" i="4" s="1"/>
  <c r="AN310" i="4"/>
  <c r="AR310" i="4" s="1"/>
  <c r="H258" i="4"/>
  <c r="L258" i="4" s="1"/>
  <c r="AN283" i="4"/>
  <c r="AP283" i="4" s="1"/>
  <c r="AN292" i="4"/>
  <c r="AR292" i="4" s="1"/>
  <c r="P340" i="4"/>
  <c r="T340" i="4" s="1"/>
  <c r="X211" i="4"/>
  <c r="AB211" i="4" s="1"/>
  <c r="P128" i="4"/>
  <c r="R128" i="4" s="1"/>
  <c r="X262" i="4"/>
  <c r="Z262" i="4" s="1"/>
  <c r="P300" i="4"/>
  <c r="T300" i="4" s="1"/>
  <c r="AF7" i="4"/>
  <c r="AJ7" i="4" s="1"/>
  <c r="AF11" i="4"/>
  <c r="AJ11" i="4" s="1"/>
  <c r="AN135" i="4"/>
  <c r="AR135" i="4" s="1"/>
  <c r="AN110" i="4"/>
  <c r="AR110" i="4" s="1"/>
  <c r="H65" i="4"/>
  <c r="L65" i="4" s="1"/>
  <c r="P52" i="4"/>
  <c r="R52" i="4" s="1"/>
  <c r="H112" i="4"/>
  <c r="L112" i="4" s="1"/>
  <c r="AN10" i="4"/>
  <c r="AR10" i="4" s="1"/>
  <c r="X182" i="4"/>
  <c r="AB182" i="4" s="1"/>
  <c r="AF113" i="4"/>
  <c r="AH113" i="4" s="1"/>
  <c r="AN63" i="4"/>
  <c r="AR63" i="4" s="1"/>
  <c r="AF16" i="4"/>
  <c r="AJ16" i="4" s="1"/>
  <c r="H156" i="4"/>
  <c r="L156" i="4" s="1"/>
  <c r="X94" i="4"/>
  <c r="AB94" i="4" s="1"/>
  <c r="AF139" i="4"/>
  <c r="AH139" i="4" s="1"/>
  <c r="H212" i="4"/>
  <c r="L212" i="4" s="1"/>
  <c r="AN213" i="4"/>
  <c r="AR213" i="4" s="1"/>
  <c r="P170" i="4"/>
  <c r="T170" i="4" s="1"/>
  <c r="P148" i="4"/>
  <c r="T148" i="4" s="1"/>
  <c r="AF191" i="4"/>
  <c r="AH191" i="4" s="1"/>
  <c r="AF260" i="4"/>
  <c r="AJ260" i="4" s="1"/>
  <c r="P324" i="4"/>
  <c r="T324" i="4" s="1"/>
  <c r="X238" i="4"/>
  <c r="AB238" i="4" s="1"/>
  <c r="P262" i="4"/>
  <c r="R262" i="4" s="1"/>
  <c r="H259" i="4"/>
  <c r="L259" i="4" s="1"/>
  <c r="H267" i="4"/>
  <c r="J267" i="4" s="1"/>
  <c r="AN312" i="4"/>
  <c r="AP312" i="4" s="1"/>
  <c r="AN280" i="4"/>
  <c r="AP280" i="4" s="1"/>
  <c r="AF304" i="4"/>
  <c r="AJ304" i="4" s="1"/>
  <c r="H294" i="4"/>
  <c r="J294" i="4" s="1"/>
  <c r="H281" i="4"/>
  <c r="L281" i="4" s="1"/>
  <c r="P263" i="4"/>
  <c r="T263" i="4" s="1"/>
  <c r="P353" i="4"/>
  <c r="R353" i="4" s="1"/>
  <c r="AN335" i="4"/>
  <c r="AR335" i="4" s="1"/>
  <c r="H355" i="4"/>
  <c r="J355" i="4" s="1"/>
  <c r="P193" i="4"/>
  <c r="T193" i="4" s="1"/>
  <c r="X239" i="4"/>
  <c r="AB239" i="4" s="1"/>
  <c r="X320" i="4"/>
  <c r="AB320" i="4" s="1"/>
  <c r="AF267" i="4"/>
  <c r="AH267" i="4" s="1"/>
  <c r="X293" i="4"/>
  <c r="Z293" i="4" s="1"/>
  <c r="X302" i="4"/>
  <c r="AB302" i="4" s="1"/>
  <c r="AN349" i="4"/>
  <c r="AR349" i="4" s="1"/>
  <c r="AF181" i="4"/>
  <c r="AH181" i="4" s="1"/>
  <c r="H169" i="4"/>
  <c r="L169" i="4" s="1"/>
  <c r="P303" i="4"/>
  <c r="T303" i="4" s="1"/>
  <c r="H232" i="4"/>
  <c r="L232" i="4" s="1"/>
  <c r="P248" i="4"/>
  <c r="T248" i="4" s="1"/>
  <c r="X322" i="4"/>
  <c r="AB322" i="4" s="1"/>
  <c r="AN202" i="4"/>
  <c r="AR202" i="4" s="1"/>
  <c r="AF119" i="4"/>
  <c r="AJ119" i="4" s="1"/>
  <c r="AN354" i="4"/>
  <c r="AR354" i="4" s="1"/>
  <c r="P277" i="4"/>
  <c r="R277" i="4" s="1"/>
  <c r="H303" i="4"/>
  <c r="J303" i="4" s="1"/>
  <c r="P316" i="4"/>
  <c r="R316" i="4" s="1"/>
  <c r="X359" i="4"/>
  <c r="AB359" i="4" s="1"/>
  <c r="AN188" i="4"/>
  <c r="AP188" i="4" s="1"/>
  <c r="P176" i="4"/>
  <c r="T176" i="4" s="1"/>
  <c r="AF307" i="4"/>
  <c r="AH307" i="4" s="1"/>
  <c r="P239" i="4"/>
  <c r="T239" i="4" s="1"/>
  <c r="X255" i="4"/>
  <c r="AB255" i="4" s="1"/>
  <c r="AF329" i="4"/>
  <c r="AJ329" i="4" s="1"/>
  <c r="AF207" i="4"/>
  <c r="AJ207" i="4" s="1"/>
  <c r="X124" i="4"/>
  <c r="AB124" i="4" s="1"/>
  <c r="P244" i="4"/>
  <c r="T244" i="4" s="1"/>
  <c r="H282" i="4"/>
  <c r="J282" i="4" s="1"/>
  <c r="P308" i="4"/>
  <c r="R308" i="4" s="1"/>
  <c r="H325" i="4"/>
  <c r="L325" i="4" s="1"/>
  <c r="P364" i="4"/>
  <c r="T364" i="4" s="1"/>
  <c r="AF193" i="4"/>
  <c r="AH193" i="4" s="1"/>
  <c r="H181" i="4"/>
  <c r="L181" i="4" s="1"/>
  <c r="H315" i="4"/>
  <c r="L315" i="4" s="1"/>
  <c r="H244" i="4"/>
  <c r="J244" i="4" s="1"/>
  <c r="P260" i="4"/>
  <c r="T260" i="4" s="1"/>
  <c r="X334" i="4"/>
  <c r="AB334" i="4" s="1"/>
  <c r="X212" i="4"/>
  <c r="AB212" i="4" s="1"/>
  <c r="P129" i="4"/>
  <c r="R129" i="4" s="1"/>
  <c r="H249" i="4"/>
  <c r="L249" i="4" s="1"/>
  <c r="AN286" i="4"/>
  <c r="AR286" i="4" s="1"/>
  <c r="H309" i="4"/>
  <c r="L309" i="4" s="1"/>
  <c r="AF334" i="4"/>
  <c r="AH334" i="4" s="1"/>
  <c r="H369" i="4"/>
  <c r="L369" i="4" s="1"/>
  <c r="AF169" i="4"/>
  <c r="AJ169" i="4" s="1"/>
  <c r="H157" i="4"/>
  <c r="L157" i="4" s="1"/>
  <c r="P291" i="4"/>
  <c r="T291" i="4" s="1"/>
  <c r="H362" i="4"/>
  <c r="J362" i="4" s="1"/>
  <c r="AN29" i="4"/>
  <c r="AR29" i="4" s="1"/>
  <c r="AN40" i="4"/>
  <c r="AP40" i="4" s="1"/>
  <c r="AF163" i="4"/>
  <c r="AH163" i="4" s="1"/>
  <c r="X46" i="4"/>
  <c r="Z46" i="4" s="1"/>
  <c r="P73" i="4"/>
  <c r="R73" i="4" s="1"/>
  <c r="AN109" i="4"/>
  <c r="AR109" i="4" s="1"/>
  <c r="X50" i="4"/>
  <c r="Z50" i="4" s="1"/>
  <c r="H38" i="4"/>
  <c r="L38" i="4" s="1"/>
  <c r="P9" i="4"/>
  <c r="T9" i="4" s="1"/>
  <c r="X57" i="4"/>
  <c r="AB57" i="4" s="1"/>
  <c r="AF135" i="4"/>
  <c r="AJ135" i="4" s="1"/>
  <c r="AN78" i="4"/>
  <c r="AR78" i="4" s="1"/>
  <c r="AF125" i="4"/>
  <c r="AJ125" i="4" s="1"/>
  <c r="P38" i="4"/>
  <c r="R38" i="4" s="1"/>
  <c r="X73" i="4"/>
  <c r="Z73" i="4" s="1"/>
  <c r="AF221" i="4"/>
  <c r="AJ221" i="4" s="1"/>
  <c r="X153" i="4"/>
  <c r="AB153" i="4" s="1"/>
  <c r="AN129" i="4"/>
  <c r="AR129" i="4" s="1"/>
  <c r="H152" i="4"/>
  <c r="L152" i="4" s="1"/>
  <c r="AF166" i="4"/>
  <c r="AJ166" i="4" s="1"/>
  <c r="X265" i="4"/>
  <c r="AB265" i="4" s="1"/>
  <c r="X303" i="4"/>
  <c r="Z303" i="4" s="1"/>
  <c r="H247" i="4"/>
  <c r="L247" i="4" s="1"/>
  <c r="X289" i="4"/>
  <c r="AB289" i="4" s="1"/>
  <c r="H337" i="4"/>
  <c r="L337" i="4" s="1"/>
  <c r="AN333" i="4"/>
  <c r="AR333" i="4" s="1"/>
  <c r="H320" i="4"/>
  <c r="J320" i="4" s="1"/>
  <c r="AF332" i="4"/>
  <c r="AJ332" i="4" s="1"/>
  <c r="AF291" i="4"/>
  <c r="AJ291" i="4" s="1"/>
  <c r="P276" i="4"/>
  <c r="T276" i="4" s="1"/>
  <c r="X258" i="4"/>
  <c r="AB258" i="4" s="1"/>
  <c r="H243" i="4"/>
  <c r="J243" i="4" s="1"/>
  <c r="X314" i="4"/>
  <c r="AB314" i="4" s="1"/>
  <c r="H344" i="4"/>
  <c r="J344" i="4" s="1"/>
  <c r="AN359" i="4"/>
  <c r="AP359" i="4" s="1"/>
  <c r="X228" i="4"/>
  <c r="Z228" i="4" s="1"/>
  <c r="AN138" i="4"/>
  <c r="AR138" i="4" s="1"/>
  <c r="AF258" i="4"/>
  <c r="AJ258" i="4" s="1"/>
  <c r="X296" i="4"/>
  <c r="AB296" i="4" s="1"/>
  <c r="AF327" i="4"/>
  <c r="AH327" i="4" s="1"/>
  <c r="H328" i="4"/>
  <c r="J328" i="4" s="1"/>
  <c r="X346" i="4"/>
  <c r="AB346" i="4" s="1"/>
  <c r="X210" i="4"/>
  <c r="Z210" i="4" s="1"/>
  <c r="AN197" i="4"/>
  <c r="AR197" i="4" s="1"/>
  <c r="AF361" i="4"/>
  <c r="AJ361" i="4" s="1"/>
  <c r="AN260" i="4"/>
  <c r="AP260" i="4" s="1"/>
  <c r="H277" i="4"/>
  <c r="L277" i="4" s="1"/>
  <c r="P314" i="4"/>
  <c r="T314" i="4" s="1"/>
  <c r="H310" i="4"/>
  <c r="J310" i="4" s="1"/>
  <c r="X148" i="4"/>
  <c r="AB148" i="4" s="1"/>
  <c r="P268" i="4"/>
  <c r="T268" i="4" s="1"/>
  <c r="X311" i="4"/>
  <c r="Z311" i="4" s="1"/>
  <c r="H348" i="4"/>
  <c r="J348" i="4" s="1"/>
  <c r="AF337" i="4"/>
  <c r="AH337" i="4" s="1"/>
  <c r="H356" i="4"/>
  <c r="L356" i="4" s="1"/>
  <c r="AF217" i="4"/>
  <c r="AH217" i="4" s="1"/>
  <c r="H205" i="4"/>
  <c r="L205" i="4" s="1"/>
  <c r="H235" i="4"/>
  <c r="J235" i="4" s="1"/>
  <c r="H268" i="4"/>
  <c r="L268" i="4" s="1"/>
  <c r="P284" i="4"/>
  <c r="T284" i="4" s="1"/>
  <c r="X321" i="4"/>
  <c r="AB321" i="4" s="1"/>
  <c r="P329" i="4"/>
  <c r="R329" i="4" s="1"/>
  <c r="P153" i="4"/>
  <c r="T153" i="4" s="1"/>
  <c r="H273" i="4"/>
  <c r="L273" i="4" s="1"/>
  <c r="H317" i="4"/>
  <c r="L317" i="4" s="1"/>
  <c r="AN222" i="4"/>
  <c r="AP222" i="4" s="1"/>
  <c r="P345" i="4"/>
  <c r="T345" i="4" s="1"/>
  <c r="AN360" i="4"/>
  <c r="AR360" i="4" s="1"/>
  <c r="H222" i="4"/>
  <c r="L222" i="4" s="1"/>
  <c r="AN209" i="4"/>
  <c r="AR209" i="4" s="1"/>
  <c r="AN239" i="4"/>
  <c r="AR239" i="4" s="1"/>
  <c r="AN272" i="4"/>
  <c r="AR272" i="4" s="1"/>
  <c r="H289" i="4"/>
  <c r="L289" i="4" s="1"/>
  <c r="P326" i="4"/>
  <c r="T326" i="4" s="1"/>
  <c r="AF122" i="4"/>
  <c r="AJ122" i="4" s="1"/>
  <c r="H158" i="4"/>
  <c r="L158" i="4" s="1"/>
  <c r="AN277" i="4"/>
  <c r="AR277" i="4" s="1"/>
  <c r="X327" i="4"/>
  <c r="Z327" i="4" s="1"/>
  <c r="AF227" i="4"/>
  <c r="AH227" i="4" s="1"/>
  <c r="AF359" i="4"/>
  <c r="AJ359" i="4" s="1"/>
  <c r="H368" i="4"/>
  <c r="J368" i="4" s="1"/>
  <c r="X198" i="4"/>
  <c r="Z198" i="4" s="1"/>
  <c r="AN185" i="4"/>
  <c r="AP185" i="4" s="1"/>
  <c r="H321" i="4"/>
  <c r="J321" i="4" s="1"/>
  <c r="AN248" i="4"/>
  <c r="AP248" i="4" s="1"/>
  <c r="H364" i="4"/>
  <c r="L364" i="4" s="1"/>
  <c r="H305" i="4"/>
  <c r="L305" i="4" s="1"/>
  <c r="P347" i="4"/>
  <c r="T347" i="4" s="1"/>
  <c r="AF236" i="4"/>
  <c r="AJ236" i="4" s="1"/>
  <c r="X159" i="4"/>
  <c r="Z159" i="4" s="1"/>
  <c r="AF224" i="4"/>
  <c r="AH224" i="4" s="1"/>
  <c r="P282" i="4"/>
  <c r="T282" i="4" s="1"/>
  <c r="X220" i="4"/>
  <c r="Z220" i="4" s="1"/>
  <c r="X209" i="4"/>
  <c r="AB209" i="4" s="1"/>
  <c r="P192" i="4"/>
  <c r="T192" i="4" s="1"/>
  <c r="P123" i="4"/>
  <c r="T123" i="4" s="1"/>
  <c r="AF149" i="4"/>
  <c r="AJ149" i="4" s="1"/>
  <c r="H176" i="4"/>
  <c r="J176" i="4" s="1"/>
  <c r="AF198" i="4"/>
  <c r="AJ198" i="4" s="1"/>
  <c r="X127" i="4"/>
  <c r="Z127" i="4" s="1"/>
  <c r="P305" i="4"/>
  <c r="T305" i="4" s="1"/>
  <c r="AF219" i="4"/>
  <c r="AJ219" i="4" s="1"/>
  <c r="X200" i="4"/>
  <c r="Z200" i="4" s="1"/>
  <c r="AF196" i="4"/>
  <c r="AJ196" i="4" s="1"/>
  <c r="AN156" i="4"/>
  <c r="AP156" i="4" s="1"/>
  <c r="AF124" i="4"/>
  <c r="AJ124" i="4" s="1"/>
  <c r="AN216" i="4"/>
  <c r="AR216" i="4" s="1"/>
  <c r="AN181" i="4"/>
  <c r="AP181" i="4" s="1"/>
  <c r="AN160" i="4"/>
  <c r="AR160" i="4" s="1"/>
  <c r="AF40" i="4"/>
  <c r="AJ40" i="4" s="1"/>
  <c r="H46" i="4"/>
  <c r="L46" i="4" s="1"/>
  <c r="P116" i="4"/>
  <c r="R116" i="4" s="1"/>
  <c r="H30" i="4"/>
  <c r="J30" i="4" s="1"/>
  <c r="H11" i="4"/>
  <c r="L11" i="4" s="1"/>
  <c r="AN130" i="4"/>
  <c r="AR130" i="4" s="1"/>
  <c r="H148" i="4"/>
  <c r="J148" i="4" s="1"/>
  <c r="P137" i="4"/>
  <c r="R137" i="4" s="1"/>
  <c r="H8" i="4"/>
  <c r="L8" i="4" s="1"/>
  <c r="AF35" i="4"/>
  <c r="AJ35" i="4" s="1"/>
  <c r="P61" i="4"/>
  <c r="T61" i="4" s="1"/>
  <c r="X71" i="4"/>
  <c r="AB71" i="4" s="1"/>
  <c r="X62" i="4"/>
  <c r="AB62" i="4" s="1"/>
  <c r="AN20" i="4"/>
  <c r="AR20" i="4" s="1"/>
  <c r="H23" i="4"/>
  <c r="L23" i="4" s="1"/>
  <c r="X155" i="4"/>
  <c r="AB155" i="4" s="1"/>
  <c r="AF88" i="4"/>
  <c r="AH88" i="4" s="1"/>
  <c r="H94" i="4"/>
  <c r="L94" i="4" s="1"/>
  <c r="X90" i="4"/>
  <c r="AB90" i="4" s="1"/>
  <c r="H61" i="4"/>
  <c r="L61" i="4" s="1"/>
  <c r="X40" i="4"/>
  <c r="AB40" i="4" s="1"/>
  <c r="AN206" i="4"/>
  <c r="AR206" i="4" s="1"/>
  <c r="X35" i="4"/>
  <c r="Z35" i="4" s="1"/>
  <c r="AN219" i="4"/>
  <c r="AR219" i="4" s="1"/>
  <c r="AF25" i="4"/>
  <c r="AH25" i="4" s="1"/>
  <c r="AN147" i="4"/>
  <c r="AR147" i="4" s="1"/>
  <c r="X80" i="4"/>
  <c r="Z80" i="4" s="1"/>
  <c r="AF90" i="4"/>
  <c r="AJ90" i="4" s="1"/>
  <c r="AF81" i="4"/>
  <c r="AJ81" i="4" s="1"/>
  <c r="AN25" i="4"/>
  <c r="AP25" i="4" s="1"/>
  <c r="H62" i="4"/>
  <c r="J62" i="4" s="1"/>
  <c r="AF157" i="4"/>
  <c r="AH157" i="4" s="1"/>
  <c r="AN218" i="4"/>
  <c r="AR218" i="4" s="1"/>
  <c r="X181" i="4"/>
  <c r="AB181" i="4" s="1"/>
  <c r="AN103" i="4"/>
  <c r="AR103" i="4" s="1"/>
  <c r="X17" i="4"/>
  <c r="AB17" i="4" s="1"/>
  <c r="X91" i="4"/>
  <c r="Z91" i="4" s="1"/>
  <c r="AN72" i="4"/>
  <c r="AP72" i="4" s="1"/>
  <c r="P78" i="4"/>
  <c r="T78" i="4" s="1"/>
  <c r="P29" i="4"/>
  <c r="T29" i="4" s="1"/>
  <c r="P7" i="4"/>
  <c r="R7" i="4" s="1"/>
  <c r="AN290" i="4"/>
  <c r="AP290" i="4" s="1"/>
  <c r="P163" i="4"/>
  <c r="T163" i="4" s="1"/>
  <c r="H43" i="4"/>
  <c r="J43" i="4" s="1"/>
  <c r="AN97" i="4"/>
  <c r="AR97" i="4" s="1"/>
  <c r="P97" i="4"/>
  <c r="R97" i="4" s="1"/>
  <c r="P149" i="4"/>
  <c r="R149" i="4" s="1"/>
  <c r="H69" i="4"/>
  <c r="L69" i="4" s="1"/>
  <c r="AN111" i="4"/>
  <c r="AR111" i="4" s="1"/>
  <c r="AF45" i="4"/>
  <c r="AJ45" i="4" s="1"/>
  <c r="AN32" i="4"/>
  <c r="AR32" i="4" s="1"/>
  <c r="X31" i="4"/>
  <c r="AB31" i="4" s="1"/>
  <c r="H26" i="4"/>
  <c r="J26" i="4" s="1"/>
  <c r="AF18" i="4"/>
  <c r="AJ18" i="4" s="1"/>
  <c r="AF89" i="4"/>
  <c r="AH89" i="4" s="1"/>
  <c r="AF104" i="4"/>
  <c r="AJ104" i="4" s="1"/>
  <c r="H167" i="4"/>
  <c r="L167" i="4" s="1"/>
  <c r="AN114" i="4"/>
  <c r="AR114" i="4" s="1"/>
  <c r="P70" i="4"/>
  <c r="R70" i="4" s="1"/>
  <c r="X78" i="4"/>
  <c r="Z78" i="4" s="1"/>
  <c r="AF14" i="4"/>
  <c r="AJ14" i="4" s="1"/>
  <c r="H236" i="4"/>
  <c r="L236" i="4" s="1"/>
  <c r="AF298" i="4"/>
  <c r="AJ298" i="4" s="1"/>
  <c r="AN309" i="4"/>
  <c r="AP309" i="4" s="1"/>
  <c r="H133" i="4"/>
  <c r="L133" i="4" s="1"/>
  <c r="P141" i="4"/>
  <c r="R141" i="4" s="1"/>
  <c r="P267" i="4"/>
  <c r="T267" i="4" s="1"/>
  <c r="AN162" i="4"/>
  <c r="AP162" i="4" s="1"/>
  <c r="AF168" i="4"/>
  <c r="AH168" i="4" s="1"/>
  <c r="AN199" i="4"/>
  <c r="AP199" i="4" s="1"/>
  <c r="P233" i="4"/>
  <c r="T233" i="4" s="1"/>
  <c r="AN205" i="4"/>
  <c r="AP205" i="4" s="1"/>
  <c r="AN120" i="4"/>
  <c r="AR120" i="4" s="1"/>
  <c r="P147" i="4"/>
  <c r="T147" i="4" s="1"/>
  <c r="AN169" i="4"/>
  <c r="AR169" i="4" s="1"/>
  <c r="P218" i="4"/>
  <c r="T218" i="4" s="1"/>
  <c r="X201" i="4"/>
  <c r="AB201" i="4" s="1"/>
  <c r="AN191" i="4"/>
  <c r="AR191" i="4" s="1"/>
  <c r="P158" i="4"/>
  <c r="T158" i="4" s="1"/>
  <c r="X189" i="4"/>
  <c r="AB189" i="4" s="1"/>
  <c r="H201" i="4"/>
  <c r="L201" i="4" s="1"/>
  <c r="AF283" i="4"/>
  <c r="AJ283" i="4" s="1"/>
  <c r="H213" i="4"/>
  <c r="L213" i="4" s="1"/>
  <c r="AF126" i="4"/>
  <c r="AJ126" i="4" s="1"/>
  <c r="H132" i="4"/>
  <c r="L132" i="4" s="1"/>
  <c r="H142" i="4"/>
  <c r="J142" i="4" s="1"/>
  <c r="H162" i="4"/>
  <c r="L162" i="4" s="1"/>
  <c r="X26" i="4"/>
  <c r="AB26" i="4" s="1"/>
  <c r="AN115" i="4"/>
  <c r="AR115" i="4" s="1"/>
  <c r="H128" i="4"/>
  <c r="L128" i="4" s="1"/>
  <c r="AN95" i="4"/>
  <c r="AR95" i="4" s="1"/>
  <c r="P101" i="4"/>
  <c r="T101" i="4" s="1"/>
  <c r="AF97" i="4"/>
  <c r="AJ97" i="4" s="1"/>
  <c r="X88" i="4"/>
  <c r="AB88" i="4" s="1"/>
  <c r="H63" i="4"/>
  <c r="L63" i="4" s="1"/>
  <c r="AF31" i="4"/>
  <c r="AJ31" i="4" s="1"/>
  <c r="AF42" i="4"/>
  <c r="AH42" i="4" s="1"/>
  <c r="AF34" i="4"/>
  <c r="AJ34" i="4" s="1"/>
  <c r="AF38" i="4"/>
  <c r="AH38" i="4" s="1"/>
  <c r="AN26" i="4"/>
  <c r="AR26" i="4" s="1"/>
  <c r="P187" i="4"/>
  <c r="T187" i="4" s="1"/>
  <c r="AN59" i="4"/>
  <c r="AR59" i="4" s="1"/>
  <c r="P65" i="4"/>
  <c r="R65" i="4" s="1"/>
  <c r="AF61" i="4"/>
  <c r="AJ61" i="4" s="1"/>
  <c r="X16" i="4"/>
  <c r="AB16" i="4" s="1"/>
  <c r="AF10" i="4"/>
  <c r="AH10" i="4" s="1"/>
  <c r="H115" i="4"/>
  <c r="L115" i="4" s="1"/>
  <c r="H126" i="4"/>
  <c r="L126" i="4" s="1"/>
  <c r="AN116" i="4"/>
  <c r="AR116" i="4" s="1"/>
  <c r="X64" i="4"/>
  <c r="AB64" i="4" s="1"/>
  <c r="AN182" i="4"/>
  <c r="AR182" i="4" s="1"/>
  <c r="AF51" i="4"/>
  <c r="AH51" i="4" s="1"/>
  <c r="AN61" i="4"/>
  <c r="AR61" i="4" s="1"/>
  <c r="AN52" i="4"/>
  <c r="AP52" i="4" s="1"/>
  <c r="X99" i="4"/>
  <c r="AB99" i="4" s="1"/>
  <c r="P13" i="4"/>
  <c r="T13" i="4" s="1"/>
  <c r="AN106" i="4"/>
  <c r="AP106" i="4" s="1"/>
  <c r="H117" i="4"/>
  <c r="L117" i="4" s="1"/>
  <c r="H108" i="4"/>
  <c r="L108" i="4" s="1"/>
  <c r="AN22" i="4"/>
  <c r="AP22" i="4" s="1"/>
  <c r="X11" i="4"/>
  <c r="AB11" i="4" s="1"/>
  <c r="AF62" i="4"/>
  <c r="AJ62" i="4" s="1"/>
  <c r="H44" i="4"/>
  <c r="J44" i="4" s="1"/>
  <c r="X49" i="4"/>
  <c r="Z49" i="4" s="1"/>
  <c r="X7" i="4"/>
  <c r="AB7" i="4" s="1"/>
  <c r="X63" i="4"/>
  <c r="AB63" i="4" s="1"/>
  <c r="H262" i="4"/>
  <c r="L262" i="4" s="1"/>
  <c r="H102" i="4"/>
  <c r="J102" i="4" s="1"/>
  <c r="X70" i="4"/>
  <c r="Z70" i="4" s="1"/>
  <c r="AF133" i="4"/>
  <c r="AH133" i="4" s="1"/>
  <c r="X105" i="4"/>
  <c r="Z105" i="4" s="1"/>
  <c r="AF41" i="4"/>
  <c r="AJ41" i="4" s="1"/>
  <c r="X96" i="4"/>
  <c r="Z96" i="4" s="1"/>
  <c r="AF175" i="4"/>
  <c r="AH175" i="4" s="1"/>
  <c r="P75" i="4"/>
  <c r="R75" i="4" s="1"/>
  <c r="X21" i="4"/>
  <c r="Z21" i="4" s="1"/>
  <c r="AN16" i="4"/>
  <c r="AR16" i="4" s="1"/>
  <c r="AN9" i="4"/>
  <c r="AR9" i="4" s="1"/>
  <c r="P99" i="4"/>
  <c r="R99" i="4" s="1"/>
  <c r="X216" i="4"/>
  <c r="Z216" i="4" s="1"/>
  <c r="AF176" i="4"/>
  <c r="AJ176" i="4" s="1"/>
  <c r="X13" i="4"/>
  <c r="AB13" i="4" s="1"/>
  <c r="X65" i="4"/>
  <c r="AB65" i="4" s="1"/>
  <c r="P80" i="4"/>
  <c r="T80" i="4" s="1"/>
  <c r="X43" i="4"/>
  <c r="Z43" i="4" s="1"/>
  <c r="AF84" i="4"/>
  <c r="AJ84" i="4" s="1"/>
  <c r="AN317" i="4"/>
  <c r="AP317" i="4" s="1"/>
  <c r="P296" i="4"/>
  <c r="R296" i="4" s="1"/>
  <c r="AF326" i="4"/>
  <c r="AJ326" i="4" s="1"/>
  <c r="H270" i="4"/>
  <c r="L270" i="4" s="1"/>
  <c r="AN287" i="4"/>
  <c r="AR287" i="4" s="1"/>
  <c r="P243" i="4"/>
  <c r="R243" i="4" s="1"/>
  <c r="X253" i="4"/>
  <c r="AB253" i="4" s="1"/>
  <c r="AF203" i="4"/>
  <c r="AH203" i="4" s="1"/>
  <c r="X197" i="4"/>
  <c r="Z197" i="4" s="1"/>
  <c r="X187" i="4"/>
  <c r="AB187" i="4" s="1"/>
  <c r="H177" i="4"/>
  <c r="L177" i="4" s="1"/>
  <c r="X203" i="4"/>
  <c r="AB203" i="4" s="1"/>
  <c r="AN200" i="4"/>
  <c r="AP200" i="4" s="1"/>
  <c r="H184" i="4"/>
  <c r="J184" i="4" s="1"/>
  <c r="AN167" i="4"/>
  <c r="AP167" i="4" s="1"/>
  <c r="X165" i="4"/>
  <c r="AB165" i="4" s="1"/>
  <c r="AF160" i="4"/>
  <c r="AH160" i="4" s="1"/>
  <c r="X264" i="4"/>
  <c r="AB264" i="4" s="1"/>
  <c r="AF185" i="4"/>
  <c r="AH185" i="4" s="1"/>
  <c r="AN155" i="4"/>
  <c r="AR155" i="4" s="1"/>
  <c r="AF138" i="4"/>
  <c r="AJ138" i="4" s="1"/>
  <c r="AN133" i="4"/>
  <c r="AR133" i="4" s="1"/>
  <c r="AF213" i="4"/>
  <c r="AJ213" i="4" s="1"/>
  <c r="X115" i="4"/>
  <c r="Z115" i="4" s="1"/>
  <c r="AN96" i="4"/>
  <c r="AR96" i="4" s="1"/>
  <c r="P102" i="4"/>
  <c r="T102" i="4" s="1"/>
  <c r="P105" i="4"/>
  <c r="T105" i="4" s="1"/>
  <c r="AF26" i="4"/>
  <c r="AJ26" i="4" s="1"/>
  <c r="H204" i="4"/>
  <c r="L204" i="4" s="1"/>
  <c r="H67" i="4"/>
  <c r="J67" i="4" s="1"/>
  <c r="X72" i="4"/>
  <c r="AB72" i="4" s="1"/>
  <c r="AN68" i="4"/>
  <c r="AP68" i="4" s="1"/>
  <c r="AN23" i="4"/>
  <c r="AR23" i="4" s="1"/>
  <c r="P16" i="4"/>
  <c r="T16" i="4" s="1"/>
  <c r="P126" i="4"/>
  <c r="T126" i="4" s="1"/>
  <c r="AN140" i="4"/>
  <c r="AP140" i="4" s="1"/>
  <c r="H130" i="4"/>
  <c r="J130" i="4" s="1"/>
  <c r="X30" i="4"/>
  <c r="Z30" i="4" s="1"/>
  <c r="P21" i="4"/>
  <c r="T21" i="4" s="1"/>
  <c r="P151" i="4"/>
  <c r="T151" i="4" s="1"/>
  <c r="H215" i="4"/>
  <c r="L215" i="4" s="1"/>
  <c r="X36" i="4"/>
  <c r="AB36" i="4" s="1"/>
  <c r="AN77" i="4"/>
  <c r="AR77" i="4" s="1"/>
  <c r="AN5" i="4"/>
  <c r="AR5" i="4" s="1"/>
  <c r="H129" i="4"/>
  <c r="L129" i="4" s="1"/>
  <c r="P86" i="4"/>
  <c r="R86" i="4" s="1"/>
  <c r="AF91" i="4"/>
  <c r="AJ91" i="4" s="1"/>
  <c r="H88" i="4"/>
  <c r="L88" i="4" s="1"/>
  <c r="AN53" i="4"/>
  <c r="AR53" i="4" s="1"/>
  <c r="AN33" i="4"/>
  <c r="AR33" i="4" s="1"/>
  <c r="X192" i="4"/>
  <c r="AB192" i="4" s="1"/>
  <c r="AN30" i="4"/>
  <c r="AP30" i="4" s="1"/>
  <c r="X205" i="4"/>
  <c r="AB205" i="4" s="1"/>
  <c r="P24" i="4"/>
  <c r="R24" i="4" s="1"/>
  <c r="AN113" i="4"/>
  <c r="AR113" i="4" s="1"/>
  <c r="H78" i="4"/>
  <c r="J78" i="4" s="1"/>
  <c r="P88" i="4"/>
  <c r="T88" i="4" s="1"/>
  <c r="P79" i="4"/>
  <c r="T79" i="4" s="1"/>
  <c r="P47" i="4"/>
  <c r="T47" i="4" s="1"/>
  <c r="AN57" i="4"/>
  <c r="AR57" i="4" s="1"/>
  <c r="H136" i="4"/>
  <c r="L136" i="4" s="1"/>
  <c r="P173" i="4"/>
  <c r="R173" i="4" s="1"/>
  <c r="H154" i="4"/>
  <c r="J154" i="4" s="1"/>
  <c r="H75" i="4"/>
  <c r="J75" i="4" s="1"/>
  <c r="X10" i="4"/>
  <c r="AB10" i="4" s="1"/>
  <c r="X67" i="4"/>
  <c r="Z67" i="4" s="1"/>
  <c r="AF141" i="4"/>
  <c r="AJ141" i="4" s="1"/>
  <c r="X107" i="4"/>
  <c r="AB107" i="4" s="1"/>
  <c r="AN38" i="4"/>
  <c r="AP38" i="4" s="1"/>
  <c r="AF159" i="4"/>
  <c r="AH159" i="4" s="1"/>
  <c r="AF78" i="4"/>
  <c r="AJ78" i="4" s="1"/>
  <c r="AN142" i="4"/>
  <c r="AR142" i="4" s="1"/>
  <c r="H48" i="4"/>
  <c r="L48" i="4" s="1"/>
  <c r="AN46" i="4"/>
  <c r="AR46" i="4" s="1"/>
  <c r="AF19" i="4"/>
  <c r="AJ19" i="4" s="1"/>
  <c r="P18" i="4"/>
  <c r="R18" i="4" s="1"/>
  <c r="AF12" i="4"/>
  <c r="AH12" i="4" s="1"/>
  <c r="P53" i="4"/>
  <c r="T53" i="4" s="1"/>
  <c r="P33" i="4"/>
  <c r="T33" i="4" s="1"/>
  <c r="AN27" i="4"/>
  <c r="AP27" i="4" s="1"/>
  <c r="X12" i="4"/>
  <c r="Z12" i="4" s="1"/>
  <c r="H53" i="4"/>
  <c r="J53" i="4" s="1"/>
  <c r="H83" i="4"/>
  <c r="L83" i="4" s="1"/>
  <c r="H25" i="4"/>
  <c r="L25" i="4" s="1"/>
  <c r="AN11" i="4"/>
  <c r="AP11" i="4" s="1"/>
  <c r="AN137" i="4"/>
  <c r="AR137" i="4" s="1"/>
  <c r="AN321" i="4"/>
  <c r="AP321" i="4" s="1"/>
  <c r="AN300" i="4"/>
  <c r="AR300" i="4" s="1"/>
  <c r="AN231" i="4"/>
  <c r="AP231" i="4" s="1"/>
  <c r="AF130" i="4"/>
  <c r="AJ130" i="4" s="1"/>
  <c r="X171" i="4"/>
  <c r="Z171" i="4" s="1"/>
  <c r="P269" i="4"/>
  <c r="T269" i="4" s="1"/>
  <c r="H147" i="4"/>
  <c r="J147" i="4" s="1"/>
  <c r="AF180" i="4"/>
  <c r="AH180" i="4" s="1"/>
  <c r="AF158" i="4"/>
  <c r="AJ158" i="4" s="1"/>
  <c r="AN212" i="4"/>
  <c r="AP212" i="4" s="1"/>
  <c r="AN145" i="4"/>
  <c r="AR145" i="4" s="1"/>
  <c r="H225" i="4"/>
  <c r="L225" i="4" s="1"/>
  <c r="AF220" i="4"/>
  <c r="AH220" i="4" s="1"/>
  <c r="P230" i="4"/>
  <c r="T230" i="4" s="1"/>
  <c r="X227" i="4"/>
  <c r="AB227" i="4" s="1"/>
  <c r="P219" i="4"/>
  <c r="T219" i="4" s="1"/>
  <c r="P134" i="4"/>
  <c r="R134" i="4" s="1"/>
  <c r="H164" i="4"/>
  <c r="L164" i="4" s="1"/>
  <c r="P196" i="4"/>
  <c r="T196" i="4" s="1"/>
  <c r="AN196" i="4"/>
  <c r="AR196" i="4" s="1"/>
  <c r="H192" i="4"/>
  <c r="J192" i="4" s="1"/>
  <c r="X179" i="4"/>
  <c r="Z179" i="4" s="1"/>
  <c r="H250" i="4"/>
  <c r="L250" i="4" s="1"/>
  <c r="P39" i="4"/>
  <c r="R39" i="4" s="1"/>
  <c r="AF44" i="4"/>
  <c r="AH44" i="4" s="1"/>
  <c r="H39" i="4"/>
  <c r="L39" i="4" s="1"/>
  <c r="AN45" i="4"/>
  <c r="AR45" i="4" s="1"/>
  <c r="AF129" i="4"/>
  <c r="AH129" i="4" s="1"/>
  <c r="AN134" i="4"/>
  <c r="AP134" i="4" s="1"/>
  <c r="P157" i="4"/>
  <c r="T157" i="4" s="1"/>
  <c r="AN21" i="4"/>
  <c r="AP21" i="4" s="1"/>
  <c r="P106" i="4"/>
  <c r="T106" i="4" s="1"/>
  <c r="AF201" i="4"/>
  <c r="AH201" i="4" s="1"/>
  <c r="AF64" i="4"/>
  <c r="AH64" i="4" s="1"/>
  <c r="H70" i="4"/>
  <c r="L70" i="4" s="1"/>
  <c r="X66" i="4"/>
  <c r="AB66" i="4" s="1"/>
  <c r="X22" i="4"/>
  <c r="AB22" i="4" s="1"/>
  <c r="AN14" i="4"/>
  <c r="AP14" i="4" s="1"/>
  <c r="AN105" i="4"/>
  <c r="AR105" i="4" s="1"/>
  <c r="P87" i="4"/>
  <c r="R87" i="4" s="1"/>
  <c r="AF92" i="4"/>
  <c r="AJ92" i="4" s="1"/>
  <c r="AN66" i="4"/>
  <c r="AP66" i="4" s="1"/>
  <c r="P19" i="4"/>
  <c r="T19" i="4" s="1"/>
  <c r="AN148" i="4"/>
  <c r="AR148" i="4" s="1"/>
  <c r="AF200" i="4"/>
  <c r="AJ200" i="4" s="1"/>
  <c r="H35" i="4"/>
  <c r="L35" i="4" s="1"/>
  <c r="P68" i="4"/>
  <c r="R68" i="4" s="1"/>
  <c r="AN102" i="4"/>
  <c r="AR102" i="4" s="1"/>
  <c r="AN121" i="4"/>
  <c r="AR121" i="4" s="1"/>
  <c r="AN83" i="4"/>
  <c r="AP83" i="4" s="1"/>
  <c r="P89" i="4"/>
  <c r="T89" i="4" s="1"/>
  <c r="AF85" i="4"/>
  <c r="AH85" i="4" s="1"/>
  <c r="AF46" i="4"/>
  <c r="AJ46" i="4" s="1"/>
  <c r="AF29" i="4"/>
  <c r="AH29" i="4" s="1"/>
  <c r="H179" i="4"/>
  <c r="L179" i="4" s="1"/>
  <c r="AF212" i="4"/>
  <c r="AJ212" i="4" s="1"/>
  <c r="H191" i="4"/>
  <c r="L191" i="4" s="1"/>
  <c r="H21" i="4"/>
  <c r="L21" i="4" s="1"/>
  <c r="P104" i="4"/>
  <c r="R104" i="4" s="1"/>
  <c r="AN70" i="4"/>
  <c r="AP70" i="4" s="1"/>
  <c r="H81" i="4"/>
  <c r="L81" i="4" s="1"/>
  <c r="H72" i="4"/>
  <c r="L72" i="4" s="1"/>
  <c r="AF83" i="4"/>
  <c r="AH83" i="4" s="1"/>
  <c r="AF36" i="4"/>
  <c r="AH36" i="4" s="1"/>
  <c r="AN208" i="4"/>
  <c r="AR208" i="4" s="1"/>
  <c r="X134" i="4"/>
  <c r="AB134" i="4" s="1"/>
  <c r="X48" i="4"/>
  <c r="AB48" i="4" s="1"/>
  <c r="AN88" i="4"/>
  <c r="AP88" i="4" s="1"/>
  <c r="X83" i="4"/>
  <c r="AB83" i="4" s="1"/>
  <c r="AF171" i="4"/>
  <c r="AJ171" i="4" s="1"/>
  <c r="H60" i="4"/>
  <c r="J60" i="4" s="1"/>
  <c r="AN58" i="4"/>
  <c r="AP58" i="4" s="1"/>
  <c r="AF39" i="4"/>
  <c r="AH39" i="4" s="1"/>
  <c r="H9" i="4"/>
  <c r="J9" i="4" s="1"/>
  <c r="AF6" i="4"/>
  <c r="AJ6" i="4" s="1"/>
  <c r="AF9" i="4"/>
  <c r="AJ9" i="4" s="1"/>
  <c r="AN42" i="4"/>
  <c r="AP42" i="4" s="1"/>
  <c r="P10" i="4"/>
  <c r="T10" i="4" s="1"/>
  <c r="X53" i="4"/>
  <c r="AB53" i="4" s="1"/>
  <c r="P69" i="4"/>
  <c r="R69" i="4" s="1"/>
  <c r="H28" i="4"/>
  <c r="J28" i="4" s="1"/>
  <c r="P14" i="4"/>
  <c r="T14" i="4" s="1"/>
  <c r="AF37" i="4"/>
  <c r="AJ37" i="4" s="1"/>
  <c r="H99" i="4"/>
  <c r="J99" i="4" s="1"/>
  <c r="P287" i="4"/>
  <c r="R287" i="4" s="1"/>
  <c r="P273" i="4"/>
  <c r="T273" i="4" s="1"/>
  <c r="AF302" i="4"/>
  <c r="AJ302" i="4" s="1"/>
  <c r="P241" i="4"/>
  <c r="T241" i="4" s="1"/>
  <c r="H171" i="4"/>
  <c r="J171" i="4" s="1"/>
  <c r="AF235" i="4"/>
  <c r="AH235" i="4" s="1"/>
  <c r="P200" i="4"/>
  <c r="T200" i="4" s="1"/>
  <c r="P142" i="4"/>
  <c r="R142" i="4" s="1"/>
  <c r="AN139" i="4"/>
  <c r="AP139" i="4" s="1"/>
  <c r="AN179" i="4"/>
  <c r="AR179" i="4" s="1"/>
  <c r="X188" i="4"/>
  <c r="AB188" i="4" s="1"/>
  <c r="X139" i="4"/>
  <c r="Z139" i="4" s="1"/>
  <c r="AN143" i="4"/>
  <c r="AR143" i="4" s="1"/>
  <c r="X141" i="4"/>
  <c r="AB141" i="4" s="1"/>
  <c r="AN168" i="4"/>
  <c r="AR168" i="4" s="1"/>
  <c r="X166" i="4"/>
  <c r="AB166" i="4" s="1"/>
  <c r="AF161" i="4"/>
  <c r="AJ161" i="4" s="1"/>
  <c r="H127" i="4"/>
  <c r="L127" i="4" s="1"/>
  <c r="H153" i="4"/>
  <c r="L153" i="4" s="1"/>
  <c r="X129" i="4"/>
  <c r="AB129" i="4" s="1"/>
  <c r="P221" i="4"/>
  <c r="T221" i="4" s="1"/>
  <c r="H189" i="4"/>
  <c r="L189" i="4" s="1"/>
  <c r="P211" i="4"/>
  <c r="T211" i="4" s="1"/>
  <c r="AN94" i="4"/>
  <c r="AP94" i="4" s="1"/>
  <c r="H105" i="4"/>
  <c r="L105" i="4" s="1"/>
  <c r="H96" i="4"/>
  <c r="L96" i="4" s="1"/>
  <c r="X8" i="4"/>
  <c r="Z8" i="4" s="1"/>
  <c r="AF118" i="4"/>
  <c r="AH118" i="4" s="1"/>
  <c r="P84" i="4"/>
  <c r="T84" i="4" s="1"/>
  <c r="AF65" i="4"/>
  <c r="AJ65" i="4" s="1"/>
  <c r="H71" i="4"/>
  <c r="J71" i="4" s="1"/>
  <c r="P23" i="4"/>
  <c r="T23" i="4" s="1"/>
  <c r="P15" i="4"/>
  <c r="T15" i="4" s="1"/>
  <c r="P209" i="4"/>
  <c r="T209" i="4" s="1"/>
  <c r="AN122" i="4"/>
  <c r="AR122" i="4" s="1"/>
  <c r="H150" i="4"/>
  <c r="L150" i="4" s="1"/>
  <c r="X20" i="4"/>
  <c r="Z20" i="4" s="1"/>
  <c r="AF96" i="4"/>
  <c r="AJ96" i="4" s="1"/>
  <c r="AF189" i="4"/>
  <c r="AJ189" i="4" s="1"/>
  <c r="X180" i="4"/>
  <c r="Z180" i="4" s="1"/>
  <c r="P31" i="4"/>
  <c r="R31" i="4" s="1"/>
  <c r="AN31" i="4"/>
  <c r="AR31" i="4" s="1"/>
  <c r="P197" i="4"/>
  <c r="T197" i="4" s="1"/>
  <c r="AN24" i="4"/>
  <c r="AR24" i="4" s="1"/>
  <c r="X103" i="4"/>
  <c r="AB103" i="4" s="1"/>
  <c r="AN84" i="4"/>
  <c r="AR84" i="4" s="1"/>
  <c r="P90" i="4"/>
  <c r="T90" i="4" s="1"/>
  <c r="P57" i="4"/>
  <c r="T57" i="4" s="1"/>
  <c r="H16" i="4"/>
  <c r="L16" i="4" s="1"/>
  <c r="X146" i="4"/>
  <c r="AB146" i="4" s="1"/>
  <c r="P186" i="4"/>
  <c r="T186" i="4" s="1"/>
  <c r="AF33" i="4"/>
  <c r="AJ33" i="4" s="1"/>
  <c r="P56" i="4"/>
  <c r="T56" i="4" s="1"/>
  <c r="AN6" i="4"/>
  <c r="AR6" i="4" s="1"/>
  <c r="X119" i="4"/>
  <c r="AB119" i="4" s="1"/>
  <c r="X81" i="4"/>
  <c r="Z81" i="4" s="1"/>
  <c r="AN86" i="4"/>
  <c r="AR86" i="4" s="1"/>
  <c r="P83" i="4"/>
  <c r="T83" i="4" s="1"/>
  <c r="H41" i="4"/>
  <c r="L41" i="4" s="1"/>
  <c r="P28" i="4"/>
  <c r="R28" i="4" s="1"/>
  <c r="X152" i="4"/>
  <c r="Z152" i="4" s="1"/>
  <c r="AN171" i="4"/>
  <c r="AP171" i="4" s="1"/>
  <c r="AN158" i="4"/>
  <c r="AP158" i="4" s="1"/>
  <c r="X15" i="4"/>
  <c r="Z15" i="4" s="1"/>
  <c r="AN65" i="4"/>
  <c r="AR65" i="4" s="1"/>
  <c r="AF177" i="4"/>
  <c r="AJ177" i="4" s="1"/>
  <c r="H131" i="4"/>
  <c r="J131" i="4" s="1"/>
  <c r="X98" i="4"/>
  <c r="AB98" i="4" s="1"/>
  <c r="AN128" i="4"/>
  <c r="AP128" i="4" s="1"/>
  <c r="H202" i="4"/>
  <c r="L202" i="4" s="1"/>
  <c r="AF69" i="4"/>
  <c r="AJ69" i="4" s="1"/>
  <c r="X68" i="4"/>
  <c r="Z68" i="4" s="1"/>
  <c r="H104" i="4"/>
  <c r="J104" i="4" s="1"/>
  <c r="AF295" i="4"/>
  <c r="AJ295" i="4" s="1"/>
  <c r="AF94" i="4"/>
  <c r="AH94" i="4" s="1"/>
  <c r="H85" i="4"/>
  <c r="L85" i="4" s="1"/>
  <c r="AF59" i="4"/>
  <c r="AH59" i="4" s="1"/>
  <c r="H24" i="4"/>
  <c r="J24" i="4" s="1"/>
  <c r="AF145" i="4"/>
  <c r="AH145" i="4" s="1"/>
  <c r="P119" i="4"/>
  <c r="R119" i="4" s="1"/>
  <c r="X29" i="4"/>
  <c r="Z29" i="4" s="1"/>
  <c r="AN44" i="4"/>
  <c r="AR44" i="4" s="1"/>
  <c r="H32" i="4"/>
  <c r="J32" i="4" s="1"/>
  <c r="X164" i="4"/>
  <c r="AB164" i="4" s="1"/>
  <c r="AF8" i="4"/>
  <c r="AJ8" i="4" s="1"/>
  <c r="X236" i="4"/>
  <c r="Z236" i="4" s="1"/>
  <c r="AN234" i="4"/>
  <c r="AR234" i="4" s="1"/>
  <c r="H257" i="4"/>
  <c r="L257" i="4" s="1"/>
  <c r="H261" i="4"/>
  <c r="J261" i="4" s="1"/>
  <c r="X331" i="4"/>
  <c r="Z331" i="4" s="1"/>
  <c r="AN227" i="4"/>
  <c r="AR227" i="4" s="1"/>
  <c r="X195" i="4"/>
  <c r="AB195" i="4" s="1"/>
  <c r="P118" i="4"/>
  <c r="T118" i="4" s="1"/>
  <c r="H226" i="4"/>
  <c r="J226" i="4" s="1"/>
  <c r="H151" i="4"/>
  <c r="L151" i="4" s="1"/>
  <c r="X177" i="4"/>
  <c r="AB177" i="4" s="1"/>
  <c r="AF234" i="4"/>
  <c r="AJ234" i="4" s="1"/>
  <c r="AF271" i="4"/>
  <c r="AJ271" i="4" s="1"/>
  <c r="AN242" i="4"/>
  <c r="AR242" i="4" s="1"/>
  <c r="H140" i="4"/>
  <c r="L140" i="4" s="1"/>
  <c r="AF137" i="4"/>
  <c r="AJ137" i="4" s="1"/>
  <c r="AN132" i="4"/>
  <c r="AR132" i="4" s="1"/>
  <c r="P168" i="4"/>
  <c r="T168" i="4" s="1"/>
  <c r="P182" i="4"/>
  <c r="R182" i="4" s="1"/>
  <c r="X118" i="4"/>
  <c r="Z118" i="4" s="1"/>
  <c r="AN217" i="4"/>
  <c r="AR217" i="4" s="1"/>
  <c r="X131" i="4"/>
  <c r="AB131" i="4" s="1"/>
  <c r="P135" i="4"/>
  <c r="T135" i="4" s="1"/>
  <c r="H66" i="4"/>
  <c r="J66" i="4" s="1"/>
  <c r="P76" i="4"/>
  <c r="T76" i="4" s="1"/>
  <c r="P67" i="4"/>
  <c r="T67" i="4" s="1"/>
  <c r="AF49" i="4"/>
  <c r="AH49" i="4" s="1"/>
  <c r="AF27" i="4"/>
  <c r="AJ27" i="4" s="1"/>
  <c r="X217" i="4"/>
  <c r="AB217" i="4" s="1"/>
  <c r="AN36" i="4"/>
  <c r="AP36" i="4" s="1"/>
  <c r="P42" i="4"/>
  <c r="T42" i="4" s="1"/>
  <c r="AN12" i="4"/>
  <c r="AP12" i="4" s="1"/>
  <c r="H40" i="4"/>
  <c r="L40" i="4" s="1"/>
  <c r="AF110" i="4"/>
  <c r="AJ110" i="4" s="1"/>
  <c r="H92" i="4"/>
  <c r="L92" i="4" s="1"/>
  <c r="X97" i="4"/>
  <c r="AB97" i="4" s="1"/>
  <c r="H86" i="4"/>
  <c r="J86" i="4" s="1"/>
  <c r="H22" i="4"/>
  <c r="L22" i="4" s="1"/>
  <c r="AF153" i="4"/>
  <c r="AJ153" i="4" s="1"/>
  <c r="H114" i="4"/>
  <c r="J114" i="4" s="1"/>
  <c r="AF128" i="4"/>
  <c r="AJ128" i="4" s="1"/>
  <c r="P115" i="4"/>
  <c r="T115" i="4" s="1"/>
  <c r="P36" i="4"/>
  <c r="R36" i="4" s="1"/>
  <c r="X89" i="4"/>
  <c r="AB89" i="4" s="1"/>
  <c r="AF74" i="4"/>
  <c r="AJ74" i="4" s="1"/>
  <c r="H56" i="4"/>
  <c r="J56" i="4" s="1"/>
  <c r="X61" i="4"/>
  <c r="AB61" i="4" s="1"/>
  <c r="AN15" i="4"/>
  <c r="AR15" i="4" s="1"/>
  <c r="X111" i="4"/>
  <c r="AB111" i="4" s="1"/>
  <c r="AF152" i="4"/>
  <c r="AJ152" i="4" s="1"/>
  <c r="P111" i="4"/>
  <c r="T111" i="4" s="1"/>
  <c r="AF116" i="4"/>
  <c r="AJ116" i="4" s="1"/>
  <c r="AF50" i="4"/>
  <c r="AJ50" i="4" s="1"/>
  <c r="AN54" i="4"/>
  <c r="AP54" i="4" s="1"/>
  <c r="H180" i="4"/>
  <c r="L180" i="4" s="1"/>
  <c r="AF52" i="4"/>
  <c r="AJ52" i="4" s="1"/>
  <c r="H58" i="4"/>
  <c r="L58" i="4" s="1"/>
  <c r="X54" i="4"/>
  <c r="AB54" i="4" s="1"/>
  <c r="X9" i="4"/>
  <c r="Z9" i="4" s="1"/>
  <c r="X5" i="4"/>
  <c r="AB5" i="4" s="1"/>
  <c r="H103" i="4"/>
  <c r="J103" i="4" s="1"/>
  <c r="X108" i="4"/>
  <c r="AB108" i="4" s="1"/>
  <c r="AN104" i="4"/>
  <c r="AR104" i="4" s="1"/>
  <c r="P117" i="4"/>
  <c r="T117" i="4" s="1"/>
  <c r="AN91" i="4"/>
  <c r="AR91" i="4" s="1"/>
  <c r="H334" i="4"/>
  <c r="J334" i="4" s="1"/>
  <c r="X44" i="4"/>
  <c r="Z44" i="4" s="1"/>
  <c r="AF151" i="4"/>
  <c r="AH151" i="4" s="1"/>
  <c r="AN107" i="4"/>
  <c r="AR107" i="4" s="1"/>
  <c r="AN51" i="4"/>
  <c r="AR51" i="4" s="1"/>
  <c r="X102" i="4"/>
  <c r="AB102" i="4" s="1"/>
  <c r="H79" i="4"/>
  <c r="J79" i="4" s="1"/>
  <c r="H190" i="4"/>
  <c r="L190" i="4" s="1"/>
  <c r="X169" i="4"/>
  <c r="AB169" i="4" s="1"/>
  <c r="H5" i="4"/>
  <c r="L5" i="4" s="1"/>
  <c r="X75" i="4"/>
  <c r="AB75" i="4" s="1"/>
  <c r="H18" i="4"/>
  <c r="L18" i="4" s="1"/>
  <c r="H174" i="4"/>
  <c r="L174" i="4" s="1"/>
  <c r="P133" i="4"/>
  <c r="T133" i="4" s="1"/>
  <c r="AN55" i="4"/>
  <c r="AR55" i="4" s="1"/>
  <c r="AF21" i="4"/>
  <c r="AJ21" i="4" s="1"/>
  <c r="H19" i="4"/>
  <c r="L19" i="4" s="1"/>
  <c r="AN17" i="4"/>
  <c r="AR17" i="4" s="1"/>
  <c r="AF20" i="4"/>
  <c r="AJ20" i="4" s="1"/>
  <c r="AF70" i="4"/>
  <c r="AJ70" i="4" s="1"/>
  <c r="AN264" i="4"/>
  <c r="AP264" i="4" s="1"/>
  <c r="H234" i="4"/>
  <c r="L234" i="4" s="1"/>
  <c r="AN334" i="4"/>
  <c r="AR334" i="4" s="1"/>
  <c r="X219" i="4"/>
  <c r="AB219" i="4" s="1"/>
  <c r="AN255" i="4"/>
  <c r="AR255" i="4" s="1"/>
  <c r="AN265" i="4"/>
  <c r="AR265" i="4" s="1"/>
  <c r="AF204" i="4"/>
  <c r="AH204" i="4" s="1"/>
  <c r="H146" i="4"/>
  <c r="J146" i="4" s="1"/>
  <c r="AN151" i="4"/>
  <c r="AR151" i="4" s="1"/>
  <c r="P122" i="4"/>
  <c r="T122" i="4" s="1"/>
  <c r="AF148" i="4"/>
  <c r="AJ148" i="4" s="1"/>
  <c r="H175" i="4"/>
  <c r="L175" i="4" s="1"/>
  <c r="X202" i="4"/>
  <c r="AB202" i="4" s="1"/>
  <c r="H200" i="4"/>
  <c r="L200" i="4" s="1"/>
  <c r="AN254" i="4"/>
  <c r="AR254" i="4" s="1"/>
  <c r="P220" i="4"/>
  <c r="T220" i="4" s="1"/>
  <c r="X215" i="4"/>
  <c r="AB215" i="4" s="1"/>
  <c r="AF247" i="4"/>
  <c r="AJ247" i="4" s="1"/>
  <c r="P159" i="4"/>
  <c r="T159" i="4" s="1"/>
  <c r="X143" i="4"/>
  <c r="AB143" i="4" s="1"/>
  <c r="P136" i="4"/>
  <c r="R136" i="4" s="1"/>
  <c r="X218" i="4"/>
  <c r="AB218" i="4" s="1"/>
  <c r="P172" i="4"/>
  <c r="T172" i="4" s="1"/>
  <c r="P37" i="4"/>
  <c r="T37" i="4" s="1"/>
  <c r="X47" i="4"/>
  <c r="Z47" i="4" s="1"/>
  <c r="X38" i="4"/>
  <c r="AB38" i="4" s="1"/>
  <c r="H50" i="4"/>
  <c r="L50" i="4" s="1"/>
  <c r="X32" i="4"/>
  <c r="AB32" i="4" s="1"/>
  <c r="H119" i="4"/>
  <c r="L119" i="4" s="1"/>
  <c r="P150" i="4"/>
  <c r="T150" i="4" s="1"/>
  <c r="X132" i="4"/>
  <c r="Z132" i="4" s="1"/>
  <c r="H51" i="4"/>
  <c r="L51" i="4" s="1"/>
  <c r="X140" i="4"/>
  <c r="AB140" i="4" s="1"/>
  <c r="AN81" i="4"/>
  <c r="AR81" i="4" s="1"/>
  <c r="P63" i="4"/>
  <c r="R63" i="4" s="1"/>
  <c r="AF68" i="4"/>
  <c r="AJ68" i="4" s="1"/>
  <c r="H20" i="4"/>
  <c r="J20" i="4" s="1"/>
  <c r="AN13" i="4"/>
  <c r="AP13" i="4" s="1"/>
  <c r="AN194" i="4"/>
  <c r="AR194" i="4" s="1"/>
  <c r="P85" i="4"/>
  <c r="R85" i="4" s="1"/>
  <c r="X95" i="4"/>
  <c r="Z95" i="4" s="1"/>
  <c r="X86" i="4"/>
  <c r="AB86" i="4" s="1"/>
  <c r="AF58" i="4"/>
  <c r="AJ58" i="4" s="1"/>
  <c r="P81" i="4"/>
  <c r="T81" i="4" s="1"/>
  <c r="AN170" i="4"/>
  <c r="AP170" i="4" s="1"/>
  <c r="X319" i="4"/>
  <c r="AB319" i="4" s="1"/>
  <c r="P210" i="4"/>
  <c r="T210" i="4" s="1"/>
  <c r="AN154" i="4"/>
  <c r="AR154" i="4" s="1"/>
  <c r="X23" i="4"/>
  <c r="AB23" i="4" s="1"/>
  <c r="H101" i="4"/>
  <c r="J101" i="4" s="1"/>
  <c r="X82" i="4"/>
  <c r="AB82" i="4" s="1"/>
  <c r="AN87" i="4"/>
  <c r="AP87" i="4" s="1"/>
  <c r="P45" i="4"/>
  <c r="R45" i="4" s="1"/>
  <c r="AF13" i="4"/>
  <c r="AH13" i="4" s="1"/>
  <c r="H144" i="4"/>
  <c r="L144" i="4" s="1"/>
  <c r="AN178" i="4"/>
  <c r="AR178" i="4" s="1"/>
  <c r="X240" i="4"/>
  <c r="AB240" i="4" s="1"/>
  <c r="AF48" i="4"/>
  <c r="AJ48" i="4" s="1"/>
  <c r="AF211" i="4"/>
  <c r="AJ211" i="4" s="1"/>
  <c r="H216" i="4"/>
  <c r="L216" i="4" s="1"/>
  <c r="P74" i="4"/>
  <c r="R74" i="4" s="1"/>
  <c r="AF79" i="4"/>
  <c r="AH79" i="4" s="1"/>
  <c r="H76" i="4"/>
  <c r="L76" i="4" s="1"/>
  <c r="AF30" i="4"/>
  <c r="AJ30" i="4" s="1"/>
  <c r="P22" i="4"/>
  <c r="R22" i="4" s="1"/>
  <c r="P175" i="4"/>
  <c r="T175" i="4" s="1"/>
  <c r="AN93" i="4"/>
  <c r="AP93" i="4" s="1"/>
  <c r="P143" i="4"/>
  <c r="T143" i="4" s="1"/>
  <c r="P169" i="4"/>
  <c r="T169" i="4" s="1"/>
  <c r="X74" i="4"/>
  <c r="Z74" i="4" s="1"/>
  <c r="AF75" i="4"/>
  <c r="AJ75" i="4" s="1"/>
  <c r="X106" i="4"/>
  <c r="Z106" i="4" s="1"/>
  <c r="AF54" i="4"/>
  <c r="AH54" i="4" s="1"/>
  <c r="AN71" i="4"/>
  <c r="AR71" i="4" s="1"/>
  <c r="P62" i="4"/>
  <c r="T62" i="4" s="1"/>
  <c r="P50" i="4"/>
  <c r="T50" i="4" s="1"/>
  <c r="AN47" i="4"/>
  <c r="AP47" i="4" s="1"/>
  <c r="X168" i="4"/>
  <c r="AB168" i="4" s="1"/>
  <c r="H73" i="4"/>
  <c r="L73" i="4" s="1"/>
  <c r="H29" i="4"/>
  <c r="L29" i="4" s="1"/>
  <c r="P46" i="4"/>
  <c r="T46" i="4" s="1"/>
  <c r="X76" i="4"/>
  <c r="AB76" i="4" s="1"/>
  <c r="X19" i="4"/>
  <c r="AB19" i="4" s="1"/>
  <c r="H12" i="4"/>
  <c r="J12" i="4" s="1"/>
  <c r="P35" i="4"/>
  <c r="T35" i="4" s="1"/>
  <c r="H276" i="4"/>
  <c r="L276" i="4" s="1"/>
  <c r="X232" i="4"/>
  <c r="Z232" i="4" s="1"/>
  <c r="H245" i="4"/>
  <c r="L245" i="4" s="1"/>
  <c r="H283" i="4"/>
  <c r="L283" i="4" s="1"/>
  <c r="H286" i="4"/>
  <c r="J286" i="4" s="1"/>
  <c r="P256" i="4"/>
  <c r="T256" i="4" s="1"/>
  <c r="AF190" i="4"/>
  <c r="AJ190" i="4" s="1"/>
  <c r="AF231" i="4"/>
  <c r="AJ231" i="4" s="1"/>
  <c r="H123" i="4"/>
  <c r="J123" i="4" s="1"/>
  <c r="AF209" i="4"/>
  <c r="AJ209" i="4" s="1"/>
  <c r="AN119" i="4"/>
  <c r="AR119" i="4" s="1"/>
  <c r="P146" i="4"/>
  <c r="T146" i="4" s="1"/>
  <c r="AF173" i="4"/>
  <c r="AJ173" i="4" s="1"/>
  <c r="P171" i="4"/>
  <c r="T171" i="4" s="1"/>
  <c r="AN193" i="4"/>
  <c r="AR193" i="4" s="1"/>
  <c r="X191" i="4"/>
  <c r="AB191" i="4" s="1"/>
  <c r="AF186" i="4"/>
  <c r="AJ186" i="4" s="1"/>
  <c r="P217" i="4"/>
  <c r="R217" i="4" s="1"/>
  <c r="P208" i="4"/>
  <c r="T208" i="4" s="1"/>
  <c r="H238" i="4"/>
  <c r="L238" i="4" s="1"/>
  <c r="H223" i="4"/>
  <c r="L223" i="4" s="1"/>
  <c r="AN192" i="4"/>
  <c r="AR192" i="4" s="1"/>
  <c r="X130" i="4"/>
  <c r="Z130" i="4" s="1"/>
  <c r="H138" i="4"/>
  <c r="L138" i="4" s="1"/>
  <c r="P155" i="4"/>
  <c r="R155" i="4" s="1"/>
  <c r="X144" i="4"/>
  <c r="Z144" i="4" s="1"/>
  <c r="P11" i="4"/>
  <c r="T11" i="4" s="1"/>
  <c r="X52" i="4"/>
  <c r="AB52" i="4" s="1"/>
  <c r="X92" i="4"/>
  <c r="Z92" i="4" s="1"/>
  <c r="AF102" i="4"/>
  <c r="AH102" i="4" s="1"/>
  <c r="AF93" i="4"/>
  <c r="AH93" i="4" s="1"/>
  <c r="H7" i="4"/>
  <c r="J7" i="4" s="1"/>
  <c r="H110" i="4"/>
  <c r="L110" i="4" s="1"/>
  <c r="H203" i="4"/>
  <c r="J203" i="4" s="1"/>
  <c r="H34" i="4"/>
  <c r="J34" i="4" s="1"/>
  <c r="AN39" i="4"/>
  <c r="AR39" i="4" s="1"/>
  <c r="AN43" i="4"/>
  <c r="AR43" i="4" s="1"/>
  <c r="X33" i="4"/>
  <c r="AB33" i="4" s="1"/>
  <c r="P108" i="4"/>
  <c r="T108" i="4" s="1"/>
  <c r="X56" i="4"/>
  <c r="Z56" i="4" s="1"/>
  <c r="AF66" i="4"/>
  <c r="AH66" i="4" s="1"/>
  <c r="AF57" i="4"/>
  <c r="AJ57" i="4" s="1"/>
  <c r="X133" i="4"/>
  <c r="AB133" i="4" s="1"/>
  <c r="P20" i="4"/>
  <c r="R20" i="4" s="1"/>
  <c r="AF111" i="4"/>
  <c r="AH111" i="4" s="1"/>
  <c r="P125" i="4"/>
  <c r="R125" i="4" s="1"/>
  <c r="AN112" i="4"/>
  <c r="AR112" i="4" s="1"/>
  <c r="AN28" i="4"/>
  <c r="AR28" i="4" s="1"/>
  <c r="X24" i="4"/>
  <c r="AB24" i="4" s="1"/>
  <c r="P72" i="4"/>
  <c r="T72" i="4" s="1"/>
  <c r="AF53" i="4"/>
  <c r="AJ53" i="4" s="1"/>
  <c r="H59" i="4"/>
  <c r="L59" i="4" s="1"/>
  <c r="X14" i="4"/>
  <c r="AB14" i="4" s="1"/>
  <c r="AN101" i="4"/>
  <c r="AR101" i="4" s="1"/>
  <c r="X145" i="4"/>
  <c r="Z145" i="4" s="1"/>
  <c r="AN108" i="4"/>
  <c r="AP108" i="4" s="1"/>
  <c r="P114" i="4"/>
  <c r="T114" i="4" s="1"/>
  <c r="AF15" i="4"/>
  <c r="AH15" i="4" s="1"/>
  <c r="H49" i="4"/>
  <c r="L49" i="4" s="1"/>
  <c r="AN172" i="4"/>
  <c r="AR172" i="4" s="1"/>
  <c r="X45" i="4"/>
  <c r="AB45" i="4" s="1"/>
  <c r="AN50" i="4"/>
  <c r="AR50" i="4" s="1"/>
  <c r="AF164" i="4"/>
  <c r="AJ164" i="4" s="1"/>
  <c r="AN19" i="4"/>
  <c r="AP19" i="4" s="1"/>
  <c r="AF28" i="4"/>
  <c r="AH28" i="4" s="1"/>
  <c r="X116" i="4"/>
  <c r="Z116" i="4" s="1"/>
  <c r="H89" i="4"/>
  <c r="L89" i="4" s="1"/>
  <c r="X120" i="4"/>
  <c r="Z120" i="4" s="1"/>
  <c r="AN48" i="4"/>
  <c r="AP48" i="4" s="1"/>
  <c r="P107" i="4"/>
  <c r="T107" i="4" s="1"/>
  <c r="H91" i="4"/>
  <c r="L91" i="4" s="1"/>
  <c r="X204" i="4"/>
  <c r="AB204" i="4" s="1"/>
  <c r="H82" i="4"/>
  <c r="L82" i="4" s="1"/>
  <c r="AN183" i="4"/>
  <c r="AP183" i="4" s="1"/>
  <c r="P77" i="4"/>
  <c r="T77" i="4" s="1"/>
  <c r="AF67" i="4"/>
  <c r="AJ67" i="4" s="1"/>
  <c r="AF55" i="4"/>
  <c r="AH55" i="4" s="1"/>
  <c r="AF82" i="4"/>
  <c r="AH82" i="4" s="1"/>
  <c r="X42" i="4"/>
  <c r="P82" i="4"/>
  <c r="T82" i="4" s="1"/>
  <c r="P40" i="4"/>
  <c r="T40" i="4" s="1"/>
  <c r="P112" i="4"/>
  <c r="R112" i="4" s="1"/>
  <c r="AF109" i="4"/>
  <c r="AJ109" i="4" s="1"/>
  <c r="X138" i="4"/>
  <c r="Z138" i="4" s="1"/>
  <c r="AN90" i="4"/>
  <c r="AR90" i="4" s="1"/>
  <c r="AN144" i="4"/>
  <c r="AR144" i="4" s="1"/>
  <c r="X142" i="4"/>
  <c r="AB142" i="4" s="1"/>
  <c r="H165" i="4"/>
  <c r="J165" i="4" s="1"/>
  <c r="AF162" i="4"/>
  <c r="AJ162" i="4" s="1"/>
  <c r="AN157" i="4"/>
  <c r="AR157" i="4" s="1"/>
  <c r="X214" i="4"/>
  <c r="Z214" i="4" s="1"/>
  <c r="AF150" i="4"/>
  <c r="AJ150" i="4" s="1"/>
  <c r="P199" i="4"/>
  <c r="T199" i="4" s="1"/>
  <c r="X194" i="4"/>
  <c r="AB194" i="4" s="1"/>
  <c r="P184" i="4"/>
  <c r="R184" i="4" s="1"/>
  <c r="X167" i="4"/>
  <c r="AB167" i="4" s="1"/>
  <c r="P98" i="4"/>
  <c r="R98" i="4" s="1"/>
  <c r="AF103" i="4"/>
  <c r="AH103" i="4" s="1"/>
  <c r="H100" i="4"/>
  <c r="L100" i="4" s="1"/>
  <c r="H98" i="4"/>
  <c r="L98" i="4" s="1"/>
  <c r="AF72" i="4"/>
  <c r="AJ72" i="4" s="1"/>
  <c r="AF63" i="4"/>
  <c r="AH63" i="4" s="1"/>
  <c r="AN73" i="4"/>
  <c r="AR73" i="4" s="1"/>
  <c r="AN64" i="4"/>
  <c r="AR64" i="4" s="1"/>
  <c r="X25" i="4"/>
  <c r="Z25" i="4" s="1"/>
  <c r="P26" i="4"/>
  <c r="T26" i="4" s="1"/>
  <c r="AN117" i="4"/>
  <c r="AP117" i="4" s="1"/>
  <c r="H143" i="4"/>
  <c r="J143" i="4" s="1"/>
  <c r="H118" i="4"/>
  <c r="L118" i="4" s="1"/>
  <c r="AF47" i="4"/>
  <c r="AJ47" i="4" s="1"/>
  <c r="AF108" i="4"/>
  <c r="AJ108" i="4" s="1"/>
  <c r="X79" i="4"/>
  <c r="AB79" i="4" s="1"/>
  <c r="P232" i="4"/>
  <c r="T232" i="4" s="1"/>
  <c r="AN37" i="4"/>
  <c r="AP37" i="4" s="1"/>
  <c r="AN278" i="4"/>
  <c r="AR278" i="4" s="1"/>
  <c r="H27" i="4"/>
  <c r="L27" i="4" s="1"/>
  <c r="AF199" i="4"/>
  <c r="AJ199" i="4" s="1"/>
  <c r="AN82" i="4"/>
  <c r="AP82" i="4" s="1"/>
  <c r="H93" i="4"/>
  <c r="L93" i="4" s="1"/>
  <c r="H84" i="4"/>
  <c r="L84" i="4" s="1"/>
  <c r="X51" i="4"/>
  <c r="AB51" i="4" s="1"/>
  <c r="AF71" i="4"/>
  <c r="AJ71" i="4" s="1"/>
  <c r="P161" i="4"/>
  <c r="R161" i="4" s="1"/>
  <c r="AN266" i="4"/>
  <c r="AR266" i="4" s="1"/>
  <c r="AN195" i="4"/>
  <c r="AR195" i="4" s="1"/>
  <c r="X113" i="4"/>
  <c r="AB113" i="4" s="1"/>
  <c r="AN18" i="4"/>
  <c r="AR18" i="4" s="1"/>
  <c r="AF98" i="4"/>
  <c r="AJ98" i="4" s="1"/>
  <c r="H80" i="4"/>
  <c r="J80" i="4" s="1"/>
  <c r="X85" i="4"/>
  <c r="AB85" i="4" s="1"/>
  <c r="X39" i="4"/>
  <c r="Z39" i="4" s="1"/>
  <c r="P12" i="4"/>
  <c r="T12" i="4" s="1"/>
  <c r="AN136" i="4"/>
  <c r="AP136" i="4" s="1"/>
  <c r="X156" i="4"/>
  <c r="AB156" i="4" s="1"/>
  <c r="AF187" i="4"/>
  <c r="AJ187" i="4" s="1"/>
  <c r="P32" i="4"/>
  <c r="R32" i="4" s="1"/>
  <c r="X122" i="4"/>
  <c r="AB122" i="4" s="1"/>
  <c r="X121" i="4"/>
  <c r="AB121" i="4" s="1"/>
  <c r="X104" i="4"/>
  <c r="Z104" i="4" s="1"/>
  <c r="X150" i="4"/>
  <c r="Z150" i="4" s="1"/>
  <c r="X34" i="4"/>
  <c r="AB34" i="4" s="1"/>
  <c r="AN85" i="4"/>
  <c r="AP85" i="4" s="1"/>
  <c r="AF87" i="4"/>
  <c r="AJ87" i="4" s="1"/>
  <c r="P121" i="4"/>
  <c r="T121" i="4" s="1"/>
  <c r="H57" i="4"/>
  <c r="J57" i="4" s="1"/>
  <c r="X109" i="4"/>
  <c r="AB109" i="4" s="1"/>
  <c r="AF117" i="4"/>
  <c r="AH117" i="4" s="1"/>
  <c r="AF105" i="4"/>
  <c r="AJ105" i="4" s="1"/>
  <c r="P103" i="4"/>
  <c r="R103" i="4" s="1"/>
  <c r="AN76" i="4"/>
  <c r="AR76" i="4" s="1"/>
  <c r="P48" i="4"/>
  <c r="T48" i="4" s="1"/>
  <c r="X101" i="4"/>
  <c r="Z101" i="4" s="1"/>
  <c r="AF114" i="4"/>
  <c r="AH114" i="4" s="1"/>
  <c r="P54" i="4"/>
  <c r="R54" i="4" s="1"/>
  <c r="AN49" i="4"/>
  <c r="AR49" i="4" s="1"/>
  <c r="P8" i="4"/>
  <c r="T8" i="4" s="1"/>
  <c r="P185" i="4"/>
  <c r="T185" i="4" s="1"/>
  <c r="P6" i="4"/>
  <c r="R6" i="4" s="1"/>
  <c r="R94" i="4"/>
  <c r="F14" i="13"/>
  <c r="G13" i="13"/>
  <c r="H13" i="13" s="1"/>
  <c r="I13" i="13" s="1"/>
  <c r="AD437" i="7" l="1"/>
  <c r="AB437" i="7"/>
  <c r="AC437" i="7"/>
  <c r="Z437" i="7"/>
  <c r="AA437" i="7"/>
  <c r="G17" i="7"/>
  <c r="G19" i="7" s="1"/>
  <c r="AF28" i="9" s="1"/>
  <c r="AI68" i="7"/>
  <c r="G6" i="3" s="1"/>
  <c r="G7" i="3" s="1"/>
  <c r="C9" i="11" s="1"/>
  <c r="C44" i="10"/>
  <c r="C45" i="10" s="1"/>
  <c r="E52" i="10" s="1"/>
  <c r="K17" i="7"/>
  <c r="K18" i="7" s="1"/>
  <c r="E57" i="7" s="1"/>
  <c r="R280" i="4"/>
  <c r="R246" i="4"/>
  <c r="AJ215" i="4"/>
  <c r="Z226" i="4"/>
  <c r="AJ24" i="4"/>
  <c r="R265" i="4"/>
  <c r="T356" i="4"/>
  <c r="R132" i="4"/>
  <c r="AJ340" i="4"/>
  <c r="AH320" i="4"/>
  <c r="AR232" i="4"/>
  <c r="AP289" i="4"/>
  <c r="R188" i="4"/>
  <c r="AH165" i="4"/>
  <c r="L312" i="4"/>
  <c r="AR229" i="4"/>
  <c r="AH350" i="4"/>
  <c r="L255" i="4"/>
  <c r="R113" i="4"/>
  <c r="R237" i="4"/>
  <c r="T339" i="4"/>
  <c r="AH292" i="4"/>
  <c r="AR79" i="4"/>
  <c r="AJ338" i="4"/>
  <c r="AR356" i="4"/>
  <c r="AR367" i="4"/>
  <c r="AB27" i="4"/>
  <c r="T360" i="4"/>
  <c r="AJ230" i="4"/>
  <c r="R278" i="4"/>
  <c r="R259" i="4"/>
  <c r="AH272" i="4"/>
  <c r="J341" i="4"/>
  <c r="AH214" i="4"/>
  <c r="J300" i="4"/>
  <c r="Z252" i="4"/>
  <c r="J265" i="4"/>
  <c r="R180" i="4"/>
  <c r="L365" i="4"/>
  <c r="AP204" i="4"/>
  <c r="Z254" i="4"/>
  <c r="AH268" i="4"/>
  <c r="AH257" i="4"/>
  <c r="AP366" i="4"/>
  <c r="Z283" i="4"/>
  <c r="AJ156" i="4"/>
  <c r="AP226" i="4"/>
  <c r="Z110" i="4"/>
  <c r="Z288" i="4"/>
  <c r="AR345" i="4"/>
  <c r="Z137" i="4"/>
  <c r="J182" i="4"/>
  <c r="AH101" i="4"/>
  <c r="AR186" i="4"/>
  <c r="AP273" i="4"/>
  <c r="J351" i="4"/>
  <c r="AR279" i="4"/>
  <c r="AP305" i="4"/>
  <c r="AH355" i="4"/>
  <c r="AJ330" i="4"/>
  <c r="R346" i="4"/>
  <c r="AH294" i="4"/>
  <c r="AP288" i="4"/>
  <c r="AJ120" i="4"/>
  <c r="L230" i="4"/>
  <c r="AJ17" i="4"/>
  <c r="AH324" i="4"/>
  <c r="Z234" i="4"/>
  <c r="AB173" i="4"/>
  <c r="AR307" i="4"/>
  <c r="R295" i="4"/>
  <c r="J326" i="4"/>
  <c r="J33" i="4"/>
  <c r="AB308" i="4"/>
  <c r="AH255" i="4"/>
  <c r="J285" i="4"/>
  <c r="L297" i="4"/>
  <c r="AJ251" i="4"/>
  <c r="AB297" i="4"/>
  <c r="R338" i="4"/>
  <c r="L54" i="4"/>
  <c r="AP250" i="4"/>
  <c r="R240" i="4"/>
  <c r="R332" i="4"/>
  <c r="T91" i="4"/>
  <c r="AJ228" i="4"/>
  <c r="L194" i="4"/>
  <c r="AP343" i="4"/>
  <c r="R367" i="4"/>
  <c r="T257" i="4"/>
  <c r="Z223" i="4"/>
  <c r="AB345" i="4"/>
  <c r="AH369" i="4"/>
  <c r="L183" i="4"/>
  <c r="L166" i="4"/>
  <c r="AR320" i="4"/>
  <c r="AB306" i="4"/>
  <c r="AP304" i="4"/>
  <c r="T319" i="4"/>
  <c r="J37" i="4"/>
  <c r="AH345" i="4"/>
  <c r="AB135" i="4"/>
  <c r="T342" i="4"/>
  <c r="AH339" i="4"/>
  <c r="AR60" i="4"/>
  <c r="J353" i="4"/>
  <c r="Z271" i="4"/>
  <c r="AH368" i="4"/>
  <c r="L324" i="4"/>
  <c r="L264" i="4"/>
  <c r="J361" i="4"/>
  <c r="AB69" i="4"/>
  <c r="Z87" i="4"/>
  <c r="T177" i="4"/>
  <c r="R354" i="4"/>
  <c r="Z175" i="4"/>
  <c r="T231" i="4"/>
  <c r="AH341" i="4"/>
  <c r="L313" i="4"/>
  <c r="AH314" i="4"/>
  <c r="R160" i="4"/>
  <c r="T236" i="4"/>
  <c r="AH364" i="4"/>
  <c r="L307" i="4"/>
  <c r="AH56" i="4"/>
  <c r="AR100" i="4"/>
  <c r="J345" i="4"/>
  <c r="AH237" i="4"/>
  <c r="T317" i="4"/>
  <c r="AR344" i="4"/>
  <c r="Z123" i="4"/>
  <c r="Z170" i="4"/>
  <c r="Z277" i="4"/>
  <c r="AR325" i="4"/>
  <c r="AJ132" i="4"/>
  <c r="AP268" i="4"/>
  <c r="J308" i="4"/>
  <c r="Z349" i="4"/>
  <c r="AJ167" i="4"/>
  <c r="AR340" i="4"/>
  <c r="T224" i="4"/>
  <c r="AH194" i="4"/>
  <c r="AP362" i="4"/>
  <c r="Z351" i="4"/>
  <c r="T285" i="4"/>
  <c r="AJ311" i="4"/>
  <c r="J347" i="4"/>
  <c r="AJ274" i="4"/>
  <c r="J299" i="4"/>
  <c r="AJ363" i="4"/>
  <c r="AR258" i="4"/>
  <c r="AP233" i="4"/>
  <c r="J284" i="4"/>
  <c r="L218" i="4"/>
  <c r="AR244" i="4"/>
  <c r="AH303" i="4"/>
  <c r="AH342" i="4"/>
  <c r="AR187" i="4"/>
  <c r="AB310" i="4"/>
  <c r="AH284" i="4"/>
  <c r="AJ299" i="4"/>
  <c r="AP352" i="4"/>
  <c r="T214" i="4"/>
  <c r="R363" i="4"/>
  <c r="Z339" i="4"/>
  <c r="AJ127" i="4"/>
  <c r="AP62" i="4"/>
  <c r="AH301" i="4"/>
  <c r="AB292" i="4"/>
  <c r="AP124" i="4"/>
  <c r="J329" i="4"/>
  <c r="AP207" i="4"/>
  <c r="AH277" i="4"/>
  <c r="AP210" i="4"/>
  <c r="AB257" i="4"/>
  <c r="Z84" i="4"/>
  <c r="R279" i="4"/>
  <c r="R293" i="4"/>
  <c r="J339" i="4"/>
  <c r="R238" i="4"/>
  <c r="R207" i="4"/>
  <c r="L155" i="4"/>
  <c r="AR313" i="4"/>
  <c r="Z368" i="4"/>
  <c r="AB256" i="4"/>
  <c r="AB287" i="4"/>
  <c r="AB355" i="4"/>
  <c r="R205" i="4"/>
  <c r="AB281" i="4"/>
  <c r="J350" i="4"/>
  <c r="J145" i="4"/>
  <c r="AP296" i="4"/>
  <c r="J271" i="4"/>
  <c r="AH290" i="4"/>
  <c r="AP252" i="4"/>
  <c r="L331" i="4"/>
  <c r="R258" i="4"/>
  <c r="R334" i="4"/>
  <c r="R264" i="4"/>
  <c r="L336" i="4"/>
  <c r="R93" i="4"/>
  <c r="AH289" i="4"/>
  <c r="Z235" i="4"/>
  <c r="AR221" i="4"/>
  <c r="AH243" i="4"/>
  <c r="AJ250" i="4"/>
  <c r="AB117" i="4"/>
  <c r="AJ99" i="4"/>
  <c r="L195" i="4"/>
  <c r="AH233" i="4"/>
  <c r="AB161" i="4"/>
  <c r="L134" i="4"/>
  <c r="AR357" i="4"/>
  <c r="J221" i="4"/>
  <c r="L269" i="4"/>
  <c r="AJ343" i="4"/>
  <c r="T34" i="4"/>
  <c r="AH275" i="4"/>
  <c r="J274" i="4"/>
  <c r="R181" i="4"/>
  <c r="R139" i="4"/>
  <c r="J252" i="4"/>
  <c r="R44" i="4"/>
  <c r="AR337" i="4"/>
  <c r="L120" i="4"/>
  <c r="AB93" i="4"/>
  <c r="T299" i="4"/>
  <c r="J198" i="4"/>
  <c r="AH169" i="4"/>
  <c r="Z364" i="4"/>
  <c r="L278" i="4"/>
  <c r="L161" i="4"/>
  <c r="Z300" i="4"/>
  <c r="L241" i="4"/>
  <c r="AP328" i="4"/>
  <c r="Z163" i="4"/>
  <c r="AB269" i="4"/>
  <c r="AP263" i="4"/>
  <c r="J17" i="4"/>
  <c r="R222" i="4"/>
  <c r="Z213" i="4"/>
  <c r="AR127" i="4"/>
  <c r="Z279" i="4"/>
  <c r="R194" i="4"/>
  <c r="L10" i="4"/>
  <c r="AB160" i="4"/>
  <c r="AB198" i="4"/>
  <c r="AP201" i="4"/>
  <c r="AP341" i="4"/>
  <c r="AP347" i="4"/>
  <c r="J109" i="4"/>
  <c r="AP209" i="4"/>
  <c r="AP331" i="4"/>
  <c r="AH218" i="4"/>
  <c r="AJ154" i="4"/>
  <c r="AR327" i="4"/>
  <c r="R275" i="4"/>
  <c r="J280" i="4"/>
  <c r="AJ112" i="4"/>
  <c r="Z278" i="4"/>
  <c r="J349" i="4"/>
  <c r="AB344" i="4"/>
  <c r="L219" i="4"/>
  <c r="AH242" i="4"/>
  <c r="R352" i="4"/>
  <c r="L235" i="4"/>
  <c r="L228" i="4"/>
  <c r="R216" i="4"/>
  <c r="R229" i="4"/>
  <c r="L207" i="4"/>
  <c r="T333" i="4"/>
  <c r="AH147" i="4"/>
  <c r="AR8" i="4"/>
  <c r="R341" i="4"/>
  <c r="AR259" i="4"/>
  <c r="T96" i="4"/>
  <c r="Z295" i="4"/>
  <c r="Z325" i="4"/>
  <c r="AJ348" i="4"/>
  <c r="AJ287" i="4"/>
  <c r="AH333" i="4"/>
  <c r="AP301" i="4"/>
  <c r="L229" i="4"/>
  <c r="Z290" i="4"/>
  <c r="Z245" i="4"/>
  <c r="AP246" i="4"/>
  <c r="J95" i="4"/>
  <c r="AJ253" i="4"/>
  <c r="R228" i="4"/>
  <c r="AB241" i="4"/>
  <c r="R183" i="4"/>
  <c r="AJ269" i="4"/>
  <c r="AH5" i="4"/>
  <c r="T250" i="4"/>
  <c r="AB151" i="4"/>
  <c r="J125" i="4"/>
  <c r="T286" i="4"/>
  <c r="AJ256" i="4"/>
  <c r="AH73" i="4"/>
  <c r="J327" i="4"/>
  <c r="AH244" i="4"/>
  <c r="R310" i="4"/>
  <c r="R361" i="4"/>
  <c r="T362" i="4"/>
  <c r="AP303" i="4"/>
  <c r="AH310" i="4"/>
  <c r="AP203" i="4"/>
  <c r="AP141" i="4"/>
  <c r="Z367" i="4"/>
  <c r="Z273" i="4"/>
  <c r="AP180" i="4"/>
  <c r="AP89" i="4"/>
  <c r="L367" i="4"/>
  <c r="AB162" i="4"/>
  <c r="AH325" i="4"/>
  <c r="AH347" i="4"/>
  <c r="AR364" i="4"/>
  <c r="AP149" i="4"/>
  <c r="AH206" i="4"/>
  <c r="J139" i="4"/>
  <c r="R343" i="4"/>
  <c r="AR235" i="4"/>
  <c r="AH80" i="4"/>
  <c r="AH285" i="4"/>
  <c r="AP215" i="4"/>
  <c r="AJ192" i="4"/>
  <c r="AR293" i="4"/>
  <c r="AP351" i="4"/>
  <c r="AP74" i="4"/>
  <c r="Z55" i="4"/>
  <c r="Z246" i="4"/>
  <c r="J205" i="4"/>
  <c r="AH367" i="4"/>
  <c r="R206" i="4"/>
  <c r="AP269" i="4"/>
  <c r="T297" i="4"/>
  <c r="Z282" i="4"/>
  <c r="AH43" i="4"/>
  <c r="R9" i="4"/>
  <c r="J301" i="4"/>
  <c r="T266" i="4"/>
  <c r="Z266" i="4"/>
  <c r="J222" i="4"/>
  <c r="AP267" i="4"/>
  <c r="AH208" i="4"/>
  <c r="AH182" i="4"/>
  <c r="Z280" i="4"/>
  <c r="L248" i="4"/>
  <c r="AP257" i="4"/>
  <c r="Z265" i="4"/>
  <c r="L185" i="4"/>
  <c r="AH184" i="4"/>
  <c r="R30" i="4"/>
  <c r="R327" i="4"/>
  <c r="T167" i="4"/>
  <c r="AR308" i="4"/>
  <c r="R312" i="4"/>
  <c r="Z270" i="4"/>
  <c r="AP274" i="4"/>
  <c r="AR315" i="4"/>
  <c r="AH136" i="4"/>
  <c r="AH245" i="4"/>
  <c r="AH266" i="4"/>
  <c r="AH360" i="4"/>
  <c r="AR330" i="4"/>
  <c r="R242" i="4"/>
  <c r="AP281" i="4"/>
  <c r="AP335" i="4"/>
  <c r="Z313" i="4"/>
  <c r="AJ113" i="4"/>
  <c r="L14" i="4"/>
  <c r="AB324" i="4"/>
  <c r="AJ276" i="4"/>
  <c r="L333" i="4"/>
  <c r="AJ307" i="4"/>
  <c r="AJ353" i="4"/>
  <c r="T128" i="4"/>
  <c r="R349" i="4"/>
  <c r="AP241" i="4"/>
  <c r="R178" i="4"/>
  <c r="AP346" i="4"/>
  <c r="AB335" i="4"/>
  <c r="AH316" i="4"/>
  <c r="Z294" i="4"/>
  <c r="Z326" i="4"/>
  <c r="J163" i="4"/>
  <c r="J106" i="4"/>
  <c r="J232" i="4"/>
  <c r="AJ146" i="4"/>
  <c r="R321" i="4"/>
  <c r="Z314" i="4"/>
  <c r="L368" i="4"/>
  <c r="Z286" i="4"/>
  <c r="T359" i="4"/>
  <c r="J346" i="4"/>
  <c r="J181" i="4"/>
  <c r="AJ362" i="4"/>
  <c r="Z350" i="4"/>
  <c r="Z267" i="4"/>
  <c r="L272" i="4"/>
  <c r="L124" i="4"/>
  <c r="T145" i="4"/>
  <c r="Z59" i="4"/>
  <c r="AP291" i="4"/>
  <c r="AJ331" i="4"/>
  <c r="AJ352" i="4"/>
  <c r="T51" i="4"/>
  <c r="T127" i="4"/>
  <c r="J304" i="4"/>
  <c r="AH361" i="4"/>
  <c r="AP363" i="4"/>
  <c r="Z347" i="4"/>
  <c r="Z354" i="4"/>
  <c r="R368" i="4"/>
  <c r="Z309" i="4"/>
  <c r="AP306" i="4"/>
  <c r="R324" i="4"/>
  <c r="Z224" i="4"/>
  <c r="J97" i="4"/>
  <c r="T320" i="4"/>
  <c r="AH76" i="4"/>
  <c r="AP126" i="4"/>
  <c r="L314" i="4"/>
  <c r="AR184" i="4"/>
  <c r="AB263" i="4"/>
  <c r="T195" i="4"/>
  <c r="AP322" i="4"/>
  <c r="AH134" i="4"/>
  <c r="L199" i="4"/>
  <c r="J290" i="4"/>
  <c r="AB58" i="4"/>
  <c r="AH317" i="4"/>
  <c r="AB154" i="4"/>
  <c r="T162" i="4"/>
  <c r="AP353" i="4"/>
  <c r="Z317" i="4"/>
  <c r="AB307" i="4"/>
  <c r="AH241" i="4"/>
  <c r="AR369" i="4"/>
  <c r="J253" i="4"/>
  <c r="AR297" i="4"/>
  <c r="AR365" i="4"/>
  <c r="R60" i="4"/>
  <c r="Z361" i="4"/>
  <c r="Z247" i="4"/>
  <c r="AJ121" i="4"/>
  <c r="R331" i="4"/>
  <c r="L318" i="4"/>
  <c r="R190" i="4"/>
  <c r="Z329" i="4"/>
  <c r="R369" i="4"/>
  <c r="J186" i="4"/>
  <c r="R120" i="4"/>
  <c r="Z6" i="4"/>
  <c r="R355" i="4"/>
  <c r="T166" i="4"/>
  <c r="AJ240" i="4"/>
  <c r="AR150" i="4"/>
  <c r="AB318" i="4"/>
  <c r="L45" i="4"/>
  <c r="T357" i="4"/>
  <c r="AB268" i="4"/>
  <c r="Z272" i="4"/>
  <c r="AP249" i="4"/>
  <c r="J275" i="4"/>
  <c r="AH328" i="4"/>
  <c r="AH358" i="4"/>
  <c r="AJ305" i="4"/>
  <c r="AP118" i="4"/>
  <c r="AH309" i="4"/>
  <c r="R179" i="4"/>
  <c r="Z157" i="4"/>
  <c r="R260" i="4"/>
  <c r="T335" i="4"/>
  <c r="T226" i="4"/>
  <c r="L362" i="4"/>
  <c r="AJ172" i="4"/>
  <c r="AR302" i="4"/>
  <c r="AP261" i="4"/>
  <c r="R212" i="4"/>
  <c r="AP271" i="4"/>
  <c r="J268" i="4"/>
  <c r="AH349" i="4"/>
  <c r="J90" i="4"/>
  <c r="L135" i="4"/>
  <c r="Z237" i="4"/>
  <c r="AJ265" i="4"/>
  <c r="AH142" i="4"/>
  <c r="AH166" i="4"/>
  <c r="AP262" i="4"/>
  <c r="AH315" i="4"/>
  <c r="AJ217" i="4"/>
  <c r="AB340" i="4"/>
  <c r="AP284" i="4"/>
  <c r="AH281" i="4"/>
  <c r="AP360" i="4"/>
  <c r="AP197" i="4"/>
  <c r="L243" i="4"/>
  <c r="R272" i="4"/>
  <c r="R64" i="4"/>
  <c r="T328" i="4"/>
  <c r="Z211" i="4"/>
  <c r="AR270" i="4"/>
  <c r="R303" i="4"/>
  <c r="AH260" i="4"/>
  <c r="Z206" i="4"/>
  <c r="R17" i="4"/>
  <c r="J38" i="4"/>
  <c r="R189" i="4"/>
  <c r="R176" i="4"/>
  <c r="R152" i="4"/>
  <c r="AJ193" i="4"/>
  <c r="J369" i="4"/>
  <c r="Z261" i="4"/>
  <c r="AH359" i="4"/>
  <c r="AP228" i="4"/>
  <c r="AJ263" i="4"/>
  <c r="T353" i="4"/>
  <c r="Z182" i="4"/>
  <c r="AJ32" i="4"/>
  <c r="L310" i="4"/>
  <c r="AB222" i="4"/>
  <c r="AH346" i="4"/>
  <c r="Z233" i="4"/>
  <c r="Z199" i="4"/>
  <c r="AJ216" i="4"/>
  <c r="AJ296" i="4"/>
  <c r="J289" i="4"/>
  <c r="AH351" i="4"/>
  <c r="AH270" i="4"/>
  <c r="AH125" i="4"/>
  <c r="L267" i="4"/>
  <c r="AR247" i="4"/>
  <c r="AH246" i="4"/>
  <c r="AP314" i="4"/>
  <c r="T154" i="4"/>
  <c r="Z291" i="4"/>
  <c r="L244" i="4"/>
  <c r="AH174" i="4"/>
  <c r="R198" i="4"/>
  <c r="AP239" i="4"/>
  <c r="L187" i="4"/>
  <c r="AP311" i="4"/>
  <c r="R131" i="4"/>
  <c r="R193" i="4"/>
  <c r="AJ259" i="4"/>
  <c r="AH335" i="4"/>
  <c r="Z322" i="4"/>
  <c r="J247" i="4"/>
  <c r="AH16" i="4"/>
  <c r="AB343" i="4"/>
  <c r="L338" i="4"/>
  <c r="R300" i="4"/>
  <c r="R270" i="4"/>
  <c r="AP323" i="4"/>
  <c r="AH288" i="4"/>
  <c r="AR99" i="4"/>
  <c r="J210" i="4"/>
  <c r="R291" i="4"/>
  <c r="J323" i="4"/>
  <c r="AB231" i="4"/>
  <c r="J352" i="4"/>
  <c r="T262" i="4"/>
  <c r="AR198" i="4"/>
  <c r="AH135" i="4"/>
  <c r="L322" i="4"/>
  <c r="AJ282" i="4"/>
  <c r="J122" i="4"/>
  <c r="Z255" i="4"/>
  <c r="L206" i="4"/>
  <c r="AP368" i="4"/>
  <c r="AR175" i="4"/>
  <c r="R92" i="4"/>
  <c r="T202" i="4"/>
  <c r="Z229" i="4"/>
  <c r="AH143" i="4"/>
  <c r="L15" i="4"/>
  <c r="J137" i="4"/>
  <c r="AR185" i="4"/>
  <c r="R309" i="4"/>
  <c r="Z315" i="4"/>
  <c r="AP276" i="4"/>
  <c r="J113" i="4"/>
  <c r="Z60" i="4"/>
  <c r="AP336" i="4"/>
  <c r="J277" i="4"/>
  <c r="AR359" i="4"/>
  <c r="R49" i="4"/>
  <c r="R43" i="4"/>
  <c r="L227" i="4"/>
  <c r="R268" i="4"/>
  <c r="L298" i="4"/>
  <c r="AH226" i="4"/>
  <c r="AB185" i="4"/>
  <c r="AH170" i="4"/>
  <c r="AH286" i="4"/>
  <c r="AB323" i="4"/>
  <c r="AP35" i="4"/>
  <c r="AR358" i="4"/>
  <c r="J240" i="4"/>
  <c r="J319" i="4"/>
  <c r="T261" i="4"/>
  <c r="Z238" i="4"/>
  <c r="AJ306" i="4"/>
  <c r="Z242" i="4"/>
  <c r="Z57" i="4"/>
  <c r="R318" i="4"/>
  <c r="L344" i="4"/>
  <c r="T110" i="4"/>
  <c r="AB114" i="4"/>
  <c r="AJ144" i="4"/>
  <c r="AB262" i="4"/>
  <c r="Z276" i="4"/>
  <c r="R247" i="4"/>
  <c r="L263" i="4"/>
  <c r="AP146" i="4"/>
  <c r="AH262" i="4"/>
  <c r="AR260" i="4"/>
  <c r="AB303" i="4"/>
  <c r="T203" i="4"/>
  <c r="J197" i="4"/>
  <c r="AP63" i="4"/>
  <c r="J157" i="4"/>
  <c r="AR282" i="4"/>
  <c r="AB196" i="4"/>
  <c r="AB100" i="4"/>
  <c r="J87" i="4"/>
  <c r="AH222" i="4"/>
  <c r="J211" i="4"/>
  <c r="L355" i="4"/>
  <c r="T294" i="4"/>
  <c r="R252" i="4"/>
  <c r="L172" i="4"/>
  <c r="R25" i="4"/>
  <c r="L343" i="4"/>
  <c r="R248" i="4"/>
  <c r="J315" i="4"/>
  <c r="R239" i="4"/>
  <c r="J332" i="4"/>
  <c r="AR316" i="4"/>
  <c r="T316" i="4"/>
  <c r="J156" i="4"/>
  <c r="AB228" i="4"/>
  <c r="R284" i="4"/>
  <c r="R348" i="4"/>
  <c r="AH7" i="4"/>
  <c r="R144" i="4"/>
  <c r="AB172" i="4"/>
  <c r="J111" i="4"/>
  <c r="AP272" i="4"/>
  <c r="L321" i="4"/>
  <c r="AP69" i="4"/>
  <c r="AR211" i="4"/>
  <c r="R27" i="4"/>
  <c r="AB366" i="4"/>
  <c r="AJ300" i="4"/>
  <c r="J259" i="4"/>
  <c r="AB341" i="4"/>
  <c r="AH356" i="4"/>
  <c r="Z289" i="4"/>
  <c r="AP202" i="4"/>
  <c r="R314" i="4"/>
  <c r="J287" i="4"/>
  <c r="R58" i="4"/>
  <c r="L159" i="4"/>
  <c r="J239" i="4"/>
  <c r="AP78" i="4"/>
  <c r="AH329" i="4"/>
  <c r="AH280" i="4"/>
  <c r="Z239" i="4"/>
  <c r="AP298" i="4"/>
  <c r="T100" i="4"/>
  <c r="J209" i="4"/>
  <c r="AB357" i="4"/>
  <c r="T201" i="4"/>
  <c r="L302" i="4"/>
  <c r="L328" i="4"/>
  <c r="J193" i="4"/>
  <c r="Z248" i="4"/>
  <c r="AP41" i="4"/>
  <c r="AH261" i="4"/>
  <c r="T366" i="4"/>
  <c r="AR176" i="4"/>
  <c r="AP332" i="4"/>
  <c r="T174" i="4"/>
  <c r="AH308" i="4"/>
  <c r="AB336" i="4"/>
  <c r="R253" i="4"/>
  <c r="AB330" i="4"/>
  <c r="Z260" i="4"/>
  <c r="AP299" i="4"/>
  <c r="J354" i="4"/>
  <c r="AP318" i="4"/>
  <c r="J233" i="4"/>
  <c r="AH225" i="4"/>
  <c r="L242" i="4"/>
  <c r="R244" i="4"/>
  <c r="AH321" i="4"/>
  <c r="R41" i="4"/>
  <c r="AH22" i="4"/>
  <c r="AJ23" i="4"/>
  <c r="AH354" i="4"/>
  <c r="Z356" i="4"/>
  <c r="AP355" i="4"/>
  <c r="Z251" i="4"/>
  <c r="R304" i="4"/>
  <c r="AH229" i="4"/>
  <c r="AP310" i="4"/>
  <c r="AH273" i="4"/>
  <c r="AP230" i="4"/>
  <c r="AP319" i="4"/>
  <c r="AB293" i="4"/>
  <c r="AB362" i="4"/>
  <c r="AR174" i="4"/>
  <c r="T323" i="4"/>
  <c r="Z296" i="4"/>
  <c r="R274" i="4"/>
  <c r="L42" i="4"/>
  <c r="AJ252" i="4"/>
  <c r="AP225" i="4"/>
  <c r="AJ267" i="4"/>
  <c r="J251" i="4"/>
  <c r="Z275" i="4"/>
  <c r="R337" i="4"/>
  <c r="J149" i="4"/>
  <c r="AH318" i="4"/>
  <c r="J47" i="4"/>
  <c r="T298" i="4"/>
  <c r="Z212" i="4"/>
  <c r="Z320" i="4"/>
  <c r="AH248" i="4"/>
  <c r="R292" i="4"/>
  <c r="Z348" i="4"/>
  <c r="T271" i="4"/>
  <c r="R59" i="4"/>
  <c r="AB312" i="4"/>
  <c r="AP243" i="4"/>
  <c r="AP138" i="4"/>
  <c r="AB184" i="4"/>
  <c r="T350" i="4"/>
  <c r="AH123" i="4"/>
  <c r="AH11" i="4"/>
  <c r="J52" i="4"/>
  <c r="Z299" i="4"/>
  <c r="L178" i="4"/>
  <c r="AJ264" i="4"/>
  <c r="Z259" i="4"/>
  <c r="AP189" i="4"/>
  <c r="Z353" i="4"/>
  <c r="AH357" i="4"/>
  <c r="J337" i="4"/>
  <c r="AJ131" i="4"/>
  <c r="AH207" i="4"/>
  <c r="J295" i="4"/>
  <c r="AP256" i="4"/>
  <c r="AH249" i="4"/>
  <c r="L359" i="4"/>
  <c r="L266" i="4"/>
  <c r="R301" i="4"/>
  <c r="R254" i="4"/>
  <c r="T223" i="4"/>
  <c r="R124" i="4"/>
  <c r="AB126" i="4"/>
  <c r="L116" i="4"/>
  <c r="AP354" i="4"/>
  <c r="Z321" i="4"/>
  <c r="R344" i="4"/>
  <c r="AR163" i="4"/>
  <c r="AP238" i="4"/>
  <c r="L340" i="4"/>
  <c r="Z244" i="4"/>
  <c r="Z363" i="4"/>
  <c r="J316" i="4"/>
  <c r="AH119" i="4"/>
  <c r="T325" i="4"/>
  <c r="AH140" i="4"/>
  <c r="Z94" i="4"/>
  <c r="AP214" i="4"/>
  <c r="R251" i="4"/>
  <c r="R95" i="4"/>
  <c r="AR326" i="4"/>
  <c r="AH279" i="4"/>
  <c r="T311" i="4"/>
  <c r="AB221" i="4"/>
  <c r="Z334" i="4"/>
  <c r="AR220" i="4"/>
  <c r="AH183" i="4"/>
  <c r="AJ155" i="4"/>
  <c r="AB190" i="4"/>
  <c r="R71" i="4"/>
  <c r="J168" i="4"/>
  <c r="L77" i="4"/>
  <c r="Z284" i="4"/>
  <c r="AB305" i="4"/>
  <c r="AJ179" i="4"/>
  <c r="AH312" i="4"/>
  <c r="AR248" i="4"/>
  <c r="R290" i="4"/>
  <c r="Z338" i="4"/>
  <c r="R302" i="4"/>
  <c r="AR161" i="4"/>
  <c r="AP29" i="4"/>
  <c r="AH122" i="4"/>
  <c r="AH197" i="4"/>
  <c r="AR280" i="4"/>
  <c r="J212" i="4"/>
  <c r="T277" i="4"/>
  <c r="AJ195" i="4"/>
  <c r="Z176" i="4"/>
  <c r="J74" i="4"/>
  <c r="AP110" i="4"/>
  <c r="R153" i="4"/>
  <c r="T129" i="4"/>
  <c r="AB73" i="4"/>
  <c r="AP159" i="4"/>
  <c r="AJ163" i="4"/>
  <c r="L320" i="4"/>
  <c r="R315" i="4"/>
  <c r="R281" i="4"/>
  <c r="J288" i="4"/>
  <c r="T235" i="4"/>
  <c r="AP349" i="4"/>
  <c r="AP286" i="4"/>
  <c r="AH366" i="4"/>
  <c r="AR283" i="4"/>
  <c r="AR339" i="4"/>
  <c r="T52" i="4"/>
  <c r="Z112" i="4"/>
  <c r="T73" i="4"/>
  <c r="L348" i="4"/>
  <c r="R234" i="4"/>
  <c r="Z360" i="4"/>
  <c r="AP324" i="4"/>
  <c r="AH278" i="4"/>
  <c r="AH291" i="4"/>
  <c r="L68" i="4"/>
  <c r="AP173" i="4"/>
  <c r="J317" i="4"/>
  <c r="J237" i="4"/>
  <c r="Z352" i="4"/>
  <c r="T191" i="4"/>
  <c r="AP7" i="4"/>
  <c r="J121" i="4"/>
  <c r="AB358" i="4"/>
  <c r="AH297" i="4"/>
  <c r="Z153" i="4"/>
  <c r="L13" i="4"/>
  <c r="L6" i="4"/>
  <c r="T308" i="4"/>
  <c r="Z250" i="4"/>
  <c r="L254" i="4"/>
  <c r="AR295" i="4"/>
  <c r="L294" i="4"/>
  <c r="R156" i="4"/>
  <c r="L208" i="4"/>
  <c r="Z193" i="4"/>
  <c r="J173" i="4"/>
  <c r="Z298" i="4"/>
  <c r="L217" i="4"/>
  <c r="AP56" i="4"/>
  <c r="AJ323" i="4"/>
  <c r="AP277" i="4"/>
  <c r="AH322" i="4"/>
  <c r="AH293" i="4"/>
  <c r="R170" i="4"/>
  <c r="T215" i="4"/>
  <c r="R5" i="4"/>
  <c r="AH106" i="4"/>
  <c r="AP80" i="4"/>
  <c r="Z301" i="4"/>
  <c r="T329" i="4"/>
  <c r="R326" i="4"/>
  <c r="AH258" i="4"/>
  <c r="AH336" i="4"/>
  <c r="AR312" i="4"/>
  <c r="Z333" i="4"/>
  <c r="AJ223" i="4"/>
  <c r="AP253" i="4"/>
  <c r="J188" i="4"/>
  <c r="Z183" i="4"/>
  <c r="AP333" i="4"/>
  <c r="J311" i="4"/>
  <c r="R55" i="4"/>
  <c r="R138" i="4"/>
  <c r="AJ139" i="4"/>
  <c r="T306" i="4"/>
  <c r="Z124" i="4"/>
  <c r="AP135" i="4"/>
  <c r="AB77" i="4"/>
  <c r="J224" i="4"/>
  <c r="Z148" i="4"/>
  <c r="AR40" i="4"/>
  <c r="L231" i="4"/>
  <c r="T38" i="4"/>
  <c r="AH210" i="4"/>
  <c r="T213" i="4"/>
  <c r="L170" i="4"/>
  <c r="T109" i="4"/>
  <c r="AJ100" i="4"/>
  <c r="AB186" i="4"/>
  <c r="R225" i="4"/>
  <c r="L107" i="4"/>
  <c r="AB174" i="4"/>
  <c r="J158" i="4"/>
  <c r="J65" i="4"/>
  <c r="AH304" i="4"/>
  <c r="AH115" i="4"/>
  <c r="L366" i="4"/>
  <c r="AJ188" i="4"/>
  <c r="AB311" i="4"/>
  <c r="J306" i="4"/>
  <c r="AP361" i="4"/>
  <c r="AP329" i="4"/>
  <c r="J273" i="4"/>
  <c r="L282" i="4"/>
  <c r="AH107" i="4"/>
  <c r="J249" i="4"/>
  <c r="L279" i="4"/>
  <c r="R283" i="4"/>
  <c r="R289" i="4"/>
  <c r="AB332" i="4"/>
  <c r="AJ238" i="4"/>
  <c r="AJ239" i="4"/>
  <c r="AP213" i="4"/>
  <c r="AH221" i="4"/>
  <c r="Z158" i="4"/>
  <c r="AR338" i="4"/>
  <c r="Z178" i="4"/>
  <c r="AR98" i="4"/>
  <c r="Z41" i="4"/>
  <c r="AJ327" i="4"/>
  <c r="AP342" i="4"/>
  <c r="AB365" i="4"/>
  <c r="AH205" i="4"/>
  <c r="L303" i="4"/>
  <c r="J258" i="4"/>
  <c r="AP190" i="4"/>
  <c r="T249" i="4"/>
  <c r="J363" i="4"/>
  <c r="AR240" i="4"/>
  <c r="AP34" i="4"/>
  <c r="AH95" i="4"/>
  <c r="AB46" i="4"/>
  <c r="T204" i="4"/>
  <c r="AP165" i="4"/>
  <c r="Z342" i="4"/>
  <c r="AP237" i="4"/>
  <c r="R164" i="4"/>
  <c r="AH313" i="4"/>
  <c r="AH332" i="4"/>
  <c r="J64" i="4"/>
  <c r="AB316" i="4"/>
  <c r="AB149" i="4"/>
  <c r="L360" i="4"/>
  <c r="R351" i="4"/>
  <c r="Z302" i="4"/>
  <c r="AP350" i="4"/>
  <c r="Z346" i="4"/>
  <c r="Z230" i="4"/>
  <c r="AR222" i="4"/>
  <c r="L160" i="4"/>
  <c r="R140" i="4"/>
  <c r="AB328" i="4"/>
  <c r="J112" i="4"/>
  <c r="T358" i="4"/>
  <c r="AR123" i="4"/>
  <c r="AJ337" i="4"/>
  <c r="AJ181" i="4"/>
  <c r="AR294" i="4"/>
  <c r="L196" i="4"/>
  <c r="AH344" i="4"/>
  <c r="AP292" i="4"/>
  <c r="T255" i="4"/>
  <c r="L330" i="4"/>
  <c r="AH178" i="4"/>
  <c r="AR285" i="4"/>
  <c r="R148" i="4"/>
  <c r="R365" i="4"/>
  <c r="R276" i="4"/>
  <c r="AP177" i="4"/>
  <c r="AJ319" i="4"/>
  <c r="AP67" i="4"/>
  <c r="T66" i="4"/>
  <c r="R307" i="4"/>
  <c r="AB327" i="4"/>
  <c r="AJ365" i="4"/>
  <c r="AP129" i="4"/>
  <c r="Z18" i="4"/>
  <c r="J36" i="4"/>
  <c r="AB208" i="4"/>
  <c r="AP275" i="4"/>
  <c r="L55" i="4"/>
  <c r="AH77" i="4"/>
  <c r="AP125" i="4"/>
  <c r="R227" i="4"/>
  <c r="J246" i="4"/>
  <c r="AP92" i="4"/>
  <c r="AJ60" i="4"/>
  <c r="AP109" i="4"/>
  <c r="AB369" i="4"/>
  <c r="Z359" i="4"/>
  <c r="AR223" i="4"/>
  <c r="J309" i="4"/>
  <c r="J358" i="4"/>
  <c r="AB125" i="4"/>
  <c r="AH202" i="4"/>
  <c r="J281" i="4"/>
  <c r="J296" i="4"/>
  <c r="J31" i="4"/>
  <c r="AB225" i="4"/>
  <c r="J325" i="4"/>
  <c r="R288" i="4"/>
  <c r="Z285" i="4"/>
  <c r="J220" i="4"/>
  <c r="R336" i="4"/>
  <c r="AR245" i="4"/>
  <c r="AP224" i="4"/>
  <c r="R165" i="4"/>
  <c r="J342" i="4"/>
  <c r="AJ227" i="4"/>
  <c r="Z207" i="4"/>
  <c r="AP153" i="4"/>
  <c r="Z249" i="4"/>
  <c r="J152" i="4"/>
  <c r="AR152" i="4"/>
  <c r="AP236" i="4"/>
  <c r="AB210" i="4"/>
  <c r="AR164" i="4"/>
  <c r="Z274" i="4"/>
  <c r="J260" i="4"/>
  <c r="R263" i="4"/>
  <c r="J214" i="4"/>
  <c r="Z147" i="4"/>
  <c r="AB304" i="4"/>
  <c r="L256" i="4"/>
  <c r="AP131" i="4"/>
  <c r="Z28" i="4"/>
  <c r="Z37" i="4"/>
  <c r="AH86" i="4"/>
  <c r="R340" i="4"/>
  <c r="R330" i="4"/>
  <c r="AJ191" i="4"/>
  <c r="AR75" i="4"/>
  <c r="AB50" i="4"/>
  <c r="R130" i="4"/>
  <c r="R345" i="4"/>
  <c r="AH254" i="4"/>
  <c r="J292" i="4"/>
  <c r="R313" i="4"/>
  <c r="AB136" i="4"/>
  <c r="AP251" i="4"/>
  <c r="J169" i="4"/>
  <c r="Z258" i="4"/>
  <c r="Z337" i="4"/>
  <c r="J293" i="4"/>
  <c r="J141" i="4"/>
  <c r="AR188" i="4"/>
  <c r="J357" i="4"/>
  <c r="R364" i="4"/>
  <c r="Z128" i="4"/>
  <c r="R322" i="4"/>
  <c r="Z243" i="4"/>
  <c r="J291" i="4"/>
  <c r="AP348" i="4"/>
  <c r="AP166" i="4"/>
  <c r="AP10" i="4"/>
  <c r="J356" i="4"/>
  <c r="L335" i="4"/>
  <c r="R245" i="4"/>
  <c r="AJ232" i="4"/>
  <c r="AJ334" i="4"/>
  <c r="J46" i="4"/>
  <c r="AH213" i="4"/>
  <c r="AB91" i="4"/>
  <c r="AH231" i="4"/>
  <c r="T104" i="4"/>
  <c r="AP57" i="4"/>
  <c r="AP20" i="4"/>
  <c r="J191" i="4"/>
  <c r="AP115" i="4"/>
  <c r="Z63" i="4"/>
  <c r="AR290" i="4"/>
  <c r="Z165" i="4"/>
  <c r="AP130" i="4"/>
  <c r="AR30" i="4"/>
  <c r="AR139" i="4"/>
  <c r="L192" i="4"/>
  <c r="L28" i="4"/>
  <c r="J364" i="4"/>
  <c r="AH158" i="4"/>
  <c r="J177" i="4"/>
  <c r="L176" i="4"/>
  <c r="AP116" i="4"/>
  <c r="AJ201" i="4"/>
  <c r="AJ42" i="4"/>
  <c r="R47" i="4"/>
  <c r="AJ25" i="4"/>
  <c r="AH40" i="4"/>
  <c r="R126" i="4"/>
  <c r="AH78" i="4"/>
  <c r="J83" i="4"/>
  <c r="AP120" i="4"/>
  <c r="AB96" i="4"/>
  <c r="J132" i="4"/>
  <c r="AH91" i="4"/>
  <c r="Z62" i="4"/>
  <c r="AP111" i="4"/>
  <c r="AB43" i="4"/>
  <c r="R118" i="4"/>
  <c r="Z11" i="4"/>
  <c r="AH14" i="4"/>
  <c r="R221" i="4"/>
  <c r="AH200" i="4"/>
  <c r="AH236" i="4"/>
  <c r="R305" i="4"/>
  <c r="J305" i="4"/>
  <c r="AH198" i="4"/>
  <c r="AR72" i="4"/>
  <c r="AH62" i="4"/>
  <c r="AP147" i="4"/>
  <c r="T125" i="4"/>
  <c r="AP61" i="4"/>
  <c r="AR321" i="4"/>
  <c r="J133" i="4"/>
  <c r="L154" i="4"/>
  <c r="R76" i="4"/>
  <c r="AB236" i="4"/>
  <c r="AJ204" i="4"/>
  <c r="AB29" i="4"/>
  <c r="T217" i="4"/>
  <c r="Z83" i="4"/>
  <c r="AR12" i="4"/>
  <c r="AP55" i="4"/>
  <c r="AB118" i="4"/>
  <c r="AJ151" i="4"/>
  <c r="AH58" i="4"/>
  <c r="J144" i="4"/>
  <c r="AB132" i="4"/>
  <c r="AR171" i="4"/>
  <c r="AP154" i="4"/>
  <c r="J175" i="4"/>
  <c r="J216" i="4"/>
  <c r="L12" i="4"/>
  <c r="AP112" i="4"/>
  <c r="AH70" i="4"/>
  <c r="AP182" i="4"/>
  <c r="J48" i="4"/>
  <c r="J41" i="4"/>
  <c r="AB120" i="4"/>
  <c r="J19" i="4"/>
  <c r="AR200" i="4"/>
  <c r="R159" i="4"/>
  <c r="Z103" i="4"/>
  <c r="AH52" i="4"/>
  <c r="Z89" i="4"/>
  <c r="AP157" i="4"/>
  <c r="AP101" i="4"/>
  <c r="R15" i="4"/>
  <c r="AH57" i="4"/>
  <c r="AP86" i="4"/>
  <c r="Z121" i="4"/>
  <c r="AJ63" i="4"/>
  <c r="AR128" i="4"/>
  <c r="R256" i="4"/>
  <c r="J73" i="4"/>
  <c r="AR93" i="4"/>
  <c r="AR37" i="4"/>
  <c r="Z113" i="4"/>
  <c r="AJ102" i="4"/>
  <c r="AB116" i="4"/>
  <c r="AJ82" i="4"/>
  <c r="R172" i="4"/>
  <c r="AJ15" i="4"/>
  <c r="AH75" i="4"/>
  <c r="J202" i="4"/>
  <c r="AB179" i="4"/>
  <c r="AJ64" i="4"/>
  <c r="J88" i="4"/>
  <c r="J93" i="4"/>
  <c r="AR309" i="4"/>
  <c r="J110" i="4"/>
  <c r="AB74" i="4"/>
  <c r="J150" i="4"/>
  <c r="L30" i="4"/>
  <c r="AB130" i="4"/>
  <c r="L86" i="4"/>
  <c r="AR14" i="4"/>
  <c r="AP300" i="4"/>
  <c r="J270" i="4"/>
  <c r="AH271" i="4"/>
  <c r="AR117" i="4"/>
  <c r="T141" i="4"/>
  <c r="AR83" i="4"/>
  <c r="AR52" i="4"/>
  <c r="AP9" i="4"/>
  <c r="AH295" i="4"/>
  <c r="AJ224" i="4"/>
  <c r="J49" i="4"/>
  <c r="AH18" i="4"/>
  <c r="AB106" i="4"/>
  <c r="R230" i="4"/>
  <c r="AP191" i="4"/>
  <c r="AB200" i="4"/>
  <c r="AR25" i="4"/>
  <c r="T184" i="4"/>
  <c r="AH68" i="4"/>
  <c r="T18" i="4"/>
  <c r="J190" i="4"/>
  <c r="Z141" i="4"/>
  <c r="Z146" i="4"/>
  <c r="R273" i="4"/>
  <c r="R151" i="4"/>
  <c r="AB39" i="4"/>
  <c r="J39" i="4"/>
  <c r="Z111" i="4"/>
  <c r="AH109" i="4"/>
  <c r="J96" i="4"/>
  <c r="AP59" i="4"/>
  <c r="AH26" i="4"/>
  <c r="J94" i="4"/>
  <c r="L34" i="4"/>
  <c r="R37" i="4"/>
  <c r="J72" i="4"/>
  <c r="L9" i="4"/>
  <c r="L75" i="4"/>
  <c r="J128" i="4"/>
  <c r="AP119" i="4"/>
  <c r="L103" i="4"/>
  <c r="AH96" i="4"/>
  <c r="T136" i="4"/>
  <c r="L32" i="4"/>
  <c r="AJ44" i="4"/>
  <c r="R209" i="4"/>
  <c r="R143" i="4"/>
  <c r="J91" i="4"/>
  <c r="L184" i="4"/>
  <c r="AH90" i="4"/>
  <c r="AH199" i="4"/>
  <c r="J223" i="4"/>
  <c r="T296" i="4"/>
  <c r="T173" i="4"/>
  <c r="Z218" i="4"/>
  <c r="AB30" i="4"/>
  <c r="AP102" i="4"/>
  <c r="AR70" i="4"/>
  <c r="R114" i="4"/>
  <c r="Z102" i="4"/>
  <c r="Z319" i="4"/>
  <c r="AP137" i="4"/>
  <c r="L123" i="4"/>
  <c r="AP26" i="4"/>
  <c r="R29" i="4"/>
  <c r="L80" i="4"/>
  <c r="AB49" i="4"/>
  <c r="Z164" i="4"/>
  <c r="AP17" i="4"/>
  <c r="R218" i="4"/>
  <c r="R102" i="4"/>
  <c r="AJ111" i="4"/>
  <c r="AB21" i="4"/>
  <c r="T39" i="4"/>
  <c r="AH48" i="4"/>
  <c r="J92" i="4"/>
  <c r="R57" i="4"/>
  <c r="R122" i="4"/>
  <c r="AP33" i="4"/>
  <c r="Z66" i="4"/>
  <c r="R135" i="4"/>
  <c r="L99" i="4"/>
  <c r="J225" i="4"/>
  <c r="Z177" i="4"/>
  <c r="AB25" i="4"/>
  <c r="AP81" i="4"/>
  <c r="Z76" i="4"/>
  <c r="Z26" i="4"/>
  <c r="AR58" i="4"/>
  <c r="AB9" i="4"/>
  <c r="R40" i="4"/>
  <c r="T28" i="4"/>
  <c r="AB68" i="4"/>
  <c r="AJ51" i="4"/>
  <c r="Z31" i="4"/>
  <c r="AP46" i="4"/>
  <c r="Z61" i="4"/>
  <c r="AR94" i="4"/>
  <c r="Z155" i="4"/>
  <c r="R199" i="4"/>
  <c r="AR48" i="4"/>
  <c r="AB139" i="4"/>
  <c r="R347" i="4"/>
  <c r="AP145" i="4"/>
  <c r="J162" i="4"/>
  <c r="T116" i="4"/>
  <c r="Z54" i="4"/>
  <c r="R82" i="4"/>
  <c r="AH37" i="4"/>
  <c r="AJ38" i="4"/>
  <c r="L130" i="4"/>
  <c r="AH150" i="4"/>
  <c r="AR11" i="4"/>
  <c r="J136" i="4"/>
  <c r="AR108" i="4"/>
  <c r="AP64" i="4"/>
  <c r="Z188" i="4"/>
  <c r="AP96" i="4"/>
  <c r="L7" i="4"/>
  <c r="Z240" i="4"/>
  <c r="L44" i="4"/>
  <c r="J70" i="4"/>
  <c r="AP51" i="4"/>
  <c r="R169" i="4"/>
  <c r="AP53" i="4"/>
  <c r="AB80" i="4"/>
  <c r="J23" i="4"/>
  <c r="AB150" i="4"/>
  <c r="R211" i="4"/>
  <c r="AR317" i="4"/>
  <c r="J238" i="4"/>
  <c r="L60" i="4"/>
  <c r="AH298" i="4"/>
  <c r="J151" i="4"/>
  <c r="R78" i="4"/>
  <c r="T20" i="4"/>
  <c r="J27" i="4"/>
  <c r="T75" i="4"/>
  <c r="Z131" i="4"/>
  <c r="AR170" i="4"/>
  <c r="T68" i="4"/>
  <c r="AP151" i="4"/>
  <c r="AB127" i="4"/>
  <c r="Z140" i="4"/>
  <c r="AH110" i="4"/>
  <c r="R90" i="4"/>
  <c r="AP169" i="4"/>
  <c r="R46" i="4"/>
  <c r="AH69" i="4"/>
  <c r="AP122" i="4"/>
  <c r="AH98" i="4"/>
  <c r="AP32" i="4"/>
  <c r="J250" i="4"/>
  <c r="L56" i="4"/>
  <c r="R81" i="4"/>
  <c r="AH171" i="4"/>
  <c r="AB214" i="4"/>
  <c r="Z64" i="4"/>
  <c r="AB115" i="4"/>
  <c r="R208" i="4"/>
  <c r="AH34" i="4"/>
  <c r="AP142" i="4"/>
  <c r="J40" i="4"/>
  <c r="L226" i="4"/>
  <c r="AJ93" i="4"/>
  <c r="AP178" i="4"/>
  <c r="J51" i="4"/>
  <c r="R147" i="4"/>
  <c r="J21" i="4"/>
  <c r="J58" i="4"/>
  <c r="AH21" i="4"/>
  <c r="J29" i="4"/>
  <c r="L142" i="4"/>
  <c r="AP84" i="4"/>
  <c r="L146" i="4"/>
  <c r="Z143" i="4"/>
  <c r="J35" i="4"/>
  <c r="AP217" i="4"/>
  <c r="AH84" i="4"/>
  <c r="R14" i="4"/>
  <c r="AH190" i="4"/>
  <c r="Z203" i="4"/>
  <c r="AJ175" i="4"/>
  <c r="AH74" i="4"/>
  <c r="J25" i="4"/>
  <c r="R83" i="4"/>
  <c r="J236" i="4"/>
  <c r="AP107" i="4"/>
  <c r="J189" i="4"/>
  <c r="AR212" i="4"/>
  <c r="AR140" i="4"/>
  <c r="AH45" i="4"/>
  <c r="AP44" i="4"/>
  <c r="AP179" i="4"/>
  <c r="Z34" i="4"/>
  <c r="T63" i="4"/>
  <c r="AP15" i="4"/>
  <c r="J105" i="4"/>
  <c r="AB20" i="4"/>
  <c r="AP192" i="4"/>
  <c r="AR82" i="4"/>
  <c r="R210" i="4"/>
  <c r="AH19" i="4"/>
  <c r="Z22" i="4"/>
  <c r="L104" i="4"/>
  <c r="AH326" i="4"/>
  <c r="AB159" i="4"/>
  <c r="R21" i="4"/>
  <c r="Z5" i="4"/>
  <c r="Z97" i="4"/>
  <c r="L203" i="4"/>
  <c r="AH8" i="4"/>
  <c r="T7" i="4"/>
  <c r="Z85" i="4"/>
  <c r="R107" i="4"/>
  <c r="Z19" i="4"/>
  <c r="AB152" i="4"/>
  <c r="Z201" i="4"/>
  <c r="R105" i="4"/>
  <c r="Z194" i="4"/>
  <c r="R26" i="4"/>
  <c r="AH211" i="4"/>
  <c r="T112" i="4"/>
  <c r="L79" i="4"/>
  <c r="T287" i="4"/>
  <c r="AH234" i="4"/>
  <c r="Z192" i="4"/>
  <c r="AR167" i="4"/>
  <c r="L26" i="4"/>
  <c r="AR85" i="4"/>
  <c r="AP121" i="4"/>
  <c r="AJ220" i="4"/>
  <c r="AH148" i="4"/>
  <c r="Z7" i="4"/>
  <c r="AJ88" i="4"/>
  <c r="J11" i="4"/>
  <c r="AP16" i="4"/>
  <c r="AH20" i="4"/>
  <c r="AP143" i="4"/>
  <c r="R187" i="4"/>
  <c r="AH81" i="4"/>
  <c r="AH209" i="4"/>
  <c r="J81" i="4"/>
  <c r="AH219" i="4"/>
  <c r="AJ39" i="4"/>
  <c r="L66" i="4"/>
  <c r="J16" i="4"/>
  <c r="AP76" i="4"/>
  <c r="AH87" i="4"/>
  <c r="AP18" i="4"/>
  <c r="Z133" i="4"/>
  <c r="R48" i="4"/>
  <c r="AP43" i="4"/>
  <c r="AB180" i="4"/>
  <c r="AB220" i="4"/>
  <c r="Z36" i="4"/>
  <c r="T137" i="4"/>
  <c r="Z51" i="4"/>
  <c r="AJ36" i="4"/>
  <c r="AP104" i="4"/>
  <c r="AR13" i="4"/>
  <c r="AJ129" i="4"/>
  <c r="R13" i="4"/>
  <c r="AR162" i="4"/>
  <c r="AP90" i="4"/>
  <c r="Z166" i="4"/>
  <c r="AB15" i="4"/>
  <c r="J276" i="4"/>
  <c r="R219" i="4"/>
  <c r="J61" i="4"/>
  <c r="AR156" i="4"/>
  <c r="AH173" i="4"/>
  <c r="L102" i="4"/>
  <c r="R53" i="4"/>
  <c r="AH130" i="4"/>
  <c r="J234" i="4"/>
  <c r="Z189" i="4"/>
  <c r="AB216" i="4"/>
  <c r="AH61" i="4"/>
  <c r="R101" i="4"/>
  <c r="T155" i="4"/>
  <c r="AB67" i="4"/>
  <c r="T87" i="4"/>
  <c r="L101" i="4"/>
  <c r="J85" i="4"/>
  <c r="H2" i="4"/>
  <c r="AJ157" i="4"/>
  <c r="J200" i="4"/>
  <c r="AH9" i="4"/>
  <c r="J82" i="4"/>
  <c r="R111" i="4"/>
  <c r="AH104" i="4"/>
  <c r="J257" i="4"/>
  <c r="Z24" i="4"/>
  <c r="J5" i="4"/>
  <c r="K5" i="4" s="1"/>
  <c r="M6" i="4" s="1"/>
  <c r="K6" i="4" s="1"/>
  <c r="M7" i="4" s="1"/>
  <c r="K7" i="4" s="1"/>
  <c r="AJ118" i="4"/>
  <c r="R241" i="4"/>
  <c r="L67" i="4"/>
  <c r="T98" i="4"/>
  <c r="AR136" i="4"/>
  <c r="Z38" i="4"/>
  <c r="L43" i="4"/>
  <c r="L57" i="4"/>
  <c r="T243" i="4"/>
  <c r="Z264" i="4"/>
  <c r="J118" i="4"/>
  <c r="AH153" i="4"/>
  <c r="AJ79" i="4"/>
  <c r="AP71" i="4"/>
  <c r="AJ85" i="4"/>
  <c r="J140" i="4"/>
  <c r="T24" i="4"/>
  <c r="Z45" i="4"/>
  <c r="AJ49" i="4"/>
  <c r="AH33" i="4"/>
  <c r="R171" i="4"/>
  <c r="Z109" i="4"/>
  <c r="AJ235" i="4"/>
  <c r="AH164" i="4"/>
  <c r="R157" i="4"/>
  <c r="AH187" i="4"/>
  <c r="T97" i="4"/>
  <c r="AP6" i="4"/>
  <c r="R108" i="4"/>
  <c r="AP132" i="4"/>
  <c r="J164" i="4"/>
  <c r="L78" i="4"/>
  <c r="AH50" i="4"/>
  <c r="Z217" i="4"/>
  <c r="Z142" i="4"/>
  <c r="Z181" i="4"/>
  <c r="AJ10" i="4"/>
  <c r="AP5" i="4"/>
  <c r="T161" i="4"/>
  <c r="Z107" i="4"/>
  <c r="AH65" i="4"/>
  <c r="AH108" i="4"/>
  <c r="Z32" i="4"/>
  <c r="Z13" i="4"/>
  <c r="AB331" i="4"/>
  <c r="AH283" i="4"/>
  <c r="J100" i="4"/>
  <c r="R10" i="4"/>
  <c r="Z219" i="4"/>
  <c r="T85" i="4"/>
  <c r="J127" i="4"/>
  <c r="R192" i="4"/>
  <c r="AP206" i="4"/>
  <c r="AP91" i="4"/>
  <c r="AR87" i="4"/>
  <c r="Z134" i="4"/>
  <c r="J245" i="4"/>
  <c r="Z88" i="4"/>
  <c r="AP216" i="4"/>
  <c r="AP193" i="4"/>
  <c r="AJ133" i="4"/>
  <c r="AR27" i="4"/>
  <c r="R11" i="4"/>
  <c r="AR66" i="4"/>
  <c r="AJ203" i="4"/>
  <c r="AR199" i="4"/>
  <c r="AH35" i="4"/>
  <c r="AP114" i="4"/>
  <c r="R269" i="4"/>
  <c r="J117" i="4"/>
  <c r="AP155" i="4"/>
  <c r="AH53" i="4"/>
  <c r="AH30" i="4"/>
  <c r="J18" i="4"/>
  <c r="AJ29" i="4"/>
  <c r="AR68" i="4"/>
  <c r="AH128" i="4"/>
  <c r="R220" i="4"/>
  <c r="AP31" i="4"/>
  <c r="J262" i="4"/>
  <c r="AP45" i="4"/>
  <c r="T54" i="4"/>
  <c r="L24" i="4"/>
  <c r="R50" i="4"/>
  <c r="AJ117" i="4"/>
  <c r="R77" i="4"/>
  <c r="AH177" i="4"/>
  <c r="Z205" i="4"/>
  <c r="T99" i="4"/>
  <c r="Z99" i="4"/>
  <c r="AB47" i="4"/>
  <c r="AJ94" i="4"/>
  <c r="AB138" i="4"/>
  <c r="J69" i="4"/>
  <c r="AJ114" i="4"/>
  <c r="AR21" i="4"/>
  <c r="AB92" i="4"/>
  <c r="AJ180" i="4"/>
  <c r="Z17" i="4"/>
  <c r="AP160" i="4"/>
  <c r="AP133" i="4"/>
  <c r="AP265" i="4"/>
  <c r="R175" i="4"/>
  <c r="AH72" i="4"/>
  <c r="AB101" i="4"/>
  <c r="AR231" i="4"/>
  <c r="Z227" i="4"/>
  <c r="Z14" i="4"/>
  <c r="AP195" i="4"/>
  <c r="Z23" i="4"/>
  <c r="AR205" i="4"/>
  <c r="AH152" i="4"/>
  <c r="R133" i="4"/>
  <c r="T103" i="4"/>
  <c r="Z195" i="4"/>
  <c r="J215" i="4"/>
  <c r="AB145" i="4"/>
  <c r="AJ55" i="4"/>
  <c r="J22" i="4"/>
  <c r="Z108" i="4"/>
  <c r="T74" i="4"/>
  <c r="R80" i="4"/>
  <c r="T69" i="4"/>
  <c r="AP24" i="4"/>
  <c r="AR264" i="4"/>
  <c r="AP234" i="4"/>
  <c r="AJ160" i="4"/>
  <c r="L62" i="4"/>
  <c r="AH186" i="4"/>
  <c r="AP278" i="4"/>
  <c r="L143" i="4"/>
  <c r="AJ159" i="4"/>
  <c r="AJ89" i="4"/>
  <c r="AJ12" i="4"/>
  <c r="AJ66" i="4"/>
  <c r="J180" i="4"/>
  <c r="AR88" i="4"/>
  <c r="Z129" i="4"/>
  <c r="Z90" i="4"/>
  <c r="AP219" i="4"/>
  <c r="J84" i="4"/>
  <c r="AP95" i="4"/>
  <c r="AP148" i="4"/>
  <c r="AP28" i="4"/>
  <c r="T36" i="4"/>
  <c r="R150" i="4"/>
  <c r="R89" i="4"/>
  <c r="AP168" i="4"/>
  <c r="AH189" i="4"/>
  <c r="AH162" i="4"/>
  <c r="AH149" i="4"/>
  <c r="R267" i="4"/>
  <c r="J126" i="4"/>
  <c r="Z10" i="4"/>
  <c r="AH196" i="4"/>
  <c r="AP39" i="4"/>
  <c r="Z167" i="4"/>
  <c r="AB104" i="4"/>
  <c r="AJ83" i="4"/>
  <c r="R106" i="4"/>
  <c r="AP172" i="4"/>
  <c r="AB78" i="4"/>
  <c r="Z168" i="4"/>
  <c r="R8" i="4"/>
  <c r="R186" i="4"/>
  <c r="AP242" i="4"/>
  <c r="AH126" i="4"/>
  <c r="T65" i="4"/>
  <c r="Z187" i="4"/>
  <c r="J204" i="4"/>
  <c r="AH212" i="4"/>
  <c r="AP196" i="4"/>
  <c r="AB44" i="4"/>
  <c r="T182" i="4"/>
  <c r="R67" i="4"/>
  <c r="AJ54" i="4"/>
  <c r="R35" i="4"/>
  <c r="AH6" i="4"/>
  <c r="AH302" i="4"/>
  <c r="AR22" i="4"/>
  <c r="T86" i="4"/>
  <c r="R232" i="4"/>
  <c r="Z122" i="4"/>
  <c r="L148" i="4"/>
  <c r="L53" i="4"/>
  <c r="J89" i="4"/>
  <c r="R42" i="4"/>
  <c r="Z86" i="4"/>
  <c r="AB8" i="4"/>
  <c r="L286" i="4"/>
  <c r="R282" i="4"/>
  <c r="T142" i="4"/>
  <c r="AH31" i="4"/>
  <c r="R16" i="4"/>
  <c r="J138" i="4"/>
  <c r="R12" i="4"/>
  <c r="AH247" i="4"/>
  <c r="Z204" i="4"/>
  <c r="Z169" i="4"/>
  <c r="T119" i="4"/>
  <c r="AP287" i="4"/>
  <c r="R158" i="4"/>
  <c r="R79" i="4"/>
  <c r="Z71" i="4"/>
  <c r="L20" i="4"/>
  <c r="R163" i="4"/>
  <c r="AP105" i="4"/>
  <c r="AJ28" i="4"/>
  <c r="AJ13" i="4"/>
  <c r="R121" i="4"/>
  <c r="Z202" i="4"/>
  <c r="R146" i="4"/>
  <c r="AP73" i="4"/>
  <c r="AH41" i="4"/>
  <c r="Z98" i="4"/>
  <c r="AR158" i="4"/>
  <c r="R23" i="4"/>
  <c r="AB81" i="4"/>
  <c r="AP77" i="4"/>
  <c r="AJ185" i="4"/>
  <c r="R84" i="4"/>
  <c r="AP50" i="4"/>
  <c r="AJ103" i="4"/>
  <c r="Z253" i="4"/>
  <c r="R72" i="4"/>
  <c r="J76" i="4"/>
  <c r="AH176" i="4"/>
  <c r="AH116" i="4"/>
  <c r="Z82" i="4"/>
  <c r="T31" i="4"/>
  <c r="AP113" i="4"/>
  <c r="AP218" i="4"/>
  <c r="AH71" i="4"/>
  <c r="L114" i="4"/>
  <c r="AH46" i="4"/>
  <c r="AJ168" i="4"/>
  <c r="AP194" i="4"/>
  <c r="R33" i="4"/>
  <c r="AR134" i="4"/>
  <c r="T134" i="4"/>
  <c r="AR42" i="4"/>
  <c r="AH161" i="4"/>
  <c r="AB171" i="4"/>
  <c r="AP144" i="4"/>
  <c r="Z209" i="4"/>
  <c r="AB144" i="4"/>
  <c r="J50" i="4"/>
  <c r="J8" i="4"/>
  <c r="J167" i="4"/>
  <c r="J201" i="4"/>
  <c r="AR106" i="4"/>
  <c r="Z33" i="4"/>
  <c r="Z75" i="4"/>
  <c r="AB232" i="4"/>
  <c r="Z16" i="4"/>
  <c r="AH47" i="4"/>
  <c r="R117" i="4"/>
  <c r="L261" i="4"/>
  <c r="AH137" i="4"/>
  <c r="AH124" i="4"/>
  <c r="Z72" i="4"/>
  <c r="AB70" i="4"/>
  <c r="AP97" i="4"/>
  <c r="AP65" i="4"/>
  <c r="AJ59" i="4"/>
  <c r="AH97" i="4"/>
  <c r="AH141" i="4"/>
  <c r="AH27" i="4"/>
  <c r="AP208" i="4"/>
  <c r="Z40" i="4"/>
  <c r="Z156" i="4"/>
  <c r="AP254" i="4"/>
  <c r="L171" i="4"/>
  <c r="AP334" i="4"/>
  <c r="AR183" i="4"/>
  <c r="R62" i="4"/>
  <c r="AH92" i="4"/>
  <c r="R56" i="4"/>
  <c r="J129" i="4"/>
  <c r="R233" i="4"/>
  <c r="L165" i="4"/>
  <c r="T6" i="4"/>
  <c r="Z215" i="4"/>
  <c r="J213" i="4"/>
  <c r="J59" i="4"/>
  <c r="T149" i="4"/>
  <c r="J174" i="4"/>
  <c r="R115" i="4"/>
  <c r="AP49" i="4"/>
  <c r="R200" i="4"/>
  <c r="AP103" i="4"/>
  <c r="AB56" i="4"/>
  <c r="T22" i="4"/>
  <c r="Z53" i="4"/>
  <c r="AB95" i="4"/>
  <c r="L147" i="4"/>
  <c r="R123" i="4"/>
  <c r="Z52" i="4"/>
  <c r="T32" i="4"/>
  <c r="AH67" i="4"/>
  <c r="T45" i="4"/>
  <c r="R88" i="4"/>
  <c r="AH138" i="4"/>
  <c r="J98" i="4"/>
  <c r="AR38" i="4"/>
  <c r="R168" i="4"/>
  <c r="AH105" i="4"/>
  <c r="Z119" i="4"/>
  <c r="J108" i="4"/>
  <c r="AP23" i="4"/>
  <c r="AB197" i="4"/>
  <c r="AP266" i="4"/>
  <c r="R196" i="4"/>
  <c r="Z48" i="4"/>
  <c r="Z191" i="4"/>
  <c r="R197" i="4"/>
  <c r="L131" i="4"/>
  <c r="J63" i="4"/>
  <c r="Z79" i="4"/>
  <c r="AR19" i="4"/>
  <c r="AR36" i="4"/>
  <c r="AR54" i="4"/>
  <c r="J119" i="4"/>
  <c r="J115" i="4"/>
  <c r="R61" i="4"/>
  <c r="L334" i="4"/>
  <c r="J283" i="4"/>
  <c r="AB35" i="4"/>
  <c r="AR181" i="4"/>
  <c r="AB12" i="4"/>
  <c r="T70" i="4"/>
  <c r="L71" i="4"/>
  <c r="R185" i="4"/>
  <c r="AP255" i="4"/>
  <c r="AJ145" i="4"/>
  <c r="AP227" i="4"/>
  <c r="Z65" i="4"/>
  <c r="AB105" i="4"/>
  <c r="J179" i="4"/>
  <c r="AR47" i="4"/>
  <c r="Z42" i="4"/>
  <c r="AB42" i="4"/>
  <c r="R19" i="4"/>
  <c r="J153" i="4"/>
  <c r="G14" i="13"/>
  <c r="H14" i="13" s="1"/>
  <c r="I14" i="13" s="1"/>
  <c r="F15" i="13" s="1"/>
  <c r="B41" i="7" l="1"/>
  <c r="G23" i="7"/>
  <c r="G25" i="7" s="1"/>
  <c r="G18" i="7"/>
  <c r="AF27" i="9" s="1"/>
  <c r="I7" i="3"/>
  <c r="K7" i="3" s="1"/>
  <c r="I6" i="3"/>
  <c r="K6" i="3" s="1"/>
  <c r="E62" i="7"/>
  <c r="E64" i="7"/>
  <c r="E58" i="7"/>
  <c r="E65" i="7"/>
  <c r="E66" i="7"/>
  <c r="E61" i="7"/>
  <c r="E63" i="7"/>
  <c r="E55" i="7"/>
  <c r="E60" i="7"/>
  <c r="E59" i="7"/>
  <c r="E56" i="7"/>
  <c r="E5" i="4"/>
  <c r="G14" i="3" s="1"/>
  <c r="I14" i="3" s="1"/>
  <c r="K14" i="3" s="1"/>
  <c r="M8" i="4"/>
  <c r="K8" i="4" s="1"/>
  <c r="M9" i="4" s="1"/>
  <c r="K9" i="4" s="1"/>
  <c r="M10" i="4" s="1"/>
  <c r="K10" i="4" s="1"/>
  <c r="M11" i="4" s="1"/>
  <c r="K11" i="4" s="1"/>
  <c r="M12" i="4" s="1"/>
  <c r="K12" i="4" s="1"/>
  <c r="M13" i="4" s="1"/>
  <c r="K13" i="4" s="1"/>
  <c r="M14" i="4" s="1"/>
  <c r="K14" i="4" s="1"/>
  <c r="M15" i="4" s="1"/>
  <c r="K15" i="4" s="1"/>
  <c r="M16" i="4" s="1"/>
  <c r="K16" i="4" s="1"/>
  <c r="M17" i="4" s="1"/>
  <c r="K17" i="4" s="1"/>
  <c r="M18" i="4" s="1"/>
  <c r="K18" i="4" s="1"/>
  <c r="M19" i="4" s="1"/>
  <c r="K19" i="4" s="1"/>
  <c r="M20" i="4" s="1"/>
  <c r="K20" i="4" s="1"/>
  <c r="M21" i="4" s="1"/>
  <c r="K21" i="4" s="1"/>
  <c r="M22" i="4" s="1"/>
  <c r="K22" i="4" s="1"/>
  <c r="M23" i="4" s="1"/>
  <c r="K23" i="4" s="1"/>
  <c r="M24" i="4" s="1"/>
  <c r="K24" i="4" s="1"/>
  <c r="M25" i="4" s="1"/>
  <c r="K25" i="4" s="1"/>
  <c r="M26" i="4" s="1"/>
  <c r="K26" i="4" s="1"/>
  <c r="M27" i="4" s="1"/>
  <c r="K27" i="4" s="1"/>
  <c r="M28" i="4" s="1"/>
  <c r="K28" i="4" s="1"/>
  <c r="M29" i="4" s="1"/>
  <c r="K29" i="4" s="1"/>
  <c r="M30" i="4" s="1"/>
  <c r="K30" i="4" s="1"/>
  <c r="M31" i="4" s="1"/>
  <c r="K31" i="4" s="1"/>
  <c r="M32" i="4" s="1"/>
  <c r="K32" i="4" s="1"/>
  <c r="M33" i="4" s="1"/>
  <c r="K33" i="4" s="1"/>
  <c r="M34" i="4" s="1"/>
  <c r="K34" i="4" s="1"/>
  <c r="M35" i="4" s="1"/>
  <c r="K35" i="4" s="1"/>
  <c r="M36" i="4" s="1"/>
  <c r="K36" i="4" s="1"/>
  <c r="M37" i="4" s="1"/>
  <c r="K37" i="4" s="1"/>
  <c r="M38" i="4" s="1"/>
  <c r="K38" i="4" s="1"/>
  <c r="M39" i="4" s="1"/>
  <c r="K39" i="4" s="1"/>
  <c r="M40" i="4" s="1"/>
  <c r="K40" i="4" s="1"/>
  <c r="M41" i="4" s="1"/>
  <c r="K41" i="4" s="1"/>
  <c r="M42" i="4" s="1"/>
  <c r="K42" i="4" s="1"/>
  <c r="M43" i="4" s="1"/>
  <c r="K43" i="4" s="1"/>
  <c r="M44" i="4" s="1"/>
  <c r="K44" i="4" s="1"/>
  <c r="M45" i="4" s="1"/>
  <c r="K45" i="4" s="1"/>
  <c r="M46" i="4" s="1"/>
  <c r="K46" i="4" s="1"/>
  <c r="M47" i="4" s="1"/>
  <c r="K47" i="4" s="1"/>
  <c r="M48" i="4" s="1"/>
  <c r="K48" i="4" s="1"/>
  <c r="M49" i="4" s="1"/>
  <c r="K49" i="4" s="1"/>
  <c r="M50" i="4" s="1"/>
  <c r="K50" i="4" s="1"/>
  <c r="M51" i="4" s="1"/>
  <c r="K51" i="4" s="1"/>
  <c r="M52" i="4" s="1"/>
  <c r="K52" i="4" s="1"/>
  <c r="M53" i="4" s="1"/>
  <c r="K53" i="4" s="1"/>
  <c r="M54" i="4" s="1"/>
  <c r="K54" i="4" s="1"/>
  <c r="M55" i="4" s="1"/>
  <c r="K55" i="4" s="1"/>
  <c r="M56" i="4" s="1"/>
  <c r="K56" i="4" s="1"/>
  <c r="M57" i="4" s="1"/>
  <c r="K57" i="4" s="1"/>
  <c r="M58" i="4" s="1"/>
  <c r="K58" i="4" s="1"/>
  <c r="M59" i="4" s="1"/>
  <c r="K59" i="4" s="1"/>
  <c r="M60" i="4" s="1"/>
  <c r="K60" i="4" s="1"/>
  <c r="M61" i="4" s="1"/>
  <c r="K61" i="4" s="1"/>
  <c r="M62" i="4" s="1"/>
  <c r="K62" i="4" s="1"/>
  <c r="M63" i="4" s="1"/>
  <c r="K63" i="4" s="1"/>
  <c r="M64" i="4" s="1"/>
  <c r="K64" i="4" s="1"/>
  <c r="M65" i="4" s="1"/>
  <c r="K65" i="4" s="1"/>
  <c r="M66" i="4" s="1"/>
  <c r="K66" i="4" s="1"/>
  <c r="M67" i="4" s="1"/>
  <c r="K67" i="4" s="1"/>
  <c r="M68" i="4" s="1"/>
  <c r="K68" i="4" s="1"/>
  <c r="M69" i="4" s="1"/>
  <c r="K69" i="4" s="1"/>
  <c r="M70" i="4" s="1"/>
  <c r="K70" i="4" s="1"/>
  <c r="M71" i="4" s="1"/>
  <c r="K71" i="4" s="1"/>
  <c r="M72" i="4" s="1"/>
  <c r="K72" i="4" s="1"/>
  <c r="M73" i="4" s="1"/>
  <c r="K73" i="4" s="1"/>
  <c r="M74" i="4" s="1"/>
  <c r="K74" i="4" s="1"/>
  <c r="M75" i="4" s="1"/>
  <c r="K75" i="4" s="1"/>
  <c r="M76" i="4" s="1"/>
  <c r="K76" i="4" s="1"/>
  <c r="M77" i="4" s="1"/>
  <c r="K77" i="4" s="1"/>
  <c r="M78" i="4" s="1"/>
  <c r="K78" i="4" s="1"/>
  <c r="M79" i="4" s="1"/>
  <c r="K79" i="4" s="1"/>
  <c r="M80" i="4" s="1"/>
  <c r="K80" i="4" s="1"/>
  <c r="M81" i="4" s="1"/>
  <c r="K81" i="4" s="1"/>
  <c r="M82" i="4" s="1"/>
  <c r="K82" i="4" s="1"/>
  <c r="M83" i="4" s="1"/>
  <c r="K83" i="4" s="1"/>
  <c r="M84" i="4" s="1"/>
  <c r="K84" i="4" s="1"/>
  <c r="M85" i="4" s="1"/>
  <c r="K85" i="4" s="1"/>
  <c r="M86" i="4" s="1"/>
  <c r="K86" i="4" s="1"/>
  <c r="M87" i="4" s="1"/>
  <c r="K87" i="4" s="1"/>
  <c r="M88" i="4" s="1"/>
  <c r="K88" i="4" s="1"/>
  <c r="M89" i="4" s="1"/>
  <c r="K89" i="4" s="1"/>
  <c r="M90" i="4" s="1"/>
  <c r="K90" i="4" s="1"/>
  <c r="M91" i="4" s="1"/>
  <c r="K91" i="4" s="1"/>
  <c r="M92" i="4" s="1"/>
  <c r="K92" i="4" s="1"/>
  <c r="M93" i="4" s="1"/>
  <c r="K93" i="4" s="1"/>
  <c r="M94" i="4" s="1"/>
  <c r="K94" i="4" s="1"/>
  <c r="M95" i="4" s="1"/>
  <c r="K95" i="4" s="1"/>
  <c r="M96" i="4" s="1"/>
  <c r="K96" i="4" s="1"/>
  <c r="M97" i="4" s="1"/>
  <c r="K97" i="4" s="1"/>
  <c r="M98" i="4" s="1"/>
  <c r="K98" i="4" s="1"/>
  <c r="M99" i="4" s="1"/>
  <c r="K99" i="4" s="1"/>
  <c r="M100" i="4" s="1"/>
  <c r="K100" i="4" s="1"/>
  <c r="M101" i="4" s="1"/>
  <c r="K101" i="4" s="1"/>
  <c r="M102" i="4" s="1"/>
  <c r="K102" i="4" s="1"/>
  <c r="M103" i="4" s="1"/>
  <c r="K103" i="4" s="1"/>
  <c r="M104" i="4" s="1"/>
  <c r="K104" i="4" s="1"/>
  <c r="M105" i="4" s="1"/>
  <c r="K105" i="4" s="1"/>
  <c r="M106" i="4" s="1"/>
  <c r="K106" i="4" s="1"/>
  <c r="M107" i="4" s="1"/>
  <c r="K107" i="4" s="1"/>
  <c r="M108" i="4" s="1"/>
  <c r="K108" i="4" s="1"/>
  <c r="M109" i="4" s="1"/>
  <c r="K109" i="4" s="1"/>
  <c r="M110" i="4" s="1"/>
  <c r="K110" i="4" s="1"/>
  <c r="M111" i="4" s="1"/>
  <c r="K111" i="4" s="1"/>
  <c r="M112" i="4" s="1"/>
  <c r="K112" i="4" s="1"/>
  <c r="M113" i="4" s="1"/>
  <c r="K113" i="4" s="1"/>
  <c r="M114" i="4" s="1"/>
  <c r="K114" i="4" s="1"/>
  <c r="M115" i="4" s="1"/>
  <c r="K115" i="4" s="1"/>
  <c r="M116" i="4" s="1"/>
  <c r="K116" i="4" s="1"/>
  <c r="M117" i="4" s="1"/>
  <c r="K117" i="4" s="1"/>
  <c r="M118" i="4" s="1"/>
  <c r="K118" i="4" s="1"/>
  <c r="M119" i="4" s="1"/>
  <c r="K119" i="4" s="1"/>
  <c r="M120" i="4" s="1"/>
  <c r="K120" i="4" s="1"/>
  <c r="M121" i="4" s="1"/>
  <c r="K121" i="4" s="1"/>
  <c r="M122" i="4" s="1"/>
  <c r="K122" i="4" s="1"/>
  <c r="M123" i="4" s="1"/>
  <c r="K123" i="4" s="1"/>
  <c r="M124" i="4" s="1"/>
  <c r="K124" i="4" s="1"/>
  <c r="M125" i="4" s="1"/>
  <c r="K125" i="4" s="1"/>
  <c r="M126" i="4" s="1"/>
  <c r="K126" i="4" s="1"/>
  <c r="M127" i="4" s="1"/>
  <c r="K127" i="4" s="1"/>
  <c r="M128" i="4" s="1"/>
  <c r="K128" i="4" s="1"/>
  <c r="M129" i="4" s="1"/>
  <c r="K129" i="4" s="1"/>
  <c r="M130" i="4" s="1"/>
  <c r="K130" i="4" s="1"/>
  <c r="M131" i="4" s="1"/>
  <c r="K131" i="4" s="1"/>
  <c r="M132" i="4" s="1"/>
  <c r="K132" i="4" s="1"/>
  <c r="M133" i="4" s="1"/>
  <c r="K133" i="4" s="1"/>
  <c r="M134" i="4" s="1"/>
  <c r="K134" i="4" s="1"/>
  <c r="M135" i="4" s="1"/>
  <c r="K135" i="4" s="1"/>
  <c r="M136" i="4" s="1"/>
  <c r="K136" i="4" s="1"/>
  <c r="M137" i="4" s="1"/>
  <c r="K137" i="4" s="1"/>
  <c r="M138" i="4" s="1"/>
  <c r="K138" i="4" s="1"/>
  <c r="M139" i="4" s="1"/>
  <c r="K139" i="4" s="1"/>
  <c r="M140" i="4" s="1"/>
  <c r="K140" i="4" s="1"/>
  <c r="M141" i="4" s="1"/>
  <c r="K141" i="4" s="1"/>
  <c r="M142" i="4" s="1"/>
  <c r="K142" i="4" s="1"/>
  <c r="M143" i="4" s="1"/>
  <c r="K143" i="4" s="1"/>
  <c r="M144" i="4" s="1"/>
  <c r="K144" i="4" s="1"/>
  <c r="M145" i="4" s="1"/>
  <c r="K145" i="4" s="1"/>
  <c r="M146" i="4" s="1"/>
  <c r="K146" i="4" s="1"/>
  <c r="M147" i="4" s="1"/>
  <c r="K147" i="4" s="1"/>
  <c r="M148" i="4" s="1"/>
  <c r="K148" i="4" s="1"/>
  <c r="M149" i="4" s="1"/>
  <c r="K149" i="4" s="1"/>
  <c r="M150" i="4" s="1"/>
  <c r="K150" i="4" s="1"/>
  <c r="M151" i="4" s="1"/>
  <c r="K151" i="4" s="1"/>
  <c r="M152" i="4" s="1"/>
  <c r="K152" i="4" s="1"/>
  <c r="M153" i="4" s="1"/>
  <c r="K153" i="4" s="1"/>
  <c r="M154" i="4" s="1"/>
  <c r="K154" i="4" s="1"/>
  <c r="M155" i="4" s="1"/>
  <c r="K155" i="4" s="1"/>
  <c r="M156" i="4" s="1"/>
  <c r="K156" i="4" s="1"/>
  <c r="M157" i="4" s="1"/>
  <c r="K157" i="4" s="1"/>
  <c r="M158" i="4" s="1"/>
  <c r="K158" i="4" s="1"/>
  <c r="M159" i="4" s="1"/>
  <c r="K159" i="4" s="1"/>
  <c r="M160" i="4" s="1"/>
  <c r="K160" i="4" s="1"/>
  <c r="M161" i="4" s="1"/>
  <c r="K161" i="4" s="1"/>
  <c r="M162" i="4" s="1"/>
  <c r="K162" i="4" s="1"/>
  <c r="M163" i="4" s="1"/>
  <c r="K163" i="4" s="1"/>
  <c r="M164" i="4" s="1"/>
  <c r="K164" i="4" s="1"/>
  <c r="M165" i="4" s="1"/>
  <c r="K165" i="4" s="1"/>
  <c r="M166" i="4" s="1"/>
  <c r="K166" i="4" s="1"/>
  <c r="M167" i="4" s="1"/>
  <c r="K167" i="4" s="1"/>
  <c r="M168" i="4" s="1"/>
  <c r="K168" i="4" s="1"/>
  <c r="M169" i="4" s="1"/>
  <c r="K169" i="4" s="1"/>
  <c r="M170" i="4" s="1"/>
  <c r="K170" i="4" s="1"/>
  <c r="M171" i="4" s="1"/>
  <c r="K171" i="4" s="1"/>
  <c r="M172" i="4" s="1"/>
  <c r="K172" i="4" s="1"/>
  <c r="M173" i="4" s="1"/>
  <c r="K173" i="4" s="1"/>
  <c r="M174" i="4" s="1"/>
  <c r="K174" i="4" s="1"/>
  <c r="M175" i="4" s="1"/>
  <c r="K175" i="4" s="1"/>
  <c r="M176" i="4" s="1"/>
  <c r="K176" i="4" s="1"/>
  <c r="M177" i="4" s="1"/>
  <c r="K177" i="4" s="1"/>
  <c r="M178" i="4" s="1"/>
  <c r="K178" i="4" s="1"/>
  <c r="M179" i="4" s="1"/>
  <c r="K179" i="4" s="1"/>
  <c r="M180" i="4" s="1"/>
  <c r="K180" i="4" s="1"/>
  <c r="M181" i="4" s="1"/>
  <c r="K181" i="4" s="1"/>
  <c r="M182" i="4" s="1"/>
  <c r="K182" i="4" s="1"/>
  <c r="M183" i="4" s="1"/>
  <c r="K183" i="4" s="1"/>
  <c r="M184" i="4" s="1"/>
  <c r="K184" i="4" s="1"/>
  <c r="M185" i="4" s="1"/>
  <c r="K185" i="4" s="1"/>
  <c r="M186" i="4" s="1"/>
  <c r="K186" i="4" s="1"/>
  <c r="M187" i="4" s="1"/>
  <c r="K187" i="4" s="1"/>
  <c r="M188" i="4" s="1"/>
  <c r="K188" i="4" s="1"/>
  <c r="M189" i="4" s="1"/>
  <c r="K189" i="4" s="1"/>
  <c r="M190" i="4" s="1"/>
  <c r="K190" i="4" s="1"/>
  <c r="M191" i="4" s="1"/>
  <c r="K191" i="4" s="1"/>
  <c r="M192" i="4" s="1"/>
  <c r="K192" i="4" s="1"/>
  <c r="M193" i="4" s="1"/>
  <c r="K193" i="4" s="1"/>
  <c r="M194" i="4" s="1"/>
  <c r="K194" i="4" s="1"/>
  <c r="M195" i="4" s="1"/>
  <c r="K195" i="4" s="1"/>
  <c r="M196" i="4" s="1"/>
  <c r="K196" i="4" s="1"/>
  <c r="M197" i="4" s="1"/>
  <c r="K197" i="4" s="1"/>
  <c r="M198" i="4" s="1"/>
  <c r="K198" i="4" s="1"/>
  <c r="M199" i="4" s="1"/>
  <c r="K199" i="4" s="1"/>
  <c r="M200" i="4" s="1"/>
  <c r="K200" i="4" s="1"/>
  <c r="M201" i="4" s="1"/>
  <c r="K201" i="4" s="1"/>
  <c r="M202" i="4" s="1"/>
  <c r="K202" i="4" s="1"/>
  <c r="M203" i="4" s="1"/>
  <c r="K203" i="4" s="1"/>
  <c r="M204" i="4" s="1"/>
  <c r="K204" i="4" s="1"/>
  <c r="M205" i="4" s="1"/>
  <c r="K205" i="4" s="1"/>
  <c r="M206" i="4" s="1"/>
  <c r="K206" i="4" s="1"/>
  <c r="M207" i="4" s="1"/>
  <c r="K207" i="4" s="1"/>
  <c r="M208" i="4" s="1"/>
  <c r="K208" i="4" s="1"/>
  <c r="M209" i="4" s="1"/>
  <c r="K209" i="4" s="1"/>
  <c r="M210" i="4" s="1"/>
  <c r="K210" i="4" s="1"/>
  <c r="M211" i="4" s="1"/>
  <c r="K211" i="4" s="1"/>
  <c r="M212" i="4" s="1"/>
  <c r="K212" i="4" s="1"/>
  <c r="M213" i="4" s="1"/>
  <c r="K213" i="4" s="1"/>
  <c r="M214" i="4" s="1"/>
  <c r="K214" i="4" s="1"/>
  <c r="M215" i="4" s="1"/>
  <c r="K215" i="4" s="1"/>
  <c r="M216" i="4" s="1"/>
  <c r="K216" i="4" s="1"/>
  <c r="M217" i="4" s="1"/>
  <c r="K217" i="4" s="1"/>
  <c r="M218" i="4" s="1"/>
  <c r="K218" i="4" s="1"/>
  <c r="M219" i="4" s="1"/>
  <c r="K219" i="4" s="1"/>
  <c r="M220" i="4" s="1"/>
  <c r="K220" i="4" s="1"/>
  <c r="M221" i="4" s="1"/>
  <c r="K221" i="4" s="1"/>
  <c r="M222" i="4" s="1"/>
  <c r="K222" i="4" s="1"/>
  <c r="M223" i="4" s="1"/>
  <c r="K223" i="4" s="1"/>
  <c r="M224" i="4" s="1"/>
  <c r="K224" i="4" s="1"/>
  <c r="M225" i="4" s="1"/>
  <c r="K225" i="4" s="1"/>
  <c r="M226" i="4" s="1"/>
  <c r="K226" i="4" s="1"/>
  <c r="M227" i="4" s="1"/>
  <c r="K227" i="4" s="1"/>
  <c r="M228" i="4" s="1"/>
  <c r="K228" i="4" s="1"/>
  <c r="M229" i="4" s="1"/>
  <c r="K229" i="4" s="1"/>
  <c r="M230" i="4" s="1"/>
  <c r="K230" i="4" s="1"/>
  <c r="M231" i="4" s="1"/>
  <c r="K231" i="4" s="1"/>
  <c r="M232" i="4" s="1"/>
  <c r="K232" i="4" s="1"/>
  <c r="M233" i="4" s="1"/>
  <c r="K233" i="4" s="1"/>
  <c r="M234" i="4" s="1"/>
  <c r="K234" i="4" s="1"/>
  <c r="M235" i="4" s="1"/>
  <c r="K235" i="4" s="1"/>
  <c r="M236" i="4" s="1"/>
  <c r="K236" i="4" s="1"/>
  <c r="M237" i="4" s="1"/>
  <c r="K237" i="4" s="1"/>
  <c r="M238" i="4" s="1"/>
  <c r="K238" i="4" s="1"/>
  <c r="M239" i="4" s="1"/>
  <c r="K239" i="4" s="1"/>
  <c r="M240" i="4" s="1"/>
  <c r="K240" i="4" s="1"/>
  <c r="M241" i="4" s="1"/>
  <c r="K241" i="4" s="1"/>
  <c r="M242" i="4" s="1"/>
  <c r="K242" i="4" s="1"/>
  <c r="M243" i="4" s="1"/>
  <c r="K243" i="4" s="1"/>
  <c r="M244" i="4" s="1"/>
  <c r="K244" i="4" s="1"/>
  <c r="M245" i="4" s="1"/>
  <c r="K245" i="4" s="1"/>
  <c r="M246" i="4" s="1"/>
  <c r="K246" i="4" s="1"/>
  <c r="M247" i="4" s="1"/>
  <c r="K247" i="4" s="1"/>
  <c r="M248" i="4" s="1"/>
  <c r="K248" i="4" s="1"/>
  <c r="M249" i="4" s="1"/>
  <c r="K249" i="4" s="1"/>
  <c r="M250" i="4" s="1"/>
  <c r="K250" i="4" s="1"/>
  <c r="M251" i="4" s="1"/>
  <c r="K251" i="4" s="1"/>
  <c r="M252" i="4" s="1"/>
  <c r="K252" i="4" s="1"/>
  <c r="M253" i="4" s="1"/>
  <c r="K253" i="4" s="1"/>
  <c r="M254" i="4" s="1"/>
  <c r="K254" i="4" s="1"/>
  <c r="M255" i="4" s="1"/>
  <c r="K255" i="4" s="1"/>
  <c r="M256" i="4" s="1"/>
  <c r="K256" i="4" s="1"/>
  <c r="M257" i="4" s="1"/>
  <c r="K257" i="4" s="1"/>
  <c r="M258" i="4" s="1"/>
  <c r="K258" i="4" s="1"/>
  <c r="M259" i="4" s="1"/>
  <c r="K259" i="4" s="1"/>
  <c r="M260" i="4" s="1"/>
  <c r="K260" i="4" s="1"/>
  <c r="M261" i="4" s="1"/>
  <c r="K261" i="4" s="1"/>
  <c r="M262" i="4" s="1"/>
  <c r="K262" i="4" s="1"/>
  <c r="M263" i="4" s="1"/>
  <c r="K263" i="4" s="1"/>
  <c r="M264" i="4" s="1"/>
  <c r="K264" i="4" s="1"/>
  <c r="M265" i="4" s="1"/>
  <c r="K265" i="4" s="1"/>
  <c r="M266" i="4" s="1"/>
  <c r="K266" i="4" s="1"/>
  <c r="M267" i="4" s="1"/>
  <c r="K267" i="4" s="1"/>
  <c r="M268" i="4" s="1"/>
  <c r="K268" i="4" s="1"/>
  <c r="M269" i="4" s="1"/>
  <c r="K269" i="4" s="1"/>
  <c r="M270" i="4" s="1"/>
  <c r="K270" i="4" s="1"/>
  <c r="M271" i="4" s="1"/>
  <c r="K271" i="4" s="1"/>
  <c r="M272" i="4" s="1"/>
  <c r="K272" i="4" s="1"/>
  <c r="M273" i="4" s="1"/>
  <c r="K273" i="4" s="1"/>
  <c r="M274" i="4" s="1"/>
  <c r="K274" i="4" s="1"/>
  <c r="M275" i="4" s="1"/>
  <c r="K275" i="4" s="1"/>
  <c r="M276" i="4" s="1"/>
  <c r="K276" i="4" s="1"/>
  <c r="M277" i="4" s="1"/>
  <c r="K277" i="4" s="1"/>
  <c r="M278" i="4" s="1"/>
  <c r="K278" i="4" s="1"/>
  <c r="M279" i="4" s="1"/>
  <c r="K279" i="4" s="1"/>
  <c r="M280" i="4" s="1"/>
  <c r="K280" i="4" s="1"/>
  <c r="M281" i="4" s="1"/>
  <c r="K281" i="4" s="1"/>
  <c r="M282" i="4" s="1"/>
  <c r="K282" i="4" s="1"/>
  <c r="M283" i="4" s="1"/>
  <c r="K283" i="4" s="1"/>
  <c r="M284" i="4" s="1"/>
  <c r="K284" i="4" s="1"/>
  <c r="M285" i="4" s="1"/>
  <c r="K285" i="4" s="1"/>
  <c r="M286" i="4" s="1"/>
  <c r="K286" i="4" s="1"/>
  <c r="M287" i="4" s="1"/>
  <c r="K287" i="4" s="1"/>
  <c r="M288" i="4" s="1"/>
  <c r="K288" i="4" s="1"/>
  <c r="M289" i="4" s="1"/>
  <c r="K289" i="4" s="1"/>
  <c r="M290" i="4" s="1"/>
  <c r="K290" i="4" s="1"/>
  <c r="M291" i="4" s="1"/>
  <c r="K291" i="4" s="1"/>
  <c r="M292" i="4" s="1"/>
  <c r="K292" i="4" s="1"/>
  <c r="M293" i="4" s="1"/>
  <c r="K293" i="4" s="1"/>
  <c r="M294" i="4" s="1"/>
  <c r="K294" i="4" s="1"/>
  <c r="M295" i="4" s="1"/>
  <c r="K295" i="4" s="1"/>
  <c r="M296" i="4" s="1"/>
  <c r="K296" i="4" s="1"/>
  <c r="M297" i="4" s="1"/>
  <c r="K297" i="4" s="1"/>
  <c r="M298" i="4" s="1"/>
  <c r="K298" i="4" s="1"/>
  <c r="M299" i="4" s="1"/>
  <c r="K299" i="4" s="1"/>
  <c r="M300" i="4" s="1"/>
  <c r="K300" i="4" s="1"/>
  <c r="M301" i="4" s="1"/>
  <c r="K301" i="4" s="1"/>
  <c r="M302" i="4" s="1"/>
  <c r="K302" i="4" s="1"/>
  <c r="M303" i="4" s="1"/>
  <c r="K303" i="4" s="1"/>
  <c r="M304" i="4" s="1"/>
  <c r="K304" i="4" s="1"/>
  <c r="M305" i="4" s="1"/>
  <c r="K305" i="4" s="1"/>
  <c r="M306" i="4" s="1"/>
  <c r="K306" i="4" s="1"/>
  <c r="M307" i="4" s="1"/>
  <c r="K307" i="4" s="1"/>
  <c r="M308" i="4" s="1"/>
  <c r="K308" i="4" s="1"/>
  <c r="M309" i="4" s="1"/>
  <c r="K309" i="4" s="1"/>
  <c r="M310" i="4" s="1"/>
  <c r="K310" i="4" s="1"/>
  <c r="M311" i="4" s="1"/>
  <c r="K311" i="4" s="1"/>
  <c r="M312" i="4" s="1"/>
  <c r="K312" i="4" s="1"/>
  <c r="M313" i="4" s="1"/>
  <c r="K313" i="4" s="1"/>
  <c r="M314" i="4" s="1"/>
  <c r="K314" i="4" s="1"/>
  <c r="M315" i="4" s="1"/>
  <c r="K315" i="4" s="1"/>
  <c r="M316" i="4" s="1"/>
  <c r="K316" i="4" s="1"/>
  <c r="M317" i="4" s="1"/>
  <c r="K317" i="4" s="1"/>
  <c r="M318" i="4" s="1"/>
  <c r="K318" i="4" s="1"/>
  <c r="M319" i="4" s="1"/>
  <c r="K319" i="4" s="1"/>
  <c r="M320" i="4" s="1"/>
  <c r="K320" i="4" s="1"/>
  <c r="M321" i="4" s="1"/>
  <c r="K321" i="4" s="1"/>
  <c r="M322" i="4" s="1"/>
  <c r="K322" i="4" s="1"/>
  <c r="M323" i="4" s="1"/>
  <c r="K323" i="4" s="1"/>
  <c r="M324" i="4" s="1"/>
  <c r="K324" i="4" s="1"/>
  <c r="M325" i="4" s="1"/>
  <c r="K325" i="4" s="1"/>
  <c r="M326" i="4" s="1"/>
  <c r="K326" i="4" s="1"/>
  <c r="M327" i="4" s="1"/>
  <c r="K327" i="4" s="1"/>
  <c r="M328" i="4" s="1"/>
  <c r="K328" i="4" s="1"/>
  <c r="M329" i="4" s="1"/>
  <c r="K329" i="4" s="1"/>
  <c r="M330" i="4" s="1"/>
  <c r="K330" i="4" s="1"/>
  <c r="M331" i="4" s="1"/>
  <c r="K331" i="4" s="1"/>
  <c r="M332" i="4" s="1"/>
  <c r="K332" i="4" s="1"/>
  <c r="M333" i="4" s="1"/>
  <c r="K333" i="4" s="1"/>
  <c r="M334" i="4" s="1"/>
  <c r="K334" i="4" s="1"/>
  <c r="M335" i="4" s="1"/>
  <c r="K335" i="4" s="1"/>
  <c r="M336" i="4" s="1"/>
  <c r="K336" i="4" s="1"/>
  <c r="M337" i="4" s="1"/>
  <c r="K337" i="4" s="1"/>
  <c r="M338" i="4" s="1"/>
  <c r="K338" i="4" s="1"/>
  <c r="M339" i="4" s="1"/>
  <c r="K339" i="4" s="1"/>
  <c r="M340" i="4" s="1"/>
  <c r="K340" i="4" s="1"/>
  <c r="M341" i="4" s="1"/>
  <c r="K341" i="4" s="1"/>
  <c r="M342" i="4" s="1"/>
  <c r="K342" i="4" s="1"/>
  <c r="M343" i="4" s="1"/>
  <c r="K343" i="4" s="1"/>
  <c r="M344" i="4" s="1"/>
  <c r="K344" i="4" s="1"/>
  <c r="M345" i="4" s="1"/>
  <c r="K345" i="4" s="1"/>
  <c r="M346" i="4" s="1"/>
  <c r="K346" i="4" s="1"/>
  <c r="M347" i="4" s="1"/>
  <c r="K347" i="4" s="1"/>
  <c r="M348" i="4" s="1"/>
  <c r="K348" i="4" s="1"/>
  <c r="M349" i="4" s="1"/>
  <c r="K349" i="4" s="1"/>
  <c r="M350" i="4" s="1"/>
  <c r="K350" i="4" s="1"/>
  <c r="M351" i="4" s="1"/>
  <c r="K351" i="4" s="1"/>
  <c r="M352" i="4" s="1"/>
  <c r="K352" i="4" s="1"/>
  <c r="M353" i="4" s="1"/>
  <c r="K353" i="4" s="1"/>
  <c r="M354" i="4" s="1"/>
  <c r="K354" i="4" s="1"/>
  <c r="M355" i="4" s="1"/>
  <c r="K355" i="4" s="1"/>
  <c r="M356" i="4" s="1"/>
  <c r="K356" i="4" s="1"/>
  <c r="M357" i="4" s="1"/>
  <c r="K357" i="4" s="1"/>
  <c r="M358" i="4" s="1"/>
  <c r="K358" i="4" s="1"/>
  <c r="M359" i="4" s="1"/>
  <c r="K359" i="4" s="1"/>
  <c r="M360" i="4" s="1"/>
  <c r="K360" i="4" s="1"/>
  <c r="M361" i="4" s="1"/>
  <c r="K361" i="4" s="1"/>
  <c r="M362" i="4" s="1"/>
  <c r="K362" i="4" s="1"/>
  <c r="M363" i="4" s="1"/>
  <c r="K363" i="4" s="1"/>
  <c r="M364" i="4" s="1"/>
  <c r="K364" i="4" s="1"/>
  <c r="M365" i="4" s="1"/>
  <c r="K365" i="4" s="1"/>
  <c r="M366" i="4" s="1"/>
  <c r="K366" i="4" s="1"/>
  <c r="M367" i="4" s="1"/>
  <c r="K367" i="4" s="1"/>
  <c r="M368" i="4" s="1"/>
  <c r="K368" i="4" s="1"/>
  <c r="M369" i="4" s="1"/>
  <c r="K369" i="4" s="1"/>
  <c r="U5" i="4" s="1"/>
  <c r="S5" i="4" s="1"/>
  <c r="U6" i="4" s="1"/>
  <c r="S6" i="4" s="1"/>
  <c r="U7" i="4" s="1"/>
  <c r="S7" i="4" s="1"/>
  <c r="U8" i="4" s="1"/>
  <c r="S8" i="4" s="1"/>
  <c r="U9" i="4" s="1"/>
  <c r="S9" i="4" s="1"/>
  <c r="U10" i="4" s="1"/>
  <c r="S10" i="4" s="1"/>
  <c r="U11" i="4" s="1"/>
  <c r="S11" i="4" s="1"/>
  <c r="U12" i="4" s="1"/>
  <c r="S12" i="4" s="1"/>
  <c r="U13" i="4" s="1"/>
  <c r="S13" i="4" s="1"/>
  <c r="U14" i="4" s="1"/>
  <c r="S14" i="4" s="1"/>
  <c r="U15" i="4" s="1"/>
  <c r="S15" i="4" s="1"/>
  <c r="U16" i="4" s="1"/>
  <c r="S16" i="4" s="1"/>
  <c r="U17" i="4" s="1"/>
  <c r="S17" i="4" s="1"/>
  <c r="U18" i="4" s="1"/>
  <c r="S18" i="4" s="1"/>
  <c r="U19" i="4" s="1"/>
  <c r="S19" i="4" s="1"/>
  <c r="U20" i="4" s="1"/>
  <c r="S20" i="4" s="1"/>
  <c r="U21" i="4" s="1"/>
  <c r="S21" i="4" s="1"/>
  <c r="U22" i="4" s="1"/>
  <c r="S22" i="4" s="1"/>
  <c r="U23" i="4" s="1"/>
  <c r="S23" i="4" s="1"/>
  <c r="U24" i="4" s="1"/>
  <c r="S24" i="4" s="1"/>
  <c r="U25" i="4" s="1"/>
  <c r="S25" i="4" s="1"/>
  <c r="U26" i="4" s="1"/>
  <c r="S26" i="4" s="1"/>
  <c r="U27" i="4" s="1"/>
  <c r="S27" i="4" s="1"/>
  <c r="U28" i="4" s="1"/>
  <c r="S28" i="4" s="1"/>
  <c r="U29" i="4" s="1"/>
  <c r="S29" i="4" s="1"/>
  <c r="U30" i="4" s="1"/>
  <c r="S30" i="4" s="1"/>
  <c r="U31" i="4" s="1"/>
  <c r="S31" i="4" s="1"/>
  <c r="U32" i="4" s="1"/>
  <c r="S32" i="4" s="1"/>
  <c r="U33" i="4" s="1"/>
  <c r="S33" i="4" s="1"/>
  <c r="U34" i="4" s="1"/>
  <c r="S34" i="4" s="1"/>
  <c r="U35" i="4" s="1"/>
  <c r="S35" i="4" s="1"/>
  <c r="U36" i="4" s="1"/>
  <c r="S36" i="4" s="1"/>
  <c r="U37" i="4" s="1"/>
  <c r="S37" i="4" s="1"/>
  <c r="U38" i="4" s="1"/>
  <c r="S38" i="4" s="1"/>
  <c r="U39" i="4" s="1"/>
  <c r="S39" i="4" s="1"/>
  <c r="U40" i="4" s="1"/>
  <c r="S40" i="4" s="1"/>
  <c r="U41" i="4" s="1"/>
  <c r="S41" i="4" s="1"/>
  <c r="U42" i="4" s="1"/>
  <c r="S42" i="4" s="1"/>
  <c r="U43" i="4" s="1"/>
  <c r="S43" i="4" s="1"/>
  <c r="U44" i="4" s="1"/>
  <c r="S44" i="4" s="1"/>
  <c r="U45" i="4" s="1"/>
  <c r="S45" i="4" s="1"/>
  <c r="U46" i="4" s="1"/>
  <c r="S46" i="4" s="1"/>
  <c r="U47" i="4" s="1"/>
  <c r="S47" i="4" s="1"/>
  <c r="U48" i="4" s="1"/>
  <c r="S48" i="4" s="1"/>
  <c r="U49" i="4" s="1"/>
  <c r="S49" i="4" s="1"/>
  <c r="U50" i="4" s="1"/>
  <c r="S50" i="4" s="1"/>
  <c r="U51" i="4" s="1"/>
  <c r="S51" i="4" s="1"/>
  <c r="U52" i="4" s="1"/>
  <c r="S52" i="4" s="1"/>
  <c r="U53" i="4" s="1"/>
  <c r="S53" i="4" s="1"/>
  <c r="U54" i="4" s="1"/>
  <c r="S54" i="4" s="1"/>
  <c r="U55" i="4" s="1"/>
  <c r="S55" i="4" s="1"/>
  <c r="U56" i="4" s="1"/>
  <c r="S56" i="4" s="1"/>
  <c r="U57" i="4" s="1"/>
  <c r="S57" i="4" s="1"/>
  <c r="U58" i="4" s="1"/>
  <c r="S58" i="4" s="1"/>
  <c r="U59" i="4" s="1"/>
  <c r="S59" i="4" s="1"/>
  <c r="U60" i="4" s="1"/>
  <c r="S60" i="4" s="1"/>
  <c r="U61" i="4" s="1"/>
  <c r="S61" i="4" s="1"/>
  <c r="U62" i="4" s="1"/>
  <c r="S62" i="4" s="1"/>
  <c r="U63" i="4" s="1"/>
  <c r="S63" i="4" s="1"/>
  <c r="U64" i="4" s="1"/>
  <c r="S64" i="4" s="1"/>
  <c r="U65" i="4" s="1"/>
  <c r="S65" i="4" s="1"/>
  <c r="U66" i="4" s="1"/>
  <c r="S66" i="4" s="1"/>
  <c r="U67" i="4" s="1"/>
  <c r="S67" i="4" s="1"/>
  <c r="U68" i="4" s="1"/>
  <c r="S68" i="4" s="1"/>
  <c r="U69" i="4" s="1"/>
  <c r="S69" i="4" s="1"/>
  <c r="U70" i="4" s="1"/>
  <c r="S70" i="4" s="1"/>
  <c r="U71" i="4" s="1"/>
  <c r="S71" i="4" s="1"/>
  <c r="U72" i="4" s="1"/>
  <c r="S72" i="4" s="1"/>
  <c r="U73" i="4" s="1"/>
  <c r="S73" i="4" s="1"/>
  <c r="U74" i="4" s="1"/>
  <c r="S74" i="4" s="1"/>
  <c r="U75" i="4" s="1"/>
  <c r="S75" i="4" s="1"/>
  <c r="U76" i="4" s="1"/>
  <c r="S76" i="4" s="1"/>
  <c r="U77" i="4" s="1"/>
  <c r="S77" i="4" s="1"/>
  <c r="U78" i="4" s="1"/>
  <c r="S78" i="4" s="1"/>
  <c r="U79" i="4" s="1"/>
  <c r="S79" i="4" s="1"/>
  <c r="U80" i="4" s="1"/>
  <c r="S80" i="4" s="1"/>
  <c r="U81" i="4" s="1"/>
  <c r="S81" i="4" s="1"/>
  <c r="U82" i="4" s="1"/>
  <c r="S82" i="4" s="1"/>
  <c r="U83" i="4" s="1"/>
  <c r="S83" i="4" s="1"/>
  <c r="U84" i="4" s="1"/>
  <c r="S84" i="4" s="1"/>
  <c r="U85" i="4" s="1"/>
  <c r="S85" i="4" s="1"/>
  <c r="U86" i="4" s="1"/>
  <c r="S86" i="4" s="1"/>
  <c r="U87" i="4" s="1"/>
  <c r="S87" i="4" s="1"/>
  <c r="U88" i="4" s="1"/>
  <c r="S88" i="4" s="1"/>
  <c r="U89" i="4" s="1"/>
  <c r="S89" i="4" s="1"/>
  <c r="U90" i="4" s="1"/>
  <c r="S90" i="4" s="1"/>
  <c r="U91" i="4" s="1"/>
  <c r="S91" i="4" s="1"/>
  <c r="U92" i="4" s="1"/>
  <c r="S92" i="4" s="1"/>
  <c r="U93" i="4" s="1"/>
  <c r="S93" i="4" s="1"/>
  <c r="U94" i="4" s="1"/>
  <c r="S94" i="4" s="1"/>
  <c r="U95" i="4" s="1"/>
  <c r="S95" i="4" s="1"/>
  <c r="U96" i="4" s="1"/>
  <c r="S96" i="4" s="1"/>
  <c r="U97" i="4" s="1"/>
  <c r="S97" i="4" s="1"/>
  <c r="U98" i="4" s="1"/>
  <c r="S98" i="4" s="1"/>
  <c r="U99" i="4" s="1"/>
  <c r="S99" i="4" s="1"/>
  <c r="U100" i="4" s="1"/>
  <c r="S100" i="4" s="1"/>
  <c r="U101" i="4" s="1"/>
  <c r="S101" i="4" s="1"/>
  <c r="U102" i="4" s="1"/>
  <c r="S102" i="4" s="1"/>
  <c r="U103" i="4" s="1"/>
  <c r="S103" i="4" s="1"/>
  <c r="U104" i="4" s="1"/>
  <c r="S104" i="4" s="1"/>
  <c r="U105" i="4" s="1"/>
  <c r="S105" i="4" s="1"/>
  <c r="U106" i="4" s="1"/>
  <c r="S106" i="4" s="1"/>
  <c r="U107" i="4" s="1"/>
  <c r="S107" i="4" s="1"/>
  <c r="U108" i="4" s="1"/>
  <c r="S108" i="4" s="1"/>
  <c r="U109" i="4" s="1"/>
  <c r="S109" i="4" s="1"/>
  <c r="U110" i="4" s="1"/>
  <c r="S110" i="4" s="1"/>
  <c r="U111" i="4" s="1"/>
  <c r="S111" i="4" s="1"/>
  <c r="U112" i="4" s="1"/>
  <c r="S112" i="4" s="1"/>
  <c r="U113" i="4" s="1"/>
  <c r="S113" i="4" s="1"/>
  <c r="U114" i="4" s="1"/>
  <c r="S114" i="4" s="1"/>
  <c r="U115" i="4" s="1"/>
  <c r="S115" i="4" s="1"/>
  <c r="U116" i="4" s="1"/>
  <c r="S116" i="4" s="1"/>
  <c r="U117" i="4" s="1"/>
  <c r="S117" i="4" s="1"/>
  <c r="U118" i="4" s="1"/>
  <c r="S118" i="4" s="1"/>
  <c r="U119" i="4" s="1"/>
  <c r="S119" i="4" s="1"/>
  <c r="U120" i="4" s="1"/>
  <c r="S120" i="4" s="1"/>
  <c r="U121" i="4" s="1"/>
  <c r="S121" i="4" s="1"/>
  <c r="U122" i="4" s="1"/>
  <c r="S122" i="4" s="1"/>
  <c r="U123" i="4" s="1"/>
  <c r="S123" i="4" s="1"/>
  <c r="U124" i="4" s="1"/>
  <c r="S124" i="4" s="1"/>
  <c r="U125" i="4" s="1"/>
  <c r="S125" i="4" s="1"/>
  <c r="U126" i="4" s="1"/>
  <c r="S126" i="4" s="1"/>
  <c r="U127" i="4" s="1"/>
  <c r="S127" i="4" s="1"/>
  <c r="U128" i="4" s="1"/>
  <c r="S128" i="4" s="1"/>
  <c r="U129" i="4" s="1"/>
  <c r="S129" i="4" s="1"/>
  <c r="U130" i="4" s="1"/>
  <c r="S130" i="4" s="1"/>
  <c r="U131" i="4" s="1"/>
  <c r="S131" i="4" s="1"/>
  <c r="U132" i="4" s="1"/>
  <c r="S132" i="4" s="1"/>
  <c r="U133" i="4" s="1"/>
  <c r="S133" i="4" s="1"/>
  <c r="U134" i="4" s="1"/>
  <c r="S134" i="4" s="1"/>
  <c r="U135" i="4" s="1"/>
  <c r="S135" i="4" s="1"/>
  <c r="U136" i="4" s="1"/>
  <c r="S136" i="4" s="1"/>
  <c r="U137" i="4" s="1"/>
  <c r="S137" i="4" s="1"/>
  <c r="U138" i="4" s="1"/>
  <c r="S138" i="4" s="1"/>
  <c r="U139" i="4" s="1"/>
  <c r="S139" i="4" s="1"/>
  <c r="U140" i="4" s="1"/>
  <c r="S140" i="4" s="1"/>
  <c r="U141" i="4" s="1"/>
  <c r="S141" i="4" s="1"/>
  <c r="U142" i="4" s="1"/>
  <c r="S142" i="4" s="1"/>
  <c r="U143" i="4" s="1"/>
  <c r="S143" i="4" s="1"/>
  <c r="U144" i="4" s="1"/>
  <c r="S144" i="4" s="1"/>
  <c r="U145" i="4" s="1"/>
  <c r="S145" i="4" s="1"/>
  <c r="U146" i="4" s="1"/>
  <c r="S146" i="4" s="1"/>
  <c r="U147" i="4" s="1"/>
  <c r="S147" i="4" s="1"/>
  <c r="U148" i="4" s="1"/>
  <c r="S148" i="4" s="1"/>
  <c r="U149" i="4" s="1"/>
  <c r="S149" i="4" s="1"/>
  <c r="U150" i="4" s="1"/>
  <c r="S150" i="4" s="1"/>
  <c r="U151" i="4" s="1"/>
  <c r="S151" i="4" s="1"/>
  <c r="U152" i="4" s="1"/>
  <c r="S152" i="4" s="1"/>
  <c r="U153" i="4" s="1"/>
  <c r="S153" i="4" s="1"/>
  <c r="U154" i="4" s="1"/>
  <c r="S154" i="4" s="1"/>
  <c r="U155" i="4" s="1"/>
  <c r="S155" i="4" s="1"/>
  <c r="U156" i="4" s="1"/>
  <c r="S156" i="4" s="1"/>
  <c r="U157" i="4" s="1"/>
  <c r="S157" i="4" s="1"/>
  <c r="U158" i="4" s="1"/>
  <c r="S158" i="4" s="1"/>
  <c r="U159" i="4" s="1"/>
  <c r="S159" i="4" s="1"/>
  <c r="U160" i="4" s="1"/>
  <c r="S160" i="4" s="1"/>
  <c r="U161" i="4" s="1"/>
  <c r="S161" i="4" s="1"/>
  <c r="U162" i="4" s="1"/>
  <c r="S162" i="4" s="1"/>
  <c r="U163" i="4" s="1"/>
  <c r="S163" i="4" s="1"/>
  <c r="U164" i="4" s="1"/>
  <c r="S164" i="4" s="1"/>
  <c r="U165" i="4" s="1"/>
  <c r="S165" i="4" s="1"/>
  <c r="U166" i="4" s="1"/>
  <c r="S166" i="4" s="1"/>
  <c r="U167" i="4" s="1"/>
  <c r="S167" i="4" s="1"/>
  <c r="U168" i="4" s="1"/>
  <c r="S168" i="4" s="1"/>
  <c r="U169" i="4" s="1"/>
  <c r="S169" i="4" s="1"/>
  <c r="U170" i="4" s="1"/>
  <c r="S170" i="4" s="1"/>
  <c r="U171" i="4" s="1"/>
  <c r="S171" i="4" s="1"/>
  <c r="U172" i="4" s="1"/>
  <c r="S172" i="4" s="1"/>
  <c r="U173" i="4" s="1"/>
  <c r="S173" i="4" s="1"/>
  <c r="U174" i="4" s="1"/>
  <c r="S174" i="4" s="1"/>
  <c r="U175" i="4" s="1"/>
  <c r="S175" i="4" s="1"/>
  <c r="U176" i="4" s="1"/>
  <c r="S176" i="4" s="1"/>
  <c r="U177" i="4" s="1"/>
  <c r="S177" i="4" s="1"/>
  <c r="U178" i="4" s="1"/>
  <c r="S178" i="4" s="1"/>
  <c r="U179" i="4" s="1"/>
  <c r="S179" i="4" s="1"/>
  <c r="U180" i="4" s="1"/>
  <c r="S180" i="4" s="1"/>
  <c r="U181" i="4" s="1"/>
  <c r="S181" i="4" s="1"/>
  <c r="U182" i="4" s="1"/>
  <c r="S182" i="4" s="1"/>
  <c r="U183" i="4" s="1"/>
  <c r="S183" i="4" s="1"/>
  <c r="U184" i="4" s="1"/>
  <c r="S184" i="4" s="1"/>
  <c r="U185" i="4" s="1"/>
  <c r="S185" i="4" s="1"/>
  <c r="U186" i="4" s="1"/>
  <c r="S186" i="4" s="1"/>
  <c r="U187" i="4" s="1"/>
  <c r="S187" i="4" s="1"/>
  <c r="U188" i="4" s="1"/>
  <c r="S188" i="4" s="1"/>
  <c r="U189" i="4" s="1"/>
  <c r="S189" i="4" s="1"/>
  <c r="U190" i="4" s="1"/>
  <c r="S190" i="4" s="1"/>
  <c r="U191" i="4" s="1"/>
  <c r="S191" i="4" s="1"/>
  <c r="U192" i="4" s="1"/>
  <c r="S192" i="4" s="1"/>
  <c r="U193" i="4" s="1"/>
  <c r="S193" i="4" s="1"/>
  <c r="U194" i="4" s="1"/>
  <c r="S194" i="4" s="1"/>
  <c r="U195" i="4" s="1"/>
  <c r="S195" i="4" s="1"/>
  <c r="U196" i="4" s="1"/>
  <c r="S196" i="4" s="1"/>
  <c r="U197" i="4" s="1"/>
  <c r="S197" i="4" s="1"/>
  <c r="U198" i="4" s="1"/>
  <c r="S198" i="4" s="1"/>
  <c r="U199" i="4" s="1"/>
  <c r="S199" i="4" s="1"/>
  <c r="U200" i="4" s="1"/>
  <c r="S200" i="4" s="1"/>
  <c r="U201" i="4" s="1"/>
  <c r="S201" i="4" s="1"/>
  <c r="U202" i="4" s="1"/>
  <c r="S202" i="4" s="1"/>
  <c r="U203" i="4" s="1"/>
  <c r="S203" i="4" s="1"/>
  <c r="U204" i="4" s="1"/>
  <c r="S204" i="4" s="1"/>
  <c r="U205" i="4" s="1"/>
  <c r="S205" i="4" s="1"/>
  <c r="U206" i="4" s="1"/>
  <c r="S206" i="4" s="1"/>
  <c r="U207" i="4" s="1"/>
  <c r="S207" i="4" s="1"/>
  <c r="U208" i="4" s="1"/>
  <c r="S208" i="4" s="1"/>
  <c r="U209" i="4" s="1"/>
  <c r="S209" i="4" s="1"/>
  <c r="U210" i="4" s="1"/>
  <c r="S210" i="4" s="1"/>
  <c r="U211" i="4" s="1"/>
  <c r="S211" i="4" s="1"/>
  <c r="U212" i="4" s="1"/>
  <c r="S212" i="4" s="1"/>
  <c r="U213" i="4" s="1"/>
  <c r="S213" i="4" s="1"/>
  <c r="U214" i="4" s="1"/>
  <c r="S214" i="4" s="1"/>
  <c r="U215" i="4" s="1"/>
  <c r="S215" i="4" s="1"/>
  <c r="U216" i="4" s="1"/>
  <c r="S216" i="4" s="1"/>
  <c r="U217" i="4" s="1"/>
  <c r="S217" i="4" s="1"/>
  <c r="U218" i="4" s="1"/>
  <c r="S218" i="4" s="1"/>
  <c r="U219" i="4" s="1"/>
  <c r="S219" i="4" s="1"/>
  <c r="U220" i="4" s="1"/>
  <c r="S220" i="4" s="1"/>
  <c r="U221" i="4" s="1"/>
  <c r="S221" i="4" s="1"/>
  <c r="U222" i="4" s="1"/>
  <c r="S222" i="4" s="1"/>
  <c r="U223" i="4" s="1"/>
  <c r="S223" i="4" s="1"/>
  <c r="U224" i="4" s="1"/>
  <c r="S224" i="4" s="1"/>
  <c r="U225" i="4" s="1"/>
  <c r="S225" i="4" s="1"/>
  <c r="U226" i="4" s="1"/>
  <c r="S226" i="4" s="1"/>
  <c r="U227" i="4" s="1"/>
  <c r="S227" i="4" s="1"/>
  <c r="U228" i="4" s="1"/>
  <c r="S228" i="4" s="1"/>
  <c r="U229" i="4" s="1"/>
  <c r="S229" i="4" s="1"/>
  <c r="U230" i="4" s="1"/>
  <c r="S230" i="4" s="1"/>
  <c r="U231" i="4" s="1"/>
  <c r="S231" i="4" s="1"/>
  <c r="U232" i="4" s="1"/>
  <c r="S232" i="4" s="1"/>
  <c r="U233" i="4" s="1"/>
  <c r="S233" i="4" s="1"/>
  <c r="U234" i="4" s="1"/>
  <c r="S234" i="4" s="1"/>
  <c r="U235" i="4" s="1"/>
  <c r="S235" i="4" s="1"/>
  <c r="U236" i="4" s="1"/>
  <c r="S236" i="4" s="1"/>
  <c r="U237" i="4" s="1"/>
  <c r="S237" i="4" s="1"/>
  <c r="U238" i="4" s="1"/>
  <c r="S238" i="4" s="1"/>
  <c r="U239" i="4" s="1"/>
  <c r="S239" i="4" s="1"/>
  <c r="U240" i="4" s="1"/>
  <c r="S240" i="4" s="1"/>
  <c r="U241" i="4" s="1"/>
  <c r="S241" i="4" s="1"/>
  <c r="U242" i="4" s="1"/>
  <c r="S242" i="4" s="1"/>
  <c r="U243" i="4" s="1"/>
  <c r="S243" i="4" s="1"/>
  <c r="U244" i="4" s="1"/>
  <c r="S244" i="4" s="1"/>
  <c r="U245" i="4" s="1"/>
  <c r="S245" i="4" s="1"/>
  <c r="U246" i="4" s="1"/>
  <c r="S246" i="4" s="1"/>
  <c r="U247" i="4" s="1"/>
  <c r="S247" i="4" s="1"/>
  <c r="U248" i="4" s="1"/>
  <c r="S248" i="4" s="1"/>
  <c r="U249" i="4" s="1"/>
  <c r="S249" i="4" s="1"/>
  <c r="U250" i="4" s="1"/>
  <c r="S250" i="4" s="1"/>
  <c r="U251" i="4" s="1"/>
  <c r="S251" i="4" s="1"/>
  <c r="U252" i="4" s="1"/>
  <c r="S252" i="4" s="1"/>
  <c r="U253" i="4" s="1"/>
  <c r="S253" i="4" s="1"/>
  <c r="U254" i="4" s="1"/>
  <c r="S254" i="4" s="1"/>
  <c r="U255" i="4" s="1"/>
  <c r="S255" i="4" s="1"/>
  <c r="U256" i="4" s="1"/>
  <c r="S256" i="4" s="1"/>
  <c r="U257" i="4" s="1"/>
  <c r="S257" i="4" s="1"/>
  <c r="U258" i="4" s="1"/>
  <c r="S258" i="4" s="1"/>
  <c r="U259" i="4" s="1"/>
  <c r="S259" i="4" s="1"/>
  <c r="U260" i="4" s="1"/>
  <c r="S260" i="4" s="1"/>
  <c r="U261" i="4" s="1"/>
  <c r="S261" i="4" s="1"/>
  <c r="U262" i="4" s="1"/>
  <c r="S262" i="4" s="1"/>
  <c r="U263" i="4" s="1"/>
  <c r="S263" i="4" s="1"/>
  <c r="U264" i="4" s="1"/>
  <c r="S264" i="4" s="1"/>
  <c r="U265" i="4" s="1"/>
  <c r="S265" i="4" s="1"/>
  <c r="U266" i="4" s="1"/>
  <c r="S266" i="4" s="1"/>
  <c r="U267" i="4" s="1"/>
  <c r="S267" i="4" s="1"/>
  <c r="U268" i="4" s="1"/>
  <c r="S268" i="4" s="1"/>
  <c r="U269" i="4" s="1"/>
  <c r="S269" i="4" s="1"/>
  <c r="U270" i="4" s="1"/>
  <c r="S270" i="4" s="1"/>
  <c r="U271" i="4" s="1"/>
  <c r="S271" i="4" s="1"/>
  <c r="U272" i="4" s="1"/>
  <c r="S272" i="4" s="1"/>
  <c r="U273" i="4" s="1"/>
  <c r="S273" i="4" s="1"/>
  <c r="U274" i="4" s="1"/>
  <c r="S274" i="4" s="1"/>
  <c r="U275" i="4" s="1"/>
  <c r="S275" i="4" s="1"/>
  <c r="U276" i="4" s="1"/>
  <c r="S276" i="4" s="1"/>
  <c r="U277" i="4" s="1"/>
  <c r="S277" i="4" s="1"/>
  <c r="U278" i="4" s="1"/>
  <c r="S278" i="4" s="1"/>
  <c r="U279" i="4" s="1"/>
  <c r="S279" i="4" s="1"/>
  <c r="U280" i="4" s="1"/>
  <c r="S280" i="4" s="1"/>
  <c r="U281" i="4" s="1"/>
  <c r="S281" i="4" s="1"/>
  <c r="U282" i="4" s="1"/>
  <c r="S282" i="4" s="1"/>
  <c r="U283" i="4" s="1"/>
  <c r="S283" i="4" s="1"/>
  <c r="U284" i="4" s="1"/>
  <c r="S284" i="4" s="1"/>
  <c r="U285" i="4" s="1"/>
  <c r="S285" i="4" s="1"/>
  <c r="U286" i="4" s="1"/>
  <c r="S286" i="4" s="1"/>
  <c r="U287" i="4" s="1"/>
  <c r="S287" i="4" s="1"/>
  <c r="U288" i="4" s="1"/>
  <c r="S288" i="4" s="1"/>
  <c r="U289" i="4" s="1"/>
  <c r="S289" i="4" s="1"/>
  <c r="U290" i="4" s="1"/>
  <c r="S290" i="4" s="1"/>
  <c r="U291" i="4" s="1"/>
  <c r="S291" i="4" s="1"/>
  <c r="U292" i="4" s="1"/>
  <c r="S292" i="4" s="1"/>
  <c r="U293" i="4" s="1"/>
  <c r="S293" i="4" s="1"/>
  <c r="U294" i="4" s="1"/>
  <c r="S294" i="4" s="1"/>
  <c r="U295" i="4" s="1"/>
  <c r="S295" i="4" s="1"/>
  <c r="U296" i="4" s="1"/>
  <c r="S296" i="4" s="1"/>
  <c r="U297" i="4" s="1"/>
  <c r="S297" i="4" s="1"/>
  <c r="U298" i="4" s="1"/>
  <c r="S298" i="4" s="1"/>
  <c r="U299" i="4" s="1"/>
  <c r="S299" i="4" s="1"/>
  <c r="U300" i="4" s="1"/>
  <c r="S300" i="4" s="1"/>
  <c r="U301" i="4" s="1"/>
  <c r="S301" i="4" s="1"/>
  <c r="U302" i="4" s="1"/>
  <c r="S302" i="4" s="1"/>
  <c r="U303" i="4" s="1"/>
  <c r="S303" i="4" s="1"/>
  <c r="U304" i="4" s="1"/>
  <c r="S304" i="4" s="1"/>
  <c r="U305" i="4" s="1"/>
  <c r="S305" i="4" s="1"/>
  <c r="U306" i="4" s="1"/>
  <c r="S306" i="4" s="1"/>
  <c r="U307" i="4" s="1"/>
  <c r="S307" i="4" s="1"/>
  <c r="U308" i="4" s="1"/>
  <c r="S308" i="4" s="1"/>
  <c r="U309" i="4" s="1"/>
  <c r="S309" i="4" s="1"/>
  <c r="U310" i="4" s="1"/>
  <c r="S310" i="4" s="1"/>
  <c r="U311" i="4" s="1"/>
  <c r="S311" i="4" s="1"/>
  <c r="U312" i="4" s="1"/>
  <c r="S312" i="4" s="1"/>
  <c r="U313" i="4" s="1"/>
  <c r="S313" i="4" s="1"/>
  <c r="U314" i="4" s="1"/>
  <c r="S314" i="4" s="1"/>
  <c r="U315" i="4" s="1"/>
  <c r="S315" i="4" s="1"/>
  <c r="U316" i="4" s="1"/>
  <c r="S316" i="4" s="1"/>
  <c r="U317" i="4" s="1"/>
  <c r="S317" i="4" s="1"/>
  <c r="U318" i="4" s="1"/>
  <c r="S318" i="4" s="1"/>
  <c r="U319" i="4" s="1"/>
  <c r="S319" i="4" s="1"/>
  <c r="U320" i="4" s="1"/>
  <c r="S320" i="4" s="1"/>
  <c r="U321" i="4" s="1"/>
  <c r="S321" i="4" s="1"/>
  <c r="U322" i="4" s="1"/>
  <c r="S322" i="4" s="1"/>
  <c r="U323" i="4" s="1"/>
  <c r="S323" i="4" s="1"/>
  <c r="U324" i="4" s="1"/>
  <c r="S324" i="4" s="1"/>
  <c r="U325" i="4" s="1"/>
  <c r="S325" i="4" s="1"/>
  <c r="U326" i="4" s="1"/>
  <c r="S326" i="4" s="1"/>
  <c r="U327" i="4" s="1"/>
  <c r="S327" i="4" s="1"/>
  <c r="U328" i="4" s="1"/>
  <c r="S328" i="4" s="1"/>
  <c r="U329" i="4" s="1"/>
  <c r="S329" i="4" s="1"/>
  <c r="U330" i="4" s="1"/>
  <c r="S330" i="4" s="1"/>
  <c r="U331" i="4" s="1"/>
  <c r="S331" i="4" s="1"/>
  <c r="U332" i="4" s="1"/>
  <c r="S332" i="4" s="1"/>
  <c r="U333" i="4" s="1"/>
  <c r="S333" i="4" s="1"/>
  <c r="U334" i="4" s="1"/>
  <c r="S334" i="4" s="1"/>
  <c r="U335" i="4" s="1"/>
  <c r="S335" i="4" s="1"/>
  <c r="U336" i="4" s="1"/>
  <c r="S336" i="4" s="1"/>
  <c r="U337" i="4" s="1"/>
  <c r="S337" i="4" s="1"/>
  <c r="U338" i="4" s="1"/>
  <c r="S338" i="4" s="1"/>
  <c r="U339" i="4" s="1"/>
  <c r="S339" i="4" s="1"/>
  <c r="U340" i="4" s="1"/>
  <c r="S340" i="4" s="1"/>
  <c r="U341" i="4" s="1"/>
  <c r="S341" i="4" s="1"/>
  <c r="U342" i="4" s="1"/>
  <c r="S342" i="4" s="1"/>
  <c r="U343" i="4" s="1"/>
  <c r="S343" i="4" s="1"/>
  <c r="U344" i="4" s="1"/>
  <c r="S344" i="4" s="1"/>
  <c r="U345" i="4" s="1"/>
  <c r="S345" i="4" s="1"/>
  <c r="U346" i="4" s="1"/>
  <c r="S346" i="4" s="1"/>
  <c r="U347" i="4" s="1"/>
  <c r="S347" i="4" s="1"/>
  <c r="U348" i="4" s="1"/>
  <c r="S348" i="4" s="1"/>
  <c r="U349" i="4" s="1"/>
  <c r="S349" i="4" s="1"/>
  <c r="U350" i="4" s="1"/>
  <c r="S350" i="4" s="1"/>
  <c r="U351" i="4" s="1"/>
  <c r="S351" i="4" s="1"/>
  <c r="U352" i="4" s="1"/>
  <c r="S352" i="4" s="1"/>
  <c r="U353" i="4" s="1"/>
  <c r="S353" i="4" s="1"/>
  <c r="U354" i="4" s="1"/>
  <c r="S354" i="4" s="1"/>
  <c r="U355" i="4" s="1"/>
  <c r="S355" i="4" s="1"/>
  <c r="U356" i="4" s="1"/>
  <c r="S356" i="4" s="1"/>
  <c r="U357" i="4" s="1"/>
  <c r="S357" i="4" s="1"/>
  <c r="U358" i="4" s="1"/>
  <c r="S358" i="4" s="1"/>
  <c r="U359" i="4" s="1"/>
  <c r="S359" i="4" s="1"/>
  <c r="U360" i="4" s="1"/>
  <c r="S360" i="4" s="1"/>
  <c r="U361" i="4" s="1"/>
  <c r="S361" i="4" s="1"/>
  <c r="U362" i="4" s="1"/>
  <c r="S362" i="4" s="1"/>
  <c r="U363" i="4" s="1"/>
  <c r="S363" i="4" s="1"/>
  <c r="U364" i="4" s="1"/>
  <c r="S364" i="4" s="1"/>
  <c r="U365" i="4" s="1"/>
  <c r="S365" i="4" s="1"/>
  <c r="U366" i="4" s="1"/>
  <c r="S366" i="4" s="1"/>
  <c r="U367" i="4" s="1"/>
  <c r="S367" i="4" s="1"/>
  <c r="U368" i="4" s="1"/>
  <c r="S368" i="4" s="1"/>
  <c r="U369" i="4" s="1"/>
  <c r="S369" i="4" s="1"/>
  <c r="AC5" i="4" s="1"/>
  <c r="G15" i="13"/>
  <c r="H15" i="13" s="1"/>
  <c r="I15" i="13" s="1"/>
  <c r="F16" i="13" s="1"/>
  <c r="D13" i="11"/>
  <c r="D14" i="11"/>
  <c r="G24" i="7" l="1"/>
  <c r="G26" i="7" s="1"/>
  <c r="G27" i="7" s="1"/>
  <c r="G20" i="7"/>
  <c r="AF29" i="9" s="1"/>
  <c r="K19" i="7" a="1"/>
  <c r="K19" i="7" s="1"/>
  <c r="D23" i="2" s="1"/>
  <c r="X27" i="9"/>
  <c r="J3" i="4"/>
  <c r="D15" i="11"/>
  <c r="H13" i="11" s="1"/>
  <c r="F17" i="13"/>
  <c r="G16" i="13"/>
  <c r="H16" i="13" s="1"/>
  <c r="I16" i="13" s="1"/>
  <c r="R3" i="4"/>
  <c r="AA5" i="4"/>
  <c r="AC6" i="4" s="1"/>
  <c r="AA6" i="4" s="1"/>
  <c r="AC7" i="4" s="1"/>
  <c r="AA7" i="4" s="1"/>
  <c r="AC8" i="4" s="1"/>
  <c r="AA8" i="4" s="1"/>
  <c r="AC9" i="4" s="1"/>
  <c r="AA9" i="4" s="1"/>
  <c r="AC10" i="4" s="1"/>
  <c r="AA10" i="4" s="1"/>
  <c r="AC11" i="4" s="1"/>
  <c r="AA11" i="4" s="1"/>
  <c r="AC12" i="4" s="1"/>
  <c r="AA12" i="4" s="1"/>
  <c r="AC13" i="4" s="1"/>
  <c r="AA13" i="4" s="1"/>
  <c r="AC14" i="4" s="1"/>
  <c r="AA14" i="4" s="1"/>
  <c r="AC15" i="4" s="1"/>
  <c r="AA15" i="4" s="1"/>
  <c r="AC16" i="4" s="1"/>
  <c r="AA16" i="4" s="1"/>
  <c r="AC17" i="4" s="1"/>
  <c r="AA17" i="4" s="1"/>
  <c r="AC18" i="4" s="1"/>
  <c r="AA18" i="4" s="1"/>
  <c r="AC19" i="4" s="1"/>
  <c r="AA19" i="4" s="1"/>
  <c r="AC20" i="4" s="1"/>
  <c r="AA20" i="4" s="1"/>
  <c r="AC21" i="4" s="1"/>
  <c r="AA21" i="4" s="1"/>
  <c r="AC22" i="4" s="1"/>
  <c r="AA22" i="4" s="1"/>
  <c r="AC23" i="4" s="1"/>
  <c r="AA23" i="4" s="1"/>
  <c r="AC24" i="4" s="1"/>
  <c r="AA24" i="4" s="1"/>
  <c r="AC25" i="4" s="1"/>
  <c r="AA25" i="4" s="1"/>
  <c r="AC26" i="4" s="1"/>
  <c r="AA26" i="4" s="1"/>
  <c r="AC27" i="4" s="1"/>
  <c r="AA27" i="4" s="1"/>
  <c r="AC28" i="4" s="1"/>
  <c r="AA28" i="4" s="1"/>
  <c r="AC29" i="4" s="1"/>
  <c r="AA29" i="4" s="1"/>
  <c r="AC30" i="4" s="1"/>
  <c r="AA30" i="4" s="1"/>
  <c r="AC31" i="4" s="1"/>
  <c r="AA31" i="4" s="1"/>
  <c r="AC32" i="4" s="1"/>
  <c r="AA32" i="4" s="1"/>
  <c r="AC33" i="4" s="1"/>
  <c r="AA33" i="4" s="1"/>
  <c r="AC34" i="4" s="1"/>
  <c r="AA34" i="4" s="1"/>
  <c r="AC35" i="4" s="1"/>
  <c r="AA35" i="4" s="1"/>
  <c r="AC36" i="4" s="1"/>
  <c r="AA36" i="4" s="1"/>
  <c r="AC37" i="4" s="1"/>
  <c r="AA37" i="4" s="1"/>
  <c r="AC38" i="4" s="1"/>
  <c r="AA38" i="4" s="1"/>
  <c r="AC39" i="4" s="1"/>
  <c r="AA39" i="4" s="1"/>
  <c r="AC40" i="4" s="1"/>
  <c r="AA40" i="4" s="1"/>
  <c r="AC41" i="4" s="1"/>
  <c r="AA41" i="4" s="1"/>
  <c r="AC42" i="4" s="1"/>
  <c r="AA42" i="4" s="1"/>
  <c r="AC43" i="4" s="1"/>
  <c r="AA43" i="4" s="1"/>
  <c r="AC44" i="4" s="1"/>
  <c r="AA44" i="4" s="1"/>
  <c r="AC45" i="4" s="1"/>
  <c r="AA45" i="4" s="1"/>
  <c r="AC46" i="4" s="1"/>
  <c r="AA46" i="4" s="1"/>
  <c r="AC47" i="4" s="1"/>
  <c r="AA47" i="4" s="1"/>
  <c r="AC48" i="4" s="1"/>
  <c r="AA48" i="4" s="1"/>
  <c r="AC49" i="4" s="1"/>
  <c r="AA49" i="4" s="1"/>
  <c r="AC50" i="4" s="1"/>
  <c r="AA50" i="4" s="1"/>
  <c r="AC51" i="4" s="1"/>
  <c r="AA51" i="4" s="1"/>
  <c r="AC52" i="4" s="1"/>
  <c r="AA52" i="4" s="1"/>
  <c r="AC53" i="4" s="1"/>
  <c r="AA53" i="4" s="1"/>
  <c r="AC54" i="4" s="1"/>
  <c r="AA54" i="4" s="1"/>
  <c r="AC55" i="4" s="1"/>
  <c r="AA55" i="4" s="1"/>
  <c r="AC56" i="4" s="1"/>
  <c r="AA56" i="4" s="1"/>
  <c r="AC57" i="4" s="1"/>
  <c r="AA57" i="4" s="1"/>
  <c r="AC58" i="4" s="1"/>
  <c r="AA58" i="4" s="1"/>
  <c r="AC59" i="4" s="1"/>
  <c r="AA59" i="4" s="1"/>
  <c r="AC60" i="4" s="1"/>
  <c r="AA60" i="4" s="1"/>
  <c r="AC61" i="4" s="1"/>
  <c r="AA61" i="4" s="1"/>
  <c r="AC62" i="4" s="1"/>
  <c r="AA62" i="4" s="1"/>
  <c r="AC63" i="4" s="1"/>
  <c r="AA63" i="4" s="1"/>
  <c r="AC64" i="4" s="1"/>
  <c r="AA64" i="4" s="1"/>
  <c r="AC65" i="4" s="1"/>
  <c r="AA65" i="4" s="1"/>
  <c r="AC66" i="4" s="1"/>
  <c r="AA66" i="4" s="1"/>
  <c r="AC67" i="4" s="1"/>
  <c r="AA67" i="4" s="1"/>
  <c r="AC68" i="4" s="1"/>
  <c r="AA68" i="4" s="1"/>
  <c r="AC69" i="4" s="1"/>
  <c r="AA69" i="4" s="1"/>
  <c r="AC70" i="4" s="1"/>
  <c r="AA70" i="4" s="1"/>
  <c r="AC71" i="4" s="1"/>
  <c r="AA71" i="4" s="1"/>
  <c r="AC72" i="4" s="1"/>
  <c r="AA72" i="4" s="1"/>
  <c r="AC73" i="4" s="1"/>
  <c r="AA73" i="4" s="1"/>
  <c r="AC74" i="4" s="1"/>
  <c r="AA74" i="4" s="1"/>
  <c r="AC75" i="4" s="1"/>
  <c r="AA75" i="4" s="1"/>
  <c r="AC76" i="4" s="1"/>
  <c r="AA76" i="4" s="1"/>
  <c r="AC77" i="4" s="1"/>
  <c r="AA77" i="4" s="1"/>
  <c r="AC78" i="4" s="1"/>
  <c r="AA78" i="4" s="1"/>
  <c r="AC79" i="4" s="1"/>
  <c r="AA79" i="4" s="1"/>
  <c r="AC80" i="4" s="1"/>
  <c r="AA80" i="4" s="1"/>
  <c r="AC81" i="4" s="1"/>
  <c r="AA81" i="4" s="1"/>
  <c r="AC82" i="4" s="1"/>
  <c r="AA82" i="4" s="1"/>
  <c r="AC83" i="4" s="1"/>
  <c r="AA83" i="4" s="1"/>
  <c r="AC84" i="4" s="1"/>
  <c r="AA84" i="4" s="1"/>
  <c r="AC85" i="4" s="1"/>
  <c r="AA85" i="4" s="1"/>
  <c r="AC86" i="4" s="1"/>
  <c r="AA86" i="4" s="1"/>
  <c r="AC87" i="4" s="1"/>
  <c r="AA87" i="4" s="1"/>
  <c r="AC88" i="4" s="1"/>
  <c r="AA88" i="4" s="1"/>
  <c r="AC89" i="4" s="1"/>
  <c r="AA89" i="4" s="1"/>
  <c r="AC90" i="4" s="1"/>
  <c r="AA90" i="4" s="1"/>
  <c r="AC91" i="4" s="1"/>
  <c r="AA91" i="4" s="1"/>
  <c r="AC92" i="4" s="1"/>
  <c r="AA92" i="4" s="1"/>
  <c r="AC93" i="4" s="1"/>
  <c r="AA93" i="4" s="1"/>
  <c r="AC94" i="4" s="1"/>
  <c r="AA94" i="4" s="1"/>
  <c r="AC95" i="4" s="1"/>
  <c r="AA95" i="4" s="1"/>
  <c r="AC96" i="4" s="1"/>
  <c r="AA96" i="4" s="1"/>
  <c r="AC97" i="4" s="1"/>
  <c r="AA97" i="4" s="1"/>
  <c r="AC98" i="4" s="1"/>
  <c r="AA98" i="4" s="1"/>
  <c r="AC99" i="4" s="1"/>
  <c r="AA99" i="4" s="1"/>
  <c r="AC100" i="4" s="1"/>
  <c r="AA100" i="4" s="1"/>
  <c r="AC101" i="4" s="1"/>
  <c r="AA101" i="4" s="1"/>
  <c r="AC102" i="4" s="1"/>
  <c r="AA102" i="4" s="1"/>
  <c r="AC103" i="4" s="1"/>
  <c r="AA103" i="4" s="1"/>
  <c r="AC104" i="4" s="1"/>
  <c r="AA104" i="4" s="1"/>
  <c r="AC105" i="4" s="1"/>
  <c r="AA105" i="4" s="1"/>
  <c r="AC106" i="4" s="1"/>
  <c r="AA106" i="4" s="1"/>
  <c r="AC107" i="4" s="1"/>
  <c r="AA107" i="4" s="1"/>
  <c r="AC108" i="4" s="1"/>
  <c r="AA108" i="4" s="1"/>
  <c r="AC109" i="4" s="1"/>
  <c r="AA109" i="4" s="1"/>
  <c r="AC110" i="4" s="1"/>
  <c r="AA110" i="4" s="1"/>
  <c r="AC111" i="4" s="1"/>
  <c r="AA111" i="4" s="1"/>
  <c r="AC112" i="4" s="1"/>
  <c r="AA112" i="4" s="1"/>
  <c r="AC113" i="4" s="1"/>
  <c r="AA113" i="4" s="1"/>
  <c r="AC114" i="4" s="1"/>
  <c r="AA114" i="4" s="1"/>
  <c r="AC115" i="4" s="1"/>
  <c r="AA115" i="4" s="1"/>
  <c r="AC116" i="4" s="1"/>
  <c r="AA116" i="4" s="1"/>
  <c r="AC117" i="4" s="1"/>
  <c r="AA117" i="4" s="1"/>
  <c r="AC118" i="4" s="1"/>
  <c r="AA118" i="4" s="1"/>
  <c r="AC119" i="4" s="1"/>
  <c r="AA119" i="4" s="1"/>
  <c r="AC120" i="4" s="1"/>
  <c r="AA120" i="4" s="1"/>
  <c r="AC121" i="4" s="1"/>
  <c r="AA121" i="4" s="1"/>
  <c r="AC122" i="4" s="1"/>
  <c r="AA122" i="4" s="1"/>
  <c r="AC123" i="4" s="1"/>
  <c r="AA123" i="4" s="1"/>
  <c r="AC124" i="4" s="1"/>
  <c r="AA124" i="4" s="1"/>
  <c r="AC125" i="4" s="1"/>
  <c r="AA125" i="4" s="1"/>
  <c r="AC126" i="4" s="1"/>
  <c r="AA126" i="4" s="1"/>
  <c r="AC127" i="4" s="1"/>
  <c r="AA127" i="4" s="1"/>
  <c r="AC128" i="4" s="1"/>
  <c r="AA128" i="4" s="1"/>
  <c r="AC129" i="4" s="1"/>
  <c r="AA129" i="4" s="1"/>
  <c r="AC130" i="4" s="1"/>
  <c r="AA130" i="4" s="1"/>
  <c r="AC131" i="4" s="1"/>
  <c r="AA131" i="4" s="1"/>
  <c r="AC132" i="4" s="1"/>
  <c r="AA132" i="4" s="1"/>
  <c r="AC133" i="4" s="1"/>
  <c r="AA133" i="4" s="1"/>
  <c r="AC134" i="4" s="1"/>
  <c r="AA134" i="4" s="1"/>
  <c r="AC135" i="4" s="1"/>
  <c r="AA135" i="4" s="1"/>
  <c r="AC136" i="4" s="1"/>
  <c r="AA136" i="4" s="1"/>
  <c r="AC137" i="4" s="1"/>
  <c r="AA137" i="4" s="1"/>
  <c r="AC138" i="4" s="1"/>
  <c r="AA138" i="4" s="1"/>
  <c r="AC139" i="4" s="1"/>
  <c r="AA139" i="4" s="1"/>
  <c r="AC140" i="4" s="1"/>
  <c r="AA140" i="4" s="1"/>
  <c r="AC141" i="4" s="1"/>
  <c r="AA141" i="4" s="1"/>
  <c r="AC142" i="4" s="1"/>
  <c r="AA142" i="4" s="1"/>
  <c r="AC143" i="4" s="1"/>
  <c r="AA143" i="4" s="1"/>
  <c r="AC144" i="4" s="1"/>
  <c r="AA144" i="4" s="1"/>
  <c r="AC145" i="4" s="1"/>
  <c r="AA145" i="4" s="1"/>
  <c r="AC146" i="4" s="1"/>
  <c r="AA146" i="4" s="1"/>
  <c r="AC147" i="4" s="1"/>
  <c r="AA147" i="4" s="1"/>
  <c r="AC148" i="4" s="1"/>
  <c r="AA148" i="4" s="1"/>
  <c r="AC149" i="4" s="1"/>
  <c r="AA149" i="4" s="1"/>
  <c r="AC150" i="4" s="1"/>
  <c r="AA150" i="4" s="1"/>
  <c r="AC151" i="4" s="1"/>
  <c r="AA151" i="4" s="1"/>
  <c r="AC152" i="4" s="1"/>
  <c r="AA152" i="4" s="1"/>
  <c r="AC153" i="4" s="1"/>
  <c r="AA153" i="4" s="1"/>
  <c r="AC154" i="4" s="1"/>
  <c r="AA154" i="4" s="1"/>
  <c r="AC155" i="4" s="1"/>
  <c r="AA155" i="4" s="1"/>
  <c r="AC156" i="4" s="1"/>
  <c r="AA156" i="4" s="1"/>
  <c r="AC157" i="4" s="1"/>
  <c r="AA157" i="4" s="1"/>
  <c r="AC158" i="4" s="1"/>
  <c r="AA158" i="4" s="1"/>
  <c r="AC159" i="4" s="1"/>
  <c r="AA159" i="4" s="1"/>
  <c r="AC160" i="4" s="1"/>
  <c r="AA160" i="4" s="1"/>
  <c r="AC161" i="4" s="1"/>
  <c r="AA161" i="4" s="1"/>
  <c r="AC162" i="4" s="1"/>
  <c r="AA162" i="4" s="1"/>
  <c r="AC163" i="4" s="1"/>
  <c r="AA163" i="4" s="1"/>
  <c r="AC164" i="4" s="1"/>
  <c r="AA164" i="4" s="1"/>
  <c r="AC165" i="4" s="1"/>
  <c r="AA165" i="4" s="1"/>
  <c r="AC166" i="4" s="1"/>
  <c r="AA166" i="4" s="1"/>
  <c r="AC167" i="4" s="1"/>
  <c r="AA167" i="4" s="1"/>
  <c r="AC168" i="4" s="1"/>
  <c r="AA168" i="4" s="1"/>
  <c r="AC169" i="4" s="1"/>
  <c r="AA169" i="4" s="1"/>
  <c r="AC170" i="4" s="1"/>
  <c r="AA170" i="4" s="1"/>
  <c r="AC171" i="4" s="1"/>
  <c r="AA171" i="4" s="1"/>
  <c r="AC172" i="4" s="1"/>
  <c r="AA172" i="4" s="1"/>
  <c r="AC173" i="4" s="1"/>
  <c r="AA173" i="4" s="1"/>
  <c r="AC174" i="4" s="1"/>
  <c r="AA174" i="4" s="1"/>
  <c r="AC175" i="4" s="1"/>
  <c r="AA175" i="4" s="1"/>
  <c r="AC176" i="4" s="1"/>
  <c r="AA176" i="4" s="1"/>
  <c r="AC177" i="4" s="1"/>
  <c r="AA177" i="4" s="1"/>
  <c r="AC178" i="4" s="1"/>
  <c r="AA178" i="4" s="1"/>
  <c r="AC179" i="4" s="1"/>
  <c r="AA179" i="4" s="1"/>
  <c r="AC180" i="4" s="1"/>
  <c r="AA180" i="4" s="1"/>
  <c r="AC181" i="4" s="1"/>
  <c r="AA181" i="4" s="1"/>
  <c r="AC182" i="4" s="1"/>
  <c r="AA182" i="4" s="1"/>
  <c r="AC183" i="4" s="1"/>
  <c r="AA183" i="4" s="1"/>
  <c r="AC184" i="4" s="1"/>
  <c r="AA184" i="4" s="1"/>
  <c r="AC185" i="4" s="1"/>
  <c r="AA185" i="4" s="1"/>
  <c r="AC186" i="4" s="1"/>
  <c r="AA186" i="4" s="1"/>
  <c r="AC187" i="4" s="1"/>
  <c r="AA187" i="4" s="1"/>
  <c r="AC188" i="4" s="1"/>
  <c r="AA188" i="4" s="1"/>
  <c r="AC189" i="4" s="1"/>
  <c r="AA189" i="4" s="1"/>
  <c r="AC190" i="4" s="1"/>
  <c r="AA190" i="4" s="1"/>
  <c r="AC191" i="4" s="1"/>
  <c r="AA191" i="4" s="1"/>
  <c r="AC192" i="4" s="1"/>
  <c r="AA192" i="4" s="1"/>
  <c r="AC193" i="4" s="1"/>
  <c r="AA193" i="4" s="1"/>
  <c r="AC194" i="4" s="1"/>
  <c r="AA194" i="4" s="1"/>
  <c r="AC195" i="4" s="1"/>
  <c r="AA195" i="4" s="1"/>
  <c r="AC196" i="4" s="1"/>
  <c r="AA196" i="4" s="1"/>
  <c r="AC197" i="4" s="1"/>
  <c r="AA197" i="4" s="1"/>
  <c r="AC198" i="4" s="1"/>
  <c r="AA198" i="4" s="1"/>
  <c r="AC199" i="4" s="1"/>
  <c r="AA199" i="4" s="1"/>
  <c r="AC200" i="4" s="1"/>
  <c r="AA200" i="4" s="1"/>
  <c r="AC201" i="4" s="1"/>
  <c r="AA201" i="4" s="1"/>
  <c r="AC202" i="4" s="1"/>
  <c r="AA202" i="4" s="1"/>
  <c r="AC203" i="4" s="1"/>
  <c r="AA203" i="4" s="1"/>
  <c r="AC204" i="4" s="1"/>
  <c r="AA204" i="4" s="1"/>
  <c r="AC205" i="4" s="1"/>
  <c r="AA205" i="4" s="1"/>
  <c r="AC206" i="4" s="1"/>
  <c r="AA206" i="4" s="1"/>
  <c r="AC207" i="4" s="1"/>
  <c r="AA207" i="4" s="1"/>
  <c r="AC208" i="4" s="1"/>
  <c r="AA208" i="4" s="1"/>
  <c r="AC209" i="4" s="1"/>
  <c r="AA209" i="4" s="1"/>
  <c r="AC210" i="4" s="1"/>
  <c r="AA210" i="4" s="1"/>
  <c r="AC211" i="4" s="1"/>
  <c r="AA211" i="4" s="1"/>
  <c r="AC212" i="4" s="1"/>
  <c r="AA212" i="4" s="1"/>
  <c r="AC213" i="4" s="1"/>
  <c r="AA213" i="4" s="1"/>
  <c r="AC214" i="4" s="1"/>
  <c r="AA214" i="4" s="1"/>
  <c r="AC215" i="4" s="1"/>
  <c r="AA215" i="4" s="1"/>
  <c r="AC216" i="4" s="1"/>
  <c r="AA216" i="4" s="1"/>
  <c r="AC217" i="4" s="1"/>
  <c r="AA217" i="4" s="1"/>
  <c r="AC218" i="4" s="1"/>
  <c r="AA218" i="4" s="1"/>
  <c r="AC219" i="4" s="1"/>
  <c r="AA219" i="4" s="1"/>
  <c r="AC220" i="4" s="1"/>
  <c r="AA220" i="4" s="1"/>
  <c r="AC221" i="4" s="1"/>
  <c r="AA221" i="4" s="1"/>
  <c r="AC222" i="4" s="1"/>
  <c r="AA222" i="4" s="1"/>
  <c r="AC223" i="4" s="1"/>
  <c r="AA223" i="4" s="1"/>
  <c r="AC224" i="4" s="1"/>
  <c r="AA224" i="4" s="1"/>
  <c r="AC225" i="4" s="1"/>
  <c r="AA225" i="4" s="1"/>
  <c r="AC226" i="4" s="1"/>
  <c r="AA226" i="4" s="1"/>
  <c r="AC227" i="4" s="1"/>
  <c r="AA227" i="4" s="1"/>
  <c r="AC228" i="4" s="1"/>
  <c r="AA228" i="4" s="1"/>
  <c r="AC229" i="4" s="1"/>
  <c r="AA229" i="4" s="1"/>
  <c r="AC230" i="4" s="1"/>
  <c r="AA230" i="4" s="1"/>
  <c r="AC231" i="4" s="1"/>
  <c r="AA231" i="4" s="1"/>
  <c r="AC232" i="4" s="1"/>
  <c r="AA232" i="4" s="1"/>
  <c r="AC233" i="4" s="1"/>
  <c r="AA233" i="4" s="1"/>
  <c r="AC234" i="4" s="1"/>
  <c r="AA234" i="4" s="1"/>
  <c r="AC235" i="4" s="1"/>
  <c r="AA235" i="4" s="1"/>
  <c r="AC236" i="4" s="1"/>
  <c r="AA236" i="4" s="1"/>
  <c r="AC237" i="4" s="1"/>
  <c r="AA237" i="4" s="1"/>
  <c r="AC238" i="4" s="1"/>
  <c r="AA238" i="4" s="1"/>
  <c r="AC239" i="4" s="1"/>
  <c r="AA239" i="4" s="1"/>
  <c r="AC240" i="4" s="1"/>
  <c r="AA240" i="4" s="1"/>
  <c r="AC241" i="4" s="1"/>
  <c r="AA241" i="4" s="1"/>
  <c r="AC242" i="4" s="1"/>
  <c r="AA242" i="4" s="1"/>
  <c r="AC243" i="4" s="1"/>
  <c r="AA243" i="4" s="1"/>
  <c r="AC244" i="4" s="1"/>
  <c r="AA244" i="4" s="1"/>
  <c r="AC245" i="4" s="1"/>
  <c r="AA245" i="4" s="1"/>
  <c r="AC246" i="4" s="1"/>
  <c r="AA246" i="4" s="1"/>
  <c r="AC247" i="4" s="1"/>
  <c r="AA247" i="4" s="1"/>
  <c r="AC248" i="4" s="1"/>
  <c r="AA248" i="4" s="1"/>
  <c r="AC249" i="4" s="1"/>
  <c r="AA249" i="4" s="1"/>
  <c r="AC250" i="4" s="1"/>
  <c r="AA250" i="4" s="1"/>
  <c r="AC251" i="4" s="1"/>
  <c r="AA251" i="4" s="1"/>
  <c r="AC252" i="4" s="1"/>
  <c r="AA252" i="4" s="1"/>
  <c r="AC253" i="4" s="1"/>
  <c r="AA253" i="4" s="1"/>
  <c r="AC254" i="4" s="1"/>
  <c r="AA254" i="4" s="1"/>
  <c r="AC255" i="4" s="1"/>
  <c r="AA255" i="4" s="1"/>
  <c r="AC256" i="4" s="1"/>
  <c r="AA256" i="4" s="1"/>
  <c r="AC257" i="4" s="1"/>
  <c r="AA257" i="4" s="1"/>
  <c r="AC258" i="4" s="1"/>
  <c r="AA258" i="4" s="1"/>
  <c r="AC259" i="4" s="1"/>
  <c r="AA259" i="4" s="1"/>
  <c r="AC260" i="4" s="1"/>
  <c r="AA260" i="4" s="1"/>
  <c r="AC261" i="4" s="1"/>
  <c r="AA261" i="4" s="1"/>
  <c r="AC262" i="4" s="1"/>
  <c r="AA262" i="4" s="1"/>
  <c r="AC263" i="4" s="1"/>
  <c r="AA263" i="4" s="1"/>
  <c r="AC264" i="4" s="1"/>
  <c r="AA264" i="4" s="1"/>
  <c r="AC265" i="4" s="1"/>
  <c r="AA265" i="4" s="1"/>
  <c r="AC266" i="4" s="1"/>
  <c r="AA266" i="4" s="1"/>
  <c r="AC267" i="4" s="1"/>
  <c r="AA267" i="4" s="1"/>
  <c r="AC268" i="4" s="1"/>
  <c r="AA268" i="4" s="1"/>
  <c r="AC269" i="4" s="1"/>
  <c r="AA269" i="4" s="1"/>
  <c r="AC270" i="4" s="1"/>
  <c r="AA270" i="4" s="1"/>
  <c r="AC271" i="4" s="1"/>
  <c r="AA271" i="4" s="1"/>
  <c r="AC272" i="4" s="1"/>
  <c r="AA272" i="4" s="1"/>
  <c r="AC273" i="4" s="1"/>
  <c r="AA273" i="4" s="1"/>
  <c r="AC274" i="4" s="1"/>
  <c r="AA274" i="4" s="1"/>
  <c r="AC275" i="4" s="1"/>
  <c r="AA275" i="4" s="1"/>
  <c r="AC276" i="4" s="1"/>
  <c r="AA276" i="4" s="1"/>
  <c r="AC277" i="4" s="1"/>
  <c r="AA277" i="4" s="1"/>
  <c r="AC278" i="4" s="1"/>
  <c r="AA278" i="4" s="1"/>
  <c r="AC279" i="4" s="1"/>
  <c r="AA279" i="4" s="1"/>
  <c r="AC280" i="4" s="1"/>
  <c r="AA280" i="4" s="1"/>
  <c r="AC281" i="4" s="1"/>
  <c r="AA281" i="4" s="1"/>
  <c r="AC282" i="4" s="1"/>
  <c r="AA282" i="4" s="1"/>
  <c r="AC283" i="4" s="1"/>
  <c r="AA283" i="4" s="1"/>
  <c r="AC284" i="4" s="1"/>
  <c r="AA284" i="4" s="1"/>
  <c r="AC285" i="4" s="1"/>
  <c r="AA285" i="4" s="1"/>
  <c r="AC286" i="4" s="1"/>
  <c r="AA286" i="4" s="1"/>
  <c r="AC287" i="4" s="1"/>
  <c r="AA287" i="4" s="1"/>
  <c r="AC288" i="4" s="1"/>
  <c r="AA288" i="4" s="1"/>
  <c r="AC289" i="4" s="1"/>
  <c r="AA289" i="4" s="1"/>
  <c r="AC290" i="4" s="1"/>
  <c r="AA290" i="4" s="1"/>
  <c r="AC291" i="4" s="1"/>
  <c r="AA291" i="4" s="1"/>
  <c r="AC292" i="4" s="1"/>
  <c r="AA292" i="4" s="1"/>
  <c r="AC293" i="4" s="1"/>
  <c r="AA293" i="4" s="1"/>
  <c r="AC294" i="4" s="1"/>
  <c r="AA294" i="4" s="1"/>
  <c r="AC295" i="4" s="1"/>
  <c r="AA295" i="4" s="1"/>
  <c r="AC296" i="4" s="1"/>
  <c r="AA296" i="4" s="1"/>
  <c r="AC297" i="4" s="1"/>
  <c r="AA297" i="4" s="1"/>
  <c r="AC298" i="4" s="1"/>
  <c r="AA298" i="4" s="1"/>
  <c r="AC299" i="4" s="1"/>
  <c r="AA299" i="4" s="1"/>
  <c r="AC300" i="4" s="1"/>
  <c r="AA300" i="4" s="1"/>
  <c r="AC301" i="4" s="1"/>
  <c r="AA301" i="4" s="1"/>
  <c r="AC302" i="4" s="1"/>
  <c r="AA302" i="4" s="1"/>
  <c r="AC303" i="4" s="1"/>
  <c r="AA303" i="4" s="1"/>
  <c r="AC304" i="4" s="1"/>
  <c r="AA304" i="4" s="1"/>
  <c r="AC305" i="4" s="1"/>
  <c r="AA305" i="4" s="1"/>
  <c r="AC306" i="4" s="1"/>
  <c r="AA306" i="4" s="1"/>
  <c r="AC307" i="4" s="1"/>
  <c r="AA307" i="4" s="1"/>
  <c r="AC308" i="4" s="1"/>
  <c r="AA308" i="4" s="1"/>
  <c r="AC309" i="4" s="1"/>
  <c r="AA309" i="4" s="1"/>
  <c r="AC310" i="4" s="1"/>
  <c r="AA310" i="4" s="1"/>
  <c r="AC311" i="4" s="1"/>
  <c r="AA311" i="4" s="1"/>
  <c r="AC312" i="4" s="1"/>
  <c r="AA312" i="4" s="1"/>
  <c r="AC313" i="4" s="1"/>
  <c r="AA313" i="4" s="1"/>
  <c r="AC314" i="4" s="1"/>
  <c r="AA314" i="4" s="1"/>
  <c r="AC315" i="4" s="1"/>
  <c r="AA315" i="4" s="1"/>
  <c r="AC316" i="4" s="1"/>
  <c r="AA316" i="4" s="1"/>
  <c r="AC317" i="4" s="1"/>
  <c r="AA317" i="4" s="1"/>
  <c r="AC318" i="4" s="1"/>
  <c r="AA318" i="4" s="1"/>
  <c r="AC319" i="4" s="1"/>
  <c r="AA319" i="4" s="1"/>
  <c r="AC320" i="4" s="1"/>
  <c r="AA320" i="4" s="1"/>
  <c r="AC321" i="4" s="1"/>
  <c r="AA321" i="4" s="1"/>
  <c r="AC322" i="4" s="1"/>
  <c r="AA322" i="4" s="1"/>
  <c r="AC323" i="4" s="1"/>
  <c r="AA323" i="4" s="1"/>
  <c r="AC324" i="4" s="1"/>
  <c r="AA324" i="4" s="1"/>
  <c r="AC325" i="4" s="1"/>
  <c r="AA325" i="4" s="1"/>
  <c r="AC326" i="4" s="1"/>
  <c r="AA326" i="4" s="1"/>
  <c r="AC327" i="4" s="1"/>
  <c r="AA327" i="4" s="1"/>
  <c r="AC328" i="4" s="1"/>
  <c r="AA328" i="4" s="1"/>
  <c r="AC329" i="4" s="1"/>
  <c r="AA329" i="4" s="1"/>
  <c r="AC330" i="4" s="1"/>
  <c r="AA330" i="4" s="1"/>
  <c r="AC331" i="4" s="1"/>
  <c r="AA331" i="4" s="1"/>
  <c r="AC332" i="4" s="1"/>
  <c r="AA332" i="4" s="1"/>
  <c r="AC333" i="4" s="1"/>
  <c r="AA333" i="4" s="1"/>
  <c r="AC334" i="4" s="1"/>
  <c r="AA334" i="4" s="1"/>
  <c r="AC335" i="4" s="1"/>
  <c r="AA335" i="4" s="1"/>
  <c r="AC336" i="4" s="1"/>
  <c r="AA336" i="4" s="1"/>
  <c r="AC337" i="4" s="1"/>
  <c r="AA337" i="4" s="1"/>
  <c r="AC338" i="4" s="1"/>
  <c r="AA338" i="4" s="1"/>
  <c r="AC339" i="4" s="1"/>
  <c r="AA339" i="4" s="1"/>
  <c r="AC340" i="4" s="1"/>
  <c r="AA340" i="4" s="1"/>
  <c r="AC341" i="4" s="1"/>
  <c r="AA341" i="4" s="1"/>
  <c r="AC342" i="4" s="1"/>
  <c r="AA342" i="4" s="1"/>
  <c r="AC343" i="4" s="1"/>
  <c r="AA343" i="4" s="1"/>
  <c r="AC344" i="4" s="1"/>
  <c r="AA344" i="4" s="1"/>
  <c r="AC345" i="4" s="1"/>
  <c r="AA345" i="4" s="1"/>
  <c r="AC346" i="4" s="1"/>
  <c r="AA346" i="4" s="1"/>
  <c r="AC347" i="4" s="1"/>
  <c r="AA347" i="4" s="1"/>
  <c r="AC348" i="4" s="1"/>
  <c r="AA348" i="4" s="1"/>
  <c r="AC349" i="4" s="1"/>
  <c r="AA349" i="4" s="1"/>
  <c r="AC350" i="4" s="1"/>
  <c r="AA350" i="4" s="1"/>
  <c r="AC351" i="4" s="1"/>
  <c r="AA351" i="4" s="1"/>
  <c r="AC352" i="4" s="1"/>
  <c r="AA352" i="4" s="1"/>
  <c r="AC353" i="4" s="1"/>
  <c r="AA353" i="4" s="1"/>
  <c r="AC354" i="4" s="1"/>
  <c r="AA354" i="4" s="1"/>
  <c r="AC355" i="4" s="1"/>
  <c r="AA355" i="4" s="1"/>
  <c r="AC356" i="4" s="1"/>
  <c r="AA356" i="4" s="1"/>
  <c r="AC357" i="4" s="1"/>
  <c r="AA357" i="4" s="1"/>
  <c r="AC358" i="4" s="1"/>
  <c r="AA358" i="4" s="1"/>
  <c r="AC359" i="4" s="1"/>
  <c r="AA359" i="4" s="1"/>
  <c r="AC360" i="4" s="1"/>
  <c r="AA360" i="4" s="1"/>
  <c r="AC361" i="4" s="1"/>
  <c r="AA361" i="4" s="1"/>
  <c r="AC362" i="4" s="1"/>
  <c r="AA362" i="4" s="1"/>
  <c r="AC363" i="4" s="1"/>
  <c r="AA363" i="4" s="1"/>
  <c r="AC364" i="4" s="1"/>
  <c r="AA364" i="4" s="1"/>
  <c r="AC365" i="4" s="1"/>
  <c r="AA365" i="4" s="1"/>
  <c r="AC366" i="4" s="1"/>
  <c r="AA366" i="4" s="1"/>
  <c r="AC367" i="4" s="1"/>
  <c r="AA367" i="4" s="1"/>
  <c r="AC368" i="4" s="1"/>
  <c r="AA368" i="4" s="1"/>
  <c r="AC369" i="4" s="1"/>
  <c r="AA369" i="4" s="1"/>
  <c r="AK5" i="4" s="1"/>
  <c r="Q27" i="9" l="1"/>
  <c r="Q28" i="9" s="1"/>
  <c r="F7" i="2"/>
  <c r="K7" i="2" s="1"/>
  <c r="G17" i="13"/>
  <c r="H17" i="13" s="1"/>
  <c r="I17" i="13" s="1"/>
  <c r="F18" i="13"/>
  <c r="Z3" i="4"/>
  <c r="AI5" i="4"/>
  <c r="AK6" i="4" s="1"/>
  <c r="AI6" i="4" s="1"/>
  <c r="AK7" i="4" s="1"/>
  <c r="AI7" i="4" s="1"/>
  <c r="AK8" i="4" s="1"/>
  <c r="AI8" i="4" s="1"/>
  <c r="AK9" i="4" s="1"/>
  <c r="AI9" i="4" s="1"/>
  <c r="AK10" i="4" s="1"/>
  <c r="AI10" i="4" s="1"/>
  <c r="AK11" i="4" s="1"/>
  <c r="AI11" i="4" s="1"/>
  <c r="AK12" i="4" s="1"/>
  <c r="AI12" i="4" s="1"/>
  <c r="AK13" i="4" s="1"/>
  <c r="AI13" i="4" s="1"/>
  <c r="AK14" i="4" s="1"/>
  <c r="AI14" i="4" s="1"/>
  <c r="AK15" i="4" s="1"/>
  <c r="AI15" i="4" s="1"/>
  <c r="AK16" i="4" s="1"/>
  <c r="AI16" i="4" s="1"/>
  <c r="AK17" i="4" s="1"/>
  <c r="AI17" i="4" s="1"/>
  <c r="AK18" i="4" s="1"/>
  <c r="AI18" i="4" s="1"/>
  <c r="AK19" i="4" s="1"/>
  <c r="AI19" i="4" s="1"/>
  <c r="AK20" i="4" s="1"/>
  <c r="AI20" i="4" s="1"/>
  <c r="AK21" i="4" s="1"/>
  <c r="AI21" i="4" s="1"/>
  <c r="AK22" i="4" s="1"/>
  <c r="AI22" i="4" s="1"/>
  <c r="AK23" i="4" s="1"/>
  <c r="AI23" i="4" s="1"/>
  <c r="AK24" i="4" s="1"/>
  <c r="AI24" i="4" s="1"/>
  <c r="AK25" i="4" s="1"/>
  <c r="AI25" i="4" s="1"/>
  <c r="AK26" i="4" s="1"/>
  <c r="AI26" i="4" s="1"/>
  <c r="AK27" i="4" s="1"/>
  <c r="AI27" i="4" s="1"/>
  <c r="AK28" i="4" s="1"/>
  <c r="AI28" i="4" s="1"/>
  <c r="AK29" i="4" s="1"/>
  <c r="AI29" i="4" s="1"/>
  <c r="AK30" i="4" s="1"/>
  <c r="AI30" i="4" s="1"/>
  <c r="AK31" i="4" s="1"/>
  <c r="AI31" i="4" s="1"/>
  <c r="AK32" i="4" s="1"/>
  <c r="AI32" i="4" s="1"/>
  <c r="AK33" i="4" s="1"/>
  <c r="AI33" i="4" s="1"/>
  <c r="AK34" i="4" s="1"/>
  <c r="AI34" i="4" s="1"/>
  <c r="AK35" i="4" s="1"/>
  <c r="AI35" i="4" s="1"/>
  <c r="AK36" i="4" s="1"/>
  <c r="AI36" i="4" s="1"/>
  <c r="AK37" i="4" s="1"/>
  <c r="AI37" i="4" s="1"/>
  <c r="AK38" i="4" s="1"/>
  <c r="AI38" i="4" s="1"/>
  <c r="AK39" i="4" s="1"/>
  <c r="AI39" i="4" s="1"/>
  <c r="AK40" i="4" s="1"/>
  <c r="AI40" i="4" s="1"/>
  <c r="AK41" i="4" s="1"/>
  <c r="AI41" i="4" s="1"/>
  <c r="AK42" i="4" s="1"/>
  <c r="AI42" i="4" s="1"/>
  <c r="AK43" i="4" s="1"/>
  <c r="AI43" i="4" s="1"/>
  <c r="AK44" i="4" s="1"/>
  <c r="AI44" i="4" s="1"/>
  <c r="AK45" i="4" s="1"/>
  <c r="AI45" i="4" s="1"/>
  <c r="AK46" i="4" s="1"/>
  <c r="AI46" i="4" s="1"/>
  <c r="AK47" i="4" s="1"/>
  <c r="AI47" i="4" s="1"/>
  <c r="AK48" i="4" s="1"/>
  <c r="AI48" i="4" s="1"/>
  <c r="AK49" i="4" s="1"/>
  <c r="AI49" i="4" s="1"/>
  <c r="AK50" i="4" s="1"/>
  <c r="AI50" i="4" s="1"/>
  <c r="AK51" i="4" s="1"/>
  <c r="AI51" i="4" s="1"/>
  <c r="AK52" i="4" s="1"/>
  <c r="AI52" i="4" s="1"/>
  <c r="AK53" i="4" s="1"/>
  <c r="AI53" i="4" s="1"/>
  <c r="AK54" i="4" s="1"/>
  <c r="AI54" i="4" s="1"/>
  <c r="AK55" i="4" s="1"/>
  <c r="AI55" i="4" s="1"/>
  <c r="AK56" i="4" s="1"/>
  <c r="AI56" i="4" s="1"/>
  <c r="AK57" i="4" s="1"/>
  <c r="AI57" i="4" s="1"/>
  <c r="AK58" i="4" s="1"/>
  <c r="AI58" i="4" s="1"/>
  <c r="AK59" i="4" s="1"/>
  <c r="AI59" i="4" s="1"/>
  <c r="AK60" i="4" s="1"/>
  <c r="AI60" i="4" s="1"/>
  <c r="AK61" i="4" s="1"/>
  <c r="AI61" i="4" s="1"/>
  <c r="AK62" i="4" s="1"/>
  <c r="AI62" i="4" s="1"/>
  <c r="AK63" i="4" s="1"/>
  <c r="AI63" i="4" s="1"/>
  <c r="AK64" i="4" s="1"/>
  <c r="AI64" i="4" s="1"/>
  <c r="AK65" i="4" s="1"/>
  <c r="AI65" i="4" s="1"/>
  <c r="AK66" i="4" s="1"/>
  <c r="AI66" i="4" s="1"/>
  <c r="AK67" i="4" s="1"/>
  <c r="AI67" i="4" s="1"/>
  <c r="AK68" i="4" s="1"/>
  <c r="AI68" i="4" s="1"/>
  <c r="AK69" i="4" s="1"/>
  <c r="AI69" i="4" s="1"/>
  <c r="AK70" i="4" s="1"/>
  <c r="AI70" i="4" s="1"/>
  <c r="AK71" i="4" s="1"/>
  <c r="AI71" i="4" s="1"/>
  <c r="AK72" i="4" s="1"/>
  <c r="AI72" i="4" s="1"/>
  <c r="AK73" i="4" s="1"/>
  <c r="AI73" i="4" s="1"/>
  <c r="AK74" i="4" s="1"/>
  <c r="AI74" i="4" s="1"/>
  <c r="AK75" i="4" s="1"/>
  <c r="AI75" i="4" s="1"/>
  <c r="AK76" i="4" s="1"/>
  <c r="AI76" i="4" s="1"/>
  <c r="AK77" i="4" s="1"/>
  <c r="AI77" i="4" s="1"/>
  <c r="AK78" i="4" s="1"/>
  <c r="AI78" i="4" s="1"/>
  <c r="AK79" i="4" s="1"/>
  <c r="AI79" i="4" s="1"/>
  <c r="AK80" i="4" s="1"/>
  <c r="AI80" i="4" s="1"/>
  <c r="AK81" i="4" s="1"/>
  <c r="AI81" i="4" s="1"/>
  <c r="AK82" i="4" s="1"/>
  <c r="AI82" i="4" s="1"/>
  <c r="AK83" i="4" s="1"/>
  <c r="AI83" i="4" s="1"/>
  <c r="AK84" i="4" s="1"/>
  <c r="AI84" i="4" s="1"/>
  <c r="AK85" i="4" s="1"/>
  <c r="AI85" i="4" s="1"/>
  <c r="AK86" i="4" s="1"/>
  <c r="AI86" i="4" s="1"/>
  <c r="AK87" i="4" s="1"/>
  <c r="AI87" i="4" s="1"/>
  <c r="AK88" i="4" s="1"/>
  <c r="AI88" i="4" s="1"/>
  <c r="AK89" i="4" s="1"/>
  <c r="AI89" i="4" s="1"/>
  <c r="AK90" i="4" s="1"/>
  <c r="AI90" i="4" s="1"/>
  <c r="AK91" i="4" s="1"/>
  <c r="AI91" i="4" s="1"/>
  <c r="AK92" i="4" s="1"/>
  <c r="AI92" i="4" s="1"/>
  <c r="AK93" i="4" s="1"/>
  <c r="AI93" i="4" s="1"/>
  <c r="AK94" i="4" s="1"/>
  <c r="AI94" i="4" s="1"/>
  <c r="AK95" i="4" s="1"/>
  <c r="AI95" i="4" s="1"/>
  <c r="AK96" i="4" s="1"/>
  <c r="AI96" i="4" s="1"/>
  <c r="AK97" i="4" s="1"/>
  <c r="AI97" i="4" s="1"/>
  <c r="AK98" i="4" s="1"/>
  <c r="AI98" i="4" s="1"/>
  <c r="AK99" i="4" s="1"/>
  <c r="AI99" i="4" s="1"/>
  <c r="AK100" i="4" s="1"/>
  <c r="AI100" i="4" s="1"/>
  <c r="AK101" i="4" s="1"/>
  <c r="AI101" i="4" s="1"/>
  <c r="AK102" i="4" s="1"/>
  <c r="AI102" i="4" s="1"/>
  <c r="AK103" i="4" s="1"/>
  <c r="AI103" i="4" s="1"/>
  <c r="AK104" i="4" s="1"/>
  <c r="AI104" i="4" s="1"/>
  <c r="AK105" i="4" s="1"/>
  <c r="AI105" i="4" s="1"/>
  <c r="AK106" i="4" s="1"/>
  <c r="AI106" i="4" s="1"/>
  <c r="AK107" i="4" s="1"/>
  <c r="AI107" i="4" s="1"/>
  <c r="AK108" i="4" s="1"/>
  <c r="AI108" i="4" s="1"/>
  <c r="AK109" i="4" s="1"/>
  <c r="AI109" i="4" s="1"/>
  <c r="AK110" i="4" s="1"/>
  <c r="AI110" i="4" s="1"/>
  <c r="AK111" i="4" s="1"/>
  <c r="AI111" i="4" s="1"/>
  <c r="AK112" i="4" s="1"/>
  <c r="AI112" i="4" s="1"/>
  <c r="AK113" i="4" s="1"/>
  <c r="AI113" i="4" s="1"/>
  <c r="AK114" i="4" s="1"/>
  <c r="AI114" i="4" s="1"/>
  <c r="AK115" i="4" s="1"/>
  <c r="AI115" i="4" s="1"/>
  <c r="AK116" i="4" s="1"/>
  <c r="AI116" i="4" s="1"/>
  <c r="AK117" i="4" s="1"/>
  <c r="AI117" i="4" s="1"/>
  <c r="AK118" i="4" s="1"/>
  <c r="AI118" i="4" s="1"/>
  <c r="AK119" i="4" s="1"/>
  <c r="AI119" i="4" s="1"/>
  <c r="AK120" i="4" s="1"/>
  <c r="AI120" i="4" s="1"/>
  <c r="AK121" i="4" s="1"/>
  <c r="AI121" i="4" s="1"/>
  <c r="AK122" i="4" s="1"/>
  <c r="AI122" i="4" s="1"/>
  <c r="AK123" i="4" s="1"/>
  <c r="AI123" i="4" s="1"/>
  <c r="AK124" i="4" s="1"/>
  <c r="AI124" i="4" s="1"/>
  <c r="AK125" i="4" s="1"/>
  <c r="AI125" i="4" s="1"/>
  <c r="AK126" i="4" s="1"/>
  <c r="AI126" i="4" s="1"/>
  <c r="AK127" i="4" s="1"/>
  <c r="AI127" i="4" s="1"/>
  <c r="AK128" i="4" s="1"/>
  <c r="AI128" i="4" s="1"/>
  <c r="AK129" i="4" s="1"/>
  <c r="AI129" i="4" s="1"/>
  <c r="AK130" i="4" s="1"/>
  <c r="AI130" i="4" s="1"/>
  <c r="AK131" i="4" s="1"/>
  <c r="AI131" i="4" s="1"/>
  <c r="AK132" i="4" s="1"/>
  <c r="AI132" i="4" s="1"/>
  <c r="AK133" i="4" s="1"/>
  <c r="AI133" i="4" s="1"/>
  <c r="AK134" i="4" s="1"/>
  <c r="AI134" i="4" s="1"/>
  <c r="AK135" i="4" s="1"/>
  <c r="AI135" i="4" s="1"/>
  <c r="AK136" i="4" s="1"/>
  <c r="AI136" i="4" s="1"/>
  <c r="AK137" i="4" s="1"/>
  <c r="AI137" i="4" s="1"/>
  <c r="AK138" i="4" s="1"/>
  <c r="AI138" i="4" s="1"/>
  <c r="AK139" i="4" s="1"/>
  <c r="AI139" i="4" s="1"/>
  <c r="AK140" i="4" s="1"/>
  <c r="AI140" i="4" s="1"/>
  <c r="AK141" i="4" s="1"/>
  <c r="AI141" i="4" s="1"/>
  <c r="AK142" i="4" s="1"/>
  <c r="AI142" i="4" s="1"/>
  <c r="AK143" i="4" s="1"/>
  <c r="AI143" i="4" s="1"/>
  <c r="AK144" i="4" s="1"/>
  <c r="AI144" i="4" s="1"/>
  <c r="AK145" i="4" s="1"/>
  <c r="AI145" i="4" s="1"/>
  <c r="AK146" i="4" s="1"/>
  <c r="AI146" i="4" s="1"/>
  <c r="AK147" i="4" s="1"/>
  <c r="AI147" i="4" s="1"/>
  <c r="AK148" i="4" s="1"/>
  <c r="AI148" i="4" s="1"/>
  <c r="AK149" i="4" s="1"/>
  <c r="AI149" i="4" s="1"/>
  <c r="AK150" i="4" s="1"/>
  <c r="AI150" i="4" s="1"/>
  <c r="AK151" i="4" s="1"/>
  <c r="AI151" i="4" s="1"/>
  <c r="AK152" i="4" s="1"/>
  <c r="AI152" i="4" s="1"/>
  <c r="AK153" i="4" s="1"/>
  <c r="AI153" i="4" s="1"/>
  <c r="AK154" i="4" s="1"/>
  <c r="AI154" i="4" s="1"/>
  <c r="AK155" i="4" s="1"/>
  <c r="AI155" i="4" s="1"/>
  <c r="AK156" i="4" s="1"/>
  <c r="AI156" i="4" s="1"/>
  <c r="AK157" i="4" s="1"/>
  <c r="AI157" i="4" s="1"/>
  <c r="AK158" i="4" s="1"/>
  <c r="AI158" i="4" s="1"/>
  <c r="AK159" i="4" s="1"/>
  <c r="AI159" i="4" s="1"/>
  <c r="AK160" i="4" s="1"/>
  <c r="AI160" i="4" s="1"/>
  <c r="AK161" i="4" s="1"/>
  <c r="AI161" i="4" s="1"/>
  <c r="AK162" i="4" s="1"/>
  <c r="AI162" i="4" s="1"/>
  <c r="AK163" i="4" s="1"/>
  <c r="AI163" i="4" s="1"/>
  <c r="AK164" i="4" s="1"/>
  <c r="AI164" i="4" s="1"/>
  <c r="AK165" i="4" s="1"/>
  <c r="AI165" i="4" s="1"/>
  <c r="AK166" i="4" s="1"/>
  <c r="AI166" i="4" s="1"/>
  <c r="AK167" i="4" s="1"/>
  <c r="AI167" i="4" s="1"/>
  <c r="AK168" i="4" s="1"/>
  <c r="AI168" i="4" s="1"/>
  <c r="AK169" i="4" s="1"/>
  <c r="AI169" i="4" s="1"/>
  <c r="AK170" i="4" s="1"/>
  <c r="AI170" i="4" s="1"/>
  <c r="AK171" i="4" s="1"/>
  <c r="AI171" i="4" s="1"/>
  <c r="AK172" i="4" s="1"/>
  <c r="AI172" i="4" s="1"/>
  <c r="AK173" i="4" s="1"/>
  <c r="AI173" i="4" s="1"/>
  <c r="AK174" i="4" s="1"/>
  <c r="AI174" i="4" s="1"/>
  <c r="AK175" i="4" s="1"/>
  <c r="AI175" i="4" s="1"/>
  <c r="AK176" i="4" s="1"/>
  <c r="AI176" i="4" s="1"/>
  <c r="AK177" i="4" s="1"/>
  <c r="AI177" i="4" s="1"/>
  <c r="AK178" i="4" s="1"/>
  <c r="AI178" i="4" s="1"/>
  <c r="AK179" i="4" s="1"/>
  <c r="AI179" i="4" s="1"/>
  <c r="AK180" i="4" s="1"/>
  <c r="AI180" i="4" s="1"/>
  <c r="AK181" i="4" s="1"/>
  <c r="AI181" i="4" s="1"/>
  <c r="AK182" i="4" s="1"/>
  <c r="AI182" i="4" s="1"/>
  <c r="AK183" i="4" s="1"/>
  <c r="AI183" i="4" s="1"/>
  <c r="AK184" i="4" s="1"/>
  <c r="AI184" i="4" s="1"/>
  <c r="AK185" i="4" s="1"/>
  <c r="AI185" i="4" s="1"/>
  <c r="AK186" i="4" s="1"/>
  <c r="AI186" i="4" s="1"/>
  <c r="AK187" i="4" s="1"/>
  <c r="AI187" i="4" s="1"/>
  <c r="AK188" i="4" s="1"/>
  <c r="AI188" i="4" s="1"/>
  <c r="AK189" i="4" s="1"/>
  <c r="AI189" i="4" s="1"/>
  <c r="AK190" i="4" s="1"/>
  <c r="AI190" i="4" s="1"/>
  <c r="AK191" i="4" s="1"/>
  <c r="AI191" i="4" s="1"/>
  <c r="AK192" i="4" s="1"/>
  <c r="AI192" i="4" s="1"/>
  <c r="AK193" i="4" s="1"/>
  <c r="AI193" i="4" s="1"/>
  <c r="AK194" i="4" s="1"/>
  <c r="AI194" i="4" s="1"/>
  <c r="AK195" i="4" s="1"/>
  <c r="AI195" i="4" s="1"/>
  <c r="AK196" i="4" s="1"/>
  <c r="AI196" i="4" s="1"/>
  <c r="AK197" i="4" s="1"/>
  <c r="AI197" i="4" s="1"/>
  <c r="AK198" i="4" s="1"/>
  <c r="AI198" i="4" s="1"/>
  <c r="AK199" i="4" s="1"/>
  <c r="AI199" i="4" s="1"/>
  <c r="AK200" i="4" s="1"/>
  <c r="AI200" i="4" s="1"/>
  <c r="AK201" i="4" s="1"/>
  <c r="AI201" i="4" s="1"/>
  <c r="AK202" i="4" s="1"/>
  <c r="AI202" i="4" s="1"/>
  <c r="AK203" i="4" s="1"/>
  <c r="AI203" i="4" s="1"/>
  <c r="AK204" i="4" s="1"/>
  <c r="AI204" i="4" s="1"/>
  <c r="AK205" i="4" s="1"/>
  <c r="AI205" i="4" s="1"/>
  <c r="AK206" i="4" s="1"/>
  <c r="AI206" i="4" s="1"/>
  <c r="AK207" i="4" s="1"/>
  <c r="AI207" i="4" s="1"/>
  <c r="AK208" i="4" s="1"/>
  <c r="AI208" i="4" s="1"/>
  <c r="AK209" i="4" s="1"/>
  <c r="AI209" i="4" s="1"/>
  <c r="AK210" i="4" s="1"/>
  <c r="AI210" i="4" s="1"/>
  <c r="AK211" i="4" s="1"/>
  <c r="AI211" i="4" s="1"/>
  <c r="AK212" i="4" s="1"/>
  <c r="AI212" i="4" s="1"/>
  <c r="AK213" i="4" s="1"/>
  <c r="AI213" i="4" s="1"/>
  <c r="AK214" i="4" s="1"/>
  <c r="AI214" i="4" s="1"/>
  <c r="AK215" i="4" s="1"/>
  <c r="AI215" i="4" s="1"/>
  <c r="AK216" i="4" s="1"/>
  <c r="AI216" i="4" s="1"/>
  <c r="AK217" i="4" s="1"/>
  <c r="AI217" i="4" s="1"/>
  <c r="AK218" i="4" s="1"/>
  <c r="AI218" i="4" s="1"/>
  <c r="AK219" i="4" s="1"/>
  <c r="AI219" i="4" s="1"/>
  <c r="AK220" i="4" s="1"/>
  <c r="AI220" i="4" s="1"/>
  <c r="AK221" i="4" s="1"/>
  <c r="AI221" i="4" s="1"/>
  <c r="AK222" i="4" s="1"/>
  <c r="AI222" i="4" s="1"/>
  <c r="AK223" i="4" s="1"/>
  <c r="AI223" i="4" s="1"/>
  <c r="AK224" i="4" s="1"/>
  <c r="AI224" i="4" s="1"/>
  <c r="AK225" i="4" s="1"/>
  <c r="AI225" i="4" s="1"/>
  <c r="AK226" i="4" s="1"/>
  <c r="AI226" i="4" s="1"/>
  <c r="AK227" i="4" s="1"/>
  <c r="AI227" i="4" s="1"/>
  <c r="AK228" i="4" s="1"/>
  <c r="AI228" i="4" s="1"/>
  <c r="AK229" i="4" s="1"/>
  <c r="AI229" i="4" s="1"/>
  <c r="AK230" i="4" s="1"/>
  <c r="AI230" i="4" s="1"/>
  <c r="AK231" i="4" s="1"/>
  <c r="AI231" i="4" s="1"/>
  <c r="AK232" i="4" s="1"/>
  <c r="AI232" i="4" s="1"/>
  <c r="AK233" i="4" s="1"/>
  <c r="AI233" i="4" s="1"/>
  <c r="AK234" i="4" s="1"/>
  <c r="AI234" i="4" s="1"/>
  <c r="AK235" i="4" s="1"/>
  <c r="AI235" i="4" s="1"/>
  <c r="AK236" i="4" s="1"/>
  <c r="AI236" i="4" s="1"/>
  <c r="AK237" i="4" s="1"/>
  <c r="AI237" i="4" s="1"/>
  <c r="AK238" i="4" s="1"/>
  <c r="AI238" i="4" s="1"/>
  <c r="AK239" i="4" s="1"/>
  <c r="AI239" i="4" s="1"/>
  <c r="AK240" i="4" s="1"/>
  <c r="AI240" i="4" s="1"/>
  <c r="AK241" i="4" s="1"/>
  <c r="AI241" i="4" s="1"/>
  <c r="AK242" i="4" s="1"/>
  <c r="AI242" i="4" s="1"/>
  <c r="AK243" i="4" s="1"/>
  <c r="AI243" i="4" s="1"/>
  <c r="AK244" i="4" s="1"/>
  <c r="AI244" i="4" s="1"/>
  <c r="AK245" i="4" s="1"/>
  <c r="AI245" i="4" s="1"/>
  <c r="AK246" i="4" s="1"/>
  <c r="AI246" i="4" s="1"/>
  <c r="AK247" i="4" s="1"/>
  <c r="AI247" i="4" s="1"/>
  <c r="AK248" i="4" s="1"/>
  <c r="AI248" i="4" s="1"/>
  <c r="AK249" i="4" s="1"/>
  <c r="AI249" i="4" s="1"/>
  <c r="AK250" i="4" s="1"/>
  <c r="AI250" i="4" s="1"/>
  <c r="AK251" i="4" s="1"/>
  <c r="AI251" i="4" s="1"/>
  <c r="AK252" i="4" s="1"/>
  <c r="AI252" i="4" s="1"/>
  <c r="AK253" i="4" s="1"/>
  <c r="AI253" i="4" s="1"/>
  <c r="AK254" i="4" s="1"/>
  <c r="AI254" i="4" s="1"/>
  <c r="AK255" i="4" s="1"/>
  <c r="AI255" i="4" s="1"/>
  <c r="AK256" i="4" s="1"/>
  <c r="AI256" i="4" s="1"/>
  <c r="AK257" i="4" s="1"/>
  <c r="AI257" i="4" s="1"/>
  <c r="AK258" i="4" s="1"/>
  <c r="AI258" i="4" s="1"/>
  <c r="AK259" i="4" s="1"/>
  <c r="AI259" i="4" s="1"/>
  <c r="AK260" i="4" s="1"/>
  <c r="AI260" i="4" s="1"/>
  <c r="AK261" i="4" s="1"/>
  <c r="AI261" i="4" s="1"/>
  <c r="AK262" i="4" s="1"/>
  <c r="AI262" i="4" s="1"/>
  <c r="AK263" i="4" s="1"/>
  <c r="AI263" i="4" s="1"/>
  <c r="AK264" i="4" s="1"/>
  <c r="AI264" i="4" s="1"/>
  <c r="AK265" i="4" s="1"/>
  <c r="AI265" i="4" s="1"/>
  <c r="AK266" i="4" s="1"/>
  <c r="AI266" i="4" s="1"/>
  <c r="AK267" i="4" s="1"/>
  <c r="AI267" i="4" s="1"/>
  <c r="AK268" i="4" s="1"/>
  <c r="AI268" i="4" s="1"/>
  <c r="AK269" i="4" s="1"/>
  <c r="AI269" i="4" s="1"/>
  <c r="AK270" i="4" s="1"/>
  <c r="AI270" i="4" s="1"/>
  <c r="AK271" i="4" s="1"/>
  <c r="AI271" i="4" s="1"/>
  <c r="AK272" i="4" s="1"/>
  <c r="AI272" i="4" s="1"/>
  <c r="AK273" i="4" s="1"/>
  <c r="AI273" i="4" s="1"/>
  <c r="AK274" i="4" s="1"/>
  <c r="AI274" i="4" s="1"/>
  <c r="AK275" i="4" s="1"/>
  <c r="AI275" i="4" s="1"/>
  <c r="AK276" i="4" s="1"/>
  <c r="AI276" i="4" s="1"/>
  <c r="AK277" i="4" s="1"/>
  <c r="AI277" i="4" s="1"/>
  <c r="AK278" i="4" s="1"/>
  <c r="AI278" i="4" s="1"/>
  <c r="AK279" i="4" s="1"/>
  <c r="AI279" i="4" s="1"/>
  <c r="AK280" i="4" s="1"/>
  <c r="AI280" i="4" s="1"/>
  <c r="AK281" i="4" s="1"/>
  <c r="AI281" i="4" s="1"/>
  <c r="AK282" i="4" s="1"/>
  <c r="AI282" i="4" s="1"/>
  <c r="AK283" i="4" s="1"/>
  <c r="AI283" i="4" s="1"/>
  <c r="AK284" i="4" s="1"/>
  <c r="AI284" i="4" s="1"/>
  <c r="AK285" i="4" s="1"/>
  <c r="AI285" i="4" s="1"/>
  <c r="AK286" i="4" s="1"/>
  <c r="AI286" i="4" s="1"/>
  <c r="AK287" i="4" s="1"/>
  <c r="AI287" i="4" s="1"/>
  <c r="AK288" i="4" s="1"/>
  <c r="AI288" i="4" s="1"/>
  <c r="AK289" i="4" s="1"/>
  <c r="AI289" i="4" s="1"/>
  <c r="AK290" i="4" s="1"/>
  <c r="AI290" i="4" s="1"/>
  <c r="AK291" i="4" s="1"/>
  <c r="AI291" i="4" s="1"/>
  <c r="AK292" i="4" s="1"/>
  <c r="AI292" i="4" s="1"/>
  <c r="AK293" i="4" s="1"/>
  <c r="AI293" i="4" s="1"/>
  <c r="AK294" i="4" s="1"/>
  <c r="AI294" i="4" s="1"/>
  <c r="AK295" i="4" s="1"/>
  <c r="AI295" i="4" s="1"/>
  <c r="AK296" i="4" s="1"/>
  <c r="AI296" i="4" s="1"/>
  <c r="AK297" i="4" s="1"/>
  <c r="AI297" i="4" s="1"/>
  <c r="AK298" i="4" s="1"/>
  <c r="AI298" i="4" s="1"/>
  <c r="AK299" i="4" s="1"/>
  <c r="AI299" i="4" s="1"/>
  <c r="AK300" i="4" s="1"/>
  <c r="AI300" i="4" s="1"/>
  <c r="AK301" i="4" s="1"/>
  <c r="AI301" i="4" s="1"/>
  <c r="AK302" i="4" s="1"/>
  <c r="AI302" i="4" s="1"/>
  <c r="AK303" i="4" s="1"/>
  <c r="AI303" i="4" s="1"/>
  <c r="AK304" i="4" s="1"/>
  <c r="AI304" i="4" s="1"/>
  <c r="AK305" i="4" s="1"/>
  <c r="AI305" i="4" s="1"/>
  <c r="AK306" i="4" s="1"/>
  <c r="AI306" i="4" s="1"/>
  <c r="AK307" i="4" s="1"/>
  <c r="AI307" i="4" s="1"/>
  <c r="AK308" i="4" s="1"/>
  <c r="AI308" i="4" s="1"/>
  <c r="AK309" i="4" s="1"/>
  <c r="AI309" i="4" s="1"/>
  <c r="AK310" i="4" s="1"/>
  <c r="AI310" i="4" s="1"/>
  <c r="AK311" i="4" s="1"/>
  <c r="AI311" i="4" s="1"/>
  <c r="AK312" i="4" s="1"/>
  <c r="AI312" i="4" s="1"/>
  <c r="AK313" i="4" s="1"/>
  <c r="AI313" i="4" s="1"/>
  <c r="AK314" i="4" s="1"/>
  <c r="AI314" i="4" s="1"/>
  <c r="AK315" i="4" s="1"/>
  <c r="AI315" i="4" s="1"/>
  <c r="AK316" i="4" s="1"/>
  <c r="AI316" i="4" s="1"/>
  <c r="AK317" i="4" s="1"/>
  <c r="AI317" i="4" s="1"/>
  <c r="AK318" i="4" s="1"/>
  <c r="AI318" i="4" s="1"/>
  <c r="AK319" i="4" s="1"/>
  <c r="AI319" i="4" s="1"/>
  <c r="AK320" i="4" s="1"/>
  <c r="AI320" i="4" s="1"/>
  <c r="AK321" i="4" s="1"/>
  <c r="AI321" i="4" s="1"/>
  <c r="AK322" i="4" s="1"/>
  <c r="AI322" i="4" s="1"/>
  <c r="AK323" i="4" s="1"/>
  <c r="AI323" i="4" s="1"/>
  <c r="AK324" i="4" s="1"/>
  <c r="AI324" i="4" s="1"/>
  <c r="AK325" i="4" s="1"/>
  <c r="AI325" i="4" s="1"/>
  <c r="AK326" i="4" s="1"/>
  <c r="AI326" i="4" s="1"/>
  <c r="AK327" i="4" s="1"/>
  <c r="AI327" i="4" s="1"/>
  <c r="AK328" i="4" s="1"/>
  <c r="AI328" i="4" s="1"/>
  <c r="AK329" i="4" s="1"/>
  <c r="AI329" i="4" s="1"/>
  <c r="AK330" i="4" s="1"/>
  <c r="AI330" i="4" s="1"/>
  <c r="AK331" i="4" s="1"/>
  <c r="AI331" i="4" s="1"/>
  <c r="AK332" i="4" s="1"/>
  <c r="AI332" i="4" s="1"/>
  <c r="AK333" i="4" s="1"/>
  <c r="AI333" i="4" s="1"/>
  <c r="AK334" i="4" s="1"/>
  <c r="AI334" i="4" s="1"/>
  <c r="AK335" i="4" s="1"/>
  <c r="AI335" i="4" s="1"/>
  <c r="AK336" i="4" s="1"/>
  <c r="AI336" i="4" s="1"/>
  <c r="AK337" i="4" s="1"/>
  <c r="AI337" i="4" s="1"/>
  <c r="AK338" i="4" s="1"/>
  <c r="AI338" i="4" s="1"/>
  <c r="AK339" i="4" s="1"/>
  <c r="AI339" i="4" s="1"/>
  <c r="AK340" i="4" s="1"/>
  <c r="AI340" i="4" s="1"/>
  <c r="AK341" i="4" s="1"/>
  <c r="AI341" i="4" s="1"/>
  <c r="AK342" i="4" s="1"/>
  <c r="AI342" i="4" s="1"/>
  <c r="AK343" i="4" s="1"/>
  <c r="AI343" i="4" s="1"/>
  <c r="AK344" i="4" s="1"/>
  <c r="AI344" i="4" s="1"/>
  <c r="AK345" i="4" s="1"/>
  <c r="AI345" i="4" s="1"/>
  <c r="AK346" i="4" s="1"/>
  <c r="AI346" i="4" s="1"/>
  <c r="AK347" i="4" s="1"/>
  <c r="AI347" i="4" s="1"/>
  <c r="AK348" i="4" s="1"/>
  <c r="AI348" i="4" s="1"/>
  <c r="AK349" i="4" s="1"/>
  <c r="AI349" i="4" s="1"/>
  <c r="AK350" i="4" s="1"/>
  <c r="AI350" i="4" s="1"/>
  <c r="AK351" i="4" s="1"/>
  <c r="AI351" i="4" s="1"/>
  <c r="AK352" i="4" s="1"/>
  <c r="AI352" i="4" s="1"/>
  <c r="AK353" i="4" s="1"/>
  <c r="AI353" i="4" s="1"/>
  <c r="AK354" i="4" s="1"/>
  <c r="AI354" i="4" s="1"/>
  <c r="AK355" i="4" s="1"/>
  <c r="AI355" i="4" s="1"/>
  <c r="AK356" i="4" s="1"/>
  <c r="AI356" i="4" s="1"/>
  <c r="AK357" i="4" s="1"/>
  <c r="AI357" i="4" s="1"/>
  <c r="AK358" i="4" s="1"/>
  <c r="AI358" i="4" s="1"/>
  <c r="AK359" i="4" s="1"/>
  <c r="AI359" i="4" s="1"/>
  <c r="AK360" i="4" s="1"/>
  <c r="AI360" i="4" s="1"/>
  <c r="AK361" i="4" s="1"/>
  <c r="AI361" i="4" s="1"/>
  <c r="AK362" i="4" s="1"/>
  <c r="AI362" i="4" s="1"/>
  <c r="AK363" i="4" s="1"/>
  <c r="AI363" i="4" s="1"/>
  <c r="AK364" i="4" s="1"/>
  <c r="AI364" i="4" s="1"/>
  <c r="AK365" i="4" s="1"/>
  <c r="AI365" i="4" s="1"/>
  <c r="AK366" i="4" s="1"/>
  <c r="AI366" i="4" s="1"/>
  <c r="AK367" i="4" s="1"/>
  <c r="AI367" i="4" s="1"/>
  <c r="AK368" i="4" s="1"/>
  <c r="AI368" i="4" s="1"/>
  <c r="AK369" i="4" s="1"/>
  <c r="AI369" i="4" s="1"/>
  <c r="AS5" i="4" s="1"/>
  <c r="F9" i="2" l="1"/>
  <c r="K9" i="2" s="1"/>
  <c r="J9" i="2" s="1"/>
  <c r="J7" i="2"/>
  <c r="AQ5" i="4"/>
  <c r="AS6" i="4" s="1"/>
  <c r="AQ6" i="4" s="1"/>
  <c r="AS7" i="4" s="1"/>
  <c r="AQ7" i="4" s="1"/>
  <c r="AS8" i="4" s="1"/>
  <c r="AQ8" i="4" s="1"/>
  <c r="AS9" i="4" s="1"/>
  <c r="AQ9" i="4" s="1"/>
  <c r="AS10" i="4" s="1"/>
  <c r="AQ10" i="4" s="1"/>
  <c r="AS11" i="4" s="1"/>
  <c r="AQ11" i="4" s="1"/>
  <c r="AS12" i="4" s="1"/>
  <c r="AQ12" i="4" s="1"/>
  <c r="AS13" i="4" s="1"/>
  <c r="AQ13" i="4" s="1"/>
  <c r="AS14" i="4" s="1"/>
  <c r="AQ14" i="4" s="1"/>
  <c r="AS15" i="4" s="1"/>
  <c r="AQ15" i="4" s="1"/>
  <c r="AS16" i="4" s="1"/>
  <c r="AQ16" i="4" s="1"/>
  <c r="AS17" i="4" s="1"/>
  <c r="AQ17" i="4" s="1"/>
  <c r="AS18" i="4" s="1"/>
  <c r="AQ18" i="4" s="1"/>
  <c r="AS19" i="4" s="1"/>
  <c r="AQ19" i="4" s="1"/>
  <c r="AS20" i="4" s="1"/>
  <c r="AQ20" i="4" s="1"/>
  <c r="AS21" i="4" s="1"/>
  <c r="AQ21" i="4" s="1"/>
  <c r="AS22" i="4" s="1"/>
  <c r="AQ22" i="4" s="1"/>
  <c r="AS23" i="4" s="1"/>
  <c r="AQ23" i="4" s="1"/>
  <c r="AS24" i="4" s="1"/>
  <c r="AQ24" i="4" s="1"/>
  <c r="AS25" i="4" s="1"/>
  <c r="AQ25" i="4" s="1"/>
  <c r="AS26" i="4" s="1"/>
  <c r="AQ26" i="4" s="1"/>
  <c r="AS27" i="4" s="1"/>
  <c r="AQ27" i="4" s="1"/>
  <c r="AS28" i="4" s="1"/>
  <c r="AQ28" i="4" s="1"/>
  <c r="AS29" i="4" s="1"/>
  <c r="AQ29" i="4" s="1"/>
  <c r="AS30" i="4" s="1"/>
  <c r="AQ30" i="4" s="1"/>
  <c r="AS31" i="4" s="1"/>
  <c r="AQ31" i="4" s="1"/>
  <c r="AS32" i="4" s="1"/>
  <c r="AQ32" i="4" s="1"/>
  <c r="AS33" i="4" s="1"/>
  <c r="AQ33" i="4" s="1"/>
  <c r="AS34" i="4" s="1"/>
  <c r="AQ34" i="4" s="1"/>
  <c r="AS35" i="4" s="1"/>
  <c r="AQ35" i="4" s="1"/>
  <c r="AS36" i="4" s="1"/>
  <c r="AQ36" i="4" s="1"/>
  <c r="AS37" i="4" s="1"/>
  <c r="AQ37" i="4" s="1"/>
  <c r="AS38" i="4" s="1"/>
  <c r="AQ38" i="4" s="1"/>
  <c r="AS39" i="4" s="1"/>
  <c r="AQ39" i="4" s="1"/>
  <c r="AS40" i="4" s="1"/>
  <c r="AQ40" i="4" s="1"/>
  <c r="AS41" i="4" s="1"/>
  <c r="AQ41" i="4" s="1"/>
  <c r="AS42" i="4" s="1"/>
  <c r="AQ42" i="4" s="1"/>
  <c r="AS43" i="4" s="1"/>
  <c r="AQ43" i="4" s="1"/>
  <c r="AS44" i="4" s="1"/>
  <c r="AQ44" i="4" s="1"/>
  <c r="AS45" i="4" s="1"/>
  <c r="AQ45" i="4" s="1"/>
  <c r="AS46" i="4" s="1"/>
  <c r="AQ46" i="4" s="1"/>
  <c r="AS47" i="4" s="1"/>
  <c r="AQ47" i="4" s="1"/>
  <c r="AS48" i="4" s="1"/>
  <c r="AQ48" i="4" s="1"/>
  <c r="AS49" i="4" s="1"/>
  <c r="AQ49" i="4" s="1"/>
  <c r="AS50" i="4" s="1"/>
  <c r="AQ50" i="4" s="1"/>
  <c r="AS51" i="4" s="1"/>
  <c r="AQ51" i="4" s="1"/>
  <c r="AS52" i="4" s="1"/>
  <c r="AQ52" i="4" s="1"/>
  <c r="AS53" i="4" s="1"/>
  <c r="AQ53" i="4" s="1"/>
  <c r="AS54" i="4" s="1"/>
  <c r="AQ54" i="4" s="1"/>
  <c r="AS55" i="4" s="1"/>
  <c r="AQ55" i="4" s="1"/>
  <c r="AS56" i="4" s="1"/>
  <c r="AQ56" i="4" s="1"/>
  <c r="AS57" i="4" s="1"/>
  <c r="AQ57" i="4" s="1"/>
  <c r="AS58" i="4" s="1"/>
  <c r="AQ58" i="4" s="1"/>
  <c r="AS59" i="4" s="1"/>
  <c r="AQ59" i="4" s="1"/>
  <c r="AS60" i="4" s="1"/>
  <c r="AQ60" i="4" s="1"/>
  <c r="AS61" i="4" s="1"/>
  <c r="AQ61" i="4" s="1"/>
  <c r="AS62" i="4" s="1"/>
  <c r="AQ62" i="4" s="1"/>
  <c r="AS63" i="4" s="1"/>
  <c r="AQ63" i="4" s="1"/>
  <c r="AS64" i="4" s="1"/>
  <c r="AQ64" i="4" s="1"/>
  <c r="AS65" i="4" s="1"/>
  <c r="AQ65" i="4" s="1"/>
  <c r="AS66" i="4" s="1"/>
  <c r="AQ66" i="4" s="1"/>
  <c r="AS67" i="4" s="1"/>
  <c r="AQ67" i="4" s="1"/>
  <c r="AS68" i="4" s="1"/>
  <c r="AQ68" i="4" s="1"/>
  <c r="AS69" i="4" s="1"/>
  <c r="AQ69" i="4" s="1"/>
  <c r="AS70" i="4" s="1"/>
  <c r="AQ70" i="4" s="1"/>
  <c r="AS71" i="4" s="1"/>
  <c r="AQ71" i="4" s="1"/>
  <c r="AS72" i="4" s="1"/>
  <c r="AQ72" i="4" s="1"/>
  <c r="AS73" i="4" s="1"/>
  <c r="AQ73" i="4" s="1"/>
  <c r="AS74" i="4" s="1"/>
  <c r="AQ74" i="4" s="1"/>
  <c r="AS75" i="4" s="1"/>
  <c r="AQ75" i="4" s="1"/>
  <c r="AS76" i="4" s="1"/>
  <c r="AQ76" i="4" s="1"/>
  <c r="AS77" i="4" s="1"/>
  <c r="AQ77" i="4" s="1"/>
  <c r="AS78" i="4" s="1"/>
  <c r="AQ78" i="4" s="1"/>
  <c r="AS79" i="4" s="1"/>
  <c r="AQ79" i="4" s="1"/>
  <c r="AS80" i="4" s="1"/>
  <c r="AQ80" i="4" s="1"/>
  <c r="AS81" i="4" s="1"/>
  <c r="AQ81" i="4" s="1"/>
  <c r="AS82" i="4" s="1"/>
  <c r="AQ82" i="4" s="1"/>
  <c r="AS83" i="4" s="1"/>
  <c r="AQ83" i="4" s="1"/>
  <c r="AS84" i="4" s="1"/>
  <c r="AQ84" i="4" s="1"/>
  <c r="AS85" i="4" s="1"/>
  <c r="AQ85" i="4" s="1"/>
  <c r="AS86" i="4" s="1"/>
  <c r="AQ86" i="4" s="1"/>
  <c r="AS87" i="4" s="1"/>
  <c r="AQ87" i="4" s="1"/>
  <c r="AS88" i="4" s="1"/>
  <c r="AQ88" i="4" s="1"/>
  <c r="AS89" i="4" s="1"/>
  <c r="AQ89" i="4" s="1"/>
  <c r="AS90" i="4" s="1"/>
  <c r="AQ90" i="4" s="1"/>
  <c r="AS91" i="4" s="1"/>
  <c r="AQ91" i="4" s="1"/>
  <c r="AS92" i="4" s="1"/>
  <c r="AQ92" i="4" s="1"/>
  <c r="AS93" i="4" s="1"/>
  <c r="AQ93" i="4" s="1"/>
  <c r="AS94" i="4" s="1"/>
  <c r="AQ94" i="4" s="1"/>
  <c r="AS95" i="4" s="1"/>
  <c r="AQ95" i="4" s="1"/>
  <c r="AS96" i="4" s="1"/>
  <c r="AQ96" i="4" s="1"/>
  <c r="AS97" i="4" s="1"/>
  <c r="AQ97" i="4" s="1"/>
  <c r="AS98" i="4" s="1"/>
  <c r="AQ98" i="4" s="1"/>
  <c r="AS99" i="4" s="1"/>
  <c r="AQ99" i="4" s="1"/>
  <c r="AS100" i="4" s="1"/>
  <c r="AQ100" i="4" s="1"/>
  <c r="AS101" i="4" s="1"/>
  <c r="AQ101" i="4" s="1"/>
  <c r="AS102" i="4" s="1"/>
  <c r="AQ102" i="4" s="1"/>
  <c r="AS103" i="4" s="1"/>
  <c r="AQ103" i="4" s="1"/>
  <c r="AS104" i="4" s="1"/>
  <c r="AQ104" i="4" s="1"/>
  <c r="AS105" i="4" s="1"/>
  <c r="AQ105" i="4" s="1"/>
  <c r="AS106" i="4" s="1"/>
  <c r="AQ106" i="4" s="1"/>
  <c r="AS107" i="4" s="1"/>
  <c r="AQ107" i="4" s="1"/>
  <c r="AS108" i="4" s="1"/>
  <c r="AQ108" i="4" s="1"/>
  <c r="AS109" i="4" s="1"/>
  <c r="AQ109" i="4" s="1"/>
  <c r="AS110" i="4" s="1"/>
  <c r="AQ110" i="4" s="1"/>
  <c r="AS111" i="4" s="1"/>
  <c r="AQ111" i="4" s="1"/>
  <c r="AS112" i="4" s="1"/>
  <c r="AQ112" i="4" s="1"/>
  <c r="AS113" i="4" s="1"/>
  <c r="AQ113" i="4" s="1"/>
  <c r="AS114" i="4" s="1"/>
  <c r="AQ114" i="4" s="1"/>
  <c r="AS115" i="4" s="1"/>
  <c r="AQ115" i="4" s="1"/>
  <c r="AS116" i="4" s="1"/>
  <c r="AQ116" i="4" s="1"/>
  <c r="AS117" i="4" s="1"/>
  <c r="AQ117" i="4" s="1"/>
  <c r="AS118" i="4" s="1"/>
  <c r="AQ118" i="4" s="1"/>
  <c r="AS119" i="4" s="1"/>
  <c r="AQ119" i="4" s="1"/>
  <c r="AS120" i="4" s="1"/>
  <c r="AQ120" i="4" s="1"/>
  <c r="AS121" i="4" s="1"/>
  <c r="AQ121" i="4" s="1"/>
  <c r="AS122" i="4" s="1"/>
  <c r="AQ122" i="4" s="1"/>
  <c r="AS123" i="4" s="1"/>
  <c r="AQ123" i="4" s="1"/>
  <c r="AS124" i="4" s="1"/>
  <c r="AQ124" i="4" s="1"/>
  <c r="AS125" i="4" s="1"/>
  <c r="AQ125" i="4" s="1"/>
  <c r="AS126" i="4" s="1"/>
  <c r="AQ126" i="4" s="1"/>
  <c r="AS127" i="4" s="1"/>
  <c r="AQ127" i="4" s="1"/>
  <c r="AS128" i="4" s="1"/>
  <c r="AQ128" i="4" s="1"/>
  <c r="AS129" i="4" s="1"/>
  <c r="AQ129" i="4" s="1"/>
  <c r="AS130" i="4" s="1"/>
  <c r="AQ130" i="4" s="1"/>
  <c r="AS131" i="4" s="1"/>
  <c r="AQ131" i="4" s="1"/>
  <c r="AS132" i="4" s="1"/>
  <c r="AQ132" i="4" s="1"/>
  <c r="AS133" i="4" s="1"/>
  <c r="AQ133" i="4" s="1"/>
  <c r="AS134" i="4" s="1"/>
  <c r="AQ134" i="4" s="1"/>
  <c r="AS135" i="4" s="1"/>
  <c r="AQ135" i="4" s="1"/>
  <c r="AS136" i="4" s="1"/>
  <c r="AQ136" i="4" s="1"/>
  <c r="AS137" i="4" s="1"/>
  <c r="AQ137" i="4" s="1"/>
  <c r="AS138" i="4" s="1"/>
  <c r="AQ138" i="4" s="1"/>
  <c r="AS139" i="4" s="1"/>
  <c r="AQ139" i="4" s="1"/>
  <c r="AS140" i="4" s="1"/>
  <c r="AQ140" i="4" s="1"/>
  <c r="AS141" i="4" s="1"/>
  <c r="AQ141" i="4" s="1"/>
  <c r="AS142" i="4" s="1"/>
  <c r="AQ142" i="4" s="1"/>
  <c r="AS143" i="4" s="1"/>
  <c r="AQ143" i="4" s="1"/>
  <c r="AS144" i="4" s="1"/>
  <c r="AQ144" i="4" s="1"/>
  <c r="AS145" i="4" s="1"/>
  <c r="AQ145" i="4" s="1"/>
  <c r="AS146" i="4" s="1"/>
  <c r="AQ146" i="4" s="1"/>
  <c r="AS147" i="4" s="1"/>
  <c r="AQ147" i="4" s="1"/>
  <c r="AS148" i="4" s="1"/>
  <c r="AQ148" i="4" s="1"/>
  <c r="AS149" i="4" s="1"/>
  <c r="AQ149" i="4" s="1"/>
  <c r="AS150" i="4" s="1"/>
  <c r="AQ150" i="4" s="1"/>
  <c r="AS151" i="4" s="1"/>
  <c r="AQ151" i="4" s="1"/>
  <c r="AS152" i="4" s="1"/>
  <c r="AQ152" i="4" s="1"/>
  <c r="AS153" i="4" s="1"/>
  <c r="AQ153" i="4" s="1"/>
  <c r="AS154" i="4" s="1"/>
  <c r="AQ154" i="4" s="1"/>
  <c r="AS155" i="4" s="1"/>
  <c r="AQ155" i="4" s="1"/>
  <c r="AS156" i="4" s="1"/>
  <c r="AQ156" i="4" s="1"/>
  <c r="AS157" i="4" s="1"/>
  <c r="AQ157" i="4" s="1"/>
  <c r="AS158" i="4" s="1"/>
  <c r="AQ158" i="4" s="1"/>
  <c r="AS159" i="4" s="1"/>
  <c r="AQ159" i="4" s="1"/>
  <c r="AS160" i="4" s="1"/>
  <c r="AQ160" i="4" s="1"/>
  <c r="AS161" i="4" s="1"/>
  <c r="AQ161" i="4" s="1"/>
  <c r="AS162" i="4" s="1"/>
  <c r="AQ162" i="4" s="1"/>
  <c r="AS163" i="4" s="1"/>
  <c r="AQ163" i="4" s="1"/>
  <c r="AS164" i="4" s="1"/>
  <c r="AQ164" i="4" s="1"/>
  <c r="AS165" i="4" s="1"/>
  <c r="AQ165" i="4" s="1"/>
  <c r="AS166" i="4" s="1"/>
  <c r="AQ166" i="4" s="1"/>
  <c r="AS167" i="4" s="1"/>
  <c r="AQ167" i="4" s="1"/>
  <c r="AS168" i="4" s="1"/>
  <c r="AQ168" i="4" s="1"/>
  <c r="AS169" i="4" s="1"/>
  <c r="AQ169" i="4" s="1"/>
  <c r="AS170" i="4" s="1"/>
  <c r="AQ170" i="4" s="1"/>
  <c r="AS171" i="4" s="1"/>
  <c r="AQ171" i="4" s="1"/>
  <c r="AS172" i="4" s="1"/>
  <c r="AQ172" i="4" s="1"/>
  <c r="AS173" i="4" s="1"/>
  <c r="AQ173" i="4" s="1"/>
  <c r="AS174" i="4" s="1"/>
  <c r="AQ174" i="4" s="1"/>
  <c r="AS175" i="4" s="1"/>
  <c r="AQ175" i="4" s="1"/>
  <c r="AS176" i="4" s="1"/>
  <c r="AQ176" i="4" s="1"/>
  <c r="AS177" i="4" s="1"/>
  <c r="AQ177" i="4" s="1"/>
  <c r="AS178" i="4" s="1"/>
  <c r="AQ178" i="4" s="1"/>
  <c r="AS179" i="4" s="1"/>
  <c r="AQ179" i="4" s="1"/>
  <c r="AS180" i="4" s="1"/>
  <c r="AQ180" i="4" s="1"/>
  <c r="AS181" i="4" s="1"/>
  <c r="AQ181" i="4" s="1"/>
  <c r="AS182" i="4" s="1"/>
  <c r="AQ182" i="4" s="1"/>
  <c r="AS183" i="4" s="1"/>
  <c r="AQ183" i="4" s="1"/>
  <c r="AS184" i="4" s="1"/>
  <c r="AQ184" i="4" s="1"/>
  <c r="AS185" i="4" s="1"/>
  <c r="AQ185" i="4" s="1"/>
  <c r="AS186" i="4" s="1"/>
  <c r="AQ186" i="4" s="1"/>
  <c r="AS187" i="4" s="1"/>
  <c r="AQ187" i="4" s="1"/>
  <c r="AS188" i="4" s="1"/>
  <c r="AQ188" i="4" s="1"/>
  <c r="AS189" i="4" s="1"/>
  <c r="AQ189" i="4" s="1"/>
  <c r="AS190" i="4" s="1"/>
  <c r="AQ190" i="4" s="1"/>
  <c r="AS191" i="4" s="1"/>
  <c r="AQ191" i="4" s="1"/>
  <c r="AS192" i="4" s="1"/>
  <c r="AQ192" i="4" s="1"/>
  <c r="AS193" i="4" s="1"/>
  <c r="AQ193" i="4" s="1"/>
  <c r="AS194" i="4" s="1"/>
  <c r="AQ194" i="4" s="1"/>
  <c r="AS195" i="4" s="1"/>
  <c r="AQ195" i="4" s="1"/>
  <c r="AS196" i="4" s="1"/>
  <c r="AQ196" i="4" s="1"/>
  <c r="AS197" i="4" s="1"/>
  <c r="AQ197" i="4" s="1"/>
  <c r="AS198" i="4" s="1"/>
  <c r="AQ198" i="4" s="1"/>
  <c r="AS199" i="4" s="1"/>
  <c r="AQ199" i="4" s="1"/>
  <c r="AS200" i="4" s="1"/>
  <c r="AQ200" i="4" s="1"/>
  <c r="AS201" i="4" s="1"/>
  <c r="AQ201" i="4" s="1"/>
  <c r="AS202" i="4" s="1"/>
  <c r="AQ202" i="4" s="1"/>
  <c r="AS203" i="4" s="1"/>
  <c r="AQ203" i="4" s="1"/>
  <c r="AS204" i="4" s="1"/>
  <c r="AQ204" i="4" s="1"/>
  <c r="AS205" i="4" s="1"/>
  <c r="AQ205" i="4" s="1"/>
  <c r="AS206" i="4" s="1"/>
  <c r="AQ206" i="4" s="1"/>
  <c r="AS207" i="4" s="1"/>
  <c r="AQ207" i="4" s="1"/>
  <c r="AS208" i="4" s="1"/>
  <c r="AQ208" i="4" s="1"/>
  <c r="AS209" i="4" s="1"/>
  <c r="AQ209" i="4" s="1"/>
  <c r="AS210" i="4" s="1"/>
  <c r="AQ210" i="4" s="1"/>
  <c r="AS211" i="4" s="1"/>
  <c r="AQ211" i="4" s="1"/>
  <c r="AS212" i="4" s="1"/>
  <c r="AQ212" i="4" s="1"/>
  <c r="AS213" i="4" s="1"/>
  <c r="AQ213" i="4" s="1"/>
  <c r="AS214" i="4" s="1"/>
  <c r="AQ214" i="4" s="1"/>
  <c r="AS215" i="4" s="1"/>
  <c r="AQ215" i="4" s="1"/>
  <c r="AS216" i="4" s="1"/>
  <c r="AQ216" i="4" s="1"/>
  <c r="AS217" i="4" s="1"/>
  <c r="AQ217" i="4" s="1"/>
  <c r="AS218" i="4" s="1"/>
  <c r="AQ218" i="4" s="1"/>
  <c r="AS219" i="4" s="1"/>
  <c r="AQ219" i="4" s="1"/>
  <c r="AS220" i="4" s="1"/>
  <c r="AQ220" i="4" s="1"/>
  <c r="AS221" i="4" s="1"/>
  <c r="AQ221" i="4" s="1"/>
  <c r="AS222" i="4" s="1"/>
  <c r="AQ222" i="4" s="1"/>
  <c r="AS223" i="4" s="1"/>
  <c r="AQ223" i="4" s="1"/>
  <c r="AS224" i="4" s="1"/>
  <c r="AQ224" i="4" s="1"/>
  <c r="AS225" i="4" s="1"/>
  <c r="AQ225" i="4" s="1"/>
  <c r="AS226" i="4" s="1"/>
  <c r="AQ226" i="4" s="1"/>
  <c r="AS227" i="4" s="1"/>
  <c r="AQ227" i="4" s="1"/>
  <c r="AS228" i="4" s="1"/>
  <c r="AQ228" i="4" s="1"/>
  <c r="AS229" i="4" s="1"/>
  <c r="AQ229" i="4" s="1"/>
  <c r="AS230" i="4" s="1"/>
  <c r="AQ230" i="4" s="1"/>
  <c r="AS231" i="4" s="1"/>
  <c r="AQ231" i="4" s="1"/>
  <c r="AS232" i="4" s="1"/>
  <c r="AQ232" i="4" s="1"/>
  <c r="AS233" i="4" s="1"/>
  <c r="AQ233" i="4" s="1"/>
  <c r="AS234" i="4" s="1"/>
  <c r="AQ234" i="4" s="1"/>
  <c r="AS235" i="4" s="1"/>
  <c r="AQ235" i="4" s="1"/>
  <c r="AS236" i="4" s="1"/>
  <c r="AQ236" i="4" s="1"/>
  <c r="AS237" i="4" s="1"/>
  <c r="AQ237" i="4" s="1"/>
  <c r="AS238" i="4" s="1"/>
  <c r="AQ238" i="4" s="1"/>
  <c r="AS239" i="4" s="1"/>
  <c r="AQ239" i="4" s="1"/>
  <c r="AS240" i="4" s="1"/>
  <c r="AQ240" i="4" s="1"/>
  <c r="AS241" i="4" s="1"/>
  <c r="AQ241" i="4" s="1"/>
  <c r="AS242" i="4" s="1"/>
  <c r="AQ242" i="4" s="1"/>
  <c r="AS243" i="4" s="1"/>
  <c r="AQ243" i="4" s="1"/>
  <c r="AS244" i="4" s="1"/>
  <c r="AQ244" i="4" s="1"/>
  <c r="AS245" i="4" s="1"/>
  <c r="AQ245" i="4" s="1"/>
  <c r="AS246" i="4" s="1"/>
  <c r="AQ246" i="4" s="1"/>
  <c r="AS247" i="4" s="1"/>
  <c r="AQ247" i="4" s="1"/>
  <c r="AS248" i="4" s="1"/>
  <c r="AQ248" i="4" s="1"/>
  <c r="AS249" i="4" s="1"/>
  <c r="AQ249" i="4" s="1"/>
  <c r="AS250" i="4" s="1"/>
  <c r="AQ250" i="4" s="1"/>
  <c r="AS251" i="4" s="1"/>
  <c r="AQ251" i="4" s="1"/>
  <c r="AS252" i="4" s="1"/>
  <c r="AQ252" i="4" s="1"/>
  <c r="AS253" i="4" s="1"/>
  <c r="AQ253" i="4" s="1"/>
  <c r="AS254" i="4" s="1"/>
  <c r="AQ254" i="4" s="1"/>
  <c r="AS255" i="4" s="1"/>
  <c r="AQ255" i="4" s="1"/>
  <c r="AS256" i="4" s="1"/>
  <c r="AQ256" i="4" s="1"/>
  <c r="AS257" i="4" s="1"/>
  <c r="AQ257" i="4" s="1"/>
  <c r="AS258" i="4" s="1"/>
  <c r="AQ258" i="4" s="1"/>
  <c r="AS259" i="4" s="1"/>
  <c r="AQ259" i="4" s="1"/>
  <c r="AS260" i="4" s="1"/>
  <c r="AQ260" i="4" s="1"/>
  <c r="AS261" i="4" s="1"/>
  <c r="AQ261" i="4" s="1"/>
  <c r="AS262" i="4" s="1"/>
  <c r="AQ262" i="4" s="1"/>
  <c r="AS263" i="4" s="1"/>
  <c r="AQ263" i="4" s="1"/>
  <c r="AS264" i="4" s="1"/>
  <c r="AQ264" i="4" s="1"/>
  <c r="AS265" i="4" s="1"/>
  <c r="AQ265" i="4" s="1"/>
  <c r="AS266" i="4" s="1"/>
  <c r="AQ266" i="4" s="1"/>
  <c r="AS267" i="4" s="1"/>
  <c r="AQ267" i="4" s="1"/>
  <c r="AS268" i="4" s="1"/>
  <c r="AQ268" i="4" s="1"/>
  <c r="AS269" i="4" s="1"/>
  <c r="AQ269" i="4" s="1"/>
  <c r="AS270" i="4" s="1"/>
  <c r="AQ270" i="4" s="1"/>
  <c r="AS271" i="4" s="1"/>
  <c r="AQ271" i="4" s="1"/>
  <c r="AS272" i="4" s="1"/>
  <c r="AQ272" i="4" s="1"/>
  <c r="AS273" i="4" s="1"/>
  <c r="AQ273" i="4" s="1"/>
  <c r="AS274" i="4" s="1"/>
  <c r="AQ274" i="4" s="1"/>
  <c r="AS275" i="4" s="1"/>
  <c r="AQ275" i="4" s="1"/>
  <c r="AS276" i="4" s="1"/>
  <c r="AQ276" i="4" s="1"/>
  <c r="AS277" i="4" s="1"/>
  <c r="AQ277" i="4" s="1"/>
  <c r="AS278" i="4" s="1"/>
  <c r="AQ278" i="4" s="1"/>
  <c r="AS279" i="4" s="1"/>
  <c r="AQ279" i="4" s="1"/>
  <c r="AS280" i="4" s="1"/>
  <c r="AQ280" i="4" s="1"/>
  <c r="AS281" i="4" s="1"/>
  <c r="AQ281" i="4" s="1"/>
  <c r="AS282" i="4" s="1"/>
  <c r="AQ282" i="4" s="1"/>
  <c r="AS283" i="4" s="1"/>
  <c r="AQ283" i="4" s="1"/>
  <c r="AS284" i="4" s="1"/>
  <c r="AQ284" i="4" s="1"/>
  <c r="AS285" i="4" s="1"/>
  <c r="AQ285" i="4" s="1"/>
  <c r="AS286" i="4" s="1"/>
  <c r="AQ286" i="4" s="1"/>
  <c r="AS287" i="4" s="1"/>
  <c r="AQ287" i="4" s="1"/>
  <c r="AS288" i="4" s="1"/>
  <c r="AQ288" i="4" s="1"/>
  <c r="AS289" i="4" s="1"/>
  <c r="AQ289" i="4" s="1"/>
  <c r="AS290" i="4" s="1"/>
  <c r="AQ290" i="4" s="1"/>
  <c r="AS291" i="4" s="1"/>
  <c r="AQ291" i="4" s="1"/>
  <c r="AS292" i="4" s="1"/>
  <c r="AQ292" i="4" s="1"/>
  <c r="AS293" i="4" s="1"/>
  <c r="AQ293" i="4" s="1"/>
  <c r="AS294" i="4" s="1"/>
  <c r="AQ294" i="4" s="1"/>
  <c r="AS295" i="4" s="1"/>
  <c r="AQ295" i="4" s="1"/>
  <c r="AS296" i="4" s="1"/>
  <c r="AQ296" i="4" s="1"/>
  <c r="AS297" i="4" s="1"/>
  <c r="AQ297" i="4" s="1"/>
  <c r="AS298" i="4" s="1"/>
  <c r="AQ298" i="4" s="1"/>
  <c r="AS299" i="4" s="1"/>
  <c r="AQ299" i="4" s="1"/>
  <c r="AS300" i="4" s="1"/>
  <c r="AQ300" i="4" s="1"/>
  <c r="AS301" i="4" s="1"/>
  <c r="AQ301" i="4" s="1"/>
  <c r="AS302" i="4" s="1"/>
  <c r="AQ302" i="4" s="1"/>
  <c r="AS303" i="4" s="1"/>
  <c r="AQ303" i="4" s="1"/>
  <c r="AS304" i="4" s="1"/>
  <c r="AQ304" i="4" s="1"/>
  <c r="AS305" i="4" s="1"/>
  <c r="AQ305" i="4" s="1"/>
  <c r="AS306" i="4" s="1"/>
  <c r="AQ306" i="4" s="1"/>
  <c r="AS307" i="4" s="1"/>
  <c r="AQ307" i="4" s="1"/>
  <c r="AS308" i="4" s="1"/>
  <c r="AQ308" i="4" s="1"/>
  <c r="AS309" i="4" s="1"/>
  <c r="AQ309" i="4" s="1"/>
  <c r="AS310" i="4" s="1"/>
  <c r="AQ310" i="4" s="1"/>
  <c r="AS311" i="4" s="1"/>
  <c r="AQ311" i="4" s="1"/>
  <c r="AS312" i="4" s="1"/>
  <c r="AQ312" i="4" s="1"/>
  <c r="AS313" i="4" s="1"/>
  <c r="AQ313" i="4" s="1"/>
  <c r="AS314" i="4" s="1"/>
  <c r="AQ314" i="4" s="1"/>
  <c r="AS315" i="4" s="1"/>
  <c r="AQ315" i="4" s="1"/>
  <c r="AS316" i="4" s="1"/>
  <c r="AQ316" i="4" s="1"/>
  <c r="AS317" i="4" s="1"/>
  <c r="AQ317" i="4" s="1"/>
  <c r="AS318" i="4" s="1"/>
  <c r="AQ318" i="4" s="1"/>
  <c r="AS319" i="4" s="1"/>
  <c r="AQ319" i="4" s="1"/>
  <c r="AS320" i="4" s="1"/>
  <c r="AQ320" i="4" s="1"/>
  <c r="AS321" i="4" s="1"/>
  <c r="AQ321" i="4" s="1"/>
  <c r="AS322" i="4" s="1"/>
  <c r="AQ322" i="4" s="1"/>
  <c r="AS323" i="4" s="1"/>
  <c r="AQ323" i="4" s="1"/>
  <c r="AS324" i="4" s="1"/>
  <c r="AQ324" i="4" s="1"/>
  <c r="AS325" i="4" s="1"/>
  <c r="AQ325" i="4" s="1"/>
  <c r="AS326" i="4" s="1"/>
  <c r="AQ326" i="4" s="1"/>
  <c r="AS327" i="4" s="1"/>
  <c r="AQ327" i="4" s="1"/>
  <c r="AS328" i="4" s="1"/>
  <c r="AQ328" i="4" s="1"/>
  <c r="AS329" i="4" s="1"/>
  <c r="AQ329" i="4" s="1"/>
  <c r="AS330" i="4" s="1"/>
  <c r="AQ330" i="4" s="1"/>
  <c r="AS331" i="4" s="1"/>
  <c r="AQ331" i="4" s="1"/>
  <c r="AS332" i="4" s="1"/>
  <c r="AQ332" i="4" s="1"/>
  <c r="AS333" i="4" s="1"/>
  <c r="AQ333" i="4" s="1"/>
  <c r="AS334" i="4" s="1"/>
  <c r="AQ334" i="4" s="1"/>
  <c r="AS335" i="4" s="1"/>
  <c r="AQ335" i="4" s="1"/>
  <c r="AS336" i="4" s="1"/>
  <c r="AQ336" i="4" s="1"/>
  <c r="AS337" i="4" s="1"/>
  <c r="AQ337" i="4" s="1"/>
  <c r="AS338" i="4" s="1"/>
  <c r="AQ338" i="4" s="1"/>
  <c r="AS339" i="4" s="1"/>
  <c r="AQ339" i="4" s="1"/>
  <c r="AS340" i="4" s="1"/>
  <c r="AQ340" i="4" s="1"/>
  <c r="AS341" i="4" s="1"/>
  <c r="AQ341" i="4" s="1"/>
  <c r="AS342" i="4" s="1"/>
  <c r="AQ342" i="4" s="1"/>
  <c r="AS343" i="4" s="1"/>
  <c r="AQ343" i="4" s="1"/>
  <c r="AS344" i="4" s="1"/>
  <c r="AQ344" i="4" s="1"/>
  <c r="AS345" i="4" s="1"/>
  <c r="AQ345" i="4" s="1"/>
  <c r="AS346" i="4" s="1"/>
  <c r="AQ346" i="4" s="1"/>
  <c r="AS347" i="4" s="1"/>
  <c r="AQ347" i="4" s="1"/>
  <c r="AS348" i="4" s="1"/>
  <c r="AQ348" i="4" s="1"/>
  <c r="AS349" i="4" s="1"/>
  <c r="AQ349" i="4" s="1"/>
  <c r="AS350" i="4" s="1"/>
  <c r="AQ350" i="4" s="1"/>
  <c r="AS351" i="4" s="1"/>
  <c r="AQ351" i="4" s="1"/>
  <c r="AS352" i="4" s="1"/>
  <c r="AQ352" i="4" s="1"/>
  <c r="AS353" i="4" s="1"/>
  <c r="AQ353" i="4" s="1"/>
  <c r="AS354" i="4" s="1"/>
  <c r="AQ354" i="4" s="1"/>
  <c r="AS355" i="4" s="1"/>
  <c r="AQ355" i="4" s="1"/>
  <c r="AS356" i="4" s="1"/>
  <c r="AQ356" i="4" s="1"/>
  <c r="AS357" i="4" s="1"/>
  <c r="AQ357" i="4" s="1"/>
  <c r="AS358" i="4" s="1"/>
  <c r="AQ358" i="4" s="1"/>
  <c r="AS359" i="4" s="1"/>
  <c r="AQ359" i="4" s="1"/>
  <c r="AS360" i="4" s="1"/>
  <c r="AQ360" i="4" s="1"/>
  <c r="AS361" i="4" s="1"/>
  <c r="AQ361" i="4" s="1"/>
  <c r="AS362" i="4" s="1"/>
  <c r="AQ362" i="4" s="1"/>
  <c r="AS363" i="4" s="1"/>
  <c r="AQ363" i="4" s="1"/>
  <c r="AS364" i="4" s="1"/>
  <c r="AQ364" i="4" s="1"/>
  <c r="AS365" i="4" s="1"/>
  <c r="AQ365" i="4" s="1"/>
  <c r="AS366" i="4" s="1"/>
  <c r="AQ366" i="4" s="1"/>
  <c r="AS367" i="4" s="1"/>
  <c r="AQ367" i="4" s="1"/>
  <c r="AS368" i="4" s="1"/>
  <c r="AQ368" i="4" s="1"/>
  <c r="AS369" i="4" s="1"/>
  <c r="AQ369" i="4" s="1"/>
  <c r="G18" i="13"/>
  <c r="H18" i="13" s="1"/>
  <c r="I18" i="13" s="1"/>
  <c r="F19" i="13" s="1"/>
  <c r="AH3" i="4"/>
  <c r="G19" i="13" l="1"/>
  <c r="H19" i="13" s="1"/>
  <c r="I19" i="13" s="1"/>
  <c r="F20" i="13" s="1"/>
  <c r="AP3" i="4"/>
  <c r="E3" i="4" s="1"/>
  <c r="G20" i="13" l="1"/>
  <c r="H20" i="13" s="1"/>
  <c r="I20" i="13" s="1"/>
  <c r="F21" i="13" s="1"/>
  <c r="G5" i="3"/>
  <c r="K5" i="3" s="1"/>
  <c r="K23" i="3" s="1"/>
  <c r="B26" i="3" s="1"/>
  <c r="B29" i="3" s="1"/>
  <c r="F6" i="2" s="1"/>
  <c r="F11" i="2"/>
  <c r="B30" i="2"/>
  <c r="G21" i="13" l="1"/>
  <c r="H21" i="13" s="1"/>
  <c r="I21" i="13" s="1"/>
  <c r="F22" i="13" s="1"/>
  <c r="K11" i="2"/>
  <c r="J11" i="2"/>
  <c r="J6" i="2"/>
  <c r="K6" i="2"/>
  <c r="F14" i="2" l="1"/>
  <c r="G22" i="13"/>
  <c r="H22" i="13" s="1"/>
  <c r="I22" i="13" s="1"/>
  <c r="F23" i="13" s="1"/>
  <c r="G23" i="13" l="1"/>
  <c r="H23" i="13" s="1"/>
  <c r="I23" i="13" s="1"/>
  <c r="F24" i="13" s="1"/>
  <c r="G24" i="13" l="1"/>
  <c r="H24" i="13" s="1"/>
  <c r="I24" i="13" s="1"/>
  <c r="F25" i="13" s="1"/>
  <c r="G25" i="13" l="1"/>
  <c r="H25" i="13" s="1"/>
  <c r="I25" i="13" s="1"/>
  <c r="F26" i="13" s="1"/>
  <c r="G26" i="13" l="1"/>
  <c r="H26" i="13" s="1"/>
  <c r="I26" i="13" s="1"/>
  <c r="F27" i="13" s="1"/>
  <c r="G27" i="13" l="1"/>
  <c r="H27" i="13" s="1"/>
  <c r="I27" i="13" s="1"/>
  <c r="F28" i="13" s="1"/>
  <c r="G28" i="13" l="1"/>
  <c r="H28" i="13" s="1"/>
  <c r="I28" i="13" s="1"/>
  <c r="F29" i="13" s="1"/>
  <c r="G29" i="13" l="1"/>
  <c r="H29" i="13" s="1"/>
  <c r="I29" i="13" s="1"/>
  <c r="F30" i="13" s="1"/>
  <c r="G30" i="13" l="1"/>
  <c r="H30" i="13" s="1"/>
  <c r="I30" i="13" s="1"/>
  <c r="F31" i="13" s="1"/>
  <c r="G31" i="13" l="1"/>
  <c r="H31" i="13" s="1"/>
  <c r="I31" i="13" s="1"/>
  <c r="F32" i="13" s="1"/>
  <c r="G32" i="13" l="1"/>
  <c r="H32" i="13" s="1"/>
  <c r="I32" i="13" s="1"/>
  <c r="F33" i="13" s="1"/>
  <c r="G33" i="13" l="1"/>
  <c r="H33" i="13" s="1"/>
  <c r="I33" i="13" s="1"/>
  <c r="F34" i="13" s="1"/>
  <c r="G34" i="13" l="1"/>
  <c r="H34" i="13" s="1"/>
  <c r="I34" i="13" s="1"/>
  <c r="F35" i="13" s="1"/>
  <c r="G35" i="13" l="1"/>
  <c r="H35" i="13" s="1"/>
  <c r="I35" i="13" s="1"/>
  <c r="F36" i="13" s="1"/>
  <c r="G36" i="13" l="1"/>
  <c r="H36" i="13" s="1"/>
  <c r="I36" i="13" s="1"/>
  <c r="F37" i="13" s="1"/>
  <c r="G37" i="13" l="1"/>
  <c r="H37" i="13" s="1"/>
  <c r="I37" i="13" s="1"/>
  <c r="F38" i="13" s="1"/>
  <c r="G38" i="13" l="1"/>
  <c r="H38" i="13" s="1"/>
  <c r="I38" i="13" s="1"/>
  <c r="F39" i="13" s="1"/>
  <c r="G39" i="13" l="1"/>
  <c r="H39" i="13" s="1"/>
  <c r="I39" i="13" s="1"/>
  <c r="F40" i="13" s="1"/>
  <c r="G40" i="13" l="1"/>
  <c r="H40" i="13" s="1"/>
  <c r="I40" i="13" s="1"/>
  <c r="F41" i="13" s="1"/>
  <c r="G41" i="13" l="1"/>
  <c r="H41" i="13" s="1"/>
  <c r="I41" i="13" s="1"/>
  <c r="F42" i="13" s="1"/>
  <c r="G42" i="13" l="1"/>
  <c r="H42" i="13" s="1"/>
  <c r="I42" i="13" s="1"/>
  <c r="F43" i="13" s="1"/>
  <c r="G43" i="13" l="1"/>
  <c r="H43" i="13" s="1"/>
  <c r="I43" i="13" s="1"/>
  <c r="F44" i="13" s="1"/>
  <c r="G44" i="13" l="1"/>
  <c r="H44" i="13" s="1"/>
  <c r="I44" i="13" s="1"/>
  <c r="F45" i="13"/>
  <c r="F46" i="13" l="1"/>
  <c r="G45" i="13"/>
  <c r="H45" i="13" s="1"/>
  <c r="I45" i="13" s="1"/>
  <c r="G46" i="13" l="1"/>
  <c r="H46" i="13" s="1"/>
  <c r="I46" i="13" s="1"/>
  <c r="F47" i="13" s="1"/>
  <c r="G47" i="13" l="1"/>
  <c r="H47" i="13" s="1"/>
  <c r="I47" i="13" s="1"/>
  <c r="F48" i="13" s="1"/>
  <c r="G48" i="13" l="1"/>
  <c r="H48" i="13" s="1"/>
  <c r="I48" i="13" s="1"/>
  <c r="F49" i="13" s="1"/>
  <c r="F50" i="13" l="1"/>
  <c r="G49" i="13"/>
  <c r="H49" i="13" s="1"/>
  <c r="I49" i="13" s="1"/>
  <c r="G50" i="13" l="1"/>
  <c r="H50" i="13" s="1"/>
  <c r="I50" i="13" s="1"/>
  <c r="F51" i="13" s="1"/>
  <c r="G51" i="13" l="1"/>
  <c r="H51" i="13" s="1"/>
  <c r="I51" i="13" s="1"/>
  <c r="F52" i="13" s="1"/>
  <c r="G52" i="13" l="1"/>
  <c r="H52" i="13" s="1"/>
  <c r="I52" i="13" s="1"/>
  <c r="F53" i="13" s="1"/>
  <c r="G53" i="13" l="1"/>
  <c r="H53" i="13" s="1"/>
  <c r="I53" i="13" s="1"/>
  <c r="F54" i="13" s="1"/>
  <c r="G54" i="13" l="1"/>
  <c r="H54" i="13" s="1"/>
  <c r="I54" i="13" s="1"/>
  <c r="F55" i="13" s="1"/>
  <c r="G55" i="13" l="1"/>
  <c r="H55" i="13" s="1"/>
  <c r="I55" i="13" s="1"/>
  <c r="F56" i="13" s="1"/>
  <c r="G56" i="13" l="1"/>
  <c r="H56" i="13" s="1"/>
  <c r="I56" i="13" s="1"/>
  <c r="F57" i="13" s="1"/>
  <c r="G57" i="13" l="1"/>
  <c r="H57" i="13" s="1"/>
  <c r="I57" i="13" s="1"/>
  <c r="F58" i="13" s="1"/>
  <c r="G58" i="13" l="1"/>
  <c r="H58" i="13" s="1"/>
  <c r="I58" i="13" s="1"/>
  <c r="F59" i="13" s="1"/>
  <c r="G59" i="13" l="1"/>
  <c r="H59" i="13" s="1"/>
  <c r="I59" i="13" s="1"/>
  <c r="F60" i="13" s="1"/>
  <c r="G60" i="13" l="1"/>
  <c r="H60" i="13" s="1"/>
  <c r="I60" i="13" s="1"/>
  <c r="F61" i="13" s="1"/>
  <c r="G61" i="13" l="1"/>
  <c r="H61" i="13" s="1"/>
  <c r="I61" i="13" s="1"/>
  <c r="F62" i="13" s="1"/>
  <c r="G62" i="13" l="1"/>
  <c r="H62" i="13" s="1"/>
  <c r="I62" i="13" s="1"/>
  <c r="F63" i="13" s="1"/>
  <c r="G63" i="13" l="1"/>
  <c r="H63" i="13" s="1"/>
  <c r="I63" i="13" s="1"/>
  <c r="F64" i="13" s="1"/>
  <c r="G64" i="13" l="1"/>
  <c r="H64" i="13" s="1"/>
  <c r="I64" i="13" s="1"/>
  <c r="F65" i="13" s="1"/>
  <c r="G65" i="13" s="1"/>
  <c r="H65" i="13" s="1"/>
  <c r="I65" i="13" s="1"/>
</calcChain>
</file>

<file path=xl/sharedStrings.xml><?xml version="1.0" encoding="utf-8"?>
<sst xmlns="http://schemas.openxmlformats.org/spreadsheetml/2006/main" count="1139" uniqueCount="648">
  <si>
    <t>Test subsmission</t>
  </si>
  <si>
    <t>Parameters</t>
  </si>
  <si>
    <t>Consunmption:</t>
  </si>
  <si>
    <t>L/day</t>
  </si>
  <si>
    <t>Subsystem</t>
  </si>
  <si>
    <t>Component</t>
  </si>
  <si>
    <t>Input</t>
  </si>
  <si>
    <t>Rainwater Collection</t>
  </si>
  <si>
    <t>Roof Catchment</t>
  </si>
  <si>
    <t>Full Roof</t>
  </si>
  <si>
    <t>Additional Catchment</t>
  </si>
  <si>
    <t>Collection Tank</t>
  </si>
  <si>
    <t>Storage</t>
  </si>
  <si>
    <t>Storage Tank Volume</t>
  </si>
  <si>
    <t>Storage Tank X</t>
  </si>
  <si>
    <t>Storage Tank Y</t>
  </si>
  <si>
    <t>Storage Tank Z</t>
  </si>
  <si>
    <t>Storage Tank Tower</t>
  </si>
  <si>
    <t>Pump</t>
  </si>
  <si>
    <t>Pump B</t>
  </si>
  <si>
    <t>Filtration</t>
  </si>
  <si>
    <t>Filter Location</t>
  </si>
  <si>
    <t>Down</t>
  </si>
  <si>
    <t>1 um Filter</t>
  </si>
  <si>
    <t>5 um Filter</t>
  </si>
  <si>
    <t>200 um Bag Filter</t>
  </si>
  <si>
    <t>Disinfection</t>
  </si>
  <si>
    <t>UV Disinfection</t>
  </si>
  <si>
    <t>36W</t>
  </si>
  <si>
    <t>Chemical Disinfection</t>
  </si>
  <si>
    <t>Ozone</t>
  </si>
  <si>
    <t>Power System</t>
  </si>
  <si>
    <t>Power Strategy</t>
  </si>
  <si>
    <t>Generator</t>
  </si>
  <si>
    <t>Number of Batteries</t>
  </si>
  <si>
    <t>Option A: Solar Power</t>
  </si>
  <si>
    <t>Solar Panel Model</t>
  </si>
  <si>
    <t>N/A</t>
  </si>
  <si>
    <t>Quantity of Panels</t>
  </si>
  <si>
    <t>Inverter</t>
  </si>
  <si>
    <t>Option B: Generator</t>
  </si>
  <si>
    <t>Diesel Generator</t>
  </si>
  <si>
    <t>Consumption:</t>
  </si>
  <si>
    <t>Notes</t>
  </si>
  <si>
    <t>Attribute</t>
  </si>
  <si>
    <t>Value</t>
  </si>
  <si>
    <t>Min Value</t>
  </si>
  <si>
    <t>Max Value</t>
  </si>
  <si>
    <t>Weight</t>
  </si>
  <si>
    <t>Satisfaction</t>
  </si>
  <si>
    <t>!! Warnings / Checks !!</t>
  </si>
  <si>
    <t>Consumption</t>
  </si>
  <si>
    <t>Relative Cost</t>
  </si>
  <si>
    <t>Health &amp; Environmental Risk Exposure</t>
  </si>
  <si>
    <t>Power System GHG Emissions</t>
  </si>
  <si>
    <t xml:space="preserve">Maintenance Occurences </t>
  </si>
  <si>
    <t>On Demand Flow Rate</t>
  </si>
  <si>
    <t>Reliability</t>
  </si>
  <si>
    <t>Pump A</t>
  </si>
  <si>
    <t>Total Satisfaction</t>
  </si>
  <si>
    <t>Chlorine</t>
  </si>
  <si>
    <t>Solar</t>
  </si>
  <si>
    <t>HES-260</t>
  </si>
  <si>
    <t>PRESSURE LOSSES HERE</t>
  </si>
  <si>
    <t>Pa</t>
  </si>
  <si>
    <t>Cf Value</t>
  </si>
  <si>
    <t>FLOWRATE HERE</t>
  </si>
  <si>
    <t>L/min</t>
  </si>
  <si>
    <t>DAYS MISSED (in all 5 yrs)</t>
  </si>
  <si>
    <t>days</t>
  </si>
  <si>
    <t>Cf</t>
  </si>
  <si>
    <t>='Parameters and Satisfaction'!C7 *( 1000 *9.81*'Parameters and Satisfaction'!C11 +'Parameters and Satisfaction'!A27</t>
  </si>
  <si>
    <t>Initial Costs</t>
  </si>
  <si>
    <t>Ongoing Costs</t>
  </si>
  <si>
    <t>* should add cost for ozone and 50W UV bulb</t>
  </si>
  <si>
    <t>Quantity</t>
  </si>
  <si>
    <t>Cost per unit</t>
  </si>
  <si>
    <t>Cost</t>
  </si>
  <si>
    <t>Cost Source/Cause</t>
  </si>
  <si>
    <t>Whole # purchases</t>
  </si>
  <si>
    <t>Cost / Whole # purchase</t>
  </si>
  <si>
    <t>Additonal Catchment</t>
  </si>
  <si>
    <t>Fail Days</t>
  </si>
  <si>
    <t>Diesel Fuel</t>
  </si>
  <si>
    <t>Oil Changes</t>
  </si>
  <si>
    <t>Storage Tank Height</t>
  </si>
  <si>
    <t>Replacement Bulbs</t>
  </si>
  <si>
    <t>Piping</t>
  </si>
  <si>
    <t>N/A any energy costs will be encompassed elsewhere</t>
  </si>
  <si>
    <t>1um Filter</t>
  </si>
  <si>
    <t>1um Filters</t>
  </si>
  <si>
    <t>5um Filter</t>
  </si>
  <si>
    <t>5um Filters</t>
  </si>
  <si>
    <t>20um Filter</t>
  </si>
  <si>
    <t>20um Filters</t>
  </si>
  <si>
    <t>UV</t>
  </si>
  <si>
    <t>Pump Replacements</t>
  </si>
  <si>
    <t>Chemical</t>
  </si>
  <si>
    <t>Solar Panel Type</t>
  </si>
  <si>
    <t>Solar Panel Number</t>
  </si>
  <si>
    <t>Total Initial Cost</t>
  </si>
  <si>
    <t>Total Ongoing Cost:</t>
  </si>
  <si>
    <t>Total Cost</t>
  </si>
  <si>
    <t>Comparison Standard</t>
  </si>
  <si>
    <t>Constants</t>
  </si>
  <si>
    <t>Total Days Missed:</t>
  </si>
  <si>
    <t>Year 1</t>
  </si>
  <si>
    <t>Days Missed:</t>
  </si>
  <si>
    <t>Year 2</t>
  </si>
  <si>
    <t>Pump running hours</t>
  </si>
  <si>
    <t>Day Missed?</t>
  </si>
  <si>
    <t>Year 3</t>
  </si>
  <si>
    <t>Year 4</t>
  </si>
  <si>
    <t>Year 5</t>
  </si>
  <si>
    <t>m^3</t>
  </si>
  <si>
    <t>Water Caught (m^3)</t>
  </si>
  <si>
    <t>Water Collected (m^3)</t>
  </si>
  <si>
    <t>Water Consumed</t>
  </si>
  <si>
    <t>Net Water Increase/Decrease</t>
  </si>
  <si>
    <t>Water Stored (end of day)</t>
  </si>
  <si>
    <t>Catchment Area</t>
  </si>
  <si>
    <t>m^2</t>
  </si>
  <si>
    <t>Total Pump Run Hours</t>
  </si>
  <si>
    <t>Cf total up to storage</t>
  </si>
  <si>
    <t>K</t>
  </si>
  <si>
    <t>rho</t>
  </si>
  <si>
    <t>g</t>
  </si>
  <si>
    <t>Tank Height</t>
  </si>
  <si>
    <t>Pipe Length</t>
  </si>
  <si>
    <t>Pump Volume per day</t>
  </si>
  <si>
    <t>Is Pump volume per day &gt; than collection tank?</t>
  </si>
  <si>
    <t>a</t>
  </si>
  <si>
    <t>b</t>
  </si>
  <si>
    <t>c</t>
  </si>
  <si>
    <t>Quad_A</t>
  </si>
  <si>
    <t>Quad_B</t>
  </si>
  <si>
    <t>Quad_C</t>
  </si>
  <si>
    <t>kg/m^3</t>
  </si>
  <si>
    <t>m/s^2</t>
  </si>
  <si>
    <t>v</t>
  </si>
  <si>
    <t>m/s</t>
  </si>
  <si>
    <t>f</t>
  </si>
  <si>
    <t>Pump rate (hours)</t>
  </si>
  <si>
    <t>m^3/hour</t>
  </si>
  <si>
    <t>m^3/day</t>
  </si>
  <si>
    <t>Water Height</t>
  </si>
  <si>
    <t>m</t>
  </si>
  <si>
    <t>Flow rate L/min</t>
  </si>
  <si>
    <t>Pipe Diameter</t>
  </si>
  <si>
    <t>Pressure</t>
  </si>
  <si>
    <t>Pipe Area</t>
  </si>
  <si>
    <t>Also pressure</t>
  </si>
  <si>
    <t>Pipe Area with unit conv</t>
  </si>
  <si>
    <t>dm^3*s/(m*min)</t>
  </si>
  <si>
    <t>Pressure Losses total</t>
  </si>
  <si>
    <t>Test Case stuff below. Not needed anymore but keeping just in case. Should not be connected to anything</t>
  </si>
  <si>
    <t>Quad_A test</t>
  </si>
  <si>
    <t>Quad_B test</t>
  </si>
  <si>
    <t>Quad_C test</t>
  </si>
  <si>
    <t>pressure losses test case</t>
  </si>
  <si>
    <t>Pressure check</t>
  </si>
  <si>
    <t>Site Topography Location</t>
  </si>
  <si>
    <t>Y-Location</t>
  </si>
  <si>
    <t>Elevation(X direction)</t>
  </si>
  <si>
    <t>Elevation</t>
  </si>
  <si>
    <t>X Location</t>
  </si>
  <si>
    <t>Y Location</t>
  </si>
  <si>
    <t>OPTION-1</t>
  </si>
  <si>
    <t>Components needed</t>
  </si>
  <si>
    <t>SW-80</t>
  </si>
  <si>
    <t>HES-305P</t>
  </si>
  <si>
    <t>Number of panels needed</t>
  </si>
  <si>
    <t>Area (m^2)</t>
  </si>
  <si>
    <t>Type of Panel</t>
  </si>
  <si>
    <t>Initial Cost</t>
  </si>
  <si>
    <t>Number of batteries</t>
  </si>
  <si>
    <t>Efficiency</t>
  </si>
  <si>
    <t>Number of Invertor</t>
  </si>
  <si>
    <t>GHG Emissions (from production) (kgCO2e)</t>
  </si>
  <si>
    <t xml:space="preserve">Maintenance </t>
  </si>
  <si>
    <t>4 times a year</t>
  </si>
  <si>
    <t>Solar Energy Available (W/m^2)</t>
  </si>
  <si>
    <t>Total Area of Panels</t>
  </si>
  <si>
    <t>Batteries</t>
  </si>
  <si>
    <t>Total Power from Solar Panels</t>
  </si>
  <si>
    <t>Voltage (V)</t>
  </si>
  <si>
    <t>Energy Storage (Wh)</t>
  </si>
  <si>
    <t>GHG Emissions (kgCO2e)</t>
  </si>
  <si>
    <t>DC-AC Power Invertor</t>
  </si>
  <si>
    <t>Generator Energy</t>
  </si>
  <si>
    <t>Solar Energy</t>
  </si>
  <si>
    <t>Diesel Needed per Year</t>
  </si>
  <si>
    <t>L diesel/year</t>
  </si>
  <si>
    <t>Total Energy Required</t>
  </si>
  <si>
    <t>J/day</t>
  </si>
  <si>
    <t>Power (W)</t>
  </si>
  <si>
    <t>Refuelling maintenance</t>
  </si>
  <si>
    <t>opertaions/year</t>
  </si>
  <si>
    <t>Required Energy</t>
  </si>
  <si>
    <t>Maintenance needed</t>
  </si>
  <si>
    <t>opertions/year</t>
  </si>
  <si>
    <t>Capable of Supplying? (y/n)</t>
  </si>
  <si>
    <t>Total Maintenance for Generator Use</t>
  </si>
  <si>
    <t>operations/year</t>
  </si>
  <si>
    <t>TOTAL COST</t>
  </si>
  <si>
    <t>Calculations over 5 years</t>
  </si>
  <si>
    <t>TOTAL MAINTENANCE (per year)</t>
  </si>
  <si>
    <t>Diesel Used</t>
  </si>
  <si>
    <t>Refuels</t>
  </si>
  <si>
    <t>oil changes</t>
  </si>
  <si>
    <t>TOTAL ENERGY CONSUMPTION</t>
  </si>
  <si>
    <t>Total Maintenance</t>
  </si>
  <si>
    <t>OPTION-2</t>
  </si>
  <si>
    <t>Maintenance per year</t>
  </si>
  <si>
    <t>Energy in Fuel (J/L)</t>
  </si>
  <si>
    <t>Maintenance (every 250 hours)</t>
  </si>
  <si>
    <t>Cost of oil change</t>
  </si>
  <si>
    <t>Refuelling Maintenace (every 100L)</t>
  </si>
  <si>
    <t>GHG Emissions to build (kgCO2e)</t>
  </si>
  <si>
    <t>Cost of Diesel (100L Shipments)</t>
  </si>
  <si>
    <t>GHG Emissions (kgCO2e) per Litre</t>
  </si>
  <si>
    <t>Maintenance Costs</t>
  </si>
  <si>
    <t>Ozone Calculations</t>
  </si>
  <si>
    <t>UV Energy Calculations</t>
  </si>
  <si>
    <t>Max Daily Energy Required</t>
  </si>
  <si>
    <t>MJ</t>
  </si>
  <si>
    <t>Energy Required per day (24 hrs running)</t>
  </si>
  <si>
    <t>Energy supplied by battery</t>
  </si>
  <si>
    <t>Solar Energy Calculations</t>
  </si>
  <si>
    <t>Energy supplied by generator</t>
  </si>
  <si>
    <t>Solar Intensity</t>
  </si>
  <si>
    <t>W/m^2</t>
  </si>
  <si>
    <t>Daylight Fluctuation</t>
  </si>
  <si>
    <t>Daylight</t>
  </si>
  <si>
    <t>Energy Collected</t>
  </si>
  <si>
    <t>Electrical Energy</t>
  </si>
  <si>
    <t>Energy Difference</t>
  </si>
  <si>
    <t>hrs</t>
  </si>
  <si>
    <t>J</t>
  </si>
  <si>
    <t>January</t>
  </si>
  <si>
    <t>February</t>
  </si>
  <si>
    <t>March</t>
  </si>
  <si>
    <t>April</t>
  </si>
  <si>
    <t>May</t>
  </si>
  <si>
    <t>June</t>
  </si>
  <si>
    <t>July</t>
  </si>
  <si>
    <t>August</t>
  </si>
  <si>
    <t>September</t>
  </si>
  <si>
    <t>October</t>
  </si>
  <si>
    <t>November</t>
  </si>
  <si>
    <t>December</t>
  </si>
  <si>
    <t>RAINWATER DATA</t>
  </si>
  <si>
    <t>MECHANICAL ENERGY</t>
  </si>
  <si>
    <t>ELECTRICAL ENERGY (Pump)</t>
  </si>
  <si>
    <t>TOTAL ELECTRICAL ENERGY (Pump, Ozone?, UV)</t>
  </si>
  <si>
    <t>Diesel needed</t>
  </si>
  <si>
    <t>Total Diesel Fuel:</t>
  </si>
  <si>
    <t>Solar Electrical Energy Produced</t>
  </si>
  <si>
    <t>Daily Data</t>
  </si>
  <si>
    <t>L</t>
  </si>
  <si>
    <t>Litres per year</t>
  </si>
  <si>
    <t>Q (L/min)</t>
  </si>
  <si>
    <t>Cf total down from storage</t>
  </si>
  <si>
    <t>Acceleration due to Gravity</t>
  </si>
  <si>
    <t>ms^-2</t>
  </si>
  <si>
    <t>MBTF</t>
  </si>
  <si>
    <t>Density of Water</t>
  </si>
  <si>
    <t>kgm^3</t>
  </si>
  <si>
    <t>Min. Satisfaction Value</t>
  </si>
  <si>
    <t>A</t>
  </si>
  <si>
    <t>Pipe diameter</t>
  </si>
  <si>
    <t>D</t>
  </si>
  <si>
    <t>Max. Satisfaction Value</t>
  </si>
  <si>
    <t>B</t>
  </si>
  <si>
    <t>Pipe friction factor</t>
  </si>
  <si>
    <t>C</t>
  </si>
  <si>
    <t>Restriction loss coefficient (both lines)</t>
  </si>
  <si>
    <t>Filtration system</t>
  </si>
  <si>
    <t>UV Disinfection System</t>
  </si>
  <si>
    <t>Chemical Disinfection System</t>
  </si>
  <si>
    <t>Bag Filter</t>
  </si>
  <si>
    <t>Catridrige Filter</t>
  </si>
  <si>
    <t xml:space="preserve">Catridge Filter </t>
  </si>
  <si>
    <t>36W UV System</t>
  </si>
  <si>
    <t>50W UV System</t>
  </si>
  <si>
    <t>Chlorine Specifications</t>
  </si>
  <si>
    <t>Dosing for 3-log disinfection</t>
  </si>
  <si>
    <t>mg*min*L^-1</t>
  </si>
  <si>
    <t>Ozone Specifications</t>
  </si>
  <si>
    <t>Pore Size m*10-6</t>
  </si>
  <si>
    <t>MTBF(bulbs)</t>
  </si>
  <si>
    <t>year</t>
  </si>
  <si>
    <t>Treatment Type</t>
  </si>
  <si>
    <t>Maintenance Operations</t>
  </si>
  <si>
    <t>kg of solution per operation</t>
  </si>
  <si>
    <t>Cf  Pa/(m/s)</t>
  </si>
  <si>
    <t>Power Consumption</t>
  </si>
  <si>
    <t>W</t>
  </si>
  <si>
    <t>Contact Time</t>
  </si>
  <si>
    <t>min</t>
  </si>
  <si>
    <t>Solution</t>
  </si>
  <si>
    <t>kg per container</t>
  </si>
  <si>
    <t>operation per year</t>
  </si>
  <si>
    <t>Max Treatable Flowrate</t>
  </si>
  <si>
    <t>LPM</t>
  </si>
  <si>
    <t>$/container</t>
  </si>
  <si>
    <t>Filter Placement (Storage/House Line)</t>
  </si>
  <si>
    <t>Risk Severity factors</t>
  </si>
  <si>
    <t>Health</t>
  </si>
  <si>
    <t xml:space="preserve">Energy Consumption </t>
  </si>
  <si>
    <t>MJ*g^-1 O3</t>
  </si>
  <si>
    <t>Environmental</t>
  </si>
  <si>
    <t>Filter Modules</t>
  </si>
  <si>
    <t>Actual Filter Life [L]</t>
  </si>
  <si>
    <t>Filter Life Data</t>
  </si>
  <si>
    <t>Filter Size</t>
  </si>
  <si>
    <t>Present?</t>
  </si>
  <si>
    <t>[Pa/(m/s)]</t>
  </si>
  <si>
    <t>No pre-filter</t>
  </si>
  <si>
    <t>5 um pre</t>
  </si>
  <si>
    <t>200 um pre</t>
  </si>
  <si>
    <t>1 um filter</t>
  </si>
  <si>
    <t>5 um filter</t>
  </si>
  <si>
    <t>200 um filter</t>
  </si>
  <si>
    <t>Total</t>
  </si>
  <si>
    <t>Filtration System</t>
  </si>
  <si>
    <t>Satisfaction and Results</t>
  </si>
  <si>
    <t>Pump Replacement</t>
  </si>
  <si>
    <t>Solar Maintenance</t>
  </si>
  <si>
    <t>Generator Maintenance</t>
  </si>
  <si>
    <t>Solution Needed per Year</t>
  </si>
  <si>
    <t>kg</t>
  </si>
  <si>
    <t>Bulb Replacements per Year</t>
  </si>
  <si>
    <t>operation</t>
  </si>
  <si>
    <t>Litres of Water Moved per Year</t>
  </si>
  <si>
    <t>L/year</t>
  </si>
  <si>
    <t>1 um filter replacements</t>
  </si>
  <si>
    <t>Pump Type</t>
  </si>
  <si>
    <t xml:space="preserve">Pump Maintenance </t>
  </si>
  <si>
    <t>Solar Energy Included?</t>
  </si>
  <si>
    <t>Chemical Maintenance (chlorine/ozone)</t>
  </si>
  <si>
    <t>UV Maintenance (36W/50W)</t>
  </si>
  <si>
    <t>Filter Maintenance (up/down stream, filter combinations)</t>
  </si>
  <si>
    <t>5 um filter replacements</t>
  </si>
  <si>
    <t>S(M) - Maintenance Occurances</t>
  </si>
  <si>
    <t>Pump MTBF</t>
  </si>
  <si>
    <t>hrs/operation</t>
  </si>
  <si>
    <t>Panel Maintenance</t>
  </si>
  <si>
    <t>operations</t>
  </si>
  <si>
    <t>Check</t>
  </si>
  <si>
    <t>200 um replacements</t>
  </si>
  <si>
    <t>CHLORINE TREATMENT</t>
  </si>
  <si>
    <t>OZONE TREATMENT</t>
  </si>
  <si>
    <t>SYSTEM DOWNFLOW</t>
  </si>
  <si>
    <t>Data</t>
  </si>
  <si>
    <t>Litres Collected</t>
  </si>
  <si>
    <t>Grams of Cl</t>
  </si>
  <si>
    <t>Kg of Cl Solution</t>
  </si>
  <si>
    <t>Grams of O3 Required</t>
  </si>
  <si>
    <t>Energy Consumed (MJ)</t>
  </si>
  <si>
    <t>Date</t>
  </si>
  <si>
    <t>Litres transported to the house</t>
  </si>
  <si>
    <t>Greenhouse Gas Emission Calculation</t>
  </si>
  <si>
    <t>UV lamp power</t>
  </si>
  <si>
    <t>S(G) - Greenhouse Gas Emissions</t>
  </si>
  <si>
    <t>Emissions relative to water shipment</t>
  </si>
  <si>
    <t>Min Satisfaction Value</t>
  </si>
  <si>
    <t>Max Satisfaction Value</t>
  </si>
  <si>
    <t>Existing System Parameters</t>
  </si>
  <si>
    <t>Water quantity Calculations</t>
  </si>
  <si>
    <t>Pump Parameters</t>
  </si>
  <si>
    <t>Centralized Water Treatment Emissions</t>
  </si>
  <si>
    <t>[kgCO2e/1000L]</t>
  </si>
  <si>
    <t>Five Years</t>
  </si>
  <si>
    <t>Pump Selection</t>
  </si>
  <si>
    <t>Land &amp; Sea Transport of Treated Water</t>
  </si>
  <si>
    <t>Water Consumption</t>
  </si>
  <si>
    <t>Pump Efficiency</t>
  </si>
  <si>
    <t>Storage and Distribution of water to house</t>
  </si>
  <si>
    <t>[kgCO2e]</t>
  </si>
  <si>
    <t>Water Consumption in Five Years</t>
  </si>
  <si>
    <t>\</t>
  </si>
  <si>
    <t>Note that the value above assumes that the consumption rate of water is supplied everyday, without any disruption, this is not entirely accurate as our system could have days where consumption is not met yet it provides a good estimate.</t>
  </si>
  <si>
    <t>Proposed System Parameters</t>
  </si>
  <si>
    <t>Storage and distribution of water to house</t>
  </si>
  <si>
    <t>Local Water Treatment (Calculated for a given power system)</t>
  </si>
  <si>
    <t>Determined below</t>
  </si>
  <si>
    <t>Emissions</t>
  </si>
  <si>
    <t>Production</t>
  </si>
  <si>
    <t>Use</t>
  </si>
  <si>
    <t>Efficiency (if applicable)</t>
  </si>
  <si>
    <t>Power Type</t>
  </si>
  <si>
    <t>[kgCO2e/L diesel burned]</t>
  </si>
  <si>
    <t>Solar Panels</t>
  </si>
  <si>
    <t>HES-260 Solar Panel</t>
  </si>
  <si>
    <t>n/a</t>
  </si>
  <si>
    <t>SW-80 Solar Panel</t>
  </si>
  <si>
    <t>HES-305P Solar Panel</t>
  </si>
  <si>
    <t>12V Deep Cycle Wet Lead Acid Battery</t>
  </si>
  <si>
    <t>DC-AC Power Inverter</t>
  </si>
  <si>
    <t>2.8KW 12VDC 120VAC Pure Sine Wave Inverter</t>
  </si>
  <si>
    <t>5000 Watt Diesel Generator</t>
  </si>
  <si>
    <t>Calculations</t>
  </si>
  <si>
    <t xml:space="preserve">Baseline System </t>
  </si>
  <si>
    <t>Emissions/over a five yr period</t>
  </si>
  <si>
    <t>[kgCO2e/5 yrs]</t>
  </si>
  <si>
    <t>Single Time Emissions</t>
  </si>
  <si>
    <t>TOTAL EMISSIONS</t>
  </si>
  <si>
    <t>Proposed System</t>
  </si>
  <si>
    <t>Number of Panels</t>
  </si>
  <si>
    <t>Production [kgCO2e]</t>
  </si>
  <si>
    <t>Total [kgCO2e]</t>
  </si>
  <si>
    <t>CONSUMPTION - GENERATOR</t>
  </si>
  <si>
    <t>Required Diesel Quantity</t>
  </si>
  <si>
    <t>[L diesel/5 yrs]</t>
  </si>
  <si>
    <t>Power Selection</t>
  </si>
  <si>
    <t>kgCO2e</t>
  </si>
  <si>
    <t>kgCO2e/1000L</t>
  </si>
  <si>
    <t>Component Emissions</t>
  </si>
  <si>
    <t>Single time emissions</t>
  </si>
  <si>
    <t>Water use emissions</t>
  </si>
  <si>
    <t>Total Single Emissions</t>
  </si>
  <si>
    <t>Total Use Emissions</t>
  </si>
  <si>
    <t>Diesel</t>
  </si>
  <si>
    <t>Health Severity</t>
  </si>
  <si>
    <t>Environmental Severity</t>
  </si>
  <si>
    <t>Frequency</t>
  </si>
  <si>
    <t>^ I just fabricated this for now. Need maintenance days for diesel</t>
  </si>
  <si>
    <t>Health Risk Exposure</t>
  </si>
  <si>
    <t>Satisfaction %</t>
  </si>
  <si>
    <t>Environmental Risk Exposure</t>
  </si>
  <si>
    <t>Combined Risk Exposure</t>
  </si>
  <si>
    <t>=(RAND()-0.645)*25+B6</t>
  </si>
  <si>
    <t>=(B6+B6*((RAND()-0.7)*0.9)+IF((RAND()-0.2)*5&lt;0,0,(RAND()-0.3)*5))</t>
  </si>
  <si>
    <t xml:space="preserve">Year 4 </t>
  </si>
  <si>
    <t>Random Variation 1</t>
  </si>
  <si>
    <t>Random Variation 2</t>
  </si>
  <si>
    <t>Random Variaion 3</t>
  </si>
  <si>
    <t>Annual Rainfall</t>
  </si>
  <si>
    <t>Paramaters</t>
  </si>
  <si>
    <t>Qin</t>
  </si>
  <si>
    <t>Steady State Volumes</t>
  </si>
  <si>
    <t>Diamater of tank, D / m</t>
  </si>
  <si>
    <t>Time, t / day</t>
  </si>
  <si>
    <t>Tank Volume, V / m3</t>
  </si>
  <si>
    <t>Water height, h / m</t>
  </si>
  <si>
    <t>Water flow out, Qout / m3 min-1</t>
  </si>
  <si>
    <t>Net flow, Qnet / m3 min-1</t>
  </si>
  <si>
    <t>Diameter of nozzle, d / m</t>
  </si>
  <si>
    <t>Initial Volume, V0 / m3</t>
  </si>
  <si>
    <t>Flowrate in, Qin / m3 min-1</t>
  </si>
  <si>
    <t>Nozzle Area, A / m2</t>
  </si>
  <si>
    <t>Acelleration due to gravity, g / m s-2</t>
  </si>
  <si>
    <t>Tank Area, AT / m2</t>
  </si>
  <si>
    <t>Maximum tank volume, Vmax / m^3</t>
  </si>
  <si>
    <t>Catchment Area, Acatch / m^2</t>
  </si>
  <si>
    <t>Flowrate out, Qout / m^3 min^-1</t>
  </si>
  <si>
    <t>Cmin / L day^-1</t>
  </si>
  <si>
    <t>Cmax / L day^-1</t>
  </si>
  <si>
    <t>C / L day^-1</t>
  </si>
  <si>
    <t>Result</t>
  </si>
  <si>
    <t xml:space="preserve">Parameters </t>
  </si>
  <si>
    <t>Link to another sheet</t>
  </si>
  <si>
    <t>Calculation</t>
  </si>
  <si>
    <t>Daily Rainfall / mm</t>
  </si>
  <si>
    <t>Tank Volume, V / L</t>
  </si>
  <si>
    <t>Water flow out, Qout / L day-1</t>
  </si>
  <si>
    <t>Flow rate in, Qin / L day-1</t>
  </si>
  <si>
    <t>Net flow, Qnet / L day-1</t>
  </si>
  <si>
    <t>Station to use in model</t>
  </si>
  <si>
    <t>Station 3 - 2013</t>
  </si>
  <si>
    <t>Station 1 - 2014</t>
  </si>
  <si>
    <t> </t>
  </si>
  <si>
    <t>Diameter of tank</t>
  </si>
  <si>
    <t>Station 1 - 2015</t>
  </si>
  <si>
    <t>Roof width</t>
  </si>
  <si>
    <t>Diameter of nozzle</t>
  </si>
  <si>
    <t>Station 2 - 2015</t>
  </si>
  <si>
    <t>Roof legnth</t>
  </si>
  <si>
    <t>Initial Volume</t>
  </si>
  <si>
    <t xml:space="preserve"> L</t>
  </si>
  <si>
    <t>Catchment area</t>
  </si>
  <si>
    <t>Ac</t>
  </si>
  <si>
    <t>Flowrate in (Qin)</t>
  </si>
  <si>
    <t>m3 min-1</t>
  </si>
  <si>
    <t>Initial volume</t>
  </si>
  <si>
    <t>Vi</t>
  </si>
  <si>
    <t>Nozzle Area</t>
  </si>
  <si>
    <t xml:space="preserve"> m2</t>
  </si>
  <si>
    <t>Acceleration due to gravity</t>
  </si>
  <si>
    <t>m s-2</t>
  </si>
  <si>
    <t>Tank Area</t>
  </si>
  <si>
    <t>m2</t>
  </si>
  <si>
    <t>Maximum Tank Volume</t>
  </si>
  <si>
    <t>Flowrate out (Qout)</t>
  </si>
  <si>
    <t>Cmin</t>
  </si>
  <si>
    <t>L day-1</t>
  </si>
  <si>
    <t>Cmax</t>
  </si>
  <si>
    <t>Satisfaction vs Consumption</t>
  </si>
  <si>
    <t>%</t>
  </si>
  <si>
    <t>Consumption-Satisfaction Values</t>
  </si>
  <si>
    <t>Zeroes?</t>
  </si>
  <si>
    <t>n/a (not enough rain to sustain this level of consumption)</t>
  </si>
  <si>
    <t>(our system would require additional catchment area to sustain this level of consumption)</t>
  </si>
  <si>
    <t>(somewhere between - computer was glitching so couldn’t see)</t>
  </si>
  <si>
    <t>~8100 (no change in days w/o water after this pt)</t>
  </si>
  <si>
    <t>Energy Calculations for a system using Ozone Disinfection</t>
  </si>
  <si>
    <t>Ozone Parameters</t>
  </si>
  <si>
    <t>UV Purifier Parameters</t>
  </si>
  <si>
    <t>Diesel Parameters</t>
  </si>
  <si>
    <t>Catch. Area</t>
  </si>
  <si>
    <t>[m2]</t>
  </si>
  <si>
    <t>[ ]</t>
  </si>
  <si>
    <t>[min]</t>
  </si>
  <si>
    <t>UV Lamp Size</t>
  </si>
  <si>
    <t>[W]</t>
  </si>
  <si>
    <t>Heating Value Diesel</t>
  </si>
  <si>
    <t>[MJ/L]</t>
  </si>
  <si>
    <t>Catch. Tank V</t>
  </si>
  <si>
    <t>[m3]</t>
  </si>
  <si>
    <t>Ct_Ozone</t>
  </si>
  <si>
    <t>[mg min/L]</t>
  </si>
  <si>
    <t>Efficiency of Generator</t>
  </si>
  <si>
    <t>[L/day]</t>
  </si>
  <si>
    <t>Energy for O3</t>
  </si>
  <si>
    <t>[MJ / g]</t>
  </si>
  <si>
    <t>[L]</t>
  </si>
  <si>
    <t>Day</t>
  </si>
  <si>
    <t>Rain</t>
  </si>
  <si>
    <t>Stored Water</t>
  </si>
  <si>
    <t>Pump Pressure</t>
  </si>
  <si>
    <t>Pump Energy</t>
  </si>
  <si>
    <t>Mass O3</t>
  </si>
  <si>
    <t>Energy Required for Ozone</t>
  </si>
  <si>
    <t>Energy Required for UV</t>
  </si>
  <si>
    <t>[ date ]</t>
  </si>
  <si>
    <t>[mm]</t>
  </si>
  <si>
    <t>[Pa]</t>
  </si>
  <si>
    <t>[J]</t>
  </si>
  <si>
    <t>[Wh]</t>
  </si>
  <si>
    <t>[mg]</t>
  </si>
  <si>
    <t>[g]</t>
  </si>
  <si>
    <t>[MJ]</t>
  </si>
  <si>
    <t>1/1/2017</t>
  </si>
  <si>
    <t>1/2/2017</t>
  </si>
  <si>
    <t>1/3/2017</t>
  </si>
  <si>
    <t>1/4/2017</t>
  </si>
  <si>
    <t>1/5/2017</t>
  </si>
  <si>
    <t>1/6/2017</t>
  </si>
  <si>
    <t>1/7/2017</t>
  </si>
  <si>
    <t>1/8/2017</t>
  </si>
  <si>
    <t>1/9/2017</t>
  </si>
  <si>
    <t>1/10/2017</t>
  </si>
  <si>
    <t>Class B Data</t>
  </si>
  <si>
    <t>Energy for ozone on day one</t>
  </si>
  <si>
    <t>Energy for UV on day one</t>
  </si>
  <si>
    <t>Wh</t>
  </si>
  <si>
    <t>Volume of diesel required</t>
  </si>
  <si>
    <t>Environmental and Health Risks</t>
  </si>
  <si>
    <t>Environment</t>
  </si>
  <si>
    <t>Risk Frequency</t>
  </si>
  <si>
    <t>every 200 days</t>
  </si>
  <si>
    <t xml:space="preserve">every 25 days </t>
  </si>
  <si>
    <t>Risk Exposure</t>
  </si>
  <si>
    <t>chlorine</t>
  </si>
  <si>
    <t>diesel</t>
  </si>
  <si>
    <t>S(E)</t>
  </si>
  <si>
    <t>Solar Energy Model</t>
  </si>
  <si>
    <t>Panel Area</t>
  </si>
  <si>
    <t>Note: unlike the RWH model where the water volume reported</t>
  </si>
  <si>
    <t>Sunset</t>
  </si>
  <si>
    <t>on a particular day represents the volume at the END of that</t>
  </si>
  <si>
    <t>Load</t>
  </si>
  <si>
    <t>day, here the battery charge represents the charge at that exact</t>
  </si>
  <si>
    <t>Initial Charge</t>
  </si>
  <si>
    <t>time.</t>
  </si>
  <si>
    <t>Solar Power</t>
  </si>
  <si>
    <t>Time</t>
  </si>
  <si>
    <t>Captured Power</t>
  </si>
  <si>
    <t>Load Power</t>
  </si>
  <si>
    <t>Battery Charge</t>
  </si>
  <si>
    <t>[hh:mm]</t>
  </si>
  <si>
    <t>[W/m^2]</t>
  </si>
  <si>
    <t>gravitational acceleration</t>
  </si>
  <si>
    <t>p (water density)</t>
  </si>
  <si>
    <t>initial water level</t>
  </si>
  <si>
    <t>height of filter level</t>
  </si>
  <si>
    <t>height difference</t>
  </si>
  <si>
    <t>pressure</t>
  </si>
  <si>
    <t>collected volume</t>
  </si>
  <si>
    <t>time (s)</t>
  </si>
  <si>
    <t>flowrate</t>
  </si>
  <si>
    <t>velocity</t>
  </si>
  <si>
    <t>Pa (pgh)</t>
  </si>
  <si>
    <t>ml</t>
  </si>
  <si>
    <t>s</t>
  </si>
  <si>
    <t>m^3/s</t>
  </si>
  <si>
    <t>Friction and Restrictions</t>
  </si>
  <si>
    <t>Parameter Varied</t>
  </si>
  <si>
    <t>Components</t>
  </si>
  <si>
    <t>Resulting Satisfaction</t>
  </si>
  <si>
    <t xml:space="preserve">Notes </t>
  </si>
  <si>
    <t>None</t>
  </si>
  <si>
    <t>not feasible without catchment elsewhere</t>
  </si>
  <si>
    <t>Half roof</t>
  </si>
  <si>
    <t>At lower consumption, half-roof performs better than the full roof but at higher consumption levels using the whole roof as a catchment area is preferable.</t>
  </si>
  <si>
    <t>Whole roof</t>
  </si>
  <si>
    <t>yes</t>
  </si>
  <si>
    <t>more reasonable when combined with the half roof option, having the whole roof rather than additional catchment makes more sense given the cost of the additional catchment ($350 rather than a lot more for not on the roof).</t>
  </si>
  <si>
    <t>no</t>
  </si>
  <si>
    <t>not an option</t>
  </si>
  <si>
    <t>400L</t>
  </si>
  <si>
    <t>in our calculations, we found that the system won't perform well if consumption exceeds collection tank size. Thus, making sure that the consumption is manageable given the collection tank size and vice versa is very important.</t>
  </si>
  <si>
    <t>1500L</t>
  </si>
  <si>
    <t>2500L</t>
  </si>
  <si>
    <t>10000L</t>
  </si>
  <si>
    <t>Storage tank volume</t>
  </si>
  <si>
    <t>Volume</t>
  </si>
  <si>
    <t>Discussion: depends heavily on consumption, during the calculations it was possible to find an ideal catchment tank size given other parameters.</t>
  </si>
  <si>
    <t>Storage tank location</t>
  </si>
  <si>
    <t>Varying the location of our storage tank will have a significant impact on the pump which we are able to use, this is because with the variation of the (x,y) the height will differ. Specifically, there is an area on the map at which the elevation of the ground changes very quickly, making it ideal to achieve a greater elevation for greater gravitational potential with less of a distance to travel.</t>
  </si>
  <si>
    <t>Storage tank tower</t>
  </si>
  <si>
    <t>present</t>
  </si>
  <si>
    <t xml:space="preserve">Including a storage tank tower will depend heavily on what pump is to be included (considering what height difference) the given pump is capable of achieving, as well as what topographical height our system is situated at, which will be another factor in the height difference. Yet again, we also need to consider cost, specifically how greatly will this addition impact our overall cost, this will depend on what other parameters are included in the system. </t>
  </si>
  <si>
    <t>not present</t>
  </si>
  <si>
    <t>Filter to Storage Tank</t>
  </si>
  <si>
    <t>The location of the filter in relation to the rest of the system did not seem to have an exceedingly adverse impact on the performance of the pump (which would be what it would impact most heavily due to its impact on flowrate) thus, choosing our final system will involve testing how this impacts the performance giving the other parameters.</t>
  </si>
  <si>
    <t>Storage Tank to Filter</t>
  </si>
  <si>
    <t>Filtration Components</t>
  </si>
  <si>
    <t>1um</t>
  </si>
  <si>
    <t xml:space="preserve">The inclusion of the filtration components </t>
  </si>
  <si>
    <t>1um,5um,200um</t>
  </si>
  <si>
    <t>1um,5um</t>
  </si>
  <si>
    <t>1um,200um</t>
  </si>
  <si>
    <t>UV disinfection System</t>
  </si>
  <si>
    <t>50W</t>
  </si>
  <si>
    <t>Chemical disinfection</t>
  </si>
  <si>
    <t>All the solar panel options have significantly lower GHG emissions compared to the Diesel Generator as no fuel is being burned. However, in case of higher consumption the Solar Panels fail to provide the required energy. If more panels are installed the cost becomes unreasonably higher.</t>
  </si>
  <si>
    <t>The Diesel Genertor has greater GHG emissions as Diesel is burned and also greater Cost and maintence throughout its life. This is because there costs for Refuelling and shipping in Diesel in addition to the cost of Diesel itself. But for greater consumptions it is able to provide the required energy and it also has a lower inital cost compared to using Solar Panels.</t>
  </si>
  <si>
    <t>This is the best panel option regardless of its hgher cost and moderately greater GHG emissions as it has the highest efficiency and fairly large surface are that allows less panels being purchased.</t>
  </si>
  <si>
    <t>HES-350P</t>
  </si>
  <si>
    <t>2.8kW AC-DC Invertor</t>
  </si>
  <si>
    <t>Diesel Generator System</t>
  </si>
  <si>
    <t>4000W 2cyl. diesel</t>
  </si>
  <si>
    <t>Pumps</t>
  </si>
  <si>
    <t xml:space="preserve">We found that Pump B is able to achieve far more power than Pump A, allowing our system to transport water up a higher height difference, giving an advantage to the downflow part of the system which relies heavily on gravitational potential.  </t>
  </si>
  <si>
    <t>Daily Rainfall (mm)</t>
  </si>
  <si>
    <t>Random Variation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</si>
</sst>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09]#,##0.00"/>
    <numFmt numFmtId="165" formatCode="0.0"/>
    <numFmt numFmtId="166" formatCode="_([$$-409]* #,##0.00_);_([$$-409]* \(#,##0.00\);_([$$-409]* &quot;-&quot;??_);_(@_)"/>
    <numFmt numFmtId="167" formatCode="0.0%"/>
  </numFmts>
  <fonts count="20">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2"/>
      <color theme="1"/>
      <name val="Calibri"/>
      <family val="2"/>
    </font>
    <font>
      <sz val="11"/>
      <color theme="1"/>
      <name val="Calibri"/>
      <family val="2"/>
    </font>
    <font>
      <b/>
      <sz val="11"/>
      <color theme="1"/>
      <name val="Calibri"/>
      <family val="2"/>
    </font>
    <font>
      <b/>
      <sz val="11"/>
      <color rgb="FF2F5496"/>
      <name val="Calibri"/>
      <family val="2"/>
    </font>
    <font>
      <sz val="11"/>
      <color rgb="FF000000"/>
      <name val="Calibri"/>
      <family val="2"/>
    </font>
    <font>
      <b/>
      <sz val="11"/>
      <color rgb="FF000000"/>
      <name val="Calibri"/>
      <family val="2"/>
    </font>
    <font>
      <b/>
      <sz val="16"/>
      <color rgb="FFC00000"/>
      <name val="Calibri"/>
      <family val="2"/>
    </font>
    <font>
      <b/>
      <sz val="11"/>
      <color rgb="FFC00000"/>
      <name val="Calibri"/>
      <family val="2"/>
    </font>
    <font>
      <b/>
      <u/>
      <sz val="11"/>
      <color rgb="FF000000"/>
      <name val="Calibri"/>
      <family val="2"/>
    </font>
    <font>
      <sz val="11"/>
      <color rgb="FFFFFFFF"/>
      <name val="System-Ui"/>
      <charset val="1"/>
    </font>
    <font>
      <b/>
      <sz val="11"/>
      <color rgb="FF000000"/>
      <name val="Calibri"/>
      <family val="2"/>
      <scheme val="minor"/>
    </font>
    <font>
      <sz val="11"/>
      <color rgb="FF444444"/>
      <name val="Calibri"/>
      <family val="2"/>
    </font>
    <font>
      <b/>
      <sz val="12"/>
      <color theme="1"/>
      <name val="Calibri"/>
      <family val="2"/>
      <scheme val="minor"/>
    </font>
    <font>
      <sz val="11"/>
      <color rgb="FF444444"/>
      <name val="Calibri"/>
      <family val="2"/>
      <charset val="1"/>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5"/>
      </patternFill>
    </fill>
    <fill>
      <patternFill patternType="solid">
        <fgColor rgb="FFD9E2F3"/>
        <bgColor indexed="64"/>
      </patternFill>
    </fill>
    <fill>
      <patternFill patternType="solid">
        <fgColor rgb="FFFBD1D1"/>
        <bgColor indexed="64"/>
      </patternFill>
    </fill>
    <fill>
      <patternFill patternType="solid">
        <fgColor rgb="FFAB81FF"/>
        <bgColor indexed="64"/>
      </patternFill>
    </fill>
    <fill>
      <patternFill patternType="solid">
        <fgColor rgb="FFFFD965"/>
        <bgColor indexed="64"/>
      </patternFill>
    </fill>
    <fill>
      <patternFill patternType="solid">
        <fgColor rgb="FFFFFF00"/>
        <bgColor indexed="64"/>
      </patternFill>
    </fill>
    <fill>
      <patternFill patternType="solid">
        <fgColor rgb="FFFFF2CC"/>
        <bgColor rgb="FF000000"/>
      </patternFill>
    </fill>
    <fill>
      <patternFill patternType="solid">
        <fgColor rgb="FFFFC7CE"/>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79998168889431442"/>
        <bgColor indexed="65"/>
      </patternFill>
    </fill>
    <fill>
      <patternFill patternType="solid">
        <fgColor theme="5" tint="0.79998168889431442"/>
        <bgColor indexed="64"/>
      </patternFill>
    </fill>
    <fill>
      <patternFill patternType="solid">
        <fgColor theme="4" tint="0.59999389629810485"/>
        <bgColor indexed="65"/>
      </patternFill>
    </fill>
  </fills>
  <borders count="54">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ck">
        <color rgb="FF000000"/>
      </bottom>
      <diagonal/>
    </border>
    <border>
      <left style="thin">
        <color rgb="FFCCCCCC"/>
      </left>
      <right style="thin">
        <color rgb="FFCCCCCC"/>
      </right>
      <top style="thin">
        <color rgb="FFCCCCCC"/>
      </top>
      <bottom style="thick">
        <color rgb="FF000000"/>
      </bottom>
      <diagonal/>
    </border>
    <border>
      <left style="thin">
        <color rgb="FFCCCCCC"/>
      </left>
      <right style="thin">
        <color rgb="FF000000"/>
      </right>
      <top style="thin">
        <color rgb="FFCCCCCC"/>
      </top>
      <bottom style="thick">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ck">
        <color rgb="FF000000"/>
      </right>
      <top style="thin">
        <color rgb="FFCCCCCC"/>
      </top>
      <bottom style="thin">
        <color rgb="FFCCCCCC"/>
      </bottom>
      <diagonal/>
    </border>
    <border>
      <left style="thin">
        <color rgb="FFCCCCCC"/>
      </left>
      <right style="thick">
        <color rgb="FF000000"/>
      </right>
      <top style="thin">
        <color rgb="FFCCCCCC"/>
      </top>
      <bottom style="thick">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rgb="FF000000"/>
      </top>
      <bottom style="medium">
        <color rgb="FF000000"/>
      </bottom>
      <diagonal/>
    </border>
    <border>
      <left style="medium">
        <color rgb="FF000000"/>
      </left>
      <right style="medium">
        <color rgb="FF000000"/>
      </right>
      <top style="medium">
        <color rgb="FF000000"/>
      </top>
      <bottom/>
      <diagonal/>
    </border>
  </borders>
  <cellStyleXfs count="8">
    <xf numFmtId="0" fontId="0" fillId="0" borderId="0"/>
    <xf numFmtId="0" fontId="2" fillId="2" borderId="0"/>
    <xf numFmtId="0" fontId="3" fillId="3" borderId="0"/>
    <xf numFmtId="0" fontId="4" fillId="4" borderId="0"/>
    <xf numFmtId="0" fontId="1" fillId="5" borderId="0"/>
    <xf numFmtId="9" fontId="1" fillId="0" borderId="0"/>
    <xf numFmtId="0" fontId="1" fillId="16" borderId="0"/>
    <xf numFmtId="0" fontId="1" fillId="18" borderId="0"/>
  </cellStyleXfs>
  <cellXfs count="256">
    <xf numFmtId="0" fontId="0" fillId="0" borderId="0" xfId="0"/>
    <xf numFmtId="0" fontId="6" fillId="0" borderId="1" xfId="0" applyFont="1" applyBorder="1" applyAlignment="1">
      <alignment readingOrder="1"/>
    </xf>
    <xf numFmtId="0" fontId="7" fillId="0" borderId="2" xfId="0" applyFont="1" applyBorder="1" applyAlignment="1">
      <alignment readingOrder="1"/>
    </xf>
    <xf numFmtId="0" fontId="7" fillId="0" borderId="3" xfId="0" applyFont="1" applyBorder="1" applyAlignment="1">
      <alignment readingOrder="1"/>
    </xf>
    <xf numFmtId="0" fontId="7" fillId="0" borderId="4" xfId="0" applyFont="1" applyBorder="1" applyAlignment="1">
      <alignment readingOrder="1"/>
    </xf>
    <xf numFmtId="0" fontId="8" fillId="6" borderId="2" xfId="0" applyFont="1" applyFill="1" applyBorder="1" applyAlignment="1">
      <alignment readingOrder="1"/>
    </xf>
    <xf numFmtId="0" fontId="7" fillId="6" borderId="2" xfId="0" applyFont="1" applyFill="1" applyBorder="1" applyAlignment="1">
      <alignment readingOrder="1"/>
    </xf>
    <xf numFmtId="0" fontId="7" fillId="6" borderId="5" xfId="0" applyFont="1" applyFill="1" applyBorder="1" applyAlignment="1">
      <alignment readingOrder="1"/>
    </xf>
    <xf numFmtId="0" fontId="8" fillId="7" borderId="2" xfId="0" applyFont="1" applyFill="1" applyBorder="1" applyAlignment="1">
      <alignment readingOrder="1"/>
    </xf>
    <xf numFmtId="0" fontId="7" fillId="7" borderId="2" xfId="0" applyFont="1" applyFill="1" applyBorder="1" applyAlignment="1">
      <alignment readingOrder="1"/>
    </xf>
    <xf numFmtId="0" fontId="7" fillId="7" borderId="5" xfId="0" applyFont="1" applyFill="1" applyBorder="1" applyAlignment="1">
      <alignment readingOrder="1"/>
    </xf>
    <xf numFmtId="0" fontId="8" fillId="8" borderId="2" xfId="0" applyFont="1" applyFill="1" applyBorder="1" applyAlignment="1">
      <alignment readingOrder="1"/>
    </xf>
    <xf numFmtId="0" fontId="7" fillId="8" borderId="2" xfId="0" applyFont="1" applyFill="1" applyBorder="1" applyAlignment="1">
      <alignment readingOrder="1"/>
    </xf>
    <xf numFmtId="0" fontId="7" fillId="8" borderId="5" xfId="0" applyFont="1" applyFill="1" applyBorder="1" applyAlignment="1">
      <alignment readingOrder="1"/>
    </xf>
    <xf numFmtId="0" fontId="8" fillId="9" borderId="2" xfId="0" applyFont="1" applyFill="1" applyBorder="1" applyAlignment="1">
      <alignment readingOrder="1"/>
    </xf>
    <xf numFmtId="0" fontId="7" fillId="9" borderId="2" xfId="0" applyFont="1" applyFill="1" applyBorder="1" applyAlignment="1">
      <alignment readingOrder="1"/>
    </xf>
    <xf numFmtId="0" fontId="7" fillId="9" borderId="5" xfId="0" applyFont="1" applyFill="1" applyBorder="1" applyAlignment="1">
      <alignment readingOrder="1"/>
    </xf>
    <xf numFmtId="0" fontId="7" fillId="0" borderId="6" xfId="0" applyFont="1" applyBorder="1" applyAlignment="1">
      <alignment readingOrder="1"/>
    </xf>
    <xf numFmtId="0" fontId="9" fillId="0" borderId="7" xfId="0" applyFont="1" applyBorder="1" applyAlignment="1">
      <alignment readingOrder="1"/>
    </xf>
    <xf numFmtId="0" fontId="10" fillId="0" borderId="8" xfId="0" applyFont="1" applyBorder="1" applyAlignment="1">
      <alignment readingOrder="1"/>
    </xf>
    <xf numFmtId="0" fontId="7" fillId="0" borderId="9" xfId="0" applyFont="1" applyBorder="1" applyAlignment="1">
      <alignment readingOrder="1"/>
    </xf>
    <xf numFmtId="0" fontId="7" fillId="0" borderId="10" xfId="0" applyFont="1" applyBorder="1" applyAlignment="1">
      <alignment readingOrder="1"/>
    </xf>
    <xf numFmtId="0" fontId="7" fillId="6" borderId="7" xfId="0" applyFont="1" applyFill="1" applyBorder="1" applyAlignment="1">
      <alignment readingOrder="1"/>
    </xf>
    <xf numFmtId="9" fontId="7" fillId="6" borderId="7" xfId="0" applyNumberFormat="1" applyFont="1" applyFill="1" applyBorder="1" applyAlignment="1">
      <alignment readingOrder="1"/>
    </xf>
    <xf numFmtId="0" fontId="7" fillId="6" borderId="8" xfId="0" applyFont="1" applyFill="1" applyBorder="1" applyAlignment="1">
      <alignment readingOrder="1"/>
    </xf>
    <xf numFmtId="0" fontId="7" fillId="7" borderId="7" xfId="0" applyFont="1" applyFill="1" applyBorder="1" applyAlignment="1">
      <alignment readingOrder="1"/>
    </xf>
    <xf numFmtId="0" fontId="7" fillId="7" borderId="8" xfId="0" applyFont="1" applyFill="1" applyBorder="1" applyAlignment="1">
      <alignment readingOrder="1"/>
    </xf>
    <xf numFmtId="0" fontId="7" fillId="8" borderId="7" xfId="0" applyFont="1" applyFill="1" applyBorder="1" applyAlignment="1">
      <alignment readingOrder="1"/>
    </xf>
    <xf numFmtId="0" fontId="7" fillId="8" borderId="8" xfId="0" applyFont="1" applyFill="1" applyBorder="1" applyAlignment="1">
      <alignment readingOrder="1"/>
    </xf>
    <xf numFmtId="0" fontId="7" fillId="9" borderId="7" xfId="0" applyFont="1" applyFill="1" applyBorder="1" applyAlignment="1">
      <alignment readingOrder="1"/>
    </xf>
    <xf numFmtId="0" fontId="7" fillId="9" borderId="8" xfId="0" applyFont="1" applyFill="1" applyBorder="1" applyAlignment="1">
      <alignment readingOrder="1"/>
    </xf>
    <xf numFmtId="0" fontId="7" fillId="0" borderId="8" xfId="0" applyFont="1" applyBorder="1" applyAlignment="1">
      <alignment readingOrder="1"/>
    </xf>
    <xf numFmtId="0" fontId="7" fillId="0" borderId="11" xfId="0" applyFont="1" applyBorder="1" applyAlignment="1">
      <alignment readingOrder="1"/>
    </xf>
    <xf numFmtId="0" fontId="8" fillId="0" borderId="11" xfId="0" applyFont="1" applyBorder="1" applyAlignment="1">
      <alignment readingOrder="1"/>
    </xf>
    <xf numFmtId="0" fontId="8" fillId="0" borderId="9" xfId="0" applyFont="1" applyBorder="1" applyAlignment="1">
      <alignment readingOrder="1"/>
    </xf>
    <xf numFmtId="0" fontId="8" fillId="0" borderId="12" xfId="0" applyFont="1" applyBorder="1" applyAlignment="1">
      <alignment readingOrder="1"/>
    </xf>
    <xf numFmtId="0" fontId="8" fillId="0" borderId="13" xfId="0" applyFont="1" applyBorder="1" applyAlignment="1">
      <alignment readingOrder="1"/>
    </xf>
    <xf numFmtId="0" fontId="11" fillId="0" borderId="13" xfId="0" applyFont="1" applyBorder="1" applyAlignment="1">
      <alignment readingOrder="1"/>
    </xf>
    <xf numFmtId="0" fontId="7" fillId="0" borderId="13" xfId="0" applyFont="1" applyBorder="1" applyAlignment="1">
      <alignment readingOrder="1"/>
    </xf>
    <xf numFmtId="0" fontId="7" fillId="0" borderId="14" xfId="0" applyFont="1" applyBorder="1" applyAlignment="1">
      <alignment readingOrder="1"/>
    </xf>
    <xf numFmtId="11" fontId="7" fillId="0" borderId="9" xfId="0" applyNumberFormat="1" applyFont="1" applyBorder="1" applyAlignment="1">
      <alignment readingOrder="1"/>
    </xf>
    <xf numFmtId="0" fontId="7" fillId="0" borderId="7" xfId="0" applyFont="1" applyBorder="1" applyAlignment="1">
      <alignment readingOrder="1"/>
    </xf>
    <xf numFmtId="11" fontId="7" fillId="0" borderId="7" xfId="0" applyNumberFormat="1" applyFont="1" applyBorder="1" applyAlignment="1">
      <alignment readingOrder="1"/>
    </xf>
    <xf numFmtId="0" fontId="12" fillId="0" borderId="15" xfId="0" applyFont="1" applyBorder="1" applyAlignment="1">
      <alignment readingOrder="1"/>
    </xf>
    <xf numFmtId="0" fontId="7" fillId="0" borderId="12" xfId="0" applyFont="1" applyBorder="1" applyAlignment="1">
      <alignment readingOrder="1"/>
    </xf>
    <xf numFmtId="0" fontId="7" fillId="0" borderId="16" xfId="0" applyFont="1" applyBorder="1" applyAlignment="1">
      <alignment readingOrder="1"/>
    </xf>
    <xf numFmtId="0" fontId="13" fillId="10" borderId="9" xfId="0" applyFont="1" applyFill="1" applyBorder="1" applyAlignment="1">
      <alignment readingOrder="1"/>
    </xf>
    <xf numFmtId="0" fontId="7" fillId="10" borderId="9" xfId="0" applyFont="1" applyFill="1" applyBorder="1" applyAlignment="1">
      <alignment readingOrder="1"/>
    </xf>
    <xf numFmtId="0" fontId="7" fillId="10" borderId="16" xfId="0" applyFont="1" applyFill="1" applyBorder="1" applyAlignment="1">
      <alignment readingOrder="1"/>
    </xf>
    <xf numFmtId="20" fontId="7" fillId="0" borderId="9" xfId="0" applyNumberFormat="1" applyFont="1" applyBorder="1" applyAlignment="1">
      <alignment readingOrder="1"/>
    </xf>
    <xf numFmtId="0" fontId="7" fillId="10" borderId="13" xfId="0" applyFont="1" applyFill="1" applyBorder="1" applyAlignment="1">
      <alignment readingOrder="1"/>
    </xf>
    <xf numFmtId="0" fontId="7" fillId="10" borderId="17" xfId="0" applyFont="1" applyFill="1" applyBorder="1" applyAlignment="1">
      <alignment readingOrder="1"/>
    </xf>
    <xf numFmtId="0" fontId="7" fillId="0" borderId="17" xfId="0" applyFont="1" applyBorder="1" applyAlignment="1">
      <alignment readingOrder="1"/>
    </xf>
    <xf numFmtId="0" fontId="6" fillId="0" borderId="11" xfId="0" applyFont="1" applyBorder="1" applyAlignment="1">
      <alignment wrapText="1" readingOrder="1"/>
    </xf>
    <xf numFmtId="0" fontId="6" fillId="0" borderId="9" xfId="0" applyFont="1" applyBorder="1" applyAlignment="1">
      <alignment wrapText="1" readingOrder="1"/>
    </xf>
    <xf numFmtId="20" fontId="7" fillId="0" borderId="11" xfId="0" applyNumberFormat="1" applyFont="1" applyBorder="1" applyAlignment="1">
      <alignment readingOrder="1"/>
    </xf>
    <xf numFmtId="0" fontId="10" fillId="0" borderId="0" xfId="0" applyFont="1"/>
    <xf numFmtId="0" fontId="14" fillId="0" borderId="0" xfId="0" applyFont="1"/>
    <xf numFmtId="14" fontId="10" fillId="0" borderId="0" xfId="0" applyNumberFormat="1" applyFont="1"/>
    <xf numFmtId="14" fontId="0" fillId="0" borderId="0" xfId="0" applyNumberFormat="1"/>
    <xf numFmtId="0" fontId="10" fillId="0" borderId="18" xfId="0" applyFont="1" applyBorder="1"/>
    <xf numFmtId="0" fontId="10" fillId="11" borderId="19" xfId="0" applyFont="1" applyFill="1" applyBorder="1"/>
    <xf numFmtId="0" fontId="1" fillId="5" borderId="20" xfId="4" applyBorder="1"/>
    <xf numFmtId="0" fontId="1" fillId="5" borderId="21" xfId="4" applyBorder="1"/>
    <xf numFmtId="0" fontId="1" fillId="5" borderId="22" xfId="4" applyBorder="1"/>
    <xf numFmtId="0" fontId="1" fillId="5" borderId="23" xfId="4" applyBorder="1"/>
    <xf numFmtId="0" fontId="1" fillId="5" borderId="0" xfId="4"/>
    <xf numFmtId="0" fontId="1" fillId="5" borderId="24" xfId="4" applyBorder="1"/>
    <xf numFmtId="0" fontId="1" fillId="5" borderId="25" xfId="4" applyBorder="1"/>
    <xf numFmtId="0" fontId="1" fillId="5" borderId="26" xfId="4" applyBorder="1"/>
    <xf numFmtId="0" fontId="1" fillId="5" borderId="27" xfId="4" applyBorder="1"/>
    <xf numFmtId="0" fontId="11" fillId="0" borderId="0" xfId="0" applyFont="1" applyAlignment="1">
      <alignment horizontal="left"/>
    </xf>
    <xf numFmtId="14" fontId="5" fillId="0" borderId="0" xfId="0" applyNumberFormat="1" applyFont="1" applyAlignment="1">
      <alignment horizontal="center"/>
    </xf>
    <xf numFmtId="0" fontId="15" fillId="0" borderId="0" xfId="0" quotePrefix="1" applyFont="1"/>
    <xf numFmtId="0" fontId="11" fillId="12" borderId="28" xfId="0" applyFont="1" applyFill="1" applyBorder="1" applyAlignment="1">
      <alignment horizontal="left"/>
    </xf>
    <xf numFmtId="0" fontId="0" fillId="12" borderId="29" xfId="0" applyFill="1" applyBorder="1" applyAlignment="1">
      <alignment horizontal="center"/>
    </xf>
    <xf numFmtId="0" fontId="0" fillId="12" borderId="30" xfId="0" applyFill="1" applyBorder="1" applyAlignment="1">
      <alignment horizontal="center"/>
    </xf>
    <xf numFmtId="0" fontId="0" fillId="12" borderId="31" xfId="0" applyFill="1" applyBorder="1" applyAlignment="1">
      <alignment horizontal="center"/>
    </xf>
    <xf numFmtId="0" fontId="0" fillId="12" borderId="0" xfId="0" applyFill="1" applyAlignment="1">
      <alignment horizontal="center"/>
    </xf>
    <xf numFmtId="0" fontId="0" fillId="12" borderId="32" xfId="0" applyFill="1" applyBorder="1" applyAlignment="1">
      <alignment horizontal="center"/>
    </xf>
    <xf numFmtId="0" fontId="0" fillId="12" borderId="33" xfId="0" applyFill="1" applyBorder="1" applyAlignment="1">
      <alignment horizontal="center"/>
    </xf>
    <xf numFmtId="0" fontId="0" fillId="12" borderId="34" xfId="0" applyFill="1" applyBorder="1" applyAlignment="1">
      <alignment horizontal="center"/>
    </xf>
    <xf numFmtId="0" fontId="0" fillId="12" borderId="35" xfId="0" applyFill="1" applyBorder="1" applyAlignment="1">
      <alignment horizontal="center"/>
    </xf>
    <xf numFmtId="0" fontId="16" fillId="12" borderId="0" xfId="2" applyFont="1" applyFill="1"/>
    <xf numFmtId="0" fontId="16" fillId="2" borderId="0" xfId="1" applyFont="1"/>
    <xf numFmtId="0" fontId="16" fillId="4" borderId="0" xfId="3" applyFont="1"/>
    <xf numFmtId="0" fontId="17" fillId="0" borderId="0" xfId="0" applyFont="1"/>
    <xf numFmtId="14" fontId="17" fillId="0" borderId="0" xfId="0" applyNumberFormat="1" applyFont="1"/>
    <xf numFmtId="2" fontId="17" fillId="0" borderId="0" xfId="0" applyNumberFormat="1" applyFont="1"/>
    <xf numFmtId="9" fontId="0" fillId="0" borderId="0" xfId="0" applyNumberFormat="1"/>
    <xf numFmtId="0" fontId="11" fillId="11" borderId="36" xfId="0" applyFont="1" applyFill="1" applyBorder="1"/>
    <xf numFmtId="0" fontId="10" fillId="11" borderId="37" xfId="0" applyFont="1" applyFill="1" applyBorder="1"/>
    <xf numFmtId="0" fontId="10" fillId="11" borderId="38" xfId="0" applyFont="1" applyFill="1" applyBorder="1"/>
    <xf numFmtId="0" fontId="10" fillId="11" borderId="39" xfId="0" applyFont="1" applyFill="1" applyBorder="1"/>
    <xf numFmtId="0" fontId="10" fillId="11" borderId="0" xfId="0" applyFont="1" applyFill="1"/>
    <xf numFmtId="0" fontId="10" fillId="11" borderId="40" xfId="0" applyFont="1" applyFill="1" applyBorder="1"/>
    <xf numFmtId="0" fontId="10" fillId="11" borderId="41" xfId="0" applyFont="1" applyFill="1" applyBorder="1"/>
    <xf numFmtId="0" fontId="10" fillId="11" borderId="42" xfId="0" applyFont="1" applyFill="1" applyBorder="1"/>
    <xf numFmtId="0" fontId="10" fillId="11" borderId="43" xfId="0" applyFont="1" applyFill="1" applyBorder="1"/>
    <xf numFmtId="10" fontId="0" fillId="0" borderId="0" xfId="5" applyNumberFormat="1" applyFont="1"/>
    <xf numFmtId="0" fontId="0" fillId="0" borderId="44" xfId="0" applyBorder="1"/>
    <xf numFmtId="0" fontId="0" fillId="0" borderId="47" xfId="0" applyBorder="1"/>
    <xf numFmtId="2" fontId="0" fillId="0" borderId="0" xfId="0" applyNumberFormat="1"/>
    <xf numFmtId="1" fontId="0" fillId="0" borderId="0" xfId="0" applyNumberFormat="1"/>
    <xf numFmtId="10" fontId="0" fillId="0" borderId="0" xfId="0" applyNumberFormat="1"/>
    <xf numFmtId="164" fontId="0" fillId="0" borderId="0" xfId="0" applyNumberFormat="1"/>
    <xf numFmtId="0" fontId="0" fillId="13" borderId="0" xfId="0" applyFill="1"/>
    <xf numFmtId="165" fontId="0" fillId="0" borderId="0" xfId="0" applyNumberFormat="1"/>
    <xf numFmtId="0" fontId="0" fillId="0" borderId="36" xfId="0" applyBorder="1" applyAlignment="1">
      <alignment horizontal="center"/>
    </xf>
    <xf numFmtId="16" fontId="0" fillId="0" borderId="0" xfId="0" applyNumberFormat="1"/>
    <xf numFmtId="0" fontId="5" fillId="0" borderId="18" xfId="0" applyFont="1" applyBorder="1"/>
    <xf numFmtId="0" fontId="0" fillId="15" borderId="0" xfId="0" applyFill="1"/>
    <xf numFmtId="0" fontId="0" fillId="0" borderId="20"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0" xfId="0" applyAlignment="1">
      <alignment wrapText="1"/>
    </xf>
    <xf numFmtId="0" fontId="19" fillId="0" borderId="40" xfId="0" applyFont="1" applyBorder="1"/>
    <xf numFmtId="0" fontId="19" fillId="0" borderId="43" xfId="0" applyFont="1" applyBorder="1"/>
    <xf numFmtId="0" fontId="0" fillId="0" borderId="50" xfId="0" applyBorder="1" applyAlignment="1">
      <alignment wrapText="1"/>
    </xf>
    <xf numFmtId="0" fontId="0" fillId="0" borderId="18" xfId="0" applyBorder="1" applyAlignment="1">
      <alignment wrapText="1"/>
    </xf>
    <xf numFmtId="0" fontId="0" fillId="0" borderId="36" xfId="0" applyBorder="1" applyAlignment="1">
      <alignment horizontal="left" vertical="center" wrapText="1"/>
    </xf>
    <xf numFmtId="0" fontId="0" fillId="0" borderId="39" xfId="0" applyBorder="1" applyAlignment="1">
      <alignment horizontal="left" vertical="center" wrapText="1"/>
    </xf>
    <xf numFmtId="0" fontId="0" fillId="0" borderId="41" xfId="0" applyBorder="1" applyAlignment="1">
      <alignment horizontal="left" vertical="center" wrapText="1"/>
    </xf>
    <xf numFmtId="0" fontId="0" fillId="0" borderId="39" xfId="0" applyBorder="1" applyAlignment="1">
      <alignment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41" xfId="0" applyBorder="1" applyAlignment="1">
      <alignment horizontal="center"/>
    </xf>
    <xf numFmtId="0" fontId="0" fillId="0" borderId="43" xfId="0" applyBorder="1" applyAlignment="1">
      <alignment horizontal="center" wrapText="1"/>
    </xf>
    <xf numFmtId="0" fontId="5" fillId="0" borderId="0" xfId="0" applyFont="1" applyAlignment="1">
      <alignment wrapText="1"/>
    </xf>
    <xf numFmtId="0" fontId="1" fillId="18" borderId="0" xfId="7"/>
    <xf numFmtId="0" fontId="0" fillId="18" borderId="0" xfId="7" applyFont="1"/>
    <xf numFmtId="0" fontId="5" fillId="0" borderId="47" xfId="0" applyFont="1" applyBorder="1" applyAlignment="1">
      <alignment wrapText="1"/>
    </xf>
    <xf numFmtId="0" fontId="1" fillId="0" borderId="44" xfId="6" applyFill="1" applyBorder="1" applyAlignment="1">
      <alignment wrapText="1"/>
    </xf>
    <xf numFmtId="0" fontId="1" fillId="0" borderId="45" xfId="6" applyFill="1" applyBorder="1" applyAlignment="1">
      <alignment wrapText="1"/>
    </xf>
    <xf numFmtId="0" fontId="0" fillId="0" borderId="36" xfId="0" applyBorder="1" applyAlignment="1">
      <alignment wrapText="1"/>
    </xf>
    <xf numFmtId="0" fontId="0" fillId="0" borderId="37" xfId="0" applyBorder="1" applyAlignment="1">
      <alignment wrapText="1"/>
    </xf>
    <xf numFmtId="0" fontId="0" fillId="0" borderId="38" xfId="0" applyBorder="1" applyAlignment="1">
      <alignment wrapText="1"/>
    </xf>
    <xf numFmtId="0" fontId="0" fillId="0" borderId="41" xfId="0"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46" xfId="0" applyBorder="1" applyAlignment="1">
      <alignment wrapText="1"/>
    </xf>
    <xf numFmtId="0" fontId="0" fillId="0" borderId="45"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7" xfId="0" applyBorder="1" applyAlignment="1">
      <alignment wrapText="1"/>
    </xf>
    <xf numFmtId="0" fontId="0" fillId="0" borderId="19" xfId="0" applyBorder="1" applyAlignment="1">
      <alignment wrapText="1"/>
    </xf>
    <xf numFmtId="0" fontId="5" fillId="0" borderId="38" xfId="0" applyFont="1" applyBorder="1" applyAlignment="1">
      <alignment wrapText="1"/>
    </xf>
    <xf numFmtId="0" fontId="5" fillId="0" borderId="43" xfId="0" applyFont="1" applyBorder="1" applyAlignment="1">
      <alignment wrapText="1"/>
    </xf>
    <xf numFmtId="0" fontId="5" fillId="0" borderId="39" xfId="0" applyFont="1" applyBorder="1" applyAlignment="1">
      <alignment wrapText="1"/>
    </xf>
    <xf numFmtId="2" fontId="0" fillId="0" borderId="0" xfId="0" applyNumberFormat="1" applyAlignment="1">
      <alignment wrapText="1"/>
    </xf>
    <xf numFmtId="0" fontId="0" fillId="0" borderId="0" xfId="0" applyAlignment="1">
      <alignment vertical="center" wrapText="1"/>
    </xf>
    <xf numFmtId="0" fontId="0" fillId="0" borderId="0" xfId="0" applyAlignment="1">
      <alignment vertical="center"/>
    </xf>
    <xf numFmtId="0" fontId="5" fillId="0" borderId="0" xfId="0" applyFont="1" applyAlignment="1">
      <alignment horizontal="center" vertical="center" wrapText="1"/>
    </xf>
    <xf numFmtId="0" fontId="0" fillId="0" borderId="46" xfId="0" applyBorder="1" applyAlignment="1">
      <alignment vertical="center" wrapText="1"/>
    </xf>
    <xf numFmtId="0" fontId="5" fillId="0" borderId="0" xfId="0" applyFont="1" applyAlignment="1">
      <alignment horizontal="center" vertical="center" textRotation="90" wrapText="1"/>
    </xf>
    <xf numFmtId="0" fontId="5" fillId="18" borderId="0" xfId="7" applyFont="1"/>
    <xf numFmtId="0" fontId="0" fillId="17" borderId="38" xfId="0" applyFill="1" applyBorder="1" applyAlignment="1">
      <alignment wrapText="1"/>
    </xf>
    <xf numFmtId="0" fontId="0" fillId="17" borderId="40" xfId="0" applyFill="1" applyBorder="1" applyAlignment="1">
      <alignment wrapText="1"/>
    </xf>
    <xf numFmtId="0" fontId="0" fillId="17" borderId="43" xfId="0" applyFill="1" applyBorder="1" applyAlignment="1">
      <alignment wrapText="1"/>
    </xf>
    <xf numFmtId="0" fontId="5" fillId="0" borderId="41" xfId="0" applyFont="1" applyBorder="1" applyAlignment="1">
      <alignment wrapText="1"/>
    </xf>
    <xf numFmtId="0" fontId="5" fillId="0" borderId="42" xfId="0" applyFont="1" applyBorder="1" applyAlignment="1">
      <alignment wrapText="1"/>
    </xf>
    <xf numFmtId="0" fontId="5" fillId="0" borderId="45" xfId="0" applyFont="1" applyBorder="1" applyAlignment="1">
      <alignment wrapText="1"/>
    </xf>
    <xf numFmtId="2" fontId="0" fillId="0" borderId="51" xfId="0" applyNumberFormat="1" applyBorder="1" applyAlignment="1">
      <alignment wrapText="1"/>
    </xf>
    <xf numFmtId="9" fontId="0" fillId="0" borderId="0" xfId="5" applyFont="1" applyAlignment="1">
      <alignment wrapText="1"/>
    </xf>
    <xf numFmtId="0" fontId="5" fillId="0" borderId="39" xfId="0" applyFont="1" applyBorder="1" applyAlignment="1">
      <alignment horizontal="left" wrapText="1"/>
    </xf>
    <xf numFmtId="9" fontId="0" fillId="0" borderId="42" xfId="5" applyFont="1" applyBorder="1" applyAlignment="1">
      <alignment wrapText="1"/>
    </xf>
    <xf numFmtId="0" fontId="0" fillId="0" borderId="36" xfId="0" applyBorder="1"/>
    <xf numFmtId="9" fontId="0" fillId="0" borderId="43" xfId="0" applyNumberFormat="1" applyBorder="1"/>
    <xf numFmtId="0" fontId="0" fillId="17" borderId="25" xfId="0" applyFill="1" applyBorder="1"/>
    <xf numFmtId="0" fontId="0" fillId="17" borderId="26" xfId="0" applyFill="1" applyBorder="1"/>
    <xf numFmtId="0" fontId="0" fillId="17" borderId="49" xfId="0" applyFill="1" applyBorder="1"/>
    <xf numFmtId="0" fontId="19" fillId="0" borderId="38" xfId="0" applyFont="1" applyBorder="1"/>
    <xf numFmtId="0" fontId="5" fillId="0" borderId="41" xfId="0" applyFont="1" applyBorder="1"/>
    <xf numFmtId="0" fontId="0" fillId="0" borderId="18" xfId="0" applyBorder="1"/>
    <xf numFmtId="9" fontId="0" fillId="0" borderId="46" xfId="5" applyFont="1" applyBorder="1"/>
    <xf numFmtId="9" fontId="0" fillId="0" borderId="45" xfId="5" applyFont="1" applyBorder="1"/>
    <xf numFmtId="0" fontId="5" fillId="0" borderId="47" xfId="0" applyFont="1" applyBorder="1"/>
    <xf numFmtId="166" fontId="0" fillId="0" borderId="52" xfId="0" applyNumberFormat="1" applyBorder="1" applyAlignment="1">
      <alignment wrapText="1"/>
    </xf>
    <xf numFmtId="166" fontId="0" fillId="0" borderId="0" xfId="0" applyNumberFormat="1" applyAlignment="1">
      <alignment wrapText="1"/>
    </xf>
    <xf numFmtId="0" fontId="18" fillId="0" borderId="48" xfId="0" applyFont="1" applyBorder="1" applyAlignment="1">
      <alignment wrapText="1"/>
    </xf>
    <xf numFmtId="10" fontId="0" fillId="0" borderId="0" xfId="0" applyNumberFormat="1" applyAlignment="1">
      <alignment wrapText="1"/>
    </xf>
    <xf numFmtId="16" fontId="0" fillId="0" borderId="0" xfId="0" applyNumberFormat="1" applyAlignment="1">
      <alignment wrapText="1"/>
    </xf>
    <xf numFmtId="0" fontId="5" fillId="0" borderId="0" xfId="0" applyFont="1"/>
    <xf numFmtId="167" fontId="0" fillId="0" borderId="0" xfId="5" applyNumberFormat="1" applyFont="1"/>
    <xf numFmtId="167" fontId="0" fillId="0" borderId="0" xfId="0" applyNumberFormat="1"/>
    <xf numFmtId="0" fontId="0" fillId="0" borderId="0" xfId="0" quotePrefix="1"/>
    <xf numFmtId="0" fontId="5" fillId="0" borderId="0" xfId="0" applyFont="1" applyAlignment="1">
      <alignment horizontal="center" wrapText="1"/>
    </xf>
    <xf numFmtId="0" fontId="5" fillId="0" borderId="36" xfId="0" applyFont="1" applyBorder="1" applyAlignment="1">
      <alignment horizontal="center"/>
    </xf>
    <xf numFmtId="0" fontId="0" fillId="0" borderId="38" xfId="0" applyBorder="1" applyAlignment="1">
      <alignment horizontal="center"/>
    </xf>
    <xf numFmtId="0" fontId="0" fillId="0" borderId="42" xfId="0" applyBorder="1" applyAlignment="1">
      <alignment horizontal="left" wrapText="1"/>
    </xf>
    <xf numFmtId="0" fontId="0" fillId="0" borderId="0" xfId="0" applyAlignment="1">
      <alignment horizontal="center" vertical="center"/>
    </xf>
    <xf numFmtId="0" fontId="0" fillId="0" borderId="0" xfId="0"/>
    <xf numFmtId="0" fontId="0" fillId="0" borderId="51" xfId="0" applyBorder="1"/>
    <xf numFmtId="0" fontId="0" fillId="0" borderId="19" xfId="0" applyBorder="1"/>
    <xf numFmtId="0" fontId="0" fillId="0" borderId="45" xfId="0" applyBorder="1"/>
    <xf numFmtId="0" fontId="0" fillId="0" borderId="46" xfId="0" applyBorder="1"/>
    <xf numFmtId="0" fontId="0" fillId="0" borderId="37" xfId="0" applyBorder="1"/>
    <xf numFmtId="0" fontId="0" fillId="0" borderId="38" xfId="0" applyBorder="1"/>
    <xf numFmtId="0" fontId="5" fillId="0" borderId="46" xfId="0" applyFont="1" applyBorder="1" applyAlignment="1">
      <alignment horizontal="center" vertical="center" wrapText="1"/>
    </xf>
    <xf numFmtId="0" fontId="5" fillId="0" borderId="18" xfId="0" applyFont="1" applyBorder="1" applyAlignment="1">
      <alignment horizontal="center"/>
    </xf>
    <xf numFmtId="0" fontId="5" fillId="0" borderId="0" xfId="0" applyFont="1" applyAlignment="1">
      <alignment horizontal="center"/>
    </xf>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0" xfId="0" applyAlignment="1">
      <alignment horizontal="center" vertical="center" wrapText="1"/>
    </xf>
    <xf numFmtId="0" fontId="0" fillId="0" borderId="0" xfId="0" applyAlignment="1">
      <alignment horizontal="center" vertical="center"/>
    </xf>
    <xf numFmtId="0" fontId="0" fillId="0" borderId="0" xfId="0"/>
    <xf numFmtId="0" fontId="5" fillId="14" borderId="0" xfId="0" applyFont="1" applyFill="1" applyAlignment="1">
      <alignment horizontal="center"/>
    </xf>
    <xf numFmtId="0" fontId="5" fillId="14" borderId="0" xfId="0" applyFont="1" applyFill="1" applyAlignment="1">
      <alignment horizontal="center" wrapText="1"/>
    </xf>
    <xf numFmtId="0" fontId="0" fillId="0" borderId="18" xfId="0" applyBorder="1" applyAlignment="1">
      <alignment horizontal="center" wrapText="1"/>
    </xf>
    <xf numFmtId="0" fontId="0" fillId="0" borderId="51" xfId="0" applyBorder="1"/>
    <xf numFmtId="0" fontId="0" fillId="0" borderId="19" xfId="0" applyBorder="1"/>
    <xf numFmtId="0" fontId="5" fillId="0" borderId="18" xfId="0" applyFont="1" applyBorder="1" applyAlignment="1">
      <alignment horizontal="center" wrapText="1"/>
    </xf>
    <xf numFmtId="0" fontId="5" fillId="0" borderId="18" xfId="0" applyFont="1" applyBorder="1" applyAlignment="1">
      <alignment horizontal="center" vertical="center" wrapText="1"/>
    </xf>
    <xf numFmtId="0" fontId="0" fillId="0" borderId="45" xfId="0" applyBorder="1"/>
    <xf numFmtId="0" fontId="0" fillId="0" borderId="18" xfId="0" applyBorder="1" applyAlignment="1">
      <alignment horizontal="center" vertical="center" wrapText="1"/>
    </xf>
    <xf numFmtId="0" fontId="5" fillId="0" borderId="18" xfId="0" applyFont="1" applyBorder="1" applyAlignment="1">
      <alignment horizontal="center" vertical="center" textRotation="90" wrapText="1"/>
    </xf>
    <xf numFmtId="0" fontId="0" fillId="0" borderId="46" xfId="0" applyBorder="1"/>
    <xf numFmtId="0" fontId="5" fillId="0" borderId="44" xfId="0" applyFont="1" applyBorder="1" applyAlignment="1">
      <alignment horizontal="center" wrapText="1"/>
    </xf>
    <xf numFmtId="0" fontId="0" fillId="0" borderId="37" xfId="0" applyBorder="1"/>
    <xf numFmtId="0" fontId="0" fillId="0" borderId="38" xfId="0" applyBorder="1"/>
    <xf numFmtId="0" fontId="5" fillId="17" borderId="0" xfId="0" applyFont="1" applyFill="1" applyAlignment="1">
      <alignment horizontal="center"/>
    </xf>
    <xf numFmtId="0" fontId="5" fillId="0" borderId="45" xfId="0" applyFont="1" applyBorder="1" applyAlignment="1">
      <alignment horizontal="center" vertical="center" textRotation="90" wrapText="1"/>
    </xf>
    <xf numFmtId="0" fontId="5" fillId="17" borderId="44" xfId="0" applyFont="1" applyFill="1" applyBorder="1" applyAlignment="1">
      <alignment horizontal="center" wrapText="1"/>
    </xf>
    <xf numFmtId="0" fontId="0" fillId="0" borderId="44" xfId="0" applyBorder="1" applyAlignment="1">
      <alignment horizontal="center" vertical="center" wrapText="1"/>
    </xf>
    <xf numFmtId="0" fontId="5" fillId="17" borderId="0" xfId="0" applyFont="1" applyFill="1" applyAlignment="1">
      <alignment horizontal="center" wrapText="1"/>
    </xf>
    <xf numFmtId="0" fontId="5" fillId="0" borderId="44" xfId="0" applyFont="1" applyBorder="1" applyAlignment="1">
      <alignment horizontal="center" vertical="center" wrapText="1"/>
    </xf>
    <xf numFmtId="0" fontId="0" fillId="0" borderId="46" xfId="0" applyBorder="1" applyAlignment="1">
      <alignment horizontal="center" vertical="center" wrapText="1"/>
    </xf>
    <xf numFmtId="0" fontId="5" fillId="0" borderId="46" xfId="0" applyFont="1" applyBorder="1" applyAlignment="1">
      <alignment horizontal="center" vertical="center" wrapText="1"/>
    </xf>
    <xf numFmtId="0" fontId="5" fillId="0" borderId="20" xfId="0" applyFont="1" applyBorder="1" applyAlignment="1">
      <alignment horizontal="center"/>
    </xf>
    <xf numFmtId="0" fontId="0" fillId="0" borderId="21" xfId="0" applyBorder="1"/>
    <xf numFmtId="0" fontId="5" fillId="0" borderId="53" xfId="0" applyFont="1" applyBorder="1" applyAlignment="1">
      <alignment horizontal="center"/>
    </xf>
    <xf numFmtId="0" fontId="0" fillId="0" borderId="22" xfId="0" applyBorder="1"/>
    <xf numFmtId="0" fontId="5" fillId="0" borderId="44" xfId="0" applyFont="1" applyBorder="1" applyAlignment="1">
      <alignment horizontal="center"/>
    </xf>
    <xf numFmtId="0" fontId="5" fillId="0" borderId="44" xfId="0" applyFont="1" applyBorder="1" applyAlignment="1">
      <alignment horizontal="center" vertical="center"/>
    </xf>
    <xf numFmtId="0" fontId="5" fillId="14" borderId="44" xfId="0" applyFont="1" applyFill="1" applyBorder="1" applyAlignment="1">
      <alignment horizontal="center"/>
    </xf>
    <xf numFmtId="0" fontId="0" fillId="0" borderId="18" xfId="0" applyBorder="1" applyAlignment="1">
      <alignment horizontal="center" vertical="center"/>
    </xf>
    <xf numFmtId="0" fontId="5" fillId="0" borderId="18" xfId="0" applyFont="1" applyBorder="1" applyAlignment="1">
      <alignment horizontal="center" vertical="center"/>
    </xf>
    <xf numFmtId="0" fontId="5" fillId="0" borderId="18" xfId="0" applyFont="1" applyBorder="1" applyAlignment="1">
      <alignment horizontal="center"/>
    </xf>
    <xf numFmtId="0" fontId="5" fillId="0" borderId="0" xfId="0" applyFont="1" applyAlignment="1">
      <alignment horizontal="center"/>
    </xf>
    <xf numFmtId="0" fontId="0" fillId="0" borderId="18" xfId="0" applyBorder="1" applyAlignment="1">
      <alignment horizontal="left" wrapText="1"/>
    </xf>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5" fillId="17" borderId="18" xfId="0" applyFont="1" applyFill="1" applyBorder="1" applyAlignment="1">
      <alignment horizontal="center"/>
    </xf>
    <xf numFmtId="0" fontId="3" fillId="3" borderId="0" xfId="2"/>
    <xf numFmtId="0" fontId="0" fillId="0" borderId="0" xfId="0" applyAlignment="1">
      <alignment horizontal="left" wrapText="1"/>
    </xf>
    <xf numFmtId="0" fontId="0" fillId="0" borderId="0" xfId="0" applyAlignment="1">
      <alignment horizontal="center" vertical="center" wrapText="1"/>
    </xf>
  </cellXfs>
  <cellStyles count="8">
    <cellStyle name="20% - Accent2" xfId="4" builtinId="34"/>
    <cellStyle name="20% - Accent5" xfId="6" builtinId="46"/>
    <cellStyle name="40% - Accent1" xfId="7" builtinId="31"/>
    <cellStyle name="Bad" xfId="2" builtinId="27"/>
    <cellStyle name="Good" xfId="1" builtinId="26"/>
    <cellStyle name="Neutral" xfId="3" builtinId="28"/>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scatterChart>
        <c:scatterStyle val="lineMarker"/>
        <c:varyColors val="0"/>
        <c:ser>
          <c:idx val="0"/>
          <c:order val="0"/>
          <c:tx>
            <c:v>Pressure vs. Velocity</c:v>
          </c:tx>
          <c:spPr>
            <a:ln w="25400" cap="rnd">
              <a:noFill/>
              <a:prstDash val="solid"/>
              <a:round/>
            </a:ln>
          </c:spPr>
          <c:marker>
            <c:symbol val="circle"/>
            <c:size val="5"/>
            <c:spPr>
              <a:solidFill>
                <a:schemeClr val="accent1"/>
              </a:solidFill>
              <a:ln w="9525">
                <a:solidFill>
                  <a:schemeClr val="accent1"/>
                </a:solidFill>
                <a:prstDash val="solid"/>
              </a:ln>
            </c:spPr>
          </c:marker>
          <c:trendline>
            <c:spPr>
              <a:ln w="19050" cap="rnd">
                <a:solidFill>
                  <a:schemeClr val="accent1"/>
                </a:solidFill>
                <a:prstDash val="sysDot"/>
              </a:ln>
            </c:spPr>
            <c:trendlineType val="poly"/>
            <c:order val="2"/>
            <c:intercept val="0"/>
            <c:dispRSqr val="1"/>
            <c:dispEq val="1"/>
            <c:trendlineLbl>
              <c:numFmt formatCode="General" sourceLinked="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trendlineLbl>
          </c:trendline>
          <c:xVal>
            <c:numRef>
              <c:f>'Week 11 Studio'!$I$7:$I$12</c:f>
              <c:numCache>
                <c:formatCode>General</c:formatCode>
                <c:ptCount val="6"/>
                <c:pt idx="0">
                  <c:v>0</c:v>
                </c:pt>
                <c:pt idx="1">
                  <c:v>7.337710608201721E-2</c:v>
                </c:pt>
                <c:pt idx="2">
                  <c:v>0.1012114105512848</c:v>
                </c:pt>
                <c:pt idx="3">
                  <c:v>0.12126090902239645</c:v>
                </c:pt>
                <c:pt idx="4">
                  <c:v>0.13726170167476959</c:v>
                </c:pt>
                <c:pt idx="5">
                  <c:v>0.15883726855478578</c:v>
                </c:pt>
              </c:numCache>
            </c:numRef>
          </c:xVal>
          <c:yVal>
            <c:numRef>
              <c:f>'Week 11 Studio'!$E$7:$E$12</c:f>
              <c:numCache>
                <c:formatCode>General</c:formatCode>
                <c:ptCount val="6"/>
                <c:pt idx="0">
                  <c:v>0</c:v>
                </c:pt>
                <c:pt idx="1">
                  <c:v>2354.4</c:v>
                </c:pt>
                <c:pt idx="2">
                  <c:v>3825.8999999999996</c:v>
                </c:pt>
                <c:pt idx="3">
                  <c:v>5297.4</c:v>
                </c:pt>
                <c:pt idx="4">
                  <c:v>6768.9</c:v>
                </c:pt>
                <c:pt idx="5">
                  <c:v>8240.4</c:v>
                </c:pt>
              </c:numCache>
            </c:numRef>
          </c:yVal>
          <c:smooth val="0"/>
          <c:extLst>
            <c:ext xmlns:c16="http://schemas.microsoft.com/office/drawing/2014/chart" uri="{C3380CC4-5D6E-409C-BE32-E72D297353CC}">
              <c16:uniqueId val="{00000001-534B-4D2A-89E5-FD95AE5E19E4}"/>
            </c:ext>
          </c:extLst>
        </c:ser>
        <c:dLbls>
          <c:showLegendKey val="0"/>
          <c:showVal val="0"/>
          <c:showCatName val="0"/>
          <c:showSerName val="0"/>
          <c:showPercent val="0"/>
          <c:showBubbleSize val="0"/>
        </c:dLbls>
        <c:axId val="1814831536"/>
        <c:axId val="1814831952"/>
      </c:scatterChart>
      <c:valAx>
        <c:axId val="1814831536"/>
        <c:scaling>
          <c:orientation val="minMax"/>
        </c:scaling>
        <c:delete val="0"/>
        <c:axPos val="b"/>
        <c:majorGridlines>
          <c:spPr>
            <a:ln w="9525" cap="flat" cmpd="sng" algn="ctr">
              <a:solidFill>
                <a:schemeClr val="tx1">
                  <a:lumMod val="15000"/>
                  <a:lumOff val="85000"/>
                </a:schemeClr>
              </a:solidFill>
              <a:prstDash val="solid"/>
              <a:round/>
            </a:ln>
          </c:spPr>
        </c:majorGridlines>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Velocity (m/s)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14831952"/>
        <c:crosses val="autoZero"/>
        <c:crossBetween val="midCat"/>
      </c:valAx>
      <c:valAx>
        <c:axId val="1814831952"/>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Pressure (Pa)</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1483153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Pressure vs. Flowrate</a:t>
            </a:r>
          </a:p>
        </c:rich>
      </c:tx>
      <c:overlay val="0"/>
      <c:spPr>
        <a:noFill/>
        <a:ln>
          <a:noFill/>
          <a:prstDash val="solid"/>
        </a:ln>
      </c:spPr>
    </c:title>
    <c:autoTitleDeleted val="0"/>
    <c:plotArea>
      <c:layout/>
      <c:scatterChart>
        <c:scatterStyle val="lineMarker"/>
        <c:varyColors val="0"/>
        <c:ser>
          <c:idx val="0"/>
          <c:order val="0"/>
          <c:spPr>
            <a:ln w="25400" cap="rnd">
              <a:noFill/>
              <a:prstDash val="solid"/>
              <a:round/>
            </a:ln>
          </c:spPr>
          <c:marker>
            <c:symbol val="circle"/>
            <c:size val="5"/>
            <c:spPr>
              <a:solidFill>
                <a:schemeClr val="accent1"/>
              </a:solidFill>
              <a:ln w="9525">
                <a:solidFill>
                  <a:schemeClr val="accent1"/>
                </a:solidFill>
                <a:prstDash val="solid"/>
              </a:ln>
            </c:spPr>
          </c:marker>
          <c:trendline>
            <c:spPr>
              <a:ln w="19050" cap="rnd">
                <a:solidFill>
                  <a:schemeClr val="accent1"/>
                </a:solidFill>
                <a:prstDash val="sysDot"/>
              </a:ln>
            </c:spPr>
            <c:trendlineType val="poly"/>
            <c:order val="2"/>
            <c:dispRSqr val="1"/>
            <c:dispEq val="1"/>
            <c:trendlineLbl>
              <c:numFmt formatCode="General" sourceLinked="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trendlineLbl>
          </c:trendline>
          <c:xVal>
            <c:numRef>
              <c:f>'Week 11 Studio'!$H$7:$H$12</c:f>
              <c:numCache>
                <c:formatCode>General</c:formatCode>
                <c:ptCount val="6"/>
                <c:pt idx="0">
                  <c:v>0</c:v>
                </c:pt>
                <c:pt idx="1">
                  <c:v>5.7630244352236052E-6</c:v>
                </c:pt>
                <c:pt idx="2">
                  <c:v>7.9491255961844193E-6</c:v>
                </c:pt>
                <c:pt idx="3">
                  <c:v>9.5238095238095231E-6</c:v>
                </c:pt>
                <c:pt idx="4">
                  <c:v>1.0780508840017249E-5</c:v>
                </c:pt>
                <c:pt idx="5">
                  <c:v>1.24750499001996E-5</c:v>
                </c:pt>
              </c:numCache>
            </c:numRef>
          </c:xVal>
          <c:yVal>
            <c:numRef>
              <c:f>'Week 11 Studio'!$E$7:$E$12</c:f>
              <c:numCache>
                <c:formatCode>General</c:formatCode>
                <c:ptCount val="6"/>
                <c:pt idx="0">
                  <c:v>0</c:v>
                </c:pt>
                <c:pt idx="1">
                  <c:v>2354.4</c:v>
                </c:pt>
                <c:pt idx="2">
                  <c:v>3825.8999999999996</c:v>
                </c:pt>
                <c:pt idx="3">
                  <c:v>5297.4</c:v>
                </c:pt>
                <c:pt idx="4">
                  <c:v>6768.9</c:v>
                </c:pt>
                <c:pt idx="5">
                  <c:v>8240.4</c:v>
                </c:pt>
              </c:numCache>
            </c:numRef>
          </c:yVal>
          <c:smooth val="0"/>
          <c:extLst>
            <c:ext xmlns:c16="http://schemas.microsoft.com/office/drawing/2014/chart" uri="{C3380CC4-5D6E-409C-BE32-E72D297353CC}">
              <c16:uniqueId val="{00000001-6239-4729-9F72-03A1E6413A0F}"/>
            </c:ext>
          </c:extLst>
        </c:ser>
        <c:dLbls>
          <c:showLegendKey val="0"/>
          <c:showVal val="0"/>
          <c:showCatName val="0"/>
          <c:showSerName val="0"/>
          <c:showPercent val="0"/>
          <c:showBubbleSize val="0"/>
        </c:dLbls>
        <c:axId val="1742916176"/>
        <c:axId val="1742906192"/>
      </c:scatterChart>
      <c:valAx>
        <c:axId val="1742916176"/>
        <c:scaling>
          <c:orientation val="minMax"/>
        </c:scaling>
        <c:delete val="0"/>
        <c:axPos val="b"/>
        <c:majorGridlines>
          <c:spPr>
            <a:ln w="9525" cap="flat" cmpd="sng" algn="ctr">
              <a:solidFill>
                <a:schemeClr val="tx1">
                  <a:lumMod val="15000"/>
                  <a:lumOff val="85000"/>
                </a:schemeClr>
              </a:solidFill>
              <a:prstDash val="solid"/>
              <a:round/>
            </a:ln>
          </c:spPr>
        </c:majorGridlines>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Flowrate (m^3/s)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42906192"/>
        <c:crosses val="autoZero"/>
        <c:crossBetween val="midCat"/>
      </c:valAx>
      <c:valAx>
        <c:axId val="1742906192"/>
        <c:scaling>
          <c:orientation val="minMax"/>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Pressure</a:t>
                </a:r>
              </a:p>
              <a:p>
                <a:pPr>
                  <a:defRPr sz="1000" b="0" i="0" strike="noStrike" kern="1200" baseline="0">
                    <a:solidFill>
                      <a:schemeClr val="tx1">
                        <a:lumMod val="65000"/>
                        <a:lumOff val="35000"/>
                      </a:schemeClr>
                    </a:solidFill>
                    <a:latin typeface="+mn-lt"/>
                    <a:ea typeface="+mn-ea"/>
                    <a:cs typeface="+mn-cs"/>
                  </a:defRPr>
                </a:pPr>
                <a:r>
                  <a:rPr lang="en-US"/>
                  <a:t> (Pa)</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42916176"/>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16</xdr:row>
      <xdr:rowOff>-1</xdr:rowOff>
    </xdr:from>
    <xdr:to>
      <xdr:col>10</xdr:col>
      <xdr:colOff>312964</xdr:colOff>
      <xdr:row>32</xdr:row>
      <xdr:rowOff>68034</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485775</xdr:colOff>
      <xdr:row>3</xdr:row>
      <xdr:rowOff>95250</xdr:rowOff>
    </xdr:from>
    <xdr:to>
      <xdr:col>19</xdr:col>
      <xdr:colOff>27213</xdr:colOff>
      <xdr:row>17</xdr:row>
      <xdr:rowOff>130628</xdr:rowOff>
    </xdr:to>
    <xdr:graphicFrame macro="">
      <xdr:nvGraphicFramePr>
        <xdr:cNvPr id="3" name="Chart 2">
          <a:extLst>
            <a:ext uri="{FF2B5EF4-FFF2-40B4-BE49-F238E27FC236}">
              <a16:creationId xmlns:a16="http://schemas.microsoft.com/office/drawing/2014/main" i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4" workbookViewId="0">
      <selection activeCell="C16" sqref="C16"/>
    </sheetView>
  </sheetViews>
  <sheetFormatPr defaultColWidth="18.6640625" defaultRowHeight="18.600000000000001" customHeight="1"/>
  <sheetData>
    <row r="1" spans="1:3" ht="18.600000000000001" customHeight="1">
      <c r="A1" t="s">
        <v>0</v>
      </c>
    </row>
    <row r="3" spans="1:3" ht="18.600000000000001" customHeight="1">
      <c r="A3" t="s">
        <v>1</v>
      </c>
    </row>
    <row r="4" spans="1:3" ht="18.600000000000001" customHeight="1">
      <c r="A4" t="s">
        <v>2</v>
      </c>
      <c r="B4">
        <v>450</v>
      </c>
      <c r="C4" t="s">
        <v>3</v>
      </c>
    </row>
    <row r="6" spans="1:3" ht="18.600000000000001" customHeight="1">
      <c r="A6" t="s">
        <v>4</v>
      </c>
      <c r="B6" t="s">
        <v>5</v>
      </c>
      <c r="C6" t="s">
        <v>6</v>
      </c>
    </row>
    <row r="7" spans="1:3" ht="18.600000000000001" customHeight="1">
      <c r="A7" s="211" t="s">
        <v>7</v>
      </c>
      <c r="B7" t="s">
        <v>8</v>
      </c>
      <c r="C7" t="s">
        <v>9</v>
      </c>
    </row>
    <row r="8" spans="1:3" ht="18.600000000000001" customHeight="1">
      <c r="A8" s="212"/>
      <c r="B8" t="s">
        <v>10</v>
      </c>
      <c r="C8">
        <v>0</v>
      </c>
    </row>
    <row r="9" spans="1:3" ht="18.600000000000001" customHeight="1">
      <c r="A9" s="212"/>
      <c r="B9" t="s">
        <v>11</v>
      </c>
      <c r="C9">
        <v>10000</v>
      </c>
    </row>
    <row r="10" spans="1:3" ht="18.600000000000001" customHeight="1">
      <c r="A10" s="211" t="s">
        <v>12</v>
      </c>
      <c r="B10" t="s">
        <v>13</v>
      </c>
      <c r="C10">
        <v>25</v>
      </c>
    </row>
    <row r="11" spans="1:3" ht="18.600000000000001" customHeight="1">
      <c r="A11" s="212"/>
      <c r="B11" t="s">
        <v>14</v>
      </c>
      <c r="C11">
        <v>10</v>
      </c>
    </row>
    <row r="12" spans="1:3" ht="18.600000000000001" customHeight="1">
      <c r="A12" s="212"/>
      <c r="B12" t="s">
        <v>15</v>
      </c>
      <c r="C12">
        <v>-23</v>
      </c>
    </row>
    <row r="13" spans="1:3" ht="18.600000000000001" customHeight="1">
      <c r="A13" s="212"/>
      <c r="B13" t="s">
        <v>16</v>
      </c>
      <c r="C13">
        <v>10</v>
      </c>
    </row>
    <row r="14" spans="1:3" ht="18.600000000000001" customHeight="1">
      <c r="A14" s="212"/>
      <c r="B14" t="s">
        <v>17</v>
      </c>
      <c r="C14">
        <v>0</v>
      </c>
    </row>
    <row r="15" spans="1:3" ht="18.600000000000001" customHeight="1">
      <c r="A15" s="194" t="s">
        <v>18</v>
      </c>
      <c r="B15" t="s">
        <v>18</v>
      </c>
      <c r="C15" t="s">
        <v>19</v>
      </c>
    </row>
    <row r="16" spans="1:3" ht="18.600000000000001" customHeight="1">
      <c r="A16" s="211" t="s">
        <v>20</v>
      </c>
      <c r="B16" t="s">
        <v>21</v>
      </c>
      <c r="C16" t="s">
        <v>22</v>
      </c>
    </row>
    <row r="17" spans="1:3" ht="18.600000000000001" customHeight="1">
      <c r="A17" s="212"/>
      <c r="B17" t="s">
        <v>23</v>
      </c>
      <c r="C17">
        <v>1</v>
      </c>
    </row>
    <row r="18" spans="1:3" ht="18.600000000000001" customHeight="1">
      <c r="A18" s="212"/>
      <c r="B18" t="s">
        <v>24</v>
      </c>
      <c r="C18">
        <v>1</v>
      </c>
    </row>
    <row r="19" spans="1:3" ht="18.600000000000001" customHeight="1">
      <c r="A19" s="212"/>
      <c r="B19" t="s">
        <v>25</v>
      </c>
      <c r="C19">
        <v>1</v>
      </c>
    </row>
    <row r="20" spans="1:3" ht="18.600000000000001" customHeight="1">
      <c r="A20" s="211" t="s">
        <v>26</v>
      </c>
      <c r="B20" t="s">
        <v>27</v>
      </c>
      <c r="C20" t="s">
        <v>28</v>
      </c>
    </row>
    <row r="21" spans="1:3" ht="18.600000000000001" customHeight="1">
      <c r="A21" s="212"/>
      <c r="B21" t="s">
        <v>29</v>
      </c>
      <c r="C21" t="s">
        <v>30</v>
      </c>
    </row>
    <row r="22" spans="1:3" ht="18.600000000000001" customHeight="1">
      <c r="A22" s="211" t="s">
        <v>31</v>
      </c>
      <c r="B22" t="s">
        <v>32</v>
      </c>
      <c r="C22" t="s">
        <v>33</v>
      </c>
    </row>
    <row r="23" spans="1:3" ht="18.600000000000001" customHeight="1">
      <c r="A23" s="212"/>
      <c r="B23" t="s">
        <v>34</v>
      </c>
      <c r="C23">
        <v>4</v>
      </c>
    </row>
    <row r="24" spans="1:3" ht="18.600000000000001" customHeight="1">
      <c r="A24" s="211" t="s">
        <v>35</v>
      </c>
      <c r="B24" t="s">
        <v>36</v>
      </c>
      <c r="C24" t="s">
        <v>37</v>
      </c>
    </row>
    <row r="25" spans="1:3" ht="18.600000000000001" customHeight="1">
      <c r="A25" s="212"/>
      <c r="B25" t="s">
        <v>38</v>
      </c>
      <c r="C25" t="s">
        <v>37</v>
      </c>
    </row>
    <row r="26" spans="1:3" ht="18.600000000000001" customHeight="1">
      <c r="A26" s="212"/>
      <c r="B26" t="s">
        <v>39</v>
      </c>
      <c r="C26" t="s">
        <v>37</v>
      </c>
    </row>
    <row r="27" spans="1:3" ht="18.600000000000001" customHeight="1">
      <c r="A27" s="194" t="s">
        <v>40</v>
      </c>
      <c r="B27" t="s">
        <v>41</v>
      </c>
      <c r="C27">
        <v>1</v>
      </c>
    </row>
  </sheetData>
  <mergeCells count="6">
    <mergeCell ref="A24:A26"/>
    <mergeCell ref="A7:A9"/>
    <mergeCell ref="A10:A14"/>
    <mergeCell ref="A16:A19"/>
    <mergeCell ref="A20:A21"/>
    <mergeCell ref="A22: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
  <sheetViews>
    <sheetView topLeftCell="A2" zoomScale="85" zoomScaleNormal="85" workbookViewId="0">
      <selection activeCell="D21" sqref="D21"/>
    </sheetView>
  </sheetViews>
  <sheetFormatPr defaultColWidth="18.33203125" defaultRowHeight="18" customHeight="1"/>
  <cols>
    <col min="5" max="5" width="36.88671875" style="195" customWidth="1"/>
    <col min="6" max="6" width="22.6640625" style="195" customWidth="1"/>
  </cols>
  <sheetData>
    <row r="1" spans="1:11" ht="18" customHeight="1">
      <c r="A1" t="s">
        <v>1</v>
      </c>
    </row>
    <row r="2" spans="1:11" ht="18" customHeight="1">
      <c r="A2" t="s">
        <v>42</v>
      </c>
      <c r="B2">
        <v>620</v>
      </c>
      <c r="C2" t="s">
        <v>3</v>
      </c>
    </row>
    <row r="4" spans="1:11" ht="18" customHeight="1">
      <c r="A4" t="s">
        <v>4</v>
      </c>
      <c r="B4" t="s">
        <v>5</v>
      </c>
      <c r="C4" t="s">
        <v>6</v>
      </c>
      <c r="D4" t="s">
        <v>43</v>
      </c>
      <c r="E4" t="s">
        <v>44</v>
      </c>
      <c r="F4" t="s">
        <v>45</v>
      </c>
      <c r="G4" t="s">
        <v>46</v>
      </c>
      <c r="H4" t="s">
        <v>47</v>
      </c>
      <c r="I4" t="s">
        <v>48</v>
      </c>
      <c r="J4" t="s">
        <v>49</v>
      </c>
      <c r="K4" t="s">
        <v>50</v>
      </c>
    </row>
    <row r="5" spans="1:11" ht="18" customHeight="1">
      <c r="A5" s="211" t="s">
        <v>7</v>
      </c>
      <c r="B5" t="s">
        <v>8</v>
      </c>
      <c r="C5" t="s">
        <v>9</v>
      </c>
      <c r="E5" t="s">
        <v>51</v>
      </c>
      <c r="F5">
        <f>B2</f>
        <v>620</v>
      </c>
      <c r="G5">
        <v>160</v>
      </c>
      <c r="H5">
        <v>620</v>
      </c>
      <c r="I5" s="89">
        <v>0.15</v>
      </c>
      <c r="J5" s="104">
        <f>1/2*(1-COS((F5-G5)/(H5-G5)*PI()))</f>
        <v>1</v>
      </c>
      <c r="K5" t="str">
        <f>IF(F5&lt;G5,"Requirement not met",IF(F5&gt;H5,"Max Satisfaction",":)"))</f>
        <v>:)</v>
      </c>
    </row>
    <row r="6" spans="1:11" ht="18" customHeight="1">
      <c r="A6" s="212"/>
      <c r="B6" t="s">
        <v>10</v>
      </c>
      <c r="C6">
        <v>100</v>
      </c>
      <c r="E6" t="s">
        <v>52</v>
      </c>
      <c r="F6" s="89">
        <f>'Cost Calculations'!B29</f>
        <v>0.72249861997816556</v>
      </c>
      <c r="G6" s="89">
        <v>0.2</v>
      </c>
      <c r="H6" s="89">
        <v>1.05</v>
      </c>
      <c r="I6" s="89">
        <v>0.2</v>
      </c>
      <c r="J6" s="104">
        <f>1/2*(1+COS((F6-G6)/(H6-G6)*PI()))</f>
        <v>0.32369721410040542</v>
      </c>
      <c r="K6" t="str">
        <f>IF(F6&gt;H6,"Requirement not met",IF(F6&lt;G6,"Zero Satisfaction",":)"))</f>
        <v>:)</v>
      </c>
    </row>
    <row r="7" spans="1:11" ht="18" customHeight="1">
      <c r="A7" s="212"/>
      <c r="B7" t="s">
        <v>11</v>
      </c>
      <c r="C7">
        <v>10000</v>
      </c>
      <c r="E7" t="s">
        <v>53</v>
      </c>
      <c r="F7">
        <f>'Health and Environment'!D15</f>
        <v>22.841350789597655</v>
      </c>
      <c r="G7">
        <v>0</v>
      </c>
      <c r="H7">
        <v>32</v>
      </c>
      <c r="I7" s="89">
        <v>0.15</v>
      </c>
      <c r="J7" s="104">
        <f>1/2*(1+COS((F7-G7)/(H7-G7)*PI()))</f>
        <v>0.18886154246175552</v>
      </c>
      <c r="K7" t="str">
        <f>IF(F7&gt;H7,"Requirement not met",IF(F7&lt;G7,"Zero Satisfaction",":)"))</f>
        <v>:)</v>
      </c>
    </row>
    <row r="8" spans="1:11" ht="18" customHeight="1">
      <c r="A8" s="211" t="s">
        <v>12</v>
      </c>
      <c r="B8" t="s">
        <v>13</v>
      </c>
      <c r="C8">
        <v>35</v>
      </c>
      <c r="E8" t="s">
        <v>54</v>
      </c>
      <c r="F8" s="89">
        <f>IF('Power System GHG'!E3 &gt; G8, 'Power System GHG'!E3, 0.2)</f>
        <v>0.49098240058436454</v>
      </c>
      <c r="G8" s="89">
        <v>0.2</v>
      </c>
      <c r="H8" s="89">
        <v>1</v>
      </c>
      <c r="I8" s="89">
        <v>0.1</v>
      </c>
      <c r="J8" s="104">
        <f>IF(K8="Requirement not met",0,1/2*(1+COS((F8-G8)/(H8-G8)*PI())))</f>
        <v>0.70757656254544321</v>
      </c>
      <c r="K8" t="str">
        <f>IF(F8&gt;H8,"Requirement not met",IF(F8&lt;G8,"Zero Satisfaction",":)"))</f>
        <v>:)</v>
      </c>
    </row>
    <row r="9" spans="1:11" ht="18" customHeight="1">
      <c r="A9" s="212"/>
      <c r="B9" t="s">
        <v>14</v>
      </c>
      <c r="C9">
        <v>20</v>
      </c>
      <c r="E9" t="s">
        <v>55</v>
      </c>
      <c r="F9" s="102">
        <f>'Filtration System'!Q27</f>
        <v>54.086482533002247</v>
      </c>
      <c r="G9">
        <v>15</v>
      </c>
      <c r="H9">
        <v>75</v>
      </c>
      <c r="I9" s="89">
        <v>0.1</v>
      </c>
      <c r="J9" s="104">
        <f>IF(K9="Max Satisfaction",1,IF(K9="Requirement not met",0,1/2*(1+COS((F9-G9)/(H9-G9)*PI()))))</f>
        <v>0.27098974977624013</v>
      </c>
      <c r="K9" t="str">
        <f>IF(F9&gt;H9,"Requirement not met",IF(F9&lt;G9,"Max Satisfaction",":)"))</f>
        <v>:)</v>
      </c>
    </row>
    <row r="10" spans="1:11" ht="18" customHeight="1">
      <c r="A10" s="212"/>
      <c r="B10" t="s">
        <v>15</v>
      </c>
      <c r="C10">
        <v>-23</v>
      </c>
      <c r="E10" t="s">
        <v>56</v>
      </c>
      <c r="F10" s="103">
        <f>IF(AND(C18="36W",D18="Error, max flowrate exceeded"),'Filtration System'!G13,'Storage -&gt; House'!F10)</f>
        <v>32.458921438919482</v>
      </c>
      <c r="G10" s="103">
        <v>15</v>
      </c>
      <c r="H10" s="103">
        <v>40</v>
      </c>
      <c r="I10" s="89">
        <v>0.15</v>
      </c>
      <c r="J10" s="104">
        <f>1/2*(1-COS((F10-G10)/(H10-G10)*PI()))</f>
        <v>0.79180061279990011</v>
      </c>
      <c r="K10" t="str">
        <f>IF(F10&lt;G10,"Requirement not met",IF(F10&gt;H10,"Max Satisfaction",":)"))</f>
        <v>:)</v>
      </c>
    </row>
    <row r="11" spans="1:11" ht="18" customHeight="1">
      <c r="A11" s="212"/>
      <c r="B11" t="s">
        <v>16</v>
      </c>
      <c r="C11">
        <f>Location!G3</f>
        <v>15</v>
      </c>
      <c r="E11" t="s">
        <v>57</v>
      </c>
      <c r="F11">
        <f>365-'Water Stuff'!E3/5</f>
        <v>359.8</v>
      </c>
      <c r="G11">
        <v>235</v>
      </c>
      <c r="H11">
        <v>365</v>
      </c>
      <c r="I11" s="89">
        <v>0.15</v>
      </c>
      <c r="J11" s="104">
        <f>1/2*(1-COS((F11-G11)/(H11-G11)*PI()))</f>
        <v>0.99605735065723899</v>
      </c>
      <c r="K11" t="str">
        <f>IF(F11&lt;G11,"Requirement not met",IF(F11&gt;H11,"Error Invalid",":)"))</f>
        <v>:)</v>
      </c>
    </row>
    <row r="12" spans="1:11" ht="18" customHeight="1">
      <c r="A12" s="212"/>
      <c r="B12" t="s">
        <v>17</v>
      </c>
      <c r="C12">
        <v>0</v>
      </c>
    </row>
    <row r="13" spans="1:11" ht="18" customHeight="1">
      <c r="A13" s="194" t="s">
        <v>18</v>
      </c>
      <c r="B13" t="s">
        <v>18</v>
      </c>
      <c r="C13" t="s">
        <v>19</v>
      </c>
      <c r="D13" t="str">
        <f>IF(ISERROR('Water Stuff'!B14),"Water cannot be pumped",":)")</f>
        <v>:)</v>
      </c>
    </row>
    <row r="14" spans="1:11" ht="18" customHeight="1">
      <c r="A14" s="211" t="s">
        <v>20</v>
      </c>
      <c r="B14" t="s">
        <v>21</v>
      </c>
      <c r="C14" t="s">
        <v>22</v>
      </c>
      <c r="E14" t="s">
        <v>59</v>
      </c>
      <c r="F14" s="104">
        <f>SUMPRODUCT(J5:J11,I5:I11)</f>
        <v>0.60910399994008357</v>
      </c>
    </row>
    <row r="15" spans="1:11" ht="18" customHeight="1">
      <c r="A15" s="212"/>
      <c r="B15" t="s">
        <v>23</v>
      </c>
      <c r="C15">
        <v>1</v>
      </c>
    </row>
    <row r="16" spans="1:11" ht="18" customHeight="1">
      <c r="A16" s="212"/>
      <c r="B16" t="s">
        <v>24</v>
      </c>
      <c r="C16">
        <v>1</v>
      </c>
    </row>
    <row r="17" spans="1:4" ht="18" customHeight="1">
      <c r="A17" s="212"/>
      <c r="B17" t="s">
        <v>25</v>
      </c>
      <c r="C17">
        <v>1</v>
      </c>
    </row>
    <row r="18" spans="1:4" ht="18" customHeight="1">
      <c r="A18" s="211" t="s">
        <v>26</v>
      </c>
      <c r="B18" t="s">
        <v>27</v>
      </c>
      <c r="C18" t="s">
        <v>635</v>
      </c>
      <c r="D18" t="str">
        <f>IF(AND('Parameters and Satisfaction'!C18="36W", ('Parameters and Satisfaction'!B29&gt;'Filtration System'!G13)), "Error, max flowrate exceeded", IF(AND('Parameters and Satisfaction'!C18 = "50W", ('Parameters and Satisfaction'!B29)&gt;'Filtration System'!H13), "Error, max flowrate exceeded", ":)"))</f>
        <v>:)</v>
      </c>
    </row>
    <row r="19" spans="1:4" ht="18" customHeight="1">
      <c r="A19" s="212"/>
      <c r="B19" t="s">
        <v>29</v>
      </c>
      <c r="C19" t="s">
        <v>60</v>
      </c>
    </row>
    <row r="20" spans="1:4" ht="18" customHeight="1">
      <c r="A20" s="211" t="s">
        <v>31</v>
      </c>
      <c r="B20" t="s">
        <v>32</v>
      </c>
      <c r="C20" t="s">
        <v>61</v>
      </c>
    </row>
    <row r="21" spans="1:4" ht="18" customHeight="1">
      <c r="A21" s="212"/>
      <c r="B21" t="s">
        <v>34</v>
      </c>
      <c r="C21">
        <v>1</v>
      </c>
    </row>
    <row r="22" spans="1:4" ht="18" customHeight="1">
      <c r="A22" s="211" t="s">
        <v>35</v>
      </c>
      <c r="B22" t="s">
        <v>36</v>
      </c>
      <c r="C22" t="s">
        <v>62</v>
      </c>
    </row>
    <row r="23" spans="1:4" ht="18" customHeight="1">
      <c r="A23" s="212"/>
      <c r="B23" t="s">
        <v>38</v>
      </c>
      <c r="C23">
        <v>4</v>
      </c>
      <c r="D23" t="str">
        <f>IF('Parameters and Satisfaction'!C20="Generator", "", IF('Power System Selection'!K19="n", "INCREASE # OF SOLAR PANELS", ""))</f>
        <v/>
      </c>
    </row>
    <row r="24" spans="1:4" ht="18" customHeight="1">
      <c r="A24" s="212"/>
      <c r="B24" t="s">
        <v>39</v>
      </c>
      <c r="C24">
        <v>1</v>
      </c>
    </row>
    <row r="25" spans="1:4" ht="18" customHeight="1">
      <c r="A25" s="194" t="s">
        <v>40</v>
      </c>
      <c r="B25" t="s">
        <v>41</v>
      </c>
      <c r="C25">
        <v>0</v>
      </c>
    </row>
    <row r="27" spans="1:4" ht="18" customHeight="1">
      <c r="A27" s="186" t="s">
        <v>63</v>
      </c>
      <c r="B27">
        <f>IF(C13="Pump A",Pumps!F18,IF(C13="Pump B",Pumps!I18,IF(C13 = "Pump C",Pumps!L18,"Error")))</f>
        <v>106188.17925509623</v>
      </c>
      <c r="C27" t="s">
        <v>64</v>
      </c>
    </row>
    <row r="28" spans="1:4" ht="18" customHeight="1">
      <c r="A28" t="s">
        <v>65</v>
      </c>
      <c r="B28">
        <f>'Week 11 Studio'!B14</f>
        <v>14624</v>
      </c>
    </row>
    <row r="29" spans="1:4" ht="18" customHeight="1">
      <c r="A29" s="186" t="s">
        <v>66</v>
      </c>
      <c r="B29">
        <f>'Storage -&gt; House'!F10</f>
        <v>32.458921438919482</v>
      </c>
      <c r="C29" t="s">
        <v>67</v>
      </c>
    </row>
    <row r="30" spans="1:4" ht="18" customHeight="1">
      <c r="A30" s="186" t="s">
        <v>68</v>
      </c>
      <c r="B30">
        <f>'Water Stuff'!E3</f>
        <v>26</v>
      </c>
      <c r="C30" t="s">
        <v>69</v>
      </c>
    </row>
    <row r="41" spans="1:3" ht="18" customHeight="1">
      <c r="A41" t="s">
        <v>20</v>
      </c>
      <c r="B41" t="s">
        <v>70</v>
      </c>
      <c r="C41">
        <f>'Week 11 Studio'!B14</f>
        <v>14624</v>
      </c>
    </row>
    <row r="51" spans="2:2" ht="18" customHeight="1">
      <c r="B51" t="s">
        <v>71</v>
      </c>
    </row>
  </sheetData>
  <mergeCells count="6">
    <mergeCell ref="A5:A7"/>
    <mergeCell ref="A14:A17"/>
    <mergeCell ref="A18:A19"/>
    <mergeCell ref="A20:A21"/>
    <mergeCell ref="A22:A24"/>
    <mergeCell ref="A8:A1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29"/>
  <sheetViews>
    <sheetView workbookViewId="0">
      <selection activeCell="D4" sqref="D4"/>
    </sheetView>
  </sheetViews>
  <sheetFormatPr defaultColWidth="18.6640625" defaultRowHeight="18" customHeight="1"/>
  <sheetData>
    <row r="2" spans="1:11" ht="18" customHeight="1">
      <c r="A2" s="106" t="s">
        <v>72</v>
      </c>
      <c r="F2" t="s">
        <v>73</v>
      </c>
      <c r="H2" t="s">
        <v>74</v>
      </c>
    </row>
    <row r="3" spans="1:11" ht="18" customHeight="1">
      <c r="A3" t="s">
        <v>5</v>
      </c>
      <c r="B3" t="s">
        <v>75</v>
      </c>
      <c r="C3" t="s">
        <v>76</v>
      </c>
      <c r="D3" t="s">
        <v>77</v>
      </c>
    </row>
    <row r="4" spans="1:11" ht="18" customHeight="1">
      <c r="A4" t="s">
        <v>8</v>
      </c>
      <c r="B4" t="str">
        <f>'Parameters and Satisfaction'!C5</f>
        <v>Full Roof</v>
      </c>
      <c r="C4" t="s">
        <v>37</v>
      </c>
      <c r="D4" s="105">
        <f>IF(B4="Full Roof",350,0)</f>
        <v>350</v>
      </c>
      <c r="F4" t="s">
        <v>78</v>
      </c>
      <c r="G4" t="s">
        <v>75</v>
      </c>
      <c r="H4" t="s">
        <v>76</v>
      </c>
      <c r="I4" t="s">
        <v>79</v>
      </c>
      <c r="J4" t="s">
        <v>80</v>
      </c>
      <c r="K4" t="s">
        <v>77</v>
      </c>
    </row>
    <row r="5" spans="1:11" ht="18" customHeight="1">
      <c r="A5" t="s">
        <v>81</v>
      </c>
      <c r="B5">
        <f>'Parameters and Satisfaction'!C6</f>
        <v>100</v>
      </c>
      <c r="C5">
        <v>150</v>
      </c>
      <c r="D5" s="105">
        <f>B5*C5</f>
        <v>15000</v>
      </c>
      <c r="F5" t="s">
        <v>82</v>
      </c>
      <c r="G5">
        <f>'Water Stuff'!E3</f>
        <v>26</v>
      </c>
      <c r="H5">
        <f>75</f>
        <v>75</v>
      </c>
      <c r="K5" s="105">
        <f>H5*G5</f>
        <v>1950</v>
      </c>
    </row>
    <row r="6" spans="1:11" ht="18" customHeight="1">
      <c r="A6" t="s">
        <v>11</v>
      </c>
      <c r="B6">
        <f>'Parameters and Satisfaction'!C7</f>
        <v>10000</v>
      </c>
      <c r="C6" t="s">
        <v>37</v>
      </c>
      <c r="D6" s="105">
        <f>IF(B6=400,200,IF(B6=1500,500,IF(B6=2500,900,IF(B6=10000,2000,"Error Invalid Input"))))</f>
        <v>2000</v>
      </c>
      <c r="F6" t="s">
        <v>83</v>
      </c>
      <c r="G6">
        <f>'Power System Selection'!AI68</f>
        <v>672.24727343215284</v>
      </c>
      <c r="I6">
        <f>ROUNDUP(G6/100,0)</f>
        <v>7</v>
      </c>
      <c r="J6">
        <v>325</v>
      </c>
      <c r="K6" s="105">
        <f>J6*I6</f>
        <v>2275</v>
      </c>
    </row>
    <row r="7" spans="1:11" ht="18" customHeight="1">
      <c r="A7" t="s">
        <v>13</v>
      </c>
      <c r="B7">
        <f>'Parameters and Satisfaction'!C8</f>
        <v>35</v>
      </c>
      <c r="C7">
        <v>275</v>
      </c>
      <c r="D7" s="105">
        <f>B7*C7</f>
        <v>9625</v>
      </c>
      <c r="F7" t="s">
        <v>84</v>
      </c>
      <c r="G7">
        <f>ROUNDDOWN(G6/250,0)</f>
        <v>2</v>
      </c>
      <c r="I7">
        <f>ROUNDDOWN(G6/250,0)</f>
        <v>2</v>
      </c>
      <c r="J7">
        <f>50</f>
        <v>50</v>
      </c>
      <c r="K7" s="105">
        <f>J7*I7</f>
        <v>100</v>
      </c>
    </row>
    <row r="8" spans="1:11" ht="18" customHeight="1">
      <c r="A8" t="s">
        <v>85</v>
      </c>
      <c r="B8">
        <f>'Parameters and Satisfaction'!C12</f>
        <v>0</v>
      </c>
      <c r="C8" t="s">
        <v>37</v>
      </c>
      <c r="D8" s="105">
        <f>20*B7^1.4+120*B8^1.6</f>
        <v>2902.1861001848806</v>
      </c>
      <c r="F8" t="s">
        <v>86</v>
      </c>
      <c r="G8">
        <v>5</v>
      </c>
      <c r="H8">
        <f>IF('Parameters and Satisfaction'!C18="36W",90,IF('Parameters and Satisfaction'!C18="50W",110,"Error"))</f>
        <v>110</v>
      </c>
      <c r="K8" s="105">
        <f>G8*H8</f>
        <v>550</v>
      </c>
    </row>
    <row r="9" spans="1:11" ht="18" customHeight="1">
      <c r="A9" t="s">
        <v>87</v>
      </c>
      <c r="B9">
        <f>SQRT('Parameters and Satisfaction'!C9^2+'Parameters and Satisfaction'!C10^2+'Parameters and Satisfaction'!C11^2)</f>
        <v>33.97057550292606</v>
      </c>
      <c r="C9">
        <v>45</v>
      </c>
      <c r="D9" s="105">
        <f>B9*C9</f>
        <v>1528.6758976316728</v>
      </c>
      <c r="F9" t="s">
        <v>30</v>
      </c>
      <c r="G9" t="s">
        <v>88</v>
      </c>
      <c r="K9" s="105"/>
    </row>
    <row r="10" spans="1:11" ht="18" customHeight="1">
      <c r="A10" t="s">
        <v>18</v>
      </c>
      <c r="B10" t="str">
        <f>'Parameters and Satisfaction'!C13</f>
        <v>Pump B</v>
      </c>
      <c r="C10" t="s">
        <v>37</v>
      </c>
      <c r="D10" s="105">
        <f>IF(B10="Pump A",640,IF(B10="Pump B",1250,IF(B10="Pump C",3250,"Invalid Input")))</f>
        <v>1250</v>
      </c>
      <c r="F10" t="s">
        <v>60</v>
      </c>
      <c r="G10">
        <f>'Filtration System'!B27*5</f>
        <v>538.32789314495199</v>
      </c>
      <c r="H10">
        <f>100/3</f>
        <v>33.333333333333336</v>
      </c>
      <c r="I10">
        <f>ROUNDUP(G10/3,0)</f>
        <v>180</v>
      </c>
      <c r="J10">
        <v>100</v>
      </c>
      <c r="K10" s="105">
        <f>I10*J10</f>
        <v>18000</v>
      </c>
    </row>
    <row r="11" spans="1:11" ht="18" customHeight="1">
      <c r="A11" t="s">
        <v>89</v>
      </c>
      <c r="B11">
        <f>'Parameters and Satisfaction'!C15</f>
        <v>1</v>
      </c>
      <c r="C11">
        <v>125</v>
      </c>
      <c r="D11" s="105">
        <f>B11*C11</f>
        <v>125</v>
      </c>
      <c r="F11" t="s">
        <v>90</v>
      </c>
      <c r="G11">
        <f>'Filtration System'!M27*5</f>
        <v>55.613999999999997</v>
      </c>
      <c r="I11">
        <f>ROUNDDOWN(G11,0)</f>
        <v>55</v>
      </c>
      <c r="J11">
        <v>75</v>
      </c>
      <c r="K11" s="105">
        <f>I11*J11</f>
        <v>4125</v>
      </c>
    </row>
    <row r="12" spans="1:11" ht="18" customHeight="1">
      <c r="A12" t="s">
        <v>91</v>
      </c>
      <c r="B12">
        <f>'Parameters and Satisfaction'!C16</f>
        <v>1</v>
      </c>
      <c r="C12">
        <v>110</v>
      </c>
      <c r="D12" s="105">
        <f>B12*C12</f>
        <v>110</v>
      </c>
      <c r="F12" t="s">
        <v>92</v>
      </c>
      <c r="G12">
        <f>'Filtration System'!M28*5</f>
        <v>55.613999999999997</v>
      </c>
      <c r="I12">
        <f>ROUNDDOWN(G12,0)</f>
        <v>55</v>
      </c>
      <c r="J12">
        <v>60</v>
      </c>
      <c r="K12" s="105">
        <f>I12*J12</f>
        <v>3300</v>
      </c>
    </row>
    <row r="13" spans="1:11" ht="18" customHeight="1">
      <c r="A13" t="s">
        <v>93</v>
      </c>
      <c r="B13">
        <f>'Parameters and Satisfaction'!C17</f>
        <v>1</v>
      </c>
      <c r="C13">
        <v>100</v>
      </c>
      <c r="D13" s="105">
        <f>B13*C13</f>
        <v>100</v>
      </c>
      <c r="F13" t="s">
        <v>94</v>
      </c>
      <c r="G13">
        <f>'Filtration System'!M29*5</f>
        <v>55.613999999999997</v>
      </c>
      <c r="I13">
        <f>ROUNDDOWN(G13,0)</f>
        <v>55</v>
      </c>
      <c r="J13">
        <v>50</v>
      </c>
      <c r="K13" s="105">
        <f>I13*J13</f>
        <v>2750</v>
      </c>
    </row>
    <row r="14" spans="1:11" ht="18" customHeight="1">
      <c r="A14" t="s">
        <v>95</v>
      </c>
      <c r="B14" t="str">
        <f>'Parameters and Satisfaction'!C18</f>
        <v>50W</v>
      </c>
      <c r="C14" t="s">
        <v>37</v>
      </c>
      <c r="D14" s="105">
        <f>IF(B14="36W",500,IF(B14="50W",750,"Invalid Input"))</f>
        <v>750</v>
      </c>
      <c r="F14" t="s">
        <v>96</v>
      </c>
      <c r="G14">
        <f>'Water Stuff'!E5</f>
        <v>1591.1276512622155</v>
      </c>
      <c r="I14">
        <f>ROUNDDOWN(G14/(IF(B10="Pump A",900,IF(B10="Pump B",1650,IF(B10="Pump C",1800,"Error")))),0)</f>
        <v>0</v>
      </c>
      <c r="J14">
        <f>IF(B10="Pump A",640,IF(B10="Pump B",1250,IF(B10="Pump C",3250,"Invalid Input")))</f>
        <v>1250</v>
      </c>
      <c r="K14" s="105">
        <f>I14*J14</f>
        <v>0</v>
      </c>
    </row>
    <row r="15" spans="1:11" ht="18" customHeight="1">
      <c r="A15" t="s">
        <v>97</v>
      </c>
      <c r="B15" t="str">
        <f>'Parameters and Satisfaction'!C19</f>
        <v>Chlorine</v>
      </c>
      <c r="C15" t="s">
        <v>37</v>
      </c>
      <c r="D15" s="105">
        <f>IF(B15="Chlorine",700,IF(B15="Ozone",4000,"Invalid Input"))</f>
        <v>700</v>
      </c>
    </row>
    <row r="16" spans="1:11" ht="18" customHeight="1">
      <c r="A16" t="s">
        <v>34</v>
      </c>
      <c r="B16">
        <f>'Parameters and Satisfaction'!C21</f>
        <v>1</v>
      </c>
      <c r="C16">
        <v>390</v>
      </c>
      <c r="D16" s="105">
        <f>C16*B16</f>
        <v>390</v>
      </c>
    </row>
    <row r="17" spans="1:11" ht="18" customHeight="1">
      <c r="A17" t="s">
        <v>98</v>
      </c>
      <c r="B17" t="str">
        <f>'Parameters and Satisfaction'!C22</f>
        <v>HES-260</v>
      </c>
      <c r="C17" t="s">
        <v>37</v>
      </c>
      <c r="D17" s="105"/>
    </row>
    <row r="18" spans="1:11" ht="18" customHeight="1">
      <c r="A18" t="s">
        <v>99</v>
      </c>
      <c r="B18">
        <f>'Parameters and Satisfaction'!C23</f>
        <v>4</v>
      </c>
      <c r="C18">
        <f>IF(B17="HES-260",500,IF(B17="SW-80",205,IF(B17="HES-305P",450,"Invalid Input")))</f>
        <v>500</v>
      </c>
      <c r="D18" s="105">
        <f>B18*C18</f>
        <v>2000</v>
      </c>
    </row>
    <row r="19" spans="1:11" ht="18" customHeight="1">
      <c r="A19" t="s">
        <v>39</v>
      </c>
      <c r="B19">
        <f>'Parameters and Satisfaction'!C24</f>
        <v>1</v>
      </c>
      <c r="C19">
        <v>2369</v>
      </c>
      <c r="D19" s="105">
        <f>C19*B19</f>
        <v>2369</v>
      </c>
    </row>
    <row r="20" spans="1:11" ht="18" customHeight="1">
      <c r="A20" t="s">
        <v>33</v>
      </c>
      <c r="B20">
        <f>'Parameters and Satisfaction'!C25</f>
        <v>0</v>
      </c>
      <c r="C20">
        <v>3250</v>
      </c>
      <c r="D20" s="105">
        <f>C20*B20</f>
        <v>0</v>
      </c>
    </row>
    <row r="23" spans="1:11" ht="18" customHeight="1">
      <c r="A23" t="s">
        <v>100</v>
      </c>
      <c r="D23" s="105">
        <f>SUM(D4:D20)</f>
        <v>39199.861997816552</v>
      </c>
      <c r="F23" t="s">
        <v>101</v>
      </c>
      <c r="K23" s="105">
        <f>SUM(K5:K20)</f>
        <v>33050</v>
      </c>
    </row>
    <row r="26" spans="1:11" ht="18" customHeight="1">
      <c r="A26" t="s">
        <v>102</v>
      </c>
      <c r="B26" s="105">
        <f>D23+K23</f>
        <v>72249.861997816552</v>
      </c>
    </row>
    <row r="27" spans="1:11" ht="18" customHeight="1">
      <c r="A27" t="s">
        <v>103</v>
      </c>
      <c r="B27" s="105">
        <v>100000</v>
      </c>
    </row>
    <row r="29" spans="1:11" ht="18" customHeight="1">
      <c r="A29" t="s">
        <v>52</v>
      </c>
      <c r="B29" s="104">
        <f>B26/B27</f>
        <v>0.72249861997816556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69"/>
  <sheetViews>
    <sheetView zoomScaleNormal="100" workbookViewId="0">
      <selection activeCell="N8" sqref="N8"/>
    </sheetView>
  </sheetViews>
  <sheetFormatPr defaultColWidth="18.6640625" defaultRowHeight="18" customHeight="1"/>
  <cols>
    <col min="19" max="21" width="18.6640625" style="102" customWidth="1"/>
    <col min="23" max="23" width="18.6640625" style="102" customWidth="1"/>
    <col min="25" max="25" width="18.6640625" style="102" customWidth="1"/>
    <col min="27" max="31" width="18.6640625" style="102" customWidth="1"/>
    <col min="33" max="33" width="18.6640625" style="102" customWidth="1"/>
  </cols>
  <sheetData>
    <row r="2" spans="1:45" ht="18" customHeight="1">
      <c r="A2" t="s">
        <v>104</v>
      </c>
      <c r="H2">
        <f>MAX(H5:H369)</f>
        <v>10</v>
      </c>
    </row>
    <row r="3" spans="1:45" ht="18" customHeight="1">
      <c r="D3" t="s">
        <v>105</v>
      </c>
      <c r="E3">
        <f>J3+R3+Z3+AH3+AP3</f>
        <v>26</v>
      </c>
      <c r="G3" s="111" t="s">
        <v>106</v>
      </c>
      <c r="I3" t="s">
        <v>107</v>
      </c>
      <c r="J3">
        <f>SUM(M5:M369)</f>
        <v>0</v>
      </c>
      <c r="O3" s="111" t="s">
        <v>108</v>
      </c>
      <c r="Q3" t="s">
        <v>107</v>
      </c>
      <c r="R3">
        <f>SUM(U5:U369)</f>
        <v>26</v>
      </c>
      <c r="T3" t="s">
        <v>109</v>
      </c>
      <c r="U3" t="s">
        <v>110</v>
      </c>
      <c r="W3" s="111" t="s">
        <v>111</v>
      </c>
      <c r="Y3" t="s">
        <v>107</v>
      </c>
      <c r="Z3">
        <f>SUM(AC5:AC369)</f>
        <v>0</v>
      </c>
      <c r="AE3" s="111" t="s">
        <v>112</v>
      </c>
      <c r="AG3" t="s">
        <v>107</v>
      </c>
      <c r="AH3">
        <f>SUM(AK5:AK369)</f>
        <v>0</v>
      </c>
      <c r="AM3" s="111" t="s">
        <v>113</v>
      </c>
      <c r="AO3" t="s">
        <v>107</v>
      </c>
      <c r="AP3">
        <f>SUM(AS5:AS369)</f>
        <v>0</v>
      </c>
    </row>
    <row r="4" spans="1:45" ht="18" customHeight="1">
      <c r="A4" t="s">
        <v>51</v>
      </c>
      <c r="B4">
        <f>'Parameters and Satisfaction'!B2/1000</f>
        <v>0.62</v>
      </c>
      <c r="C4" t="s">
        <v>114</v>
      </c>
      <c r="G4" t="s">
        <v>115</v>
      </c>
      <c r="H4" t="s">
        <v>116</v>
      </c>
      <c r="I4" t="s">
        <v>117</v>
      </c>
      <c r="J4" t="s">
        <v>118</v>
      </c>
      <c r="K4" t="s">
        <v>119</v>
      </c>
      <c r="L4" t="s">
        <v>109</v>
      </c>
      <c r="M4" t="s">
        <v>110</v>
      </c>
      <c r="O4" t="s">
        <v>115</v>
      </c>
      <c r="P4" t="s">
        <v>116</v>
      </c>
      <c r="Q4" t="s">
        <v>117</v>
      </c>
      <c r="R4" t="s">
        <v>118</v>
      </c>
      <c r="S4" t="s">
        <v>119</v>
      </c>
      <c r="W4" t="s">
        <v>115</v>
      </c>
      <c r="X4" t="s">
        <v>116</v>
      </c>
      <c r="Y4" t="s">
        <v>117</v>
      </c>
      <c r="Z4" t="s">
        <v>118</v>
      </c>
      <c r="AA4" t="s">
        <v>119</v>
      </c>
      <c r="AB4" t="s">
        <v>109</v>
      </c>
      <c r="AC4" t="s">
        <v>110</v>
      </c>
      <c r="AE4" t="s">
        <v>115</v>
      </c>
      <c r="AF4" t="s">
        <v>116</v>
      </c>
      <c r="AG4" t="s">
        <v>117</v>
      </c>
      <c r="AH4" t="s">
        <v>118</v>
      </c>
      <c r="AI4" t="s">
        <v>119</v>
      </c>
      <c r="AJ4" t="s">
        <v>109</v>
      </c>
      <c r="AK4" t="s">
        <v>110</v>
      </c>
      <c r="AM4" t="s">
        <v>115</v>
      </c>
      <c r="AN4" t="s">
        <v>116</v>
      </c>
      <c r="AO4" t="s">
        <v>117</v>
      </c>
      <c r="AP4" t="s">
        <v>118</v>
      </c>
      <c r="AQ4" t="s">
        <v>119</v>
      </c>
      <c r="AR4" t="s">
        <v>109</v>
      </c>
      <c r="AS4" t="s">
        <v>110</v>
      </c>
    </row>
    <row r="5" spans="1:45" ht="18" customHeight="1">
      <c r="A5" t="s">
        <v>120</v>
      </c>
      <c r="B5">
        <f>IF('Parameters and Satisfaction'!C5="Full Roof",100,IF('Parameters and Satisfaction'!C5="Half Roof",50,"Invalid Input"))+'Parameters and Satisfaction'!C6</f>
        <v>200</v>
      </c>
      <c r="C5" t="s">
        <v>121</v>
      </c>
      <c r="D5" t="s">
        <v>122</v>
      </c>
      <c r="E5">
        <f>SUM(L5:L369)+SUM(T5:T369)+SUM(AB5:AB369)+SUM(AJ5:AJ369)+SUM(AR5:AR369)</f>
        <v>1591.1276512622155</v>
      </c>
      <c r="F5" s="109">
        <v>44562</v>
      </c>
      <c r="G5">
        <f>$B$5*'5 Year Rainfall Simulation'!B6/1000</f>
        <v>3.76</v>
      </c>
      <c r="H5">
        <f t="shared" ref="H5:H68" si="0">IF($C$16="y",IF(G5&lt;$B$6,G5,$B$6),IF(G5&lt;$B$14,G5,$B$14))</f>
        <v>3.76</v>
      </c>
      <c r="I5">
        <v>0</v>
      </c>
      <c r="J5">
        <f t="shared" ref="J5:J68" si="1">H5-I5</f>
        <v>3.76</v>
      </c>
      <c r="K5">
        <f>J5</f>
        <v>3.76</v>
      </c>
      <c r="L5">
        <f t="shared" ref="L5:L68" si="2">H5/($B$14/24)</f>
        <v>2.2226750814619316</v>
      </c>
      <c r="M5">
        <v>0</v>
      </c>
      <c r="O5">
        <f>$B$5*'5 Year Rainfall Simulation'!C6/1000</f>
        <v>1.56</v>
      </c>
      <c r="P5">
        <f t="shared" ref="P5:P68" si="3">IF($C$16="y",IF(O5&lt;$B$6,O5,$B$6),IF(O5&lt;$B$14,O5,$B$14))</f>
        <v>1.56</v>
      </c>
      <c r="Q5">
        <f t="shared" ref="Q5:Q68" si="4">$B$4</f>
        <v>0.62</v>
      </c>
      <c r="R5">
        <f t="shared" ref="R5:R68" si="5">P5-Q5</f>
        <v>0.94000000000000006</v>
      </c>
      <c r="S5">
        <f>IF(U5&gt;0,P5,IF((K369+R5)&gt;$B$7,$B$7,(K369+R5)))</f>
        <v>33.460000000000008</v>
      </c>
      <c r="T5">
        <f t="shared" ref="T5:T68" si="6">P5/($B$14/24)</f>
        <v>0.92217370401080156</v>
      </c>
      <c r="U5">
        <f>IF(K369-Q5&lt;0,1,0)</f>
        <v>0</v>
      </c>
      <c r="W5">
        <f>$B$5*'5 Year Rainfall Simulation'!D6/1000</f>
        <v>2.2199029419023621</v>
      </c>
      <c r="X5">
        <f t="shared" ref="X5:X68" si="7">IF($C$16="y",IF(W5&lt;$B$6,W5,$B$6),IF(W5&lt;$B$14,W5,$B$14))</f>
        <v>2.2199029419023621</v>
      </c>
      <c r="Y5">
        <f t="shared" ref="Y5:Y68" si="8">$B$4</f>
        <v>0.62</v>
      </c>
      <c r="Z5">
        <f t="shared" ref="Z5:Z68" si="9">X5-Y5</f>
        <v>1.599902941902362</v>
      </c>
      <c r="AA5">
        <f>IF(AC5&gt;0,0,IF((S369+Z5)&gt;$B$7,$B$7,(S369+Z5)))</f>
        <v>33.859902941902376</v>
      </c>
      <c r="AB5">
        <f t="shared" ref="AB5:AB68" si="10">X5/($B$14/24)</f>
        <v>1.3122667426144721</v>
      </c>
      <c r="AC5">
        <f>IF(S369+Z5&lt;0,1,0)</f>
        <v>0</v>
      </c>
      <c r="AE5">
        <f>$B$5*'5 Year Rainfall Simulation'!E6/1000</f>
        <v>0</v>
      </c>
      <c r="AF5">
        <f t="shared" ref="AF5:AF68" si="11">IF($C$16="y",IF(AE5&lt;$B$6,AE5,$B$6),IF(AE5&lt;$B$14,AE5,$B$14))</f>
        <v>0</v>
      </c>
      <c r="AG5">
        <f t="shared" ref="AG5:AG68" si="12">$B$4</f>
        <v>0.62</v>
      </c>
      <c r="AH5">
        <f t="shared" ref="AH5:AH68" si="13">AF5-AG5</f>
        <v>-0.62</v>
      </c>
      <c r="AI5">
        <f>IF(AK5&gt;0,0,IF((AA369+AH5)&gt;$B$7,$B$7,(AA369+AH5)))</f>
        <v>30.616351706660641</v>
      </c>
      <c r="AJ5">
        <f t="shared" ref="AJ5:AJ68" si="14">AF5/($B$14/24)</f>
        <v>0</v>
      </c>
      <c r="AK5">
        <f>IF(AA369+AH5&lt;0,1,0)</f>
        <v>0</v>
      </c>
      <c r="AM5">
        <f>$B$5*'5 Year Rainfall Simulation'!F6/1000</f>
        <v>2.9533890332689818</v>
      </c>
      <c r="AN5">
        <f t="shared" ref="AN5:AN68" si="15">IF($C$16="y",IF(AM5&lt;$B$6,AM5,$B$6),IF(AM5&lt;$B$14,AM5,$B$14))</f>
        <v>2.9533890332689818</v>
      </c>
      <c r="AO5">
        <f t="shared" ref="AO5:AO68" si="16">$B$4</f>
        <v>0.62</v>
      </c>
      <c r="AP5">
        <f t="shared" ref="AP5:AP68" si="17">AN5-AO5</f>
        <v>2.3333890332689817</v>
      </c>
      <c r="AQ5">
        <f>IF(AS5&gt;0,0,IF((AI369+AP5)&gt;$B$7,$B$7,(AI369+AP5)))</f>
        <v>35</v>
      </c>
      <c r="AR5">
        <f t="shared" ref="AR5:AR68" si="18">AN5/($B$14/24)</f>
        <v>1.7458575026888059</v>
      </c>
      <c r="AS5">
        <f>IF(AI369+AP5&lt;0,1,0)</f>
        <v>0</v>
      </c>
    </row>
    <row r="6" spans="1:45" ht="18" customHeight="1">
      <c r="A6" t="s">
        <v>11</v>
      </c>
      <c r="B6">
        <f>'Parameters and Satisfaction'!C7/1000</f>
        <v>10</v>
      </c>
      <c r="C6" t="s">
        <v>114</v>
      </c>
      <c r="F6" s="109">
        <v>44563</v>
      </c>
      <c r="G6">
        <f>B$5*'5 Year Rainfall Simulation'!B7/1000</f>
        <v>3.96</v>
      </c>
      <c r="H6">
        <f t="shared" si="0"/>
        <v>3.96</v>
      </c>
      <c r="I6">
        <v>0</v>
      </c>
      <c r="J6">
        <f t="shared" si="1"/>
        <v>3.96</v>
      </c>
      <c r="K6">
        <f t="shared" ref="K6:K69" si="19">IF(M6&gt;0,0,IF((K5+J6)&gt;$B$7,$B$7,(K5+J6)))</f>
        <v>7.72</v>
      </c>
      <c r="L6">
        <f t="shared" si="2"/>
        <v>2.3409024794120343</v>
      </c>
      <c r="M6">
        <f t="shared" ref="M6:M69" si="20">IF(K5+J6&lt;0,1,0)</f>
        <v>0</v>
      </c>
      <c r="O6">
        <f>$B$5*'5 Year Rainfall Simulation'!C7/1000</f>
        <v>0.2</v>
      </c>
      <c r="P6">
        <f t="shared" si="3"/>
        <v>0.2</v>
      </c>
      <c r="Q6">
        <f t="shared" si="4"/>
        <v>0.62</v>
      </c>
      <c r="R6">
        <f t="shared" si="5"/>
        <v>-0.42</v>
      </c>
      <c r="S6">
        <f t="shared" ref="S6:S69" si="21">IF(U6&gt;0,P6,IF((S5+R6)&gt;$B$7,$B$7,(S5+R6)))</f>
        <v>33.040000000000006</v>
      </c>
      <c r="T6">
        <f t="shared" si="6"/>
        <v>0.11822739795010276</v>
      </c>
      <c r="U6">
        <f t="shared" ref="U6:U69" si="22">IF(S5-Q6&lt;0,1,0)</f>
        <v>0</v>
      </c>
      <c r="W6">
        <f>$B$5*'5 Year Rainfall Simulation'!D7/1000</f>
        <v>4.9661458862933303</v>
      </c>
      <c r="X6">
        <f t="shared" si="7"/>
        <v>4.9661458862933303</v>
      </c>
      <c r="Y6">
        <f t="shared" si="8"/>
        <v>0.62</v>
      </c>
      <c r="Z6">
        <f t="shared" si="9"/>
        <v>4.3461458862933302</v>
      </c>
      <c r="AA6">
        <f t="shared" ref="AA6:AA69" si="23">IF(AC6&gt;0,0,IF((AA5+Z6)&gt;$B$7,$B$7,(AA5+Z6)))</f>
        <v>35</v>
      </c>
      <c r="AB6">
        <f t="shared" si="10"/>
        <v>2.9356725298853363</v>
      </c>
      <c r="AC6">
        <f t="shared" ref="AC6:AC69" si="24">IF(AA5+Z6&lt;0,1,0)</f>
        <v>0</v>
      </c>
      <c r="AE6">
        <f>$B$5*'5 Year Rainfall Simulation'!E7/1000</f>
        <v>0</v>
      </c>
      <c r="AF6">
        <f t="shared" si="11"/>
        <v>0</v>
      </c>
      <c r="AG6">
        <f t="shared" si="12"/>
        <v>0.62</v>
      </c>
      <c r="AH6">
        <f t="shared" si="13"/>
        <v>-0.62</v>
      </c>
      <c r="AI6">
        <f t="shared" ref="AI6:AI69" si="25">IF(AK6&gt;0,0,IF((AI5+AH6)&gt;$B$7,$B$7,(AI5+AH6)))</f>
        <v>29.99635170666064</v>
      </c>
      <c r="AJ6">
        <f t="shared" si="14"/>
        <v>0</v>
      </c>
      <c r="AK6">
        <f t="shared" ref="AK6:AK69" si="26">IF(AI5+AH6&lt;0,1,0)</f>
        <v>0</v>
      </c>
      <c r="AM6">
        <f>$B$5*'5 Year Rainfall Simulation'!F7/1000</f>
        <v>5.2663095576159273</v>
      </c>
      <c r="AN6">
        <f t="shared" si="15"/>
        <v>5.2663095576159273</v>
      </c>
      <c r="AO6">
        <f t="shared" si="16"/>
        <v>0.62</v>
      </c>
      <c r="AP6">
        <f t="shared" si="17"/>
        <v>4.6463095576159272</v>
      </c>
      <c r="AQ6">
        <f t="shared" ref="AQ6:AQ69" si="27">IF(AS6&gt;0,0,IF((AQ5+AP6)&gt;$B$7,$B$7,(AQ5+AP6)))</f>
        <v>35</v>
      </c>
      <c r="AR6">
        <f t="shared" si="18"/>
        <v>3.1131103789834391</v>
      </c>
      <c r="AS6">
        <f t="shared" ref="AS6:AS69" si="28">IF(AQ5+AP6&lt;0,1,0)</f>
        <v>0</v>
      </c>
    </row>
    <row r="7" spans="1:45" ht="18" customHeight="1">
      <c r="A7" t="s">
        <v>13</v>
      </c>
      <c r="B7">
        <f>'Parameters and Satisfaction'!C8</f>
        <v>35</v>
      </c>
      <c r="C7" t="s">
        <v>114</v>
      </c>
      <c r="F7" s="109">
        <v>44564</v>
      </c>
      <c r="G7">
        <f>B$5*'5 Year Rainfall Simulation'!B8/1000</f>
        <v>0</v>
      </c>
      <c r="H7">
        <f t="shared" si="0"/>
        <v>0</v>
      </c>
      <c r="I7">
        <v>0</v>
      </c>
      <c r="J7">
        <f t="shared" si="1"/>
        <v>0</v>
      </c>
      <c r="K7">
        <f t="shared" si="19"/>
        <v>7.72</v>
      </c>
      <c r="L7">
        <f t="shared" si="2"/>
        <v>0</v>
      </c>
      <c r="M7">
        <f t="shared" si="20"/>
        <v>0</v>
      </c>
      <c r="O7">
        <f>$B$5*'5 Year Rainfall Simulation'!C8/1000</f>
        <v>2.68</v>
      </c>
      <c r="P7">
        <f t="shared" si="3"/>
        <v>2.68</v>
      </c>
      <c r="Q7">
        <f t="shared" si="4"/>
        <v>0.62</v>
      </c>
      <c r="R7">
        <f t="shared" si="5"/>
        <v>2.06</v>
      </c>
      <c r="S7">
        <f t="shared" si="21"/>
        <v>35</v>
      </c>
      <c r="T7">
        <f t="shared" si="6"/>
        <v>1.5842471325313769</v>
      </c>
      <c r="U7">
        <f t="shared" si="22"/>
        <v>0</v>
      </c>
      <c r="W7">
        <f>$B$5*'5 Year Rainfall Simulation'!D8/1000</f>
        <v>0</v>
      </c>
      <c r="X7">
        <f t="shared" si="7"/>
        <v>0</v>
      </c>
      <c r="Y7">
        <f t="shared" si="8"/>
        <v>0.62</v>
      </c>
      <c r="Z7">
        <f t="shared" si="9"/>
        <v>-0.62</v>
      </c>
      <c r="AA7">
        <f t="shared" si="23"/>
        <v>34.380000000000003</v>
      </c>
      <c r="AB7">
        <f t="shared" si="10"/>
        <v>0</v>
      </c>
      <c r="AC7">
        <f t="shared" si="24"/>
        <v>0</v>
      </c>
      <c r="AE7">
        <f>$B$5*'5 Year Rainfall Simulation'!E8/1000</f>
        <v>3.3334962829750858</v>
      </c>
      <c r="AF7">
        <f t="shared" si="11"/>
        <v>3.3334962829750858</v>
      </c>
      <c r="AG7">
        <f t="shared" si="12"/>
        <v>0.62</v>
      </c>
      <c r="AH7">
        <f t="shared" si="13"/>
        <v>2.7134962829750857</v>
      </c>
      <c r="AI7">
        <f t="shared" si="25"/>
        <v>32.709847989635726</v>
      </c>
      <c r="AJ7">
        <f t="shared" si="14"/>
        <v>1.970552958062419</v>
      </c>
      <c r="AK7">
        <f t="shared" si="26"/>
        <v>0</v>
      </c>
      <c r="AM7">
        <f>$B$5*'5 Year Rainfall Simulation'!F8/1000</f>
        <v>1.6525799489717976</v>
      </c>
      <c r="AN7">
        <f t="shared" si="15"/>
        <v>1.6525799489717976</v>
      </c>
      <c r="AO7">
        <f t="shared" si="16"/>
        <v>0.62</v>
      </c>
      <c r="AP7">
        <f t="shared" si="17"/>
        <v>1.0325799489717977</v>
      </c>
      <c r="AQ7">
        <f t="shared" si="27"/>
        <v>35</v>
      </c>
      <c r="AR7">
        <f t="shared" si="18"/>
        <v>0.97690113635724607</v>
      </c>
      <c r="AS7">
        <f t="shared" si="28"/>
        <v>0</v>
      </c>
    </row>
    <row r="8" spans="1:45" ht="18" customHeight="1">
      <c r="A8" t="s">
        <v>123</v>
      </c>
      <c r="B8">
        <f>IF('Parameters and Satisfaction'!C14="Down",0,'Filtration System'!D23)</f>
        <v>0</v>
      </c>
      <c r="F8" s="109">
        <v>44565</v>
      </c>
      <c r="G8">
        <f>B$5*'5 Year Rainfall Simulation'!B9/1000</f>
        <v>0</v>
      </c>
      <c r="H8">
        <f t="shared" si="0"/>
        <v>0</v>
      </c>
      <c r="I8">
        <v>0</v>
      </c>
      <c r="J8">
        <f t="shared" si="1"/>
        <v>0</v>
      </c>
      <c r="K8">
        <f t="shared" si="19"/>
        <v>7.72</v>
      </c>
      <c r="L8">
        <f t="shared" si="2"/>
        <v>0</v>
      </c>
      <c r="M8">
        <f t="shared" si="20"/>
        <v>0</v>
      </c>
      <c r="O8">
        <f>$B$5*'5 Year Rainfall Simulation'!C9/1000</f>
        <v>12.84</v>
      </c>
      <c r="P8">
        <f t="shared" si="3"/>
        <v>10</v>
      </c>
      <c r="Q8">
        <f t="shared" si="4"/>
        <v>0.62</v>
      </c>
      <c r="R8">
        <f t="shared" si="5"/>
        <v>9.3800000000000008</v>
      </c>
      <c r="S8">
        <f t="shared" si="21"/>
        <v>35</v>
      </c>
      <c r="T8">
        <f t="shared" si="6"/>
        <v>5.9113698975051374</v>
      </c>
      <c r="U8">
        <f t="shared" si="22"/>
        <v>0</v>
      </c>
      <c r="W8">
        <f>$B$5*'5 Year Rainfall Simulation'!D9/1000</f>
        <v>0</v>
      </c>
      <c r="X8">
        <f t="shared" si="7"/>
        <v>0</v>
      </c>
      <c r="Y8">
        <f t="shared" si="8"/>
        <v>0.62</v>
      </c>
      <c r="Z8">
        <f t="shared" si="9"/>
        <v>-0.62</v>
      </c>
      <c r="AA8">
        <f t="shared" si="23"/>
        <v>33.760000000000005</v>
      </c>
      <c r="AB8">
        <f t="shared" si="10"/>
        <v>0</v>
      </c>
      <c r="AC8">
        <f t="shared" si="24"/>
        <v>0</v>
      </c>
      <c r="AE8">
        <f>$B$5*'5 Year Rainfall Simulation'!E9/1000</f>
        <v>12.420759739135949</v>
      </c>
      <c r="AF8">
        <f t="shared" si="11"/>
        <v>10</v>
      </c>
      <c r="AG8">
        <f t="shared" si="12"/>
        <v>0.62</v>
      </c>
      <c r="AH8">
        <f t="shared" si="13"/>
        <v>9.3800000000000008</v>
      </c>
      <c r="AI8">
        <f t="shared" si="25"/>
        <v>35</v>
      </c>
      <c r="AJ8">
        <f t="shared" si="14"/>
        <v>5.9113698975051374</v>
      </c>
      <c r="AK8">
        <f t="shared" si="26"/>
        <v>0</v>
      </c>
      <c r="AM8">
        <f>$B$5*'5 Year Rainfall Simulation'!F9/1000</f>
        <v>1.4554298451167982</v>
      </c>
      <c r="AN8">
        <f t="shared" si="15"/>
        <v>1.4554298451167982</v>
      </c>
      <c r="AO8">
        <f t="shared" si="16"/>
        <v>0.62</v>
      </c>
      <c r="AP8">
        <f t="shared" si="17"/>
        <v>0.83542984511679819</v>
      </c>
      <c r="AQ8">
        <f t="shared" si="27"/>
        <v>35</v>
      </c>
      <c r="AR8">
        <f t="shared" si="18"/>
        <v>0.86035841743540054</v>
      </c>
      <c r="AS8">
        <f t="shared" si="28"/>
        <v>0</v>
      </c>
    </row>
    <row r="9" spans="1:45" ht="18" customHeight="1">
      <c r="A9" t="s">
        <v>124</v>
      </c>
      <c r="F9" s="109">
        <v>44566</v>
      </c>
      <c r="G9">
        <f>B$5*'5 Year Rainfall Simulation'!B10/1000</f>
        <v>0</v>
      </c>
      <c r="H9">
        <f t="shared" si="0"/>
        <v>0</v>
      </c>
      <c r="I9">
        <v>0</v>
      </c>
      <c r="J9">
        <f t="shared" si="1"/>
        <v>0</v>
      </c>
      <c r="K9">
        <f t="shared" si="19"/>
        <v>7.72</v>
      </c>
      <c r="L9">
        <f t="shared" si="2"/>
        <v>0</v>
      </c>
      <c r="M9">
        <f t="shared" si="20"/>
        <v>0</v>
      </c>
      <c r="O9">
        <f>$B$5*'5 Year Rainfall Simulation'!C10/1000</f>
        <v>6.4400000000000013</v>
      </c>
      <c r="P9">
        <f t="shared" si="3"/>
        <v>6.4400000000000013</v>
      </c>
      <c r="Q9">
        <f t="shared" si="4"/>
        <v>0.62</v>
      </c>
      <c r="R9">
        <f t="shared" si="5"/>
        <v>5.8200000000000012</v>
      </c>
      <c r="S9">
        <f t="shared" si="21"/>
        <v>35</v>
      </c>
      <c r="T9">
        <f t="shared" si="6"/>
        <v>3.8069222139933094</v>
      </c>
      <c r="U9">
        <f t="shared" si="22"/>
        <v>0</v>
      </c>
      <c r="W9">
        <f>$B$5*'5 Year Rainfall Simulation'!D10/1000</f>
        <v>1.6921722187137096</v>
      </c>
      <c r="X9">
        <f t="shared" si="7"/>
        <v>1.6921722187137096</v>
      </c>
      <c r="Y9">
        <f t="shared" si="8"/>
        <v>0.62</v>
      </c>
      <c r="Z9">
        <f t="shared" si="9"/>
        <v>1.0721722187137095</v>
      </c>
      <c r="AA9">
        <f t="shared" si="23"/>
        <v>34.832172218713715</v>
      </c>
      <c r="AB9">
        <f t="shared" si="10"/>
        <v>1.0003055915098702</v>
      </c>
      <c r="AC9">
        <f t="shared" si="24"/>
        <v>0</v>
      </c>
      <c r="AE9">
        <f>$B$5*'5 Year Rainfall Simulation'!E10/1000</f>
        <v>3.8949770588690278</v>
      </c>
      <c r="AF9">
        <f t="shared" si="11"/>
        <v>3.8949770588690278</v>
      </c>
      <c r="AG9">
        <f t="shared" si="12"/>
        <v>0.62</v>
      </c>
      <c r="AH9">
        <f t="shared" si="13"/>
        <v>3.2749770588690277</v>
      </c>
      <c r="AI9">
        <f t="shared" si="25"/>
        <v>35</v>
      </c>
      <c r="AJ9">
        <f t="shared" si="14"/>
        <v>2.3024650137271467</v>
      </c>
      <c r="AK9">
        <f t="shared" si="26"/>
        <v>0</v>
      </c>
      <c r="AM9">
        <f>$B$5*'5 Year Rainfall Simulation'!F10/1000</f>
        <v>2.9107139916732963</v>
      </c>
      <c r="AN9">
        <f t="shared" si="15"/>
        <v>2.9107139916732963</v>
      </c>
      <c r="AO9">
        <f t="shared" si="16"/>
        <v>0.62</v>
      </c>
      <c r="AP9">
        <f t="shared" si="17"/>
        <v>2.2907139916732961</v>
      </c>
      <c r="AQ9">
        <f t="shared" si="27"/>
        <v>35</v>
      </c>
      <c r="AR9">
        <f t="shared" si="18"/>
        <v>1.7206307070624545</v>
      </c>
      <c r="AS9">
        <f t="shared" si="28"/>
        <v>0</v>
      </c>
    </row>
    <row r="10" spans="1:45" ht="18" customHeight="1">
      <c r="A10" t="s">
        <v>125</v>
      </c>
      <c r="F10" s="109">
        <v>44567</v>
      </c>
      <c r="G10">
        <f>B$5*'5 Year Rainfall Simulation'!B11/1000</f>
        <v>1</v>
      </c>
      <c r="H10">
        <f t="shared" si="0"/>
        <v>1</v>
      </c>
      <c r="I10">
        <v>0</v>
      </c>
      <c r="J10">
        <f t="shared" si="1"/>
        <v>1</v>
      </c>
      <c r="K10">
        <f t="shared" si="19"/>
        <v>8.7199999999999989</v>
      </c>
      <c r="L10">
        <f t="shared" si="2"/>
        <v>0.59113698975051376</v>
      </c>
      <c r="M10">
        <f t="shared" si="20"/>
        <v>0</v>
      </c>
      <c r="O10">
        <f>$B$5*'5 Year Rainfall Simulation'!C11/1000</f>
        <v>0.56000000000000005</v>
      </c>
      <c r="P10">
        <f t="shared" si="3"/>
        <v>0.56000000000000005</v>
      </c>
      <c r="Q10">
        <f t="shared" si="4"/>
        <v>0.62</v>
      </c>
      <c r="R10">
        <f t="shared" si="5"/>
        <v>-5.9999999999999942E-2</v>
      </c>
      <c r="S10">
        <f t="shared" si="21"/>
        <v>34.94</v>
      </c>
      <c r="T10">
        <f t="shared" si="6"/>
        <v>0.33103671426028775</v>
      </c>
      <c r="U10">
        <f t="shared" si="22"/>
        <v>0</v>
      </c>
      <c r="W10">
        <f>$B$5*'5 Year Rainfall Simulation'!D11/1000</f>
        <v>0</v>
      </c>
      <c r="X10">
        <f t="shared" si="7"/>
        <v>0</v>
      </c>
      <c r="Y10">
        <f t="shared" si="8"/>
        <v>0.62</v>
      </c>
      <c r="Z10">
        <f t="shared" si="9"/>
        <v>-0.62</v>
      </c>
      <c r="AA10">
        <f t="shared" si="23"/>
        <v>34.212172218713718</v>
      </c>
      <c r="AB10">
        <f t="shared" si="10"/>
        <v>0</v>
      </c>
      <c r="AC10">
        <f t="shared" si="24"/>
        <v>0</v>
      </c>
      <c r="AE10">
        <f>$B$5*'5 Year Rainfall Simulation'!E11/1000</f>
        <v>0</v>
      </c>
      <c r="AF10">
        <f t="shared" si="11"/>
        <v>0</v>
      </c>
      <c r="AG10">
        <f t="shared" si="12"/>
        <v>0.62</v>
      </c>
      <c r="AH10">
        <f t="shared" si="13"/>
        <v>-0.62</v>
      </c>
      <c r="AI10">
        <f t="shared" si="25"/>
        <v>34.380000000000003</v>
      </c>
      <c r="AJ10">
        <f t="shared" si="14"/>
        <v>0</v>
      </c>
      <c r="AK10">
        <f t="shared" si="26"/>
        <v>0</v>
      </c>
      <c r="AM10">
        <f>$B$5*'5 Year Rainfall Simulation'!F11/1000</f>
        <v>0</v>
      </c>
      <c r="AN10">
        <f t="shared" si="15"/>
        <v>0</v>
      </c>
      <c r="AO10">
        <f t="shared" si="16"/>
        <v>0.62</v>
      </c>
      <c r="AP10">
        <f t="shared" si="17"/>
        <v>-0.62</v>
      </c>
      <c r="AQ10">
        <f t="shared" si="27"/>
        <v>34.380000000000003</v>
      </c>
      <c r="AR10">
        <f t="shared" si="18"/>
        <v>0</v>
      </c>
      <c r="AS10">
        <f t="shared" si="28"/>
        <v>0</v>
      </c>
    </row>
    <row r="11" spans="1:45" ht="18" customHeight="1">
      <c r="A11" t="s">
        <v>126</v>
      </c>
      <c r="F11" s="109">
        <v>44568</v>
      </c>
      <c r="G11">
        <f>B$5*'5 Year Rainfall Simulation'!B12/1000</f>
        <v>4.0799999999999992</v>
      </c>
      <c r="H11">
        <f t="shared" si="0"/>
        <v>4.0799999999999992</v>
      </c>
      <c r="I11">
        <v>0</v>
      </c>
      <c r="J11">
        <f t="shared" si="1"/>
        <v>4.0799999999999992</v>
      </c>
      <c r="K11">
        <f t="shared" si="19"/>
        <v>12.799999999999997</v>
      </c>
      <c r="L11">
        <f t="shared" si="2"/>
        <v>2.4118389181820956</v>
      </c>
      <c r="M11">
        <f t="shared" si="20"/>
        <v>0</v>
      </c>
      <c r="O11">
        <f>$B$5*'5 Year Rainfall Simulation'!C12/1000</f>
        <v>0</v>
      </c>
      <c r="P11">
        <f t="shared" si="3"/>
        <v>0</v>
      </c>
      <c r="Q11">
        <f t="shared" si="4"/>
        <v>0.62</v>
      </c>
      <c r="R11">
        <f t="shared" si="5"/>
        <v>-0.62</v>
      </c>
      <c r="S11">
        <f t="shared" si="21"/>
        <v>34.32</v>
      </c>
      <c r="T11">
        <f t="shared" si="6"/>
        <v>0</v>
      </c>
      <c r="U11">
        <f t="shared" si="22"/>
        <v>0</v>
      </c>
      <c r="W11">
        <f>$B$5*'5 Year Rainfall Simulation'!D12/1000</f>
        <v>5.2850188502238433</v>
      </c>
      <c r="X11">
        <f t="shared" si="7"/>
        <v>5.2850188502238433</v>
      </c>
      <c r="Y11">
        <f t="shared" si="8"/>
        <v>0.62</v>
      </c>
      <c r="Z11">
        <f t="shared" si="9"/>
        <v>4.6650188502238432</v>
      </c>
      <c r="AA11">
        <f t="shared" si="23"/>
        <v>35</v>
      </c>
      <c r="AB11">
        <f t="shared" si="10"/>
        <v>3.1241701338960444</v>
      </c>
      <c r="AC11">
        <f t="shared" si="24"/>
        <v>0</v>
      </c>
      <c r="AE11">
        <f>$B$5*'5 Year Rainfall Simulation'!E12/1000</f>
        <v>0.874786499759725</v>
      </c>
      <c r="AF11">
        <f t="shared" si="11"/>
        <v>0.874786499759725</v>
      </c>
      <c r="AG11">
        <f t="shared" si="12"/>
        <v>0.62</v>
      </c>
      <c r="AH11">
        <f t="shared" si="13"/>
        <v>0.254786499759725</v>
      </c>
      <c r="AI11">
        <f t="shared" si="25"/>
        <v>34.634786499759727</v>
      </c>
      <c r="AJ11">
        <f t="shared" si="14"/>
        <v>0.51711865814235236</v>
      </c>
      <c r="AK11">
        <f t="shared" si="26"/>
        <v>0</v>
      </c>
      <c r="AM11">
        <f>$B$5*'5 Year Rainfall Simulation'!F12/1000</f>
        <v>6.9100843247284098</v>
      </c>
      <c r="AN11">
        <f t="shared" si="15"/>
        <v>6.9100843247284098</v>
      </c>
      <c r="AO11">
        <f t="shared" si="16"/>
        <v>0.62</v>
      </c>
      <c r="AP11">
        <f t="shared" si="17"/>
        <v>6.2900843247284097</v>
      </c>
      <c r="AQ11">
        <f t="shared" si="27"/>
        <v>35</v>
      </c>
      <c r="AR11">
        <f t="shared" si="18"/>
        <v>4.0848064466421636</v>
      </c>
      <c r="AS11">
        <f t="shared" si="28"/>
        <v>0</v>
      </c>
    </row>
    <row r="12" spans="1:45" ht="18" customHeight="1">
      <c r="A12" t="s">
        <v>127</v>
      </c>
      <c r="F12" s="109">
        <v>44569</v>
      </c>
      <c r="G12">
        <f>B$5*'5 Year Rainfall Simulation'!B13/1000</f>
        <v>4.96</v>
      </c>
      <c r="H12">
        <f t="shared" si="0"/>
        <v>4.96</v>
      </c>
      <c r="I12">
        <v>0</v>
      </c>
      <c r="J12">
        <f t="shared" si="1"/>
        <v>4.96</v>
      </c>
      <c r="K12">
        <f t="shared" si="19"/>
        <v>17.759999999999998</v>
      </c>
      <c r="L12">
        <f t="shared" si="2"/>
        <v>2.9320394691625484</v>
      </c>
      <c r="M12">
        <f t="shared" si="20"/>
        <v>0</v>
      </c>
      <c r="O12">
        <f>$B$5*'5 Year Rainfall Simulation'!C13/1000</f>
        <v>0</v>
      </c>
      <c r="P12">
        <f t="shared" si="3"/>
        <v>0</v>
      </c>
      <c r="Q12">
        <f t="shared" si="4"/>
        <v>0.62</v>
      </c>
      <c r="R12">
        <f t="shared" si="5"/>
        <v>-0.62</v>
      </c>
      <c r="S12">
        <f t="shared" si="21"/>
        <v>33.700000000000003</v>
      </c>
      <c r="T12">
        <f t="shared" si="6"/>
        <v>0</v>
      </c>
      <c r="U12">
        <f t="shared" si="22"/>
        <v>0</v>
      </c>
      <c r="W12">
        <f>$B$5*'5 Year Rainfall Simulation'!D13/1000</f>
        <v>2.1866727547461617</v>
      </c>
      <c r="X12">
        <f t="shared" si="7"/>
        <v>2.1866727547461617</v>
      </c>
      <c r="Y12">
        <f t="shared" si="8"/>
        <v>0.62</v>
      </c>
      <c r="Z12">
        <f t="shared" si="9"/>
        <v>1.5666727547461616</v>
      </c>
      <c r="AA12">
        <f t="shared" si="23"/>
        <v>35</v>
      </c>
      <c r="AB12">
        <f t="shared" si="10"/>
        <v>1.2926231498101095</v>
      </c>
      <c r="AC12">
        <f t="shared" si="24"/>
        <v>0</v>
      </c>
      <c r="AE12">
        <f>$B$5*'5 Year Rainfall Simulation'!E13/1000</f>
        <v>0</v>
      </c>
      <c r="AF12">
        <f t="shared" si="11"/>
        <v>0</v>
      </c>
      <c r="AG12">
        <f t="shared" si="12"/>
        <v>0.62</v>
      </c>
      <c r="AH12">
        <f t="shared" si="13"/>
        <v>-0.62</v>
      </c>
      <c r="AI12">
        <f t="shared" si="25"/>
        <v>34.01478649975973</v>
      </c>
      <c r="AJ12">
        <f t="shared" si="14"/>
        <v>0</v>
      </c>
      <c r="AK12">
        <f t="shared" si="26"/>
        <v>0</v>
      </c>
      <c r="AM12">
        <f>$B$5*'5 Year Rainfall Simulation'!F13/1000</f>
        <v>0.15775118049144227</v>
      </c>
      <c r="AN12">
        <f t="shared" si="15"/>
        <v>0.15775118049144227</v>
      </c>
      <c r="AO12">
        <f t="shared" si="16"/>
        <v>0.62</v>
      </c>
      <c r="AP12">
        <f t="shared" si="17"/>
        <v>-0.46224881950855773</v>
      </c>
      <c r="AQ12">
        <f t="shared" si="27"/>
        <v>34.537751180491441</v>
      </c>
      <c r="AR12">
        <f t="shared" si="18"/>
        <v>9.3252557965301158E-2</v>
      </c>
      <c r="AS12">
        <f t="shared" si="28"/>
        <v>0</v>
      </c>
    </row>
    <row r="13" spans="1:45" ht="18" customHeight="1">
      <c r="A13" t="s">
        <v>128</v>
      </c>
      <c r="F13" s="109">
        <v>44570</v>
      </c>
      <c r="G13">
        <f>B$5*'5 Year Rainfall Simulation'!B14/1000</f>
        <v>6.8</v>
      </c>
      <c r="H13">
        <f t="shared" si="0"/>
        <v>6.8</v>
      </c>
      <c r="I13">
        <v>0</v>
      </c>
      <c r="J13">
        <f t="shared" si="1"/>
        <v>6.8</v>
      </c>
      <c r="K13">
        <f t="shared" si="19"/>
        <v>24.56</v>
      </c>
      <c r="L13">
        <f t="shared" si="2"/>
        <v>4.0197315303034937</v>
      </c>
      <c r="M13">
        <f t="shared" si="20"/>
        <v>0</v>
      </c>
      <c r="O13">
        <f>$B$5*'5 Year Rainfall Simulation'!C14/1000</f>
        <v>0.16</v>
      </c>
      <c r="P13">
        <f t="shared" si="3"/>
        <v>0.16</v>
      </c>
      <c r="Q13">
        <f t="shared" si="4"/>
        <v>0.62</v>
      </c>
      <c r="R13">
        <f t="shared" si="5"/>
        <v>-0.45999999999999996</v>
      </c>
      <c r="S13">
        <f t="shared" si="21"/>
        <v>33.24</v>
      </c>
      <c r="T13">
        <f t="shared" si="6"/>
        <v>9.4581918360082201E-2</v>
      </c>
      <c r="U13">
        <f t="shared" si="22"/>
        <v>0</v>
      </c>
      <c r="W13">
        <f>$B$5*'5 Year Rainfall Simulation'!D14/1000</f>
        <v>4.8561105240537135</v>
      </c>
      <c r="X13">
        <f t="shared" si="7"/>
        <v>4.8561105240537135</v>
      </c>
      <c r="Y13">
        <f t="shared" si="8"/>
        <v>0.62</v>
      </c>
      <c r="Z13">
        <f t="shared" si="9"/>
        <v>4.2361105240537134</v>
      </c>
      <c r="AA13">
        <f t="shared" si="23"/>
        <v>35</v>
      </c>
      <c r="AB13">
        <f t="shared" si="10"/>
        <v>2.8706265570849019</v>
      </c>
      <c r="AC13">
        <f t="shared" si="24"/>
        <v>0</v>
      </c>
      <c r="AE13">
        <f>$B$5*'5 Year Rainfall Simulation'!E14/1000</f>
        <v>0</v>
      </c>
      <c r="AF13">
        <f t="shared" si="11"/>
        <v>0</v>
      </c>
      <c r="AG13">
        <f t="shared" si="12"/>
        <v>0.62</v>
      </c>
      <c r="AH13">
        <f t="shared" si="13"/>
        <v>-0.62</v>
      </c>
      <c r="AI13">
        <f t="shared" si="25"/>
        <v>33.394786499759732</v>
      </c>
      <c r="AJ13">
        <f t="shared" si="14"/>
        <v>0</v>
      </c>
      <c r="AK13">
        <f t="shared" si="26"/>
        <v>0</v>
      </c>
      <c r="AM13">
        <f>$B$5*'5 Year Rainfall Simulation'!F14/1000</f>
        <v>3.6537851953982616</v>
      </c>
      <c r="AN13">
        <f t="shared" si="15"/>
        <v>3.6537851953982616</v>
      </c>
      <c r="AO13">
        <f t="shared" si="16"/>
        <v>0.62</v>
      </c>
      <c r="AP13">
        <f t="shared" si="17"/>
        <v>3.0337851953982615</v>
      </c>
      <c r="AQ13">
        <f t="shared" si="27"/>
        <v>35</v>
      </c>
      <c r="AR13">
        <f t="shared" si="18"/>
        <v>2.159887581602721</v>
      </c>
      <c r="AS13">
        <f t="shared" si="28"/>
        <v>0</v>
      </c>
    </row>
    <row r="14" spans="1:45" ht="18" customHeight="1">
      <c r="A14" t="s">
        <v>129</v>
      </c>
      <c r="B14">
        <f>IF(B15="y",Pumps!F27,IF('Parameters and Satisfaction'!C13="Pump A",Pumps!F13,IF('Parameters and Satisfaction'!C13="Pump B",Pumps!I13,IF('Parameters and Satisfaction'!C13="Pump C",Pumps!L13,"Error"))))</f>
        <v>40.599726317463357</v>
      </c>
      <c r="F14" s="109">
        <v>44571</v>
      </c>
      <c r="G14">
        <f>B$5*'5 Year Rainfall Simulation'!B15/1000</f>
        <v>8.92</v>
      </c>
      <c r="H14">
        <f t="shared" si="0"/>
        <v>8.92</v>
      </c>
      <c r="I14">
        <v>0</v>
      </c>
      <c r="J14">
        <f t="shared" si="1"/>
        <v>8.92</v>
      </c>
      <c r="K14">
        <f t="shared" si="19"/>
        <v>33.479999999999997</v>
      </c>
      <c r="L14">
        <f t="shared" si="2"/>
        <v>5.2729419485745828</v>
      </c>
      <c r="M14">
        <f t="shared" si="20"/>
        <v>0</v>
      </c>
      <c r="O14">
        <f>$B$5*'5 Year Rainfall Simulation'!C15/1000</f>
        <v>0</v>
      </c>
      <c r="P14">
        <f t="shared" si="3"/>
        <v>0</v>
      </c>
      <c r="Q14">
        <f t="shared" si="4"/>
        <v>0.62</v>
      </c>
      <c r="R14">
        <f t="shared" si="5"/>
        <v>-0.62</v>
      </c>
      <c r="S14">
        <f t="shared" si="21"/>
        <v>32.620000000000005</v>
      </c>
      <c r="T14">
        <f t="shared" si="6"/>
        <v>0</v>
      </c>
      <c r="U14">
        <f t="shared" si="22"/>
        <v>0</v>
      </c>
      <c r="W14">
        <f>$B$5*'5 Year Rainfall Simulation'!D15/1000</f>
        <v>7.8936704145023926</v>
      </c>
      <c r="X14">
        <f t="shared" si="7"/>
        <v>7.8936704145023926</v>
      </c>
      <c r="Y14">
        <f t="shared" si="8"/>
        <v>0.62</v>
      </c>
      <c r="Z14">
        <f t="shared" si="9"/>
        <v>7.2736704145023925</v>
      </c>
      <c r="AA14">
        <f t="shared" si="23"/>
        <v>35</v>
      </c>
      <c r="AB14">
        <f t="shared" si="10"/>
        <v>4.6662405669116342</v>
      </c>
      <c r="AC14">
        <f t="shared" si="24"/>
        <v>0</v>
      </c>
      <c r="AE14">
        <f>$B$5*'5 Year Rainfall Simulation'!E15/1000</f>
        <v>0</v>
      </c>
      <c r="AF14">
        <f t="shared" si="11"/>
        <v>0</v>
      </c>
      <c r="AG14">
        <f t="shared" si="12"/>
        <v>0.62</v>
      </c>
      <c r="AH14">
        <f t="shared" si="13"/>
        <v>-0.62</v>
      </c>
      <c r="AI14">
        <f t="shared" si="25"/>
        <v>32.774786499759735</v>
      </c>
      <c r="AJ14">
        <f t="shared" si="14"/>
        <v>0</v>
      </c>
      <c r="AK14">
        <f t="shared" si="26"/>
        <v>0</v>
      </c>
      <c r="AM14">
        <f>$B$5*'5 Year Rainfall Simulation'!F15/1000</f>
        <v>9.1059558959697657</v>
      </c>
      <c r="AN14">
        <f t="shared" si="15"/>
        <v>9.1059558959697657</v>
      </c>
      <c r="AO14">
        <f t="shared" si="16"/>
        <v>0.62</v>
      </c>
      <c r="AP14">
        <f t="shared" si="17"/>
        <v>8.4859558959697665</v>
      </c>
      <c r="AQ14">
        <f t="shared" si="27"/>
        <v>35</v>
      </c>
      <c r="AR14">
        <f t="shared" si="18"/>
        <v>5.3828673571445096</v>
      </c>
      <c r="AS14">
        <f t="shared" si="28"/>
        <v>0</v>
      </c>
    </row>
    <row r="15" spans="1:45" ht="18" customHeight="1">
      <c r="F15" s="109">
        <v>44572</v>
      </c>
      <c r="G15">
        <f>B$5*'5 Year Rainfall Simulation'!B16/1000</f>
        <v>2.88</v>
      </c>
      <c r="H15">
        <f t="shared" si="0"/>
        <v>2.88</v>
      </c>
      <c r="I15">
        <v>0</v>
      </c>
      <c r="J15">
        <f t="shared" si="1"/>
        <v>2.88</v>
      </c>
      <c r="K15">
        <f t="shared" si="19"/>
        <v>35</v>
      </c>
      <c r="L15">
        <f t="shared" si="2"/>
        <v>1.7024745304814797</v>
      </c>
      <c r="M15">
        <f t="shared" si="20"/>
        <v>0</v>
      </c>
      <c r="O15">
        <f>$B$5*'5 Year Rainfall Simulation'!C16/1000</f>
        <v>0</v>
      </c>
      <c r="P15">
        <f t="shared" si="3"/>
        <v>0</v>
      </c>
      <c r="Q15">
        <f t="shared" si="4"/>
        <v>0.62</v>
      </c>
      <c r="R15">
        <f t="shared" si="5"/>
        <v>-0.62</v>
      </c>
      <c r="S15">
        <f t="shared" si="21"/>
        <v>32.000000000000007</v>
      </c>
      <c r="T15">
        <f t="shared" si="6"/>
        <v>0</v>
      </c>
      <c r="U15">
        <f t="shared" si="22"/>
        <v>0</v>
      </c>
      <c r="W15">
        <f>$B$5*'5 Year Rainfall Simulation'!D16/1000</f>
        <v>0</v>
      </c>
      <c r="X15">
        <f t="shared" si="7"/>
        <v>0</v>
      </c>
      <c r="Y15">
        <f t="shared" si="8"/>
        <v>0.62</v>
      </c>
      <c r="Z15">
        <f t="shared" si="9"/>
        <v>-0.62</v>
      </c>
      <c r="AA15">
        <f t="shared" si="23"/>
        <v>34.380000000000003</v>
      </c>
      <c r="AB15">
        <f t="shared" si="10"/>
        <v>0</v>
      </c>
      <c r="AC15">
        <f t="shared" si="24"/>
        <v>0</v>
      </c>
      <c r="AE15">
        <f>$B$5*'5 Year Rainfall Simulation'!E16/1000</f>
        <v>0</v>
      </c>
      <c r="AF15">
        <f t="shared" si="11"/>
        <v>0</v>
      </c>
      <c r="AG15">
        <f t="shared" si="12"/>
        <v>0.62</v>
      </c>
      <c r="AH15">
        <f t="shared" si="13"/>
        <v>-0.62</v>
      </c>
      <c r="AI15">
        <f t="shared" si="25"/>
        <v>32.154786499759737</v>
      </c>
      <c r="AJ15">
        <f t="shared" si="14"/>
        <v>0</v>
      </c>
      <c r="AK15">
        <f t="shared" si="26"/>
        <v>0</v>
      </c>
      <c r="AM15">
        <f>$B$5*'5 Year Rainfall Simulation'!F16/1000</f>
        <v>0</v>
      </c>
      <c r="AN15">
        <f t="shared" si="15"/>
        <v>0</v>
      </c>
      <c r="AO15">
        <f t="shared" si="16"/>
        <v>0.62</v>
      </c>
      <c r="AP15">
        <f t="shared" si="17"/>
        <v>-0.62</v>
      </c>
      <c r="AQ15">
        <f t="shared" si="27"/>
        <v>34.380000000000003</v>
      </c>
      <c r="AR15">
        <f t="shared" si="18"/>
        <v>0</v>
      </c>
      <c r="AS15">
        <f t="shared" si="28"/>
        <v>0</v>
      </c>
    </row>
    <row r="16" spans="1:45" ht="18" customHeight="1">
      <c r="A16" t="s">
        <v>130</v>
      </c>
      <c r="C16" t="str">
        <f>IF(B14&gt;B6,"y","n")</f>
        <v>y</v>
      </c>
      <c r="F16" s="109">
        <v>44573</v>
      </c>
      <c r="G16">
        <f>B$5*'5 Year Rainfall Simulation'!B17/1000</f>
        <v>10.039999999999999</v>
      </c>
      <c r="H16">
        <f t="shared" si="0"/>
        <v>10</v>
      </c>
      <c r="I16">
        <v>0</v>
      </c>
      <c r="J16">
        <f t="shared" si="1"/>
        <v>10</v>
      </c>
      <c r="K16">
        <f t="shared" si="19"/>
        <v>35</v>
      </c>
      <c r="L16">
        <f t="shared" si="2"/>
        <v>5.9113698975051374</v>
      </c>
      <c r="M16">
        <f t="shared" si="20"/>
        <v>0</v>
      </c>
      <c r="O16">
        <f>$B$5*'5 Year Rainfall Simulation'!C17/1000</f>
        <v>0</v>
      </c>
      <c r="P16">
        <f t="shared" si="3"/>
        <v>0</v>
      </c>
      <c r="Q16">
        <f t="shared" si="4"/>
        <v>0.62</v>
      </c>
      <c r="R16">
        <f t="shared" si="5"/>
        <v>-0.62</v>
      </c>
      <c r="S16">
        <f t="shared" si="21"/>
        <v>31.380000000000006</v>
      </c>
      <c r="T16">
        <f t="shared" si="6"/>
        <v>0</v>
      </c>
      <c r="U16">
        <f t="shared" si="22"/>
        <v>0</v>
      </c>
      <c r="W16">
        <f>$B$5*'5 Year Rainfall Simulation'!D17/1000</f>
        <v>9.7004824304539969</v>
      </c>
      <c r="X16">
        <f t="shared" si="7"/>
        <v>9.7004824304539969</v>
      </c>
      <c r="Y16">
        <f t="shared" si="8"/>
        <v>0.62</v>
      </c>
      <c r="Z16">
        <f t="shared" si="9"/>
        <v>9.0804824304539977</v>
      </c>
      <c r="AA16">
        <f t="shared" si="23"/>
        <v>35</v>
      </c>
      <c r="AB16">
        <f t="shared" si="10"/>
        <v>5.7343139830663237</v>
      </c>
      <c r="AC16">
        <f t="shared" si="24"/>
        <v>0</v>
      </c>
      <c r="AE16">
        <f>$B$5*'5 Year Rainfall Simulation'!E17/1000</f>
        <v>0</v>
      </c>
      <c r="AF16">
        <f t="shared" si="11"/>
        <v>0</v>
      </c>
      <c r="AG16">
        <f t="shared" si="12"/>
        <v>0.62</v>
      </c>
      <c r="AH16">
        <f t="shared" si="13"/>
        <v>-0.62</v>
      </c>
      <c r="AI16">
        <f t="shared" si="25"/>
        <v>31.534786499759736</v>
      </c>
      <c r="AJ16">
        <f t="shared" si="14"/>
        <v>0</v>
      </c>
      <c r="AK16">
        <f t="shared" si="26"/>
        <v>0</v>
      </c>
      <c r="AM16">
        <f>$B$5*'5 Year Rainfall Simulation'!F17/1000</f>
        <v>6.8993136874148977</v>
      </c>
      <c r="AN16">
        <f t="shared" si="15"/>
        <v>6.8993136874148977</v>
      </c>
      <c r="AO16">
        <f t="shared" si="16"/>
        <v>0.62</v>
      </c>
      <c r="AP16">
        <f t="shared" si="17"/>
        <v>6.2793136874148976</v>
      </c>
      <c r="AQ16">
        <f t="shared" si="27"/>
        <v>35</v>
      </c>
      <c r="AR16">
        <f t="shared" si="18"/>
        <v>4.0784395245229597</v>
      </c>
      <c r="AS16">
        <f t="shared" si="28"/>
        <v>0</v>
      </c>
    </row>
    <row r="17" spans="6:45" ht="18" customHeight="1">
      <c r="F17" s="109">
        <v>44574</v>
      </c>
      <c r="G17">
        <f>B$5*'5 Year Rainfall Simulation'!B18/1000</f>
        <v>1.92</v>
      </c>
      <c r="H17">
        <f t="shared" si="0"/>
        <v>1.92</v>
      </c>
      <c r="I17">
        <v>0</v>
      </c>
      <c r="J17">
        <f t="shared" si="1"/>
        <v>1.92</v>
      </c>
      <c r="K17">
        <f t="shared" si="19"/>
        <v>35</v>
      </c>
      <c r="L17">
        <f t="shared" si="2"/>
        <v>1.1349830203209863</v>
      </c>
      <c r="M17">
        <f t="shared" si="20"/>
        <v>0</v>
      </c>
      <c r="O17">
        <f>$B$5*'5 Year Rainfall Simulation'!C18/1000</f>
        <v>0</v>
      </c>
      <c r="P17">
        <f t="shared" si="3"/>
        <v>0</v>
      </c>
      <c r="Q17">
        <f t="shared" si="4"/>
        <v>0.62</v>
      </c>
      <c r="R17">
        <f t="shared" si="5"/>
        <v>-0.62</v>
      </c>
      <c r="S17">
        <f t="shared" si="21"/>
        <v>30.760000000000005</v>
      </c>
      <c r="T17">
        <f t="shared" si="6"/>
        <v>0</v>
      </c>
      <c r="U17">
        <f t="shared" si="22"/>
        <v>0</v>
      </c>
      <c r="W17">
        <f>$B$5*'5 Year Rainfall Simulation'!D18/1000</f>
        <v>0</v>
      </c>
      <c r="X17">
        <f t="shared" si="7"/>
        <v>0</v>
      </c>
      <c r="Y17">
        <f t="shared" si="8"/>
        <v>0.62</v>
      </c>
      <c r="Z17">
        <f t="shared" si="9"/>
        <v>-0.62</v>
      </c>
      <c r="AA17">
        <f t="shared" si="23"/>
        <v>34.380000000000003</v>
      </c>
      <c r="AB17">
        <f t="shared" si="10"/>
        <v>0</v>
      </c>
      <c r="AC17">
        <f t="shared" si="24"/>
        <v>0</v>
      </c>
      <c r="AE17">
        <f>$B$5*'5 Year Rainfall Simulation'!E18/1000</f>
        <v>1.3421618981117522</v>
      </c>
      <c r="AF17">
        <f t="shared" si="11"/>
        <v>1.3421618981117522</v>
      </c>
      <c r="AG17">
        <f t="shared" si="12"/>
        <v>0.62</v>
      </c>
      <c r="AH17">
        <f t="shared" si="13"/>
        <v>0.72216189811175224</v>
      </c>
      <c r="AI17">
        <f t="shared" si="25"/>
        <v>32.25694839787149</v>
      </c>
      <c r="AJ17">
        <f t="shared" si="14"/>
        <v>0.79340154420761699</v>
      </c>
      <c r="AK17">
        <f t="shared" si="26"/>
        <v>0</v>
      </c>
      <c r="AM17">
        <f>$B$5*'5 Year Rainfall Simulation'!F18/1000</f>
        <v>0.12370175656414074</v>
      </c>
      <c r="AN17">
        <f t="shared" si="15"/>
        <v>0.12370175656414074</v>
      </c>
      <c r="AO17">
        <f t="shared" si="16"/>
        <v>0.62</v>
      </c>
      <c r="AP17">
        <f t="shared" si="17"/>
        <v>-0.49629824343585927</v>
      </c>
      <c r="AQ17">
        <f t="shared" si="27"/>
        <v>34.503701756564141</v>
      </c>
      <c r="AR17">
        <f t="shared" si="18"/>
        <v>7.3124684002177018E-2</v>
      </c>
      <c r="AS17">
        <f t="shared" si="28"/>
        <v>0</v>
      </c>
    </row>
    <row r="18" spans="6:45" ht="18" customHeight="1">
      <c r="F18" s="109">
        <v>44575</v>
      </c>
      <c r="G18">
        <f>B$5*'5 Year Rainfall Simulation'!B19/1000</f>
        <v>1.1599999999999999</v>
      </c>
      <c r="H18">
        <f t="shared" si="0"/>
        <v>1.1599999999999999</v>
      </c>
      <c r="I18">
        <v>0</v>
      </c>
      <c r="J18">
        <f t="shared" si="1"/>
        <v>1.1599999999999999</v>
      </c>
      <c r="K18">
        <f t="shared" si="19"/>
        <v>35</v>
      </c>
      <c r="L18">
        <f t="shared" si="2"/>
        <v>0.68571890811059588</v>
      </c>
      <c r="M18">
        <f t="shared" si="20"/>
        <v>0</v>
      </c>
      <c r="O18">
        <f>$B$5*'5 Year Rainfall Simulation'!C19/1000</f>
        <v>0.08</v>
      </c>
      <c r="P18">
        <f t="shared" si="3"/>
        <v>0.08</v>
      </c>
      <c r="Q18">
        <f t="shared" si="4"/>
        <v>0.62</v>
      </c>
      <c r="R18">
        <f t="shared" si="5"/>
        <v>-0.54</v>
      </c>
      <c r="S18">
        <f t="shared" si="21"/>
        <v>30.220000000000006</v>
      </c>
      <c r="T18">
        <f t="shared" si="6"/>
        <v>4.7290959180041101E-2</v>
      </c>
      <c r="U18">
        <f t="shared" si="22"/>
        <v>0</v>
      </c>
      <c r="W18">
        <f>$B$5*'5 Year Rainfall Simulation'!D19/1000</f>
        <v>1.9193323115213052</v>
      </c>
      <c r="X18">
        <f t="shared" si="7"/>
        <v>1.9193323115213052</v>
      </c>
      <c r="Y18">
        <f t="shared" si="8"/>
        <v>0.62</v>
      </c>
      <c r="Z18">
        <f t="shared" si="9"/>
        <v>1.2993323115213053</v>
      </c>
      <c r="AA18">
        <f t="shared" si="23"/>
        <v>35</v>
      </c>
      <c r="AB18">
        <f t="shared" si="10"/>
        <v>1.1345883249635997</v>
      </c>
      <c r="AC18">
        <f t="shared" si="24"/>
        <v>0</v>
      </c>
      <c r="AE18">
        <f>$B$5*'5 Year Rainfall Simulation'!E19/1000</f>
        <v>0</v>
      </c>
      <c r="AF18">
        <f t="shared" si="11"/>
        <v>0</v>
      </c>
      <c r="AG18">
        <f t="shared" si="12"/>
        <v>0.62</v>
      </c>
      <c r="AH18">
        <f t="shared" si="13"/>
        <v>-0.62</v>
      </c>
      <c r="AI18">
        <f t="shared" si="25"/>
        <v>31.636948397871489</v>
      </c>
      <c r="AJ18">
        <f t="shared" si="14"/>
        <v>0</v>
      </c>
      <c r="AK18">
        <f t="shared" si="26"/>
        <v>0</v>
      </c>
      <c r="AM18">
        <f>$B$5*'5 Year Rainfall Simulation'!F19/1000</f>
        <v>0.24623298725351123</v>
      </c>
      <c r="AN18">
        <f t="shared" si="15"/>
        <v>0.24623298725351123</v>
      </c>
      <c r="AO18">
        <f t="shared" si="16"/>
        <v>0.62</v>
      </c>
      <c r="AP18">
        <f t="shared" si="17"/>
        <v>-0.37376701274648877</v>
      </c>
      <c r="AQ18">
        <f t="shared" si="27"/>
        <v>34.12993474381765</v>
      </c>
      <c r="AR18">
        <f t="shared" si="18"/>
        <v>0.14555742686231726</v>
      </c>
      <c r="AS18">
        <f t="shared" si="28"/>
        <v>0</v>
      </c>
    </row>
    <row r="19" spans="6:45" ht="18" customHeight="1">
      <c r="F19" s="109">
        <v>44576</v>
      </c>
      <c r="G19">
        <f>B$5*'5 Year Rainfall Simulation'!B20/1000</f>
        <v>0.32</v>
      </c>
      <c r="H19">
        <f t="shared" si="0"/>
        <v>0.32</v>
      </c>
      <c r="I19">
        <v>0</v>
      </c>
      <c r="J19">
        <f t="shared" si="1"/>
        <v>0.32</v>
      </c>
      <c r="K19">
        <f t="shared" si="19"/>
        <v>35</v>
      </c>
      <c r="L19">
        <f t="shared" si="2"/>
        <v>0.1891638367201644</v>
      </c>
      <c r="M19">
        <f t="shared" si="20"/>
        <v>0</v>
      </c>
      <c r="O19">
        <f>$B$5*'5 Year Rainfall Simulation'!C20/1000</f>
        <v>7.08</v>
      </c>
      <c r="P19">
        <f t="shared" si="3"/>
        <v>7.08</v>
      </c>
      <c r="Q19">
        <f t="shared" si="4"/>
        <v>0.62</v>
      </c>
      <c r="R19">
        <f t="shared" si="5"/>
        <v>6.46</v>
      </c>
      <c r="S19">
        <f t="shared" si="21"/>
        <v>35</v>
      </c>
      <c r="T19">
        <f t="shared" si="6"/>
        <v>4.1852498874336375</v>
      </c>
      <c r="U19">
        <f t="shared" si="22"/>
        <v>0</v>
      </c>
      <c r="W19">
        <f>$B$5*'5 Year Rainfall Simulation'!D20/1000</f>
        <v>0</v>
      </c>
      <c r="X19">
        <f t="shared" si="7"/>
        <v>0</v>
      </c>
      <c r="Y19">
        <f t="shared" si="8"/>
        <v>0.62</v>
      </c>
      <c r="Z19">
        <f t="shared" si="9"/>
        <v>-0.62</v>
      </c>
      <c r="AA19">
        <f t="shared" si="23"/>
        <v>34.380000000000003</v>
      </c>
      <c r="AB19">
        <f t="shared" si="10"/>
        <v>0</v>
      </c>
      <c r="AC19">
        <f t="shared" si="24"/>
        <v>0</v>
      </c>
      <c r="AE19">
        <f>$B$5*'5 Year Rainfall Simulation'!E20/1000</f>
        <v>4.8609133779500358</v>
      </c>
      <c r="AF19">
        <f t="shared" si="11"/>
        <v>4.8609133779500358</v>
      </c>
      <c r="AG19">
        <f t="shared" si="12"/>
        <v>0.62</v>
      </c>
      <c r="AH19">
        <f t="shared" si="13"/>
        <v>4.2409133779500356</v>
      </c>
      <c r="AI19">
        <f t="shared" si="25"/>
        <v>35</v>
      </c>
      <c r="AJ19">
        <f t="shared" si="14"/>
        <v>2.8734657016793856</v>
      </c>
      <c r="AK19">
        <f t="shared" si="26"/>
        <v>0</v>
      </c>
      <c r="AM19">
        <f>$B$5*'5 Year Rainfall Simulation'!F20/1000</f>
        <v>0</v>
      </c>
      <c r="AN19">
        <f t="shared" si="15"/>
        <v>0</v>
      </c>
      <c r="AO19">
        <f t="shared" si="16"/>
        <v>0.62</v>
      </c>
      <c r="AP19">
        <f t="shared" si="17"/>
        <v>-0.62</v>
      </c>
      <c r="AQ19">
        <f t="shared" si="27"/>
        <v>33.509934743817652</v>
      </c>
      <c r="AR19">
        <f t="shared" si="18"/>
        <v>0</v>
      </c>
      <c r="AS19">
        <f t="shared" si="28"/>
        <v>0</v>
      </c>
    </row>
    <row r="20" spans="6:45" ht="18" customHeight="1">
      <c r="F20" s="109">
        <v>44577</v>
      </c>
      <c r="G20">
        <f>B$5*'5 Year Rainfall Simulation'!B21/1000</f>
        <v>0.16</v>
      </c>
      <c r="H20">
        <f t="shared" si="0"/>
        <v>0.16</v>
      </c>
      <c r="I20">
        <v>0</v>
      </c>
      <c r="J20">
        <f t="shared" si="1"/>
        <v>0.16</v>
      </c>
      <c r="K20">
        <f t="shared" si="19"/>
        <v>35</v>
      </c>
      <c r="L20">
        <f t="shared" si="2"/>
        <v>9.4581918360082201E-2</v>
      </c>
      <c r="M20">
        <f t="shared" si="20"/>
        <v>0</v>
      </c>
      <c r="O20">
        <f>$B$5*'5 Year Rainfall Simulation'!C21/1000</f>
        <v>1.2</v>
      </c>
      <c r="P20">
        <f t="shared" si="3"/>
        <v>1.2</v>
      </c>
      <c r="Q20">
        <f t="shared" si="4"/>
        <v>0.62</v>
      </c>
      <c r="R20">
        <f t="shared" si="5"/>
        <v>0.57999999999999996</v>
      </c>
      <c r="S20">
        <f t="shared" si="21"/>
        <v>35</v>
      </c>
      <c r="T20">
        <f t="shared" si="6"/>
        <v>0.70936438770061649</v>
      </c>
      <c r="U20">
        <f t="shared" si="22"/>
        <v>0</v>
      </c>
      <c r="W20">
        <f>$B$5*'5 Year Rainfall Simulation'!D21/1000</f>
        <v>0</v>
      </c>
      <c r="X20">
        <f t="shared" si="7"/>
        <v>0</v>
      </c>
      <c r="Y20">
        <f t="shared" si="8"/>
        <v>0.62</v>
      </c>
      <c r="Z20">
        <f t="shared" si="9"/>
        <v>-0.62</v>
      </c>
      <c r="AA20">
        <f t="shared" si="23"/>
        <v>33.760000000000005</v>
      </c>
      <c r="AB20">
        <f t="shared" si="10"/>
        <v>0</v>
      </c>
      <c r="AC20">
        <f t="shared" si="24"/>
        <v>0</v>
      </c>
      <c r="AE20">
        <f>$B$5*'5 Year Rainfall Simulation'!E21/1000</f>
        <v>1.4665509368050378</v>
      </c>
      <c r="AF20">
        <f t="shared" si="11"/>
        <v>1.4665509368050378</v>
      </c>
      <c r="AG20">
        <f t="shared" si="12"/>
        <v>0.62</v>
      </c>
      <c r="AH20">
        <f t="shared" si="13"/>
        <v>0.84655093680503779</v>
      </c>
      <c r="AI20">
        <f t="shared" si="25"/>
        <v>35</v>
      </c>
      <c r="AJ20">
        <f t="shared" si="14"/>
        <v>0.86693250609872596</v>
      </c>
      <c r="AK20">
        <f t="shared" si="26"/>
        <v>0</v>
      </c>
      <c r="AM20">
        <f>$B$5*'5 Year Rainfall Simulation'!F21/1000</f>
        <v>0</v>
      </c>
      <c r="AN20">
        <f t="shared" si="15"/>
        <v>0</v>
      </c>
      <c r="AO20">
        <f t="shared" si="16"/>
        <v>0.62</v>
      </c>
      <c r="AP20">
        <f t="shared" si="17"/>
        <v>-0.62</v>
      </c>
      <c r="AQ20">
        <f t="shared" si="27"/>
        <v>32.889934743817655</v>
      </c>
      <c r="AR20">
        <f t="shared" si="18"/>
        <v>0</v>
      </c>
      <c r="AS20">
        <f t="shared" si="28"/>
        <v>0</v>
      </c>
    </row>
    <row r="21" spans="6:45" ht="18" customHeight="1">
      <c r="F21" s="109">
        <v>44578</v>
      </c>
      <c r="G21">
        <f>B$5*'5 Year Rainfall Simulation'!B22/1000</f>
        <v>0</v>
      </c>
      <c r="H21">
        <f t="shared" si="0"/>
        <v>0</v>
      </c>
      <c r="I21">
        <v>0</v>
      </c>
      <c r="J21">
        <f t="shared" si="1"/>
        <v>0</v>
      </c>
      <c r="K21">
        <f t="shared" si="19"/>
        <v>35</v>
      </c>
      <c r="L21">
        <f t="shared" si="2"/>
        <v>0</v>
      </c>
      <c r="M21">
        <f t="shared" si="20"/>
        <v>0</v>
      </c>
      <c r="O21">
        <f>$B$5*'5 Year Rainfall Simulation'!C22/1000</f>
        <v>4.0799999999999992</v>
      </c>
      <c r="P21">
        <f t="shared" si="3"/>
        <v>4.0799999999999992</v>
      </c>
      <c r="Q21">
        <f t="shared" si="4"/>
        <v>0.62</v>
      </c>
      <c r="R21">
        <f t="shared" si="5"/>
        <v>3.4599999999999991</v>
      </c>
      <c r="S21">
        <f t="shared" si="21"/>
        <v>35</v>
      </c>
      <c r="T21">
        <f t="shared" si="6"/>
        <v>2.4118389181820956</v>
      </c>
      <c r="U21">
        <f t="shared" si="22"/>
        <v>0</v>
      </c>
      <c r="W21">
        <f>$B$5*'5 Year Rainfall Simulation'!D22/1000</f>
        <v>0</v>
      </c>
      <c r="X21">
        <f t="shared" si="7"/>
        <v>0</v>
      </c>
      <c r="Y21">
        <f t="shared" si="8"/>
        <v>0.62</v>
      </c>
      <c r="Z21">
        <f t="shared" si="9"/>
        <v>-0.62</v>
      </c>
      <c r="AA21">
        <f t="shared" si="23"/>
        <v>33.140000000000008</v>
      </c>
      <c r="AB21">
        <f t="shared" si="10"/>
        <v>0</v>
      </c>
      <c r="AC21">
        <f t="shared" si="24"/>
        <v>0</v>
      </c>
      <c r="AE21">
        <f>$B$5*'5 Year Rainfall Simulation'!E22/1000</f>
        <v>3.4205984157795317</v>
      </c>
      <c r="AF21">
        <f t="shared" si="11"/>
        <v>3.4205984157795317</v>
      </c>
      <c r="AG21">
        <f t="shared" si="12"/>
        <v>0.62</v>
      </c>
      <c r="AH21">
        <f t="shared" si="13"/>
        <v>2.8005984157795316</v>
      </c>
      <c r="AI21">
        <f t="shared" si="25"/>
        <v>35</v>
      </c>
      <c r="AJ21">
        <f t="shared" si="14"/>
        <v>2.0220422506492888</v>
      </c>
      <c r="AK21">
        <f t="shared" si="26"/>
        <v>0</v>
      </c>
      <c r="AM21">
        <f>$B$5*'5 Year Rainfall Simulation'!F22/1000</f>
        <v>0.34474824122746495</v>
      </c>
      <c r="AN21">
        <f t="shared" si="15"/>
        <v>0.34474824122746495</v>
      </c>
      <c r="AO21">
        <f t="shared" si="16"/>
        <v>0.62</v>
      </c>
      <c r="AP21">
        <f t="shared" si="17"/>
        <v>-0.27525175877253505</v>
      </c>
      <c r="AQ21">
        <f t="shared" si="27"/>
        <v>32.614682985045121</v>
      </c>
      <c r="AR21">
        <f t="shared" si="18"/>
        <v>0.20379343754098761</v>
      </c>
      <c r="AS21">
        <f t="shared" si="28"/>
        <v>0</v>
      </c>
    </row>
    <row r="22" spans="6:45" ht="18" customHeight="1">
      <c r="F22" s="109">
        <v>44579</v>
      </c>
      <c r="G22">
        <f>B$5*'5 Year Rainfall Simulation'!B23/1000</f>
        <v>0.52</v>
      </c>
      <c r="H22">
        <f t="shared" si="0"/>
        <v>0.52</v>
      </c>
      <c r="I22">
        <v>0</v>
      </c>
      <c r="J22">
        <f t="shared" si="1"/>
        <v>0.52</v>
      </c>
      <c r="K22">
        <f t="shared" si="19"/>
        <v>35</v>
      </c>
      <c r="L22">
        <f t="shared" si="2"/>
        <v>0.30739123467026719</v>
      </c>
      <c r="M22">
        <f t="shared" si="20"/>
        <v>0</v>
      </c>
      <c r="O22">
        <f>$B$5*'5 Year Rainfall Simulation'!C23/1000</f>
        <v>3.3200000000000003</v>
      </c>
      <c r="P22">
        <f t="shared" si="3"/>
        <v>3.3200000000000003</v>
      </c>
      <c r="Q22">
        <f t="shared" si="4"/>
        <v>0.62</v>
      </c>
      <c r="R22">
        <f t="shared" si="5"/>
        <v>2.7</v>
      </c>
      <c r="S22">
        <f t="shared" si="21"/>
        <v>35</v>
      </c>
      <c r="T22">
        <f t="shared" si="6"/>
        <v>1.9625748059717059</v>
      </c>
      <c r="U22">
        <f t="shared" si="22"/>
        <v>0</v>
      </c>
      <c r="W22">
        <f>$B$5*'5 Year Rainfall Simulation'!D23/1000</f>
        <v>0</v>
      </c>
      <c r="X22">
        <f t="shared" si="7"/>
        <v>0</v>
      </c>
      <c r="Y22">
        <f t="shared" si="8"/>
        <v>0.62</v>
      </c>
      <c r="Z22">
        <f t="shared" si="9"/>
        <v>-0.62</v>
      </c>
      <c r="AA22">
        <f t="shared" si="23"/>
        <v>32.52000000000001</v>
      </c>
      <c r="AB22">
        <f t="shared" si="10"/>
        <v>0</v>
      </c>
      <c r="AC22">
        <f t="shared" si="24"/>
        <v>0</v>
      </c>
      <c r="AE22">
        <f>$B$5*'5 Year Rainfall Simulation'!E23/1000</f>
        <v>0.248435211266094</v>
      </c>
      <c r="AF22">
        <f t="shared" si="11"/>
        <v>0.248435211266094</v>
      </c>
      <c r="AG22">
        <f t="shared" si="12"/>
        <v>0.62</v>
      </c>
      <c r="AH22">
        <f t="shared" si="13"/>
        <v>-0.37156478873390597</v>
      </c>
      <c r="AI22">
        <f t="shared" si="25"/>
        <v>34.628435211266094</v>
      </c>
      <c r="AJ22">
        <f t="shared" si="14"/>
        <v>0.14685924293587174</v>
      </c>
      <c r="AK22">
        <f t="shared" si="26"/>
        <v>0</v>
      </c>
      <c r="AM22">
        <f>$B$5*'5 Year Rainfall Simulation'!F23/1000</f>
        <v>1.5093230520937333</v>
      </c>
      <c r="AN22">
        <f t="shared" si="15"/>
        <v>1.5093230520937333</v>
      </c>
      <c r="AO22">
        <f t="shared" si="16"/>
        <v>0.62</v>
      </c>
      <c r="AP22">
        <f t="shared" si="17"/>
        <v>0.8893230520937333</v>
      </c>
      <c r="AQ22">
        <f t="shared" si="27"/>
        <v>33.504006037138858</v>
      </c>
      <c r="AR22">
        <f t="shared" si="18"/>
        <v>0.8922166855757474</v>
      </c>
      <c r="AS22">
        <f t="shared" si="28"/>
        <v>0</v>
      </c>
    </row>
    <row r="23" spans="6:45" ht="18" customHeight="1">
      <c r="F23" s="109">
        <v>44580</v>
      </c>
      <c r="G23">
        <f>B$5*'5 Year Rainfall Simulation'!B24/1000</f>
        <v>0.2</v>
      </c>
      <c r="H23">
        <f t="shared" si="0"/>
        <v>0.2</v>
      </c>
      <c r="I23">
        <v>0</v>
      </c>
      <c r="J23">
        <f t="shared" si="1"/>
        <v>0.2</v>
      </c>
      <c r="K23">
        <f t="shared" si="19"/>
        <v>35</v>
      </c>
      <c r="L23">
        <f t="shared" si="2"/>
        <v>0.11822739795010276</v>
      </c>
      <c r="M23">
        <f t="shared" si="20"/>
        <v>0</v>
      </c>
      <c r="O23">
        <f>$B$5*'5 Year Rainfall Simulation'!C24/1000</f>
        <v>0.52</v>
      </c>
      <c r="P23">
        <f t="shared" si="3"/>
        <v>0.52</v>
      </c>
      <c r="Q23">
        <f t="shared" si="4"/>
        <v>0.62</v>
      </c>
      <c r="R23">
        <f t="shared" si="5"/>
        <v>-9.9999999999999978E-2</v>
      </c>
      <c r="S23">
        <f t="shared" si="21"/>
        <v>34.9</v>
      </c>
      <c r="T23">
        <f t="shared" si="6"/>
        <v>0.30739123467026719</v>
      </c>
      <c r="U23">
        <f t="shared" si="22"/>
        <v>0</v>
      </c>
      <c r="W23">
        <f>$B$5*'5 Year Rainfall Simulation'!D24/1000</f>
        <v>1.5991155445008858</v>
      </c>
      <c r="X23">
        <f t="shared" si="7"/>
        <v>1.5991155445008858</v>
      </c>
      <c r="Y23">
        <f t="shared" si="8"/>
        <v>0.62</v>
      </c>
      <c r="Z23">
        <f t="shared" si="9"/>
        <v>0.97911554450088578</v>
      </c>
      <c r="AA23">
        <f t="shared" si="23"/>
        <v>33.499115544500896</v>
      </c>
      <c r="AB23">
        <f t="shared" si="10"/>
        <v>0.94529634923950734</v>
      </c>
      <c r="AC23">
        <f t="shared" si="24"/>
        <v>0</v>
      </c>
      <c r="AE23">
        <f>$B$5*'5 Year Rainfall Simulation'!E24/1000</f>
        <v>9.6725717638660585E-2</v>
      </c>
      <c r="AF23">
        <f t="shared" si="11"/>
        <v>9.6725717638660585E-2</v>
      </c>
      <c r="AG23">
        <f t="shared" si="12"/>
        <v>0.62</v>
      </c>
      <c r="AH23">
        <f t="shared" si="13"/>
        <v>-0.52327428236133944</v>
      </c>
      <c r="AI23">
        <f t="shared" si="25"/>
        <v>34.105160928904752</v>
      </c>
      <c r="AJ23">
        <f t="shared" si="14"/>
        <v>5.7178149556375991E-2</v>
      </c>
      <c r="AK23">
        <f t="shared" si="26"/>
        <v>0</v>
      </c>
      <c r="AM23">
        <f>$B$5*'5 Year Rainfall Simulation'!F24/1000</f>
        <v>0</v>
      </c>
      <c r="AN23">
        <f t="shared" si="15"/>
        <v>0</v>
      </c>
      <c r="AO23">
        <f t="shared" si="16"/>
        <v>0.62</v>
      </c>
      <c r="AP23">
        <f t="shared" si="17"/>
        <v>-0.62</v>
      </c>
      <c r="AQ23">
        <f t="shared" si="27"/>
        <v>32.88400603713886</v>
      </c>
      <c r="AR23">
        <f t="shared" si="18"/>
        <v>0</v>
      </c>
      <c r="AS23">
        <f t="shared" si="28"/>
        <v>0</v>
      </c>
    </row>
    <row r="24" spans="6:45" ht="18" customHeight="1">
      <c r="F24" s="109">
        <v>44581</v>
      </c>
      <c r="G24">
        <f>B$5*'5 Year Rainfall Simulation'!B25/1000</f>
        <v>0.12</v>
      </c>
      <c r="H24">
        <f t="shared" si="0"/>
        <v>0.12</v>
      </c>
      <c r="I24">
        <v>0</v>
      </c>
      <c r="J24">
        <f t="shared" si="1"/>
        <v>0.12</v>
      </c>
      <c r="K24">
        <f t="shared" si="19"/>
        <v>35</v>
      </c>
      <c r="L24">
        <f t="shared" si="2"/>
        <v>7.0936438770061644E-2</v>
      </c>
      <c r="M24">
        <f t="shared" si="20"/>
        <v>0</v>
      </c>
      <c r="O24">
        <f>$B$5*'5 Year Rainfall Simulation'!C25/1000</f>
        <v>0.08</v>
      </c>
      <c r="P24">
        <f t="shared" si="3"/>
        <v>0.08</v>
      </c>
      <c r="Q24">
        <f t="shared" si="4"/>
        <v>0.62</v>
      </c>
      <c r="R24">
        <f t="shared" si="5"/>
        <v>-0.54</v>
      </c>
      <c r="S24">
        <f t="shared" si="21"/>
        <v>34.36</v>
      </c>
      <c r="T24">
        <f t="shared" si="6"/>
        <v>4.7290959180041101E-2</v>
      </c>
      <c r="U24">
        <f t="shared" si="22"/>
        <v>0</v>
      </c>
      <c r="W24">
        <f>$B$5*'5 Year Rainfall Simulation'!D25/1000</f>
        <v>0</v>
      </c>
      <c r="X24">
        <f t="shared" si="7"/>
        <v>0</v>
      </c>
      <c r="Y24">
        <f t="shared" si="8"/>
        <v>0.62</v>
      </c>
      <c r="Z24">
        <f t="shared" si="9"/>
        <v>-0.62</v>
      </c>
      <c r="AA24">
        <f t="shared" si="23"/>
        <v>32.879115544500898</v>
      </c>
      <c r="AB24">
        <f t="shared" si="10"/>
        <v>0</v>
      </c>
      <c r="AC24">
        <f t="shared" si="24"/>
        <v>0</v>
      </c>
      <c r="AE24">
        <f>$B$5*'5 Year Rainfall Simulation'!E25/1000</f>
        <v>0</v>
      </c>
      <c r="AF24">
        <f t="shared" si="11"/>
        <v>0</v>
      </c>
      <c r="AG24">
        <f t="shared" si="12"/>
        <v>0.62</v>
      </c>
      <c r="AH24">
        <f t="shared" si="13"/>
        <v>-0.62</v>
      </c>
      <c r="AI24">
        <f t="shared" si="25"/>
        <v>33.485160928904754</v>
      </c>
      <c r="AJ24">
        <f t="shared" si="14"/>
        <v>0</v>
      </c>
      <c r="AK24">
        <f t="shared" si="26"/>
        <v>0</v>
      </c>
      <c r="AM24">
        <f>$B$5*'5 Year Rainfall Simulation'!F25/1000</f>
        <v>0</v>
      </c>
      <c r="AN24">
        <f t="shared" si="15"/>
        <v>0</v>
      </c>
      <c r="AO24">
        <f t="shared" si="16"/>
        <v>0.62</v>
      </c>
      <c r="AP24">
        <f t="shared" si="17"/>
        <v>-0.62</v>
      </c>
      <c r="AQ24">
        <f t="shared" si="27"/>
        <v>32.264006037138863</v>
      </c>
      <c r="AR24">
        <f t="shared" si="18"/>
        <v>0</v>
      </c>
      <c r="AS24">
        <f t="shared" si="28"/>
        <v>0</v>
      </c>
    </row>
    <row r="25" spans="6:45" ht="18" customHeight="1">
      <c r="F25" s="109">
        <v>44582</v>
      </c>
      <c r="G25">
        <f>B$5*'5 Year Rainfall Simulation'!B26/1000</f>
        <v>0.16</v>
      </c>
      <c r="H25">
        <f t="shared" si="0"/>
        <v>0.16</v>
      </c>
      <c r="I25">
        <v>0</v>
      </c>
      <c r="J25">
        <f t="shared" si="1"/>
        <v>0.16</v>
      </c>
      <c r="K25">
        <f t="shared" si="19"/>
        <v>35</v>
      </c>
      <c r="L25">
        <f t="shared" si="2"/>
        <v>9.4581918360082201E-2</v>
      </c>
      <c r="M25">
        <f t="shared" si="20"/>
        <v>0</v>
      </c>
      <c r="O25">
        <f>$B$5*'5 Year Rainfall Simulation'!C26/1000</f>
        <v>3.6799999999999997</v>
      </c>
      <c r="P25">
        <f t="shared" si="3"/>
        <v>3.6799999999999997</v>
      </c>
      <c r="Q25">
        <f t="shared" si="4"/>
        <v>0.62</v>
      </c>
      <c r="R25">
        <f t="shared" si="5"/>
        <v>3.0599999999999996</v>
      </c>
      <c r="S25">
        <f t="shared" si="21"/>
        <v>35</v>
      </c>
      <c r="T25">
        <f t="shared" si="6"/>
        <v>2.1753841222818906</v>
      </c>
      <c r="U25">
        <f t="shared" si="22"/>
        <v>0</v>
      </c>
      <c r="W25">
        <f>$B$5*'5 Year Rainfall Simulation'!D26/1000</f>
        <v>0</v>
      </c>
      <c r="X25">
        <f t="shared" si="7"/>
        <v>0</v>
      </c>
      <c r="Y25">
        <f t="shared" si="8"/>
        <v>0.62</v>
      </c>
      <c r="Z25">
        <f t="shared" si="9"/>
        <v>-0.62</v>
      </c>
      <c r="AA25">
        <f t="shared" si="23"/>
        <v>32.259115544500901</v>
      </c>
      <c r="AB25">
        <f t="shared" si="10"/>
        <v>0</v>
      </c>
      <c r="AC25">
        <f t="shared" si="24"/>
        <v>0</v>
      </c>
      <c r="AE25">
        <f>$B$5*'5 Year Rainfall Simulation'!E26/1000</f>
        <v>4.1094602817966344</v>
      </c>
      <c r="AF25">
        <f t="shared" si="11"/>
        <v>4.1094602817966344</v>
      </c>
      <c r="AG25">
        <f t="shared" si="12"/>
        <v>0.62</v>
      </c>
      <c r="AH25">
        <f t="shared" si="13"/>
        <v>3.4894602817966343</v>
      </c>
      <c r="AI25">
        <f t="shared" si="25"/>
        <v>35</v>
      </c>
      <c r="AJ25">
        <f t="shared" si="14"/>
        <v>2.4292539804805604</v>
      </c>
      <c r="AK25">
        <f t="shared" si="26"/>
        <v>0</v>
      </c>
      <c r="AM25">
        <f>$B$5*'5 Year Rainfall Simulation'!F26/1000</f>
        <v>0.8978636428234078</v>
      </c>
      <c r="AN25">
        <f t="shared" si="15"/>
        <v>0.8978636428234078</v>
      </c>
      <c r="AO25">
        <f t="shared" si="16"/>
        <v>0.62</v>
      </c>
      <c r="AP25">
        <f t="shared" si="17"/>
        <v>0.27786364282340781</v>
      </c>
      <c r="AQ25">
        <f t="shared" si="27"/>
        <v>32.541869679962268</v>
      </c>
      <c r="AR25">
        <f t="shared" si="18"/>
        <v>0.53076041102505978</v>
      </c>
      <c r="AS25">
        <f t="shared" si="28"/>
        <v>0</v>
      </c>
    </row>
    <row r="26" spans="6:45" ht="18" customHeight="1">
      <c r="F26" s="109">
        <v>44583</v>
      </c>
      <c r="G26">
        <f>B$5*'5 Year Rainfall Simulation'!B27/1000</f>
        <v>0.12</v>
      </c>
      <c r="H26">
        <f t="shared" si="0"/>
        <v>0.12</v>
      </c>
      <c r="I26">
        <v>0</v>
      </c>
      <c r="J26">
        <f t="shared" si="1"/>
        <v>0.12</v>
      </c>
      <c r="K26">
        <f t="shared" si="19"/>
        <v>35</v>
      </c>
      <c r="L26">
        <f t="shared" si="2"/>
        <v>7.0936438770061644E-2</v>
      </c>
      <c r="M26">
        <f t="shared" si="20"/>
        <v>0</v>
      </c>
      <c r="O26">
        <f>$B$5*'5 Year Rainfall Simulation'!C27/1000</f>
        <v>2.8</v>
      </c>
      <c r="P26">
        <f t="shared" si="3"/>
        <v>2.8</v>
      </c>
      <c r="Q26">
        <f t="shared" si="4"/>
        <v>0.62</v>
      </c>
      <c r="R26">
        <f t="shared" si="5"/>
        <v>2.1799999999999997</v>
      </c>
      <c r="S26">
        <f t="shared" si="21"/>
        <v>35</v>
      </c>
      <c r="T26">
        <f t="shared" si="6"/>
        <v>1.6551835713014384</v>
      </c>
      <c r="U26">
        <f t="shared" si="22"/>
        <v>0</v>
      </c>
      <c r="W26">
        <f>$B$5*'5 Year Rainfall Simulation'!D27/1000</f>
        <v>0</v>
      </c>
      <c r="X26">
        <f t="shared" si="7"/>
        <v>0</v>
      </c>
      <c r="Y26">
        <f t="shared" si="8"/>
        <v>0.62</v>
      </c>
      <c r="Z26">
        <f t="shared" si="9"/>
        <v>-0.62</v>
      </c>
      <c r="AA26">
        <f t="shared" si="23"/>
        <v>31.6391155445009</v>
      </c>
      <c r="AB26">
        <f t="shared" si="10"/>
        <v>0</v>
      </c>
      <c r="AC26">
        <f t="shared" si="24"/>
        <v>0</v>
      </c>
      <c r="AE26">
        <f>$B$5*'5 Year Rainfall Simulation'!E27/1000</f>
        <v>4.4948277815672215</v>
      </c>
      <c r="AF26">
        <f t="shared" si="11"/>
        <v>4.4948277815672215</v>
      </c>
      <c r="AG26">
        <f t="shared" si="12"/>
        <v>0.62</v>
      </c>
      <c r="AH26">
        <f t="shared" si="13"/>
        <v>3.8748277815672214</v>
      </c>
      <c r="AI26">
        <f t="shared" si="25"/>
        <v>35</v>
      </c>
      <c r="AJ26">
        <f t="shared" si="14"/>
        <v>2.6570589642426272</v>
      </c>
      <c r="AK26">
        <f t="shared" si="26"/>
        <v>0</v>
      </c>
      <c r="AM26">
        <f>$B$5*'5 Year Rainfall Simulation'!F27/1000</f>
        <v>0</v>
      </c>
      <c r="AN26">
        <f t="shared" si="15"/>
        <v>0</v>
      </c>
      <c r="AO26">
        <f t="shared" si="16"/>
        <v>0.62</v>
      </c>
      <c r="AP26">
        <f t="shared" si="17"/>
        <v>-0.62</v>
      </c>
      <c r="AQ26">
        <f t="shared" si="27"/>
        <v>31.921869679962267</v>
      </c>
      <c r="AR26">
        <f t="shared" si="18"/>
        <v>0</v>
      </c>
      <c r="AS26">
        <f t="shared" si="28"/>
        <v>0</v>
      </c>
    </row>
    <row r="27" spans="6:45" ht="18" customHeight="1">
      <c r="F27" s="109">
        <v>44584</v>
      </c>
      <c r="G27">
        <f>B$5*'5 Year Rainfall Simulation'!B28/1000</f>
        <v>0</v>
      </c>
      <c r="H27">
        <f t="shared" si="0"/>
        <v>0</v>
      </c>
      <c r="I27">
        <v>0</v>
      </c>
      <c r="J27">
        <f t="shared" si="1"/>
        <v>0</v>
      </c>
      <c r="K27">
        <f t="shared" si="19"/>
        <v>35</v>
      </c>
      <c r="L27">
        <f t="shared" si="2"/>
        <v>0</v>
      </c>
      <c r="M27">
        <f t="shared" si="20"/>
        <v>0</v>
      </c>
      <c r="O27">
        <f>$B$5*'5 Year Rainfall Simulation'!C28/1000</f>
        <v>18.16</v>
      </c>
      <c r="P27">
        <f t="shared" si="3"/>
        <v>10</v>
      </c>
      <c r="Q27">
        <f t="shared" si="4"/>
        <v>0.62</v>
      </c>
      <c r="R27">
        <f t="shared" si="5"/>
        <v>9.3800000000000008</v>
      </c>
      <c r="S27">
        <f t="shared" si="21"/>
        <v>35</v>
      </c>
      <c r="T27">
        <f t="shared" si="6"/>
        <v>5.9113698975051374</v>
      </c>
      <c r="U27">
        <f t="shared" si="22"/>
        <v>0</v>
      </c>
      <c r="W27">
        <f>$B$5*'5 Year Rainfall Simulation'!D28/1000</f>
        <v>0</v>
      </c>
      <c r="X27">
        <f t="shared" si="7"/>
        <v>0</v>
      </c>
      <c r="Y27">
        <f t="shared" si="8"/>
        <v>0.62</v>
      </c>
      <c r="Z27">
        <f t="shared" si="9"/>
        <v>-0.62</v>
      </c>
      <c r="AA27">
        <f t="shared" si="23"/>
        <v>31.019115544500899</v>
      </c>
      <c r="AB27">
        <f t="shared" si="10"/>
        <v>0</v>
      </c>
      <c r="AC27">
        <f t="shared" si="24"/>
        <v>0</v>
      </c>
      <c r="AE27">
        <f>$B$5*'5 Year Rainfall Simulation'!E28/1000</f>
        <v>18.015280707642361</v>
      </c>
      <c r="AF27">
        <f t="shared" si="11"/>
        <v>10</v>
      </c>
      <c r="AG27">
        <f t="shared" si="12"/>
        <v>0.62</v>
      </c>
      <c r="AH27">
        <f t="shared" si="13"/>
        <v>9.3800000000000008</v>
      </c>
      <c r="AI27">
        <f t="shared" si="25"/>
        <v>35</v>
      </c>
      <c r="AJ27">
        <f t="shared" si="14"/>
        <v>5.9113698975051374</v>
      </c>
      <c r="AK27">
        <f t="shared" si="26"/>
        <v>0</v>
      </c>
      <c r="AM27">
        <f>$B$5*'5 Year Rainfall Simulation'!F28/1000</f>
        <v>1.7275238279384997</v>
      </c>
      <c r="AN27">
        <f t="shared" si="15"/>
        <v>1.7275238279384997</v>
      </c>
      <c r="AO27">
        <f t="shared" si="16"/>
        <v>0.62</v>
      </c>
      <c r="AP27">
        <f t="shared" si="17"/>
        <v>1.1075238279384996</v>
      </c>
      <c r="AQ27">
        <f t="shared" si="27"/>
        <v>33.029393507900764</v>
      </c>
      <c r="AR27">
        <f t="shared" si="18"/>
        <v>1.0212032353698492</v>
      </c>
      <c r="AS27">
        <f t="shared" si="28"/>
        <v>0</v>
      </c>
    </row>
    <row r="28" spans="6:45" ht="18" customHeight="1">
      <c r="F28" s="109">
        <v>44585</v>
      </c>
      <c r="G28">
        <f>B$5*'5 Year Rainfall Simulation'!B29/1000</f>
        <v>0</v>
      </c>
      <c r="H28">
        <f t="shared" si="0"/>
        <v>0</v>
      </c>
      <c r="I28">
        <v>0</v>
      </c>
      <c r="J28">
        <f t="shared" si="1"/>
        <v>0</v>
      </c>
      <c r="K28">
        <f t="shared" si="19"/>
        <v>35</v>
      </c>
      <c r="L28">
        <f t="shared" si="2"/>
        <v>0</v>
      </c>
      <c r="M28">
        <f t="shared" si="20"/>
        <v>0</v>
      </c>
      <c r="O28">
        <f>$B$5*'5 Year Rainfall Simulation'!C29/1000</f>
        <v>8</v>
      </c>
      <c r="P28">
        <f t="shared" si="3"/>
        <v>8</v>
      </c>
      <c r="Q28">
        <f t="shared" si="4"/>
        <v>0.62</v>
      </c>
      <c r="R28">
        <f t="shared" si="5"/>
        <v>7.38</v>
      </c>
      <c r="S28">
        <f t="shared" si="21"/>
        <v>35</v>
      </c>
      <c r="T28">
        <f t="shared" si="6"/>
        <v>4.7290959180041101</v>
      </c>
      <c r="U28">
        <f t="shared" si="22"/>
        <v>0</v>
      </c>
      <c r="W28">
        <f>$B$5*'5 Year Rainfall Simulation'!D29/1000</f>
        <v>0.92656496259000853</v>
      </c>
      <c r="X28">
        <f t="shared" si="7"/>
        <v>0.92656496259000853</v>
      </c>
      <c r="Y28">
        <f t="shared" si="8"/>
        <v>0.62</v>
      </c>
      <c r="Z28">
        <f t="shared" si="9"/>
        <v>0.30656496259000854</v>
      </c>
      <c r="AA28">
        <f t="shared" si="23"/>
        <v>31.325680507090908</v>
      </c>
      <c r="AB28">
        <f t="shared" si="10"/>
        <v>0.54772682279375506</v>
      </c>
      <c r="AC28">
        <f t="shared" si="24"/>
        <v>0</v>
      </c>
      <c r="AE28">
        <f>$B$5*'5 Year Rainfall Simulation'!E29/1000</f>
        <v>9.70577940478843</v>
      </c>
      <c r="AF28">
        <f t="shared" si="11"/>
        <v>9.70577940478843</v>
      </c>
      <c r="AG28">
        <f t="shared" si="12"/>
        <v>0.62</v>
      </c>
      <c r="AH28">
        <f t="shared" si="13"/>
        <v>9.0857794047884308</v>
      </c>
      <c r="AI28">
        <f t="shared" si="25"/>
        <v>35</v>
      </c>
      <c r="AJ28">
        <f t="shared" si="14"/>
        <v>5.7374452205291657</v>
      </c>
      <c r="AK28">
        <f t="shared" si="26"/>
        <v>0</v>
      </c>
      <c r="AM28">
        <f>$B$5*'5 Year Rainfall Simulation'!F29/1000</f>
        <v>0</v>
      </c>
      <c r="AN28">
        <f t="shared" si="15"/>
        <v>0</v>
      </c>
      <c r="AO28">
        <f t="shared" si="16"/>
        <v>0.62</v>
      </c>
      <c r="AP28">
        <f t="shared" si="17"/>
        <v>-0.62</v>
      </c>
      <c r="AQ28">
        <f t="shared" si="27"/>
        <v>32.409393507900766</v>
      </c>
      <c r="AR28">
        <f t="shared" si="18"/>
        <v>0</v>
      </c>
      <c r="AS28">
        <f t="shared" si="28"/>
        <v>0</v>
      </c>
    </row>
    <row r="29" spans="6:45" ht="18" customHeight="1">
      <c r="F29" s="109">
        <v>44586</v>
      </c>
      <c r="G29">
        <f>B$5*'5 Year Rainfall Simulation'!B30/1000</f>
        <v>0</v>
      </c>
      <c r="H29">
        <f t="shared" si="0"/>
        <v>0</v>
      </c>
      <c r="I29">
        <v>0</v>
      </c>
      <c r="J29">
        <f t="shared" si="1"/>
        <v>0</v>
      </c>
      <c r="K29">
        <f t="shared" si="19"/>
        <v>35</v>
      </c>
      <c r="L29">
        <f t="shared" si="2"/>
        <v>0</v>
      </c>
      <c r="M29">
        <f t="shared" si="20"/>
        <v>0</v>
      </c>
      <c r="O29">
        <f>$B$5*'5 Year Rainfall Simulation'!C30/1000</f>
        <v>0.36</v>
      </c>
      <c r="P29">
        <f t="shared" si="3"/>
        <v>0.36</v>
      </c>
      <c r="Q29">
        <f t="shared" si="4"/>
        <v>0.62</v>
      </c>
      <c r="R29">
        <f t="shared" si="5"/>
        <v>-0.26</v>
      </c>
      <c r="S29">
        <f t="shared" si="21"/>
        <v>34.74</v>
      </c>
      <c r="T29">
        <f t="shared" si="6"/>
        <v>0.21280931631018496</v>
      </c>
      <c r="U29">
        <f t="shared" si="22"/>
        <v>0</v>
      </c>
      <c r="W29">
        <f>$B$5*'5 Year Rainfall Simulation'!D30/1000</f>
        <v>1.6318293333097182</v>
      </c>
      <c r="X29">
        <f t="shared" si="7"/>
        <v>1.6318293333097182</v>
      </c>
      <c r="Y29">
        <f t="shared" si="8"/>
        <v>0.62</v>
      </c>
      <c r="Z29">
        <f t="shared" si="9"/>
        <v>1.0118293333097181</v>
      </c>
      <c r="AA29">
        <f t="shared" si="23"/>
        <v>32.337509840400628</v>
      </c>
      <c r="AB29">
        <f t="shared" si="10"/>
        <v>0.96463467987929463</v>
      </c>
      <c r="AC29">
        <f t="shared" si="24"/>
        <v>0</v>
      </c>
      <c r="AE29">
        <f>$B$5*'5 Year Rainfall Simulation'!E30/1000</f>
        <v>0</v>
      </c>
      <c r="AF29">
        <f t="shared" si="11"/>
        <v>0</v>
      </c>
      <c r="AG29">
        <f t="shared" si="12"/>
        <v>0.62</v>
      </c>
      <c r="AH29">
        <f t="shared" si="13"/>
        <v>-0.62</v>
      </c>
      <c r="AI29">
        <f t="shared" si="25"/>
        <v>34.380000000000003</v>
      </c>
      <c r="AJ29">
        <f t="shared" si="14"/>
        <v>0</v>
      </c>
      <c r="AK29">
        <f t="shared" si="26"/>
        <v>0</v>
      </c>
      <c r="AM29">
        <f>$B$5*'5 Year Rainfall Simulation'!F30/1000</f>
        <v>1.3948776042973787</v>
      </c>
      <c r="AN29">
        <f t="shared" si="15"/>
        <v>1.3948776042973787</v>
      </c>
      <c r="AO29">
        <f t="shared" si="16"/>
        <v>0.62</v>
      </c>
      <c r="AP29">
        <f t="shared" si="17"/>
        <v>0.77487760429737873</v>
      </c>
      <c r="AQ29">
        <f t="shared" si="27"/>
        <v>33.184271112198147</v>
      </c>
      <c r="AR29">
        <f t="shared" si="18"/>
        <v>0.82456374807476074</v>
      </c>
      <c r="AS29">
        <f t="shared" si="28"/>
        <v>0</v>
      </c>
    </row>
    <row r="30" spans="6:45" ht="18" customHeight="1">
      <c r="F30" s="109">
        <v>44587</v>
      </c>
      <c r="G30">
        <f>B$5*'5 Year Rainfall Simulation'!B31/1000</f>
        <v>0</v>
      </c>
      <c r="H30">
        <f t="shared" si="0"/>
        <v>0</v>
      </c>
      <c r="I30">
        <v>0</v>
      </c>
      <c r="J30">
        <f t="shared" si="1"/>
        <v>0</v>
      </c>
      <c r="K30">
        <f t="shared" si="19"/>
        <v>35</v>
      </c>
      <c r="L30">
        <f t="shared" si="2"/>
        <v>0</v>
      </c>
      <c r="M30">
        <f t="shared" si="20"/>
        <v>0</v>
      </c>
      <c r="O30">
        <f>$B$5*'5 Year Rainfall Simulation'!C31/1000</f>
        <v>0.56000000000000005</v>
      </c>
      <c r="P30">
        <f t="shared" si="3"/>
        <v>0.56000000000000005</v>
      </c>
      <c r="Q30">
        <f t="shared" si="4"/>
        <v>0.62</v>
      </c>
      <c r="R30">
        <f t="shared" si="5"/>
        <v>-5.9999999999999942E-2</v>
      </c>
      <c r="S30">
        <f t="shared" si="21"/>
        <v>34.68</v>
      </c>
      <c r="T30">
        <f t="shared" si="6"/>
        <v>0.33103671426028775</v>
      </c>
      <c r="U30">
        <f t="shared" si="22"/>
        <v>0</v>
      </c>
      <c r="W30">
        <f>$B$5*'5 Year Rainfall Simulation'!D31/1000</f>
        <v>0</v>
      </c>
      <c r="X30">
        <f t="shared" si="7"/>
        <v>0</v>
      </c>
      <c r="Y30">
        <f t="shared" si="8"/>
        <v>0.62</v>
      </c>
      <c r="Z30">
        <f t="shared" si="9"/>
        <v>-0.62</v>
      </c>
      <c r="AA30">
        <f t="shared" si="23"/>
        <v>31.717509840400627</v>
      </c>
      <c r="AB30">
        <f t="shared" si="10"/>
        <v>0</v>
      </c>
      <c r="AC30">
        <f t="shared" si="24"/>
        <v>0</v>
      </c>
      <c r="AE30">
        <f>$B$5*'5 Year Rainfall Simulation'!E31/1000</f>
        <v>0</v>
      </c>
      <c r="AF30">
        <f t="shared" si="11"/>
        <v>0</v>
      </c>
      <c r="AG30">
        <f t="shared" si="12"/>
        <v>0.62</v>
      </c>
      <c r="AH30">
        <f t="shared" si="13"/>
        <v>-0.62</v>
      </c>
      <c r="AI30">
        <f t="shared" si="25"/>
        <v>33.760000000000005</v>
      </c>
      <c r="AJ30">
        <f t="shared" si="14"/>
        <v>0</v>
      </c>
      <c r="AK30">
        <f t="shared" si="26"/>
        <v>0</v>
      </c>
      <c r="AM30">
        <f>$B$5*'5 Year Rainfall Simulation'!F31/1000</f>
        <v>0.2988036782417236</v>
      </c>
      <c r="AN30">
        <f t="shared" si="15"/>
        <v>0.2988036782417236</v>
      </c>
      <c r="AO30">
        <f t="shared" si="16"/>
        <v>0.62</v>
      </c>
      <c r="AP30">
        <f t="shared" si="17"/>
        <v>-0.32119632175827639</v>
      </c>
      <c r="AQ30">
        <f t="shared" si="27"/>
        <v>32.863074790439867</v>
      </c>
      <c r="AR30">
        <f t="shared" si="18"/>
        <v>0.17663390688219358</v>
      </c>
      <c r="AS30">
        <f t="shared" si="28"/>
        <v>0</v>
      </c>
    </row>
    <row r="31" spans="6:45" ht="18" customHeight="1">
      <c r="F31" s="109">
        <v>44588</v>
      </c>
      <c r="G31">
        <f>B$5*'5 Year Rainfall Simulation'!B32/1000</f>
        <v>3.5200000000000005</v>
      </c>
      <c r="H31">
        <f t="shared" si="0"/>
        <v>3.5200000000000005</v>
      </c>
      <c r="I31">
        <v>0</v>
      </c>
      <c r="J31">
        <f t="shared" si="1"/>
        <v>3.5200000000000005</v>
      </c>
      <c r="K31">
        <f t="shared" si="19"/>
        <v>35</v>
      </c>
      <c r="L31">
        <f t="shared" si="2"/>
        <v>2.0808022039218086</v>
      </c>
      <c r="M31">
        <f t="shared" si="20"/>
        <v>0</v>
      </c>
      <c r="O31">
        <f>$B$5*'5 Year Rainfall Simulation'!C32/1000</f>
        <v>0.56000000000000005</v>
      </c>
      <c r="P31">
        <f t="shared" si="3"/>
        <v>0.56000000000000005</v>
      </c>
      <c r="Q31">
        <f t="shared" si="4"/>
        <v>0.62</v>
      </c>
      <c r="R31">
        <f t="shared" si="5"/>
        <v>-5.9999999999999942E-2</v>
      </c>
      <c r="S31">
        <f t="shared" si="21"/>
        <v>34.619999999999997</v>
      </c>
      <c r="T31">
        <f t="shared" si="6"/>
        <v>0.33103671426028775</v>
      </c>
      <c r="U31">
        <f t="shared" si="22"/>
        <v>0</v>
      </c>
      <c r="W31">
        <f>$B$5*'5 Year Rainfall Simulation'!D32/1000</f>
        <v>3.872324480905442</v>
      </c>
      <c r="X31">
        <f t="shared" si="7"/>
        <v>3.872324480905442</v>
      </c>
      <c r="Y31">
        <f t="shared" si="8"/>
        <v>0.62</v>
      </c>
      <c r="Z31">
        <f t="shared" si="9"/>
        <v>3.2523244809054419</v>
      </c>
      <c r="AA31">
        <f t="shared" si="23"/>
        <v>34.969834321306067</v>
      </c>
      <c r="AB31">
        <f t="shared" si="10"/>
        <v>2.2890742369796637</v>
      </c>
      <c r="AC31">
        <f t="shared" si="24"/>
        <v>0</v>
      </c>
      <c r="AE31">
        <f>$B$5*'5 Year Rainfall Simulation'!E32/1000</f>
        <v>0</v>
      </c>
      <c r="AF31">
        <f t="shared" si="11"/>
        <v>0</v>
      </c>
      <c r="AG31">
        <f t="shared" si="12"/>
        <v>0.62</v>
      </c>
      <c r="AH31">
        <f t="shared" si="13"/>
        <v>-0.62</v>
      </c>
      <c r="AI31">
        <f t="shared" si="25"/>
        <v>33.140000000000008</v>
      </c>
      <c r="AJ31">
        <f t="shared" si="14"/>
        <v>0</v>
      </c>
      <c r="AK31">
        <f t="shared" si="26"/>
        <v>0</v>
      </c>
      <c r="AM31">
        <f>$B$5*'5 Year Rainfall Simulation'!F32/1000</f>
        <v>5.0797463832618526</v>
      </c>
      <c r="AN31">
        <f t="shared" si="15"/>
        <v>5.0797463832618526</v>
      </c>
      <c r="AO31">
        <f t="shared" si="16"/>
        <v>0.62</v>
      </c>
      <c r="AP31">
        <f t="shared" si="17"/>
        <v>4.4597463832618525</v>
      </c>
      <c r="AQ31">
        <f t="shared" si="27"/>
        <v>35</v>
      </c>
      <c r="AR31">
        <f t="shared" si="18"/>
        <v>3.0028259856974713</v>
      </c>
      <c r="AS31">
        <f t="shared" si="28"/>
        <v>0</v>
      </c>
    </row>
    <row r="32" spans="6:45" ht="18" customHeight="1">
      <c r="F32" s="109">
        <v>44589</v>
      </c>
      <c r="G32">
        <f>B$5*'5 Year Rainfall Simulation'!B33/1000</f>
        <v>0</v>
      </c>
      <c r="H32">
        <f t="shared" si="0"/>
        <v>0</v>
      </c>
      <c r="I32">
        <v>0</v>
      </c>
      <c r="J32">
        <f t="shared" si="1"/>
        <v>0</v>
      </c>
      <c r="K32">
        <f t="shared" si="19"/>
        <v>35</v>
      </c>
      <c r="L32">
        <f t="shared" si="2"/>
        <v>0</v>
      </c>
      <c r="M32">
        <f t="shared" si="20"/>
        <v>0</v>
      </c>
      <c r="O32">
        <f>$B$5*'5 Year Rainfall Simulation'!C33/1000</f>
        <v>0</v>
      </c>
      <c r="P32">
        <f t="shared" si="3"/>
        <v>0</v>
      </c>
      <c r="Q32">
        <f t="shared" si="4"/>
        <v>0.62</v>
      </c>
      <c r="R32">
        <f t="shared" si="5"/>
        <v>-0.62</v>
      </c>
      <c r="S32">
        <f t="shared" si="21"/>
        <v>34</v>
      </c>
      <c r="T32">
        <f t="shared" si="6"/>
        <v>0</v>
      </c>
      <c r="U32">
        <f t="shared" si="22"/>
        <v>0</v>
      </c>
      <c r="W32">
        <f>$B$5*'5 Year Rainfall Simulation'!D33/1000</f>
        <v>0.86443561406426828</v>
      </c>
      <c r="X32">
        <f t="shared" si="7"/>
        <v>0.86443561406426828</v>
      </c>
      <c r="Y32">
        <f t="shared" si="8"/>
        <v>0.62</v>
      </c>
      <c r="Z32">
        <f t="shared" si="9"/>
        <v>0.24443561406426828</v>
      </c>
      <c r="AA32">
        <f t="shared" si="23"/>
        <v>35</v>
      </c>
      <c r="AB32">
        <f t="shared" si="10"/>
        <v>0.51099986673108844</v>
      </c>
      <c r="AC32">
        <f t="shared" si="24"/>
        <v>0</v>
      </c>
      <c r="AE32">
        <f>$B$5*'5 Year Rainfall Simulation'!E33/1000</f>
        <v>1.0541570121384287</v>
      </c>
      <c r="AF32">
        <f t="shared" si="11"/>
        <v>1.0541570121384287</v>
      </c>
      <c r="AG32">
        <f t="shared" si="12"/>
        <v>0.62</v>
      </c>
      <c r="AH32">
        <f t="shared" si="13"/>
        <v>0.43415701213842872</v>
      </c>
      <c r="AI32">
        <f t="shared" si="25"/>
        <v>33.574157012138436</v>
      </c>
      <c r="AJ32">
        <f t="shared" si="14"/>
        <v>0.62315120287990655</v>
      </c>
      <c r="AK32">
        <f t="shared" si="26"/>
        <v>0</v>
      </c>
      <c r="AM32">
        <f>$B$5*'5 Year Rainfall Simulation'!F33/1000</f>
        <v>1.8296895507239985</v>
      </c>
      <c r="AN32">
        <f t="shared" si="15"/>
        <v>1.8296895507239985</v>
      </c>
      <c r="AO32">
        <f t="shared" si="16"/>
        <v>0.62</v>
      </c>
      <c r="AP32">
        <f t="shared" si="17"/>
        <v>1.2096895507239984</v>
      </c>
      <c r="AQ32">
        <f t="shared" si="27"/>
        <v>35</v>
      </c>
      <c r="AR32">
        <f t="shared" si="18"/>
        <v>1.0815971731929546</v>
      </c>
      <c r="AS32">
        <f t="shared" si="28"/>
        <v>0</v>
      </c>
    </row>
    <row r="33" spans="6:45" ht="18" customHeight="1">
      <c r="F33" s="109">
        <v>44590</v>
      </c>
      <c r="G33">
        <f>B$5*'5 Year Rainfall Simulation'!B34/1000</f>
        <v>0</v>
      </c>
      <c r="H33">
        <f t="shared" si="0"/>
        <v>0</v>
      </c>
      <c r="I33">
        <v>0</v>
      </c>
      <c r="J33">
        <f t="shared" si="1"/>
        <v>0</v>
      </c>
      <c r="K33">
        <f t="shared" si="19"/>
        <v>35</v>
      </c>
      <c r="L33">
        <f t="shared" si="2"/>
        <v>0</v>
      </c>
      <c r="M33">
        <f t="shared" si="20"/>
        <v>0</v>
      </c>
      <c r="O33">
        <f>$B$5*'5 Year Rainfall Simulation'!C34/1000</f>
        <v>0</v>
      </c>
      <c r="P33">
        <f t="shared" si="3"/>
        <v>0</v>
      </c>
      <c r="Q33">
        <f t="shared" si="4"/>
        <v>0.62</v>
      </c>
      <c r="R33">
        <f t="shared" si="5"/>
        <v>-0.62</v>
      </c>
      <c r="S33">
        <f t="shared" si="21"/>
        <v>33.380000000000003</v>
      </c>
      <c r="T33">
        <f t="shared" si="6"/>
        <v>0</v>
      </c>
      <c r="U33">
        <f t="shared" si="22"/>
        <v>0</v>
      </c>
      <c r="W33">
        <f>$B$5*'5 Year Rainfall Simulation'!D34/1000</f>
        <v>0</v>
      </c>
      <c r="X33">
        <f t="shared" si="7"/>
        <v>0</v>
      </c>
      <c r="Y33">
        <f t="shared" si="8"/>
        <v>0.62</v>
      </c>
      <c r="Z33">
        <f t="shared" si="9"/>
        <v>-0.62</v>
      </c>
      <c r="AA33">
        <f t="shared" si="23"/>
        <v>34.380000000000003</v>
      </c>
      <c r="AB33">
        <f t="shared" si="10"/>
        <v>0</v>
      </c>
      <c r="AC33">
        <f t="shared" si="24"/>
        <v>0</v>
      </c>
      <c r="AE33">
        <f>$B$5*'5 Year Rainfall Simulation'!E34/1000</f>
        <v>0</v>
      </c>
      <c r="AF33">
        <f t="shared" si="11"/>
        <v>0</v>
      </c>
      <c r="AG33">
        <f t="shared" si="12"/>
        <v>0.62</v>
      </c>
      <c r="AH33">
        <f t="shared" si="13"/>
        <v>-0.62</v>
      </c>
      <c r="AI33">
        <f t="shared" si="25"/>
        <v>32.954157012138438</v>
      </c>
      <c r="AJ33">
        <f t="shared" si="14"/>
        <v>0</v>
      </c>
      <c r="AK33">
        <f t="shared" si="26"/>
        <v>0</v>
      </c>
      <c r="AM33">
        <f>$B$5*'5 Year Rainfall Simulation'!F34/1000</f>
        <v>0</v>
      </c>
      <c r="AN33">
        <f t="shared" si="15"/>
        <v>0</v>
      </c>
      <c r="AO33">
        <f t="shared" si="16"/>
        <v>0.62</v>
      </c>
      <c r="AP33">
        <f t="shared" si="17"/>
        <v>-0.62</v>
      </c>
      <c r="AQ33">
        <f t="shared" si="27"/>
        <v>34.380000000000003</v>
      </c>
      <c r="AR33">
        <f t="shared" si="18"/>
        <v>0</v>
      </c>
      <c r="AS33">
        <f t="shared" si="28"/>
        <v>0</v>
      </c>
    </row>
    <row r="34" spans="6:45" ht="18" customHeight="1">
      <c r="F34" s="109">
        <v>44591</v>
      </c>
      <c r="G34">
        <f>B$5*'5 Year Rainfall Simulation'!B35/1000</f>
        <v>0</v>
      </c>
      <c r="H34">
        <f t="shared" si="0"/>
        <v>0</v>
      </c>
      <c r="I34">
        <v>0</v>
      </c>
      <c r="J34">
        <f t="shared" si="1"/>
        <v>0</v>
      </c>
      <c r="K34">
        <f t="shared" si="19"/>
        <v>35</v>
      </c>
      <c r="L34">
        <f t="shared" si="2"/>
        <v>0</v>
      </c>
      <c r="M34">
        <f t="shared" si="20"/>
        <v>0</v>
      </c>
      <c r="O34">
        <f>$B$5*'5 Year Rainfall Simulation'!C35/1000</f>
        <v>0.12</v>
      </c>
      <c r="P34">
        <f t="shared" si="3"/>
        <v>0.12</v>
      </c>
      <c r="Q34">
        <f t="shared" si="4"/>
        <v>0.62</v>
      </c>
      <c r="R34">
        <f t="shared" si="5"/>
        <v>-0.5</v>
      </c>
      <c r="S34">
        <f t="shared" si="21"/>
        <v>32.880000000000003</v>
      </c>
      <c r="T34">
        <f t="shared" si="6"/>
        <v>7.0936438770061644E-2</v>
      </c>
      <c r="U34">
        <f t="shared" si="22"/>
        <v>0</v>
      </c>
      <c r="W34">
        <f>$B$5*'5 Year Rainfall Simulation'!D35/1000</f>
        <v>0</v>
      </c>
      <c r="X34">
        <f t="shared" si="7"/>
        <v>0</v>
      </c>
      <c r="Y34">
        <f t="shared" si="8"/>
        <v>0.62</v>
      </c>
      <c r="Z34">
        <f t="shared" si="9"/>
        <v>-0.62</v>
      </c>
      <c r="AA34">
        <f t="shared" si="23"/>
        <v>33.760000000000005</v>
      </c>
      <c r="AB34">
        <f t="shared" si="10"/>
        <v>0</v>
      </c>
      <c r="AC34">
        <f t="shared" si="24"/>
        <v>0</v>
      </c>
      <c r="AE34">
        <f>$B$5*'5 Year Rainfall Simulation'!E35/1000</f>
        <v>0</v>
      </c>
      <c r="AF34">
        <f t="shared" si="11"/>
        <v>0</v>
      </c>
      <c r="AG34">
        <f t="shared" si="12"/>
        <v>0.62</v>
      </c>
      <c r="AH34">
        <f t="shared" si="13"/>
        <v>-0.62</v>
      </c>
      <c r="AI34">
        <f t="shared" si="25"/>
        <v>32.334157012138441</v>
      </c>
      <c r="AJ34">
        <f t="shared" si="14"/>
        <v>0</v>
      </c>
      <c r="AK34">
        <f t="shared" si="26"/>
        <v>0</v>
      </c>
      <c r="AM34">
        <f>$B$5*'5 Year Rainfall Simulation'!F35/1000</f>
        <v>0.68175877897866721</v>
      </c>
      <c r="AN34">
        <f t="shared" si="15"/>
        <v>0.68175877897866721</v>
      </c>
      <c r="AO34">
        <f t="shared" si="16"/>
        <v>0.62</v>
      </c>
      <c r="AP34">
        <f t="shared" si="17"/>
        <v>6.1758778978667217E-2</v>
      </c>
      <c r="AQ34">
        <f t="shared" si="27"/>
        <v>34.441758778978667</v>
      </c>
      <c r="AR34">
        <f t="shared" si="18"/>
        <v>0.4030128323414352</v>
      </c>
      <c r="AS34">
        <f t="shared" si="28"/>
        <v>0</v>
      </c>
    </row>
    <row r="35" spans="6:45" ht="18" customHeight="1">
      <c r="F35" s="109">
        <v>44592</v>
      </c>
      <c r="G35">
        <f>B$5*'5 Year Rainfall Simulation'!B36/1000</f>
        <v>0.52</v>
      </c>
      <c r="H35">
        <f t="shared" si="0"/>
        <v>0.52</v>
      </c>
      <c r="I35">
        <v>0</v>
      </c>
      <c r="J35">
        <f t="shared" si="1"/>
        <v>0.52</v>
      </c>
      <c r="K35">
        <f t="shared" si="19"/>
        <v>35</v>
      </c>
      <c r="L35">
        <f t="shared" si="2"/>
        <v>0.30739123467026719</v>
      </c>
      <c r="M35">
        <f t="shared" si="20"/>
        <v>0</v>
      </c>
      <c r="O35">
        <f>$B$5*'5 Year Rainfall Simulation'!C36/1000</f>
        <v>1.1599999999999999</v>
      </c>
      <c r="P35">
        <f t="shared" si="3"/>
        <v>1.1599999999999999</v>
      </c>
      <c r="Q35">
        <f t="shared" si="4"/>
        <v>0.62</v>
      </c>
      <c r="R35">
        <f t="shared" si="5"/>
        <v>0.53999999999999992</v>
      </c>
      <c r="S35">
        <f t="shared" si="21"/>
        <v>33.42</v>
      </c>
      <c r="T35">
        <f t="shared" si="6"/>
        <v>0.68571890811059588</v>
      </c>
      <c r="U35">
        <f t="shared" si="22"/>
        <v>0</v>
      </c>
      <c r="W35">
        <f>$B$5*'5 Year Rainfall Simulation'!D36/1000</f>
        <v>0</v>
      </c>
      <c r="X35">
        <f t="shared" si="7"/>
        <v>0</v>
      </c>
      <c r="Y35">
        <f t="shared" si="8"/>
        <v>0.62</v>
      </c>
      <c r="Z35">
        <f t="shared" si="9"/>
        <v>-0.62</v>
      </c>
      <c r="AA35">
        <f t="shared" si="23"/>
        <v>33.140000000000008</v>
      </c>
      <c r="AB35">
        <f t="shared" si="10"/>
        <v>0</v>
      </c>
      <c r="AC35">
        <f t="shared" si="24"/>
        <v>0</v>
      </c>
      <c r="AE35">
        <f>$B$5*'5 Year Rainfall Simulation'!E36/1000</f>
        <v>0</v>
      </c>
      <c r="AF35">
        <f t="shared" si="11"/>
        <v>0</v>
      </c>
      <c r="AG35">
        <f t="shared" si="12"/>
        <v>0.62</v>
      </c>
      <c r="AH35">
        <f t="shared" si="13"/>
        <v>-0.62</v>
      </c>
      <c r="AI35">
        <f t="shared" si="25"/>
        <v>31.71415701213844</v>
      </c>
      <c r="AJ35">
        <f t="shared" si="14"/>
        <v>0</v>
      </c>
      <c r="AK35">
        <f t="shared" si="26"/>
        <v>0</v>
      </c>
      <c r="AM35">
        <f>$B$5*'5 Year Rainfall Simulation'!F36/1000</f>
        <v>0</v>
      </c>
      <c r="AN35">
        <f t="shared" si="15"/>
        <v>0</v>
      </c>
      <c r="AO35">
        <f t="shared" si="16"/>
        <v>0.62</v>
      </c>
      <c r="AP35">
        <f t="shared" si="17"/>
        <v>-0.62</v>
      </c>
      <c r="AQ35">
        <f t="shared" si="27"/>
        <v>33.821758778978669</v>
      </c>
      <c r="AR35">
        <f t="shared" si="18"/>
        <v>0</v>
      </c>
      <c r="AS35">
        <f t="shared" si="28"/>
        <v>0</v>
      </c>
    </row>
    <row r="36" spans="6:45" ht="18" customHeight="1">
      <c r="F36" s="109">
        <v>44593</v>
      </c>
      <c r="G36">
        <f>B$5*'5 Year Rainfall Simulation'!B37/1000</f>
        <v>0.52</v>
      </c>
      <c r="H36">
        <f t="shared" si="0"/>
        <v>0.52</v>
      </c>
      <c r="I36">
        <f t="shared" ref="I36:I99" si="29">$B$4</f>
        <v>0.62</v>
      </c>
      <c r="J36">
        <f t="shared" si="1"/>
        <v>-9.9999999999999978E-2</v>
      </c>
      <c r="K36">
        <f t="shared" si="19"/>
        <v>34.9</v>
      </c>
      <c r="L36">
        <f t="shared" si="2"/>
        <v>0.30739123467026719</v>
      </c>
      <c r="M36">
        <f t="shared" si="20"/>
        <v>0</v>
      </c>
      <c r="O36">
        <f>$B$5*'5 Year Rainfall Simulation'!C37/1000</f>
        <v>1.6</v>
      </c>
      <c r="P36">
        <f t="shared" si="3"/>
        <v>1.6</v>
      </c>
      <c r="Q36">
        <f t="shared" si="4"/>
        <v>0.62</v>
      </c>
      <c r="R36">
        <f t="shared" si="5"/>
        <v>0.98000000000000009</v>
      </c>
      <c r="S36">
        <f t="shared" si="21"/>
        <v>34.4</v>
      </c>
      <c r="T36">
        <f t="shared" si="6"/>
        <v>0.94581918360082207</v>
      </c>
      <c r="U36">
        <f t="shared" si="22"/>
        <v>0</v>
      </c>
      <c r="W36">
        <f>$B$5*'5 Year Rainfall Simulation'!D37/1000</f>
        <v>0</v>
      </c>
      <c r="X36">
        <f t="shared" si="7"/>
        <v>0</v>
      </c>
      <c r="Y36">
        <f t="shared" si="8"/>
        <v>0.62</v>
      </c>
      <c r="Z36">
        <f t="shared" si="9"/>
        <v>-0.62</v>
      </c>
      <c r="AA36">
        <f t="shared" si="23"/>
        <v>32.52000000000001</v>
      </c>
      <c r="AB36">
        <f t="shared" si="10"/>
        <v>0</v>
      </c>
      <c r="AC36">
        <f t="shared" si="24"/>
        <v>0</v>
      </c>
      <c r="AE36">
        <f>$B$5*'5 Year Rainfall Simulation'!E37/1000</f>
        <v>0</v>
      </c>
      <c r="AF36">
        <f t="shared" si="11"/>
        <v>0</v>
      </c>
      <c r="AG36">
        <f t="shared" si="12"/>
        <v>0.62</v>
      </c>
      <c r="AH36">
        <f t="shared" si="13"/>
        <v>-0.62</v>
      </c>
      <c r="AI36">
        <f t="shared" si="25"/>
        <v>31.094157012138439</v>
      </c>
      <c r="AJ36">
        <f t="shared" si="14"/>
        <v>0</v>
      </c>
      <c r="AK36">
        <f t="shared" si="26"/>
        <v>0</v>
      </c>
      <c r="AM36">
        <f>$B$5*'5 Year Rainfall Simulation'!F37/1000</f>
        <v>0</v>
      </c>
      <c r="AN36">
        <f t="shared" si="15"/>
        <v>0</v>
      </c>
      <c r="AO36">
        <f t="shared" si="16"/>
        <v>0.62</v>
      </c>
      <c r="AP36">
        <f t="shared" si="17"/>
        <v>-0.62</v>
      </c>
      <c r="AQ36">
        <f t="shared" si="27"/>
        <v>33.201758778978672</v>
      </c>
      <c r="AR36">
        <f t="shared" si="18"/>
        <v>0</v>
      </c>
      <c r="AS36">
        <f t="shared" si="28"/>
        <v>0</v>
      </c>
    </row>
    <row r="37" spans="6:45" ht="18" customHeight="1">
      <c r="F37" s="109">
        <v>44594</v>
      </c>
      <c r="G37">
        <f>B$5*'5 Year Rainfall Simulation'!B38/1000</f>
        <v>0</v>
      </c>
      <c r="H37">
        <f t="shared" si="0"/>
        <v>0</v>
      </c>
      <c r="I37">
        <f t="shared" si="29"/>
        <v>0.62</v>
      </c>
      <c r="J37">
        <f t="shared" si="1"/>
        <v>-0.62</v>
      </c>
      <c r="K37">
        <f t="shared" si="19"/>
        <v>34.28</v>
      </c>
      <c r="L37">
        <f t="shared" si="2"/>
        <v>0</v>
      </c>
      <c r="M37">
        <f t="shared" si="20"/>
        <v>0</v>
      </c>
      <c r="O37">
        <f>$B$5*'5 Year Rainfall Simulation'!C38/1000</f>
        <v>5.4</v>
      </c>
      <c r="P37">
        <f t="shared" si="3"/>
        <v>5.4</v>
      </c>
      <c r="Q37">
        <f t="shared" si="4"/>
        <v>0.62</v>
      </c>
      <c r="R37">
        <f t="shared" si="5"/>
        <v>4.78</v>
      </c>
      <c r="S37">
        <f t="shared" si="21"/>
        <v>35</v>
      </c>
      <c r="T37">
        <f t="shared" si="6"/>
        <v>3.1921397446527746</v>
      </c>
      <c r="U37">
        <f t="shared" si="22"/>
        <v>0</v>
      </c>
      <c r="W37">
        <f>$B$5*'5 Year Rainfall Simulation'!D38/1000</f>
        <v>0.20988453773346299</v>
      </c>
      <c r="X37">
        <f t="shared" si="7"/>
        <v>0.20988453773346299</v>
      </c>
      <c r="Y37">
        <f t="shared" si="8"/>
        <v>0.62</v>
      </c>
      <c r="Z37">
        <f t="shared" si="9"/>
        <v>-0.410115462266537</v>
      </c>
      <c r="AA37">
        <f t="shared" si="23"/>
        <v>32.109884537733471</v>
      </c>
      <c r="AB37">
        <f t="shared" si="10"/>
        <v>0.12407051383093744</v>
      </c>
      <c r="AC37">
        <f t="shared" si="24"/>
        <v>0</v>
      </c>
      <c r="AE37">
        <f>$B$5*'5 Year Rainfall Simulation'!E38/1000</f>
        <v>3.7928730830531938</v>
      </c>
      <c r="AF37">
        <f t="shared" si="11"/>
        <v>3.7928730830531938</v>
      </c>
      <c r="AG37">
        <f t="shared" si="12"/>
        <v>0.62</v>
      </c>
      <c r="AH37">
        <f t="shared" si="13"/>
        <v>3.1728730830531937</v>
      </c>
      <c r="AI37">
        <f t="shared" si="25"/>
        <v>34.267030095191629</v>
      </c>
      <c r="AJ37">
        <f t="shared" si="14"/>
        <v>2.2421075768218155</v>
      </c>
      <c r="AK37">
        <f t="shared" si="26"/>
        <v>0</v>
      </c>
      <c r="AM37">
        <f>$B$5*'5 Year Rainfall Simulation'!F38/1000</f>
        <v>0.79400378098205671</v>
      </c>
      <c r="AN37">
        <f t="shared" si="15"/>
        <v>0.79400378098205671</v>
      </c>
      <c r="AO37">
        <f t="shared" si="16"/>
        <v>0.62</v>
      </c>
      <c r="AP37">
        <f t="shared" si="17"/>
        <v>0.17400378098205671</v>
      </c>
      <c r="AQ37">
        <f t="shared" si="27"/>
        <v>33.375762559960727</v>
      </c>
      <c r="AR37">
        <f t="shared" si="18"/>
        <v>0.46936500494025923</v>
      </c>
      <c r="AS37">
        <f t="shared" si="28"/>
        <v>0</v>
      </c>
    </row>
    <row r="38" spans="6:45" ht="18" customHeight="1">
      <c r="F38" s="109">
        <v>44595</v>
      </c>
      <c r="G38">
        <f>B$5*'5 Year Rainfall Simulation'!B39/1000</f>
        <v>0</v>
      </c>
      <c r="H38">
        <f t="shared" si="0"/>
        <v>0</v>
      </c>
      <c r="I38">
        <f t="shared" si="29"/>
        <v>0.62</v>
      </c>
      <c r="J38">
        <f t="shared" si="1"/>
        <v>-0.62</v>
      </c>
      <c r="K38">
        <f t="shared" si="19"/>
        <v>33.660000000000004</v>
      </c>
      <c r="L38">
        <f t="shared" si="2"/>
        <v>0</v>
      </c>
      <c r="M38">
        <f t="shared" si="20"/>
        <v>0</v>
      </c>
      <c r="O38">
        <f>$B$5*'5 Year Rainfall Simulation'!C39/1000</f>
        <v>0.12</v>
      </c>
      <c r="P38">
        <f t="shared" si="3"/>
        <v>0.12</v>
      </c>
      <c r="Q38">
        <f t="shared" si="4"/>
        <v>0.62</v>
      </c>
      <c r="R38">
        <f t="shared" si="5"/>
        <v>-0.5</v>
      </c>
      <c r="S38">
        <f t="shared" si="21"/>
        <v>34.5</v>
      </c>
      <c r="T38">
        <f t="shared" si="6"/>
        <v>7.0936438770061644E-2</v>
      </c>
      <c r="U38">
        <f t="shared" si="22"/>
        <v>0</v>
      </c>
      <c r="W38">
        <f>$B$5*'5 Year Rainfall Simulation'!D39/1000</f>
        <v>1.2290331088281705</v>
      </c>
      <c r="X38">
        <f t="shared" si="7"/>
        <v>1.2290331088281705</v>
      </c>
      <c r="Y38">
        <f t="shared" si="8"/>
        <v>0.62</v>
      </c>
      <c r="Z38">
        <f t="shared" si="9"/>
        <v>0.60903310882817052</v>
      </c>
      <c r="AA38">
        <f t="shared" si="23"/>
        <v>32.718917646561643</v>
      </c>
      <c r="AB38">
        <f t="shared" si="10"/>
        <v>0.7265269322564003</v>
      </c>
      <c r="AC38">
        <f t="shared" si="24"/>
        <v>0</v>
      </c>
      <c r="AE38">
        <f>$B$5*'5 Year Rainfall Simulation'!E39/1000</f>
        <v>0</v>
      </c>
      <c r="AF38">
        <f t="shared" si="11"/>
        <v>0</v>
      </c>
      <c r="AG38">
        <f t="shared" si="12"/>
        <v>0.62</v>
      </c>
      <c r="AH38">
        <f t="shared" si="13"/>
        <v>-0.62</v>
      </c>
      <c r="AI38">
        <f t="shared" si="25"/>
        <v>33.647030095191631</v>
      </c>
      <c r="AJ38">
        <f t="shared" si="14"/>
        <v>0</v>
      </c>
      <c r="AK38">
        <f t="shared" si="26"/>
        <v>0</v>
      </c>
      <c r="AM38">
        <f>$B$5*'5 Year Rainfall Simulation'!F39/1000</f>
        <v>0</v>
      </c>
      <c r="AN38">
        <f t="shared" si="15"/>
        <v>0</v>
      </c>
      <c r="AO38">
        <f t="shared" si="16"/>
        <v>0.62</v>
      </c>
      <c r="AP38">
        <f t="shared" si="17"/>
        <v>-0.62</v>
      </c>
      <c r="AQ38">
        <f t="shared" si="27"/>
        <v>32.755762559960729</v>
      </c>
      <c r="AR38">
        <f t="shared" si="18"/>
        <v>0</v>
      </c>
      <c r="AS38">
        <f t="shared" si="28"/>
        <v>0</v>
      </c>
    </row>
    <row r="39" spans="6:45" ht="18" customHeight="1">
      <c r="F39" s="109">
        <v>44596</v>
      </c>
      <c r="G39">
        <f>B$5*'5 Year Rainfall Simulation'!B40/1000</f>
        <v>0</v>
      </c>
      <c r="H39">
        <f t="shared" si="0"/>
        <v>0</v>
      </c>
      <c r="I39">
        <f t="shared" si="29"/>
        <v>0.62</v>
      </c>
      <c r="J39">
        <f t="shared" si="1"/>
        <v>-0.62</v>
      </c>
      <c r="K39">
        <f t="shared" si="19"/>
        <v>33.040000000000006</v>
      </c>
      <c r="L39">
        <f t="shared" si="2"/>
        <v>0</v>
      </c>
      <c r="M39">
        <f t="shared" si="20"/>
        <v>0</v>
      </c>
      <c r="O39">
        <f>$B$5*'5 Year Rainfall Simulation'!C40/1000</f>
        <v>7.2</v>
      </c>
      <c r="P39">
        <f t="shared" si="3"/>
        <v>7.2</v>
      </c>
      <c r="Q39">
        <f t="shared" si="4"/>
        <v>0.62</v>
      </c>
      <c r="R39">
        <f t="shared" si="5"/>
        <v>6.58</v>
      </c>
      <c r="S39">
        <f t="shared" si="21"/>
        <v>35</v>
      </c>
      <c r="T39">
        <f t="shared" si="6"/>
        <v>4.2561863262036992</v>
      </c>
      <c r="U39">
        <f t="shared" si="22"/>
        <v>0</v>
      </c>
      <c r="W39">
        <f>$B$5*'5 Year Rainfall Simulation'!D40/1000</f>
        <v>1.5191161104131645</v>
      </c>
      <c r="X39">
        <f t="shared" si="7"/>
        <v>1.5191161104131645</v>
      </c>
      <c r="Y39">
        <f t="shared" si="8"/>
        <v>0.62</v>
      </c>
      <c r="Z39">
        <f t="shared" si="9"/>
        <v>0.89911611041316453</v>
      </c>
      <c r="AA39">
        <f t="shared" si="23"/>
        <v>33.61803375697481</v>
      </c>
      <c r="AB39">
        <f t="shared" si="10"/>
        <v>0.89800572459114714</v>
      </c>
      <c r="AC39">
        <f t="shared" si="24"/>
        <v>0</v>
      </c>
      <c r="AE39">
        <f>$B$5*'5 Year Rainfall Simulation'!E40/1000</f>
        <v>5.0654181325292784</v>
      </c>
      <c r="AF39">
        <f t="shared" si="11"/>
        <v>5.0654181325292784</v>
      </c>
      <c r="AG39">
        <f t="shared" si="12"/>
        <v>0.62</v>
      </c>
      <c r="AH39">
        <f t="shared" si="13"/>
        <v>4.4454181325292783</v>
      </c>
      <c r="AI39">
        <f t="shared" si="25"/>
        <v>35</v>
      </c>
      <c r="AJ39">
        <f t="shared" si="14"/>
        <v>2.9943560266910265</v>
      </c>
      <c r="AK39">
        <f t="shared" si="26"/>
        <v>0</v>
      </c>
      <c r="AM39">
        <f>$B$5*'5 Year Rainfall Simulation'!F40/1000</f>
        <v>2.8223080845308002</v>
      </c>
      <c r="AN39">
        <f t="shared" si="15"/>
        <v>2.8223080845308002</v>
      </c>
      <c r="AO39">
        <f t="shared" si="16"/>
        <v>0.62</v>
      </c>
      <c r="AP39">
        <f t="shared" si="17"/>
        <v>2.2023080845308001</v>
      </c>
      <c r="AQ39">
        <f t="shared" si="27"/>
        <v>34.958070644491528</v>
      </c>
      <c r="AR39">
        <f t="shared" si="18"/>
        <v>1.6683707052380758</v>
      </c>
      <c r="AS39">
        <f t="shared" si="28"/>
        <v>0</v>
      </c>
    </row>
    <row r="40" spans="6:45" ht="18" customHeight="1">
      <c r="F40" s="109">
        <v>44597</v>
      </c>
      <c r="G40">
        <f>B$5*'5 Year Rainfall Simulation'!B41/1000</f>
        <v>0</v>
      </c>
      <c r="H40">
        <f t="shared" si="0"/>
        <v>0</v>
      </c>
      <c r="I40">
        <f t="shared" si="29"/>
        <v>0.62</v>
      </c>
      <c r="J40">
        <f t="shared" si="1"/>
        <v>-0.62</v>
      </c>
      <c r="K40">
        <f t="shared" si="19"/>
        <v>32.420000000000009</v>
      </c>
      <c r="L40">
        <f t="shared" si="2"/>
        <v>0</v>
      </c>
      <c r="M40">
        <f t="shared" si="20"/>
        <v>0</v>
      </c>
      <c r="O40">
        <f>$B$5*'5 Year Rainfall Simulation'!C41/1000</f>
        <v>5.44</v>
      </c>
      <c r="P40">
        <f t="shared" si="3"/>
        <v>5.44</v>
      </c>
      <c r="Q40">
        <f t="shared" si="4"/>
        <v>0.62</v>
      </c>
      <c r="R40">
        <f t="shared" si="5"/>
        <v>4.82</v>
      </c>
      <c r="S40">
        <f t="shared" si="21"/>
        <v>35</v>
      </c>
      <c r="T40">
        <f t="shared" si="6"/>
        <v>3.2157852242427953</v>
      </c>
      <c r="U40">
        <f t="shared" si="22"/>
        <v>0</v>
      </c>
      <c r="W40">
        <f>$B$5*'5 Year Rainfall Simulation'!D41/1000</f>
        <v>0</v>
      </c>
      <c r="X40">
        <f t="shared" si="7"/>
        <v>0</v>
      </c>
      <c r="Y40">
        <f t="shared" si="8"/>
        <v>0.62</v>
      </c>
      <c r="Z40">
        <f t="shared" si="9"/>
        <v>-0.62</v>
      </c>
      <c r="AA40">
        <f t="shared" si="23"/>
        <v>32.998033756974813</v>
      </c>
      <c r="AB40">
        <f t="shared" si="10"/>
        <v>0</v>
      </c>
      <c r="AC40">
        <f t="shared" si="24"/>
        <v>0</v>
      </c>
      <c r="AE40">
        <f>$B$5*'5 Year Rainfall Simulation'!E41/1000</f>
        <v>2.452851436741224</v>
      </c>
      <c r="AF40">
        <f t="shared" si="11"/>
        <v>2.452851436741224</v>
      </c>
      <c r="AG40">
        <f t="shared" si="12"/>
        <v>0.62</v>
      </c>
      <c r="AH40">
        <f t="shared" si="13"/>
        <v>1.8328514367412239</v>
      </c>
      <c r="AI40">
        <f t="shared" si="25"/>
        <v>35</v>
      </c>
      <c r="AJ40">
        <f t="shared" si="14"/>
        <v>1.44997121462043</v>
      </c>
      <c r="AK40">
        <f t="shared" si="26"/>
        <v>0</v>
      </c>
      <c r="AM40">
        <f>$B$5*'5 Year Rainfall Simulation'!F41/1000</f>
        <v>0</v>
      </c>
      <c r="AN40">
        <f t="shared" si="15"/>
        <v>0</v>
      </c>
      <c r="AO40">
        <f t="shared" si="16"/>
        <v>0.62</v>
      </c>
      <c r="AP40">
        <f t="shared" si="17"/>
        <v>-0.62</v>
      </c>
      <c r="AQ40">
        <f t="shared" si="27"/>
        <v>34.33807064449153</v>
      </c>
      <c r="AR40">
        <f t="shared" si="18"/>
        <v>0</v>
      </c>
      <c r="AS40">
        <f t="shared" si="28"/>
        <v>0</v>
      </c>
    </row>
    <row r="41" spans="6:45" ht="18" customHeight="1">
      <c r="F41" s="109">
        <v>44598</v>
      </c>
      <c r="G41">
        <f>B$5*'5 Year Rainfall Simulation'!B42/1000</f>
        <v>0</v>
      </c>
      <c r="H41">
        <f t="shared" si="0"/>
        <v>0</v>
      </c>
      <c r="I41">
        <f t="shared" si="29"/>
        <v>0.62</v>
      </c>
      <c r="J41">
        <f t="shared" si="1"/>
        <v>-0.62</v>
      </c>
      <c r="K41">
        <f t="shared" si="19"/>
        <v>31.800000000000008</v>
      </c>
      <c r="L41">
        <f t="shared" si="2"/>
        <v>0</v>
      </c>
      <c r="M41">
        <f t="shared" si="20"/>
        <v>0</v>
      </c>
      <c r="O41">
        <f>$B$5*'5 Year Rainfall Simulation'!C42/1000</f>
        <v>5.64</v>
      </c>
      <c r="P41">
        <f t="shared" si="3"/>
        <v>5.64</v>
      </c>
      <c r="Q41">
        <f t="shared" si="4"/>
        <v>0.62</v>
      </c>
      <c r="R41">
        <f t="shared" si="5"/>
        <v>5.0199999999999996</v>
      </c>
      <c r="S41">
        <f t="shared" si="21"/>
        <v>35</v>
      </c>
      <c r="T41">
        <f t="shared" si="6"/>
        <v>3.3340126221928976</v>
      </c>
      <c r="U41">
        <f t="shared" si="22"/>
        <v>0</v>
      </c>
      <c r="W41">
        <f>$B$5*'5 Year Rainfall Simulation'!D42/1000</f>
        <v>0</v>
      </c>
      <c r="X41">
        <f t="shared" si="7"/>
        <v>0</v>
      </c>
      <c r="Y41">
        <f t="shared" si="8"/>
        <v>0.62</v>
      </c>
      <c r="Z41">
        <f t="shared" si="9"/>
        <v>-0.62</v>
      </c>
      <c r="AA41">
        <f t="shared" si="23"/>
        <v>32.378033756974816</v>
      </c>
      <c r="AB41">
        <f t="shared" si="10"/>
        <v>0</v>
      </c>
      <c r="AC41">
        <f t="shared" si="24"/>
        <v>0</v>
      </c>
      <c r="AE41">
        <f>$B$5*'5 Year Rainfall Simulation'!E42/1000</f>
        <v>4.400482654100994</v>
      </c>
      <c r="AF41">
        <f t="shared" si="11"/>
        <v>4.400482654100994</v>
      </c>
      <c r="AG41">
        <f t="shared" si="12"/>
        <v>0.62</v>
      </c>
      <c r="AH41">
        <f t="shared" si="13"/>
        <v>3.7804826541009939</v>
      </c>
      <c r="AI41">
        <f t="shared" si="25"/>
        <v>35</v>
      </c>
      <c r="AJ41">
        <f t="shared" si="14"/>
        <v>2.601288069594613</v>
      </c>
      <c r="AK41">
        <f t="shared" si="26"/>
        <v>0</v>
      </c>
      <c r="AM41">
        <f>$B$5*'5 Year Rainfall Simulation'!F42/1000</f>
        <v>1.2959138803695758</v>
      </c>
      <c r="AN41">
        <f t="shared" si="15"/>
        <v>1.2959138803695758</v>
      </c>
      <c r="AO41">
        <f t="shared" si="16"/>
        <v>0.62</v>
      </c>
      <c r="AP41">
        <f t="shared" si="17"/>
        <v>0.67591388036957578</v>
      </c>
      <c r="AQ41">
        <f t="shared" si="27"/>
        <v>35</v>
      </c>
      <c r="AR41">
        <f t="shared" si="18"/>
        <v>0.76606263021757848</v>
      </c>
      <c r="AS41">
        <f t="shared" si="28"/>
        <v>0</v>
      </c>
    </row>
    <row r="42" spans="6:45" ht="18" customHeight="1">
      <c r="F42" s="109">
        <v>44599</v>
      </c>
      <c r="G42">
        <f>B$5*'5 Year Rainfall Simulation'!B43/1000</f>
        <v>0</v>
      </c>
      <c r="H42">
        <f t="shared" si="0"/>
        <v>0</v>
      </c>
      <c r="I42">
        <f t="shared" si="29"/>
        <v>0.62</v>
      </c>
      <c r="J42">
        <f t="shared" si="1"/>
        <v>-0.62</v>
      </c>
      <c r="K42">
        <f t="shared" si="19"/>
        <v>31.180000000000007</v>
      </c>
      <c r="L42">
        <f t="shared" si="2"/>
        <v>0</v>
      </c>
      <c r="M42">
        <f t="shared" si="20"/>
        <v>0</v>
      </c>
      <c r="O42">
        <f>$B$5*'5 Year Rainfall Simulation'!C43/1000</f>
        <v>7.8400000000000007</v>
      </c>
      <c r="P42">
        <f t="shared" si="3"/>
        <v>7.8400000000000007</v>
      </c>
      <c r="Q42">
        <f t="shared" si="4"/>
        <v>0.62</v>
      </c>
      <c r="R42">
        <f t="shared" si="5"/>
        <v>7.2200000000000006</v>
      </c>
      <c r="S42">
        <f t="shared" si="21"/>
        <v>35</v>
      </c>
      <c r="T42">
        <f t="shared" si="6"/>
        <v>4.6345139996440281</v>
      </c>
      <c r="U42">
        <f t="shared" si="22"/>
        <v>0</v>
      </c>
      <c r="W42">
        <f>$B$5*'5 Year Rainfall Simulation'!D43/1000</f>
        <v>1.6773649873869048</v>
      </c>
      <c r="X42">
        <f t="shared" si="7"/>
        <v>1.6773649873869048</v>
      </c>
      <c r="Y42">
        <f t="shared" si="8"/>
        <v>0.62</v>
      </c>
      <c r="Z42">
        <f t="shared" si="9"/>
        <v>1.0573649873869049</v>
      </c>
      <c r="AA42">
        <f t="shared" si="23"/>
        <v>33.43539874436172</v>
      </c>
      <c r="AB42">
        <f t="shared" si="10"/>
        <v>0.9915524893568034</v>
      </c>
      <c r="AC42">
        <f t="shared" si="24"/>
        <v>0</v>
      </c>
      <c r="AE42">
        <f>$B$5*'5 Year Rainfall Simulation'!E43/1000</f>
        <v>7.1619953785319224</v>
      </c>
      <c r="AF42">
        <f t="shared" si="11"/>
        <v>7.1619953785319224</v>
      </c>
      <c r="AG42">
        <f t="shared" si="12"/>
        <v>0.62</v>
      </c>
      <c r="AH42">
        <f t="shared" si="13"/>
        <v>6.5419953785319223</v>
      </c>
      <c r="AI42">
        <f t="shared" si="25"/>
        <v>35</v>
      </c>
      <c r="AJ42">
        <f t="shared" si="14"/>
        <v>4.2337203886724524</v>
      </c>
      <c r="AK42">
        <f t="shared" si="26"/>
        <v>0</v>
      </c>
      <c r="AM42">
        <f>$B$5*'5 Year Rainfall Simulation'!F43/1000</f>
        <v>0</v>
      </c>
      <c r="AN42">
        <f t="shared" si="15"/>
        <v>0</v>
      </c>
      <c r="AO42">
        <f t="shared" si="16"/>
        <v>0.62</v>
      </c>
      <c r="AP42">
        <f t="shared" si="17"/>
        <v>-0.62</v>
      </c>
      <c r="AQ42">
        <f t="shared" si="27"/>
        <v>34.380000000000003</v>
      </c>
      <c r="AR42">
        <f t="shared" si="18"/>
        <v>0</v>
      </c>
      <c r="AS42">
        <f t="shared" si="28"/>
        <v>0</v>
      </c>
    </row>
    <row r="43" spans="6:45" ht="18" customHeight="1">
      <c r="F43" s="109">
        <v>44600</v>
      </c>
      <c r="G43">
        <f>B$5*'5 Year Rainfall Simulation'!B44/1000</f>
        <v>0</v>
      </c>
      <c r="H43">
        <f t="shared" si="0"/>
        <v>0</v>
      </c>
      <c r="I43">
        <f t="shared" si="29"/>
        <v>0.62</v>
      </c>
      <c r="J43">
        <f t="shared" si="1"/>
        <v>-0.62</v>
      </c>
      <c r="K43">
        <f t="shared" si="19"/>
        <v>30.560000000000006</v>
      </c>
      <c r="L43">
        <f t="shared" si="2"/>
        <v>0</v>
      </c>
      <c r="M43">
        <f t="shared" si="20"/>
        <v>0</v>
      </c>
      <c r="O43">
        <f>$B$5*'5 Year Rainfall Simulation'!C44/1000</f>
        <v>1.32</v>
      </c>
      <c r="P43">
        <f t="shared" si="3"/>
        <v>1.32</v>
      </c>
      <c r="Q43">
        <f t="shared" si="4"/>
        <v>0.62</v>
      </c>
      <c r="R43">
        <f t="shared" si="5"/>
        <v>0.70000000000000007</v>
      </c>
      <c r="S43">
        <f t="shared" si="21"/>
        <v>35</v>
      </c>
      <c r="T43">
        <f t="shared" si="6"/>
        <v>0.78030082647067822</v>
      </c>
      <c r="U43">
        <f t="shared" si="22"/>
        <v>0</v>
      </c>
      <c r="W43">
        <f>$B$5*'5 Year Rainfall Simulation'!D44/1000</f>
        <v>0</v>
      </c>
      <c r="X43">
        <f t="shared" si="7"/>
        <v>0</v>
      </c>
      <c r="Y43">
        <f t="shared" si="8"/>
        <v>0.62</v>
      </c>
      <c r="Z43">
        <f t="shared" si="9"/>
        <v>-0.62</v>
      </c>
      <c r="AA43">
        <f t="shared" si="23"/>
        <v>32.815398744361723</v>
      </c>
      <c r="AB43">
        <f t="shared" si="10"/>
        <v>0</v>
      </c>
      <c r="AC43">
        <f t="shared" si="24"/>
        <v>0</v>
      </c>
      <c r="AE43">
        <f>$B$5*'5 Year Rainfall Simulation'!E44/1000</f>
        <v>0</v>
      </c>
      <c r="AF43">
        <f t="shared" si="11"/>
        <v>0</v>
      </c>
      <c r="AG43">
        <f t="shared" si="12"/>
        <v>0.62</v>
      </c>
      <c r="AH43">
        <f t="shared" si="13"/>
        <v>-0.62</v>
      </c>
      <c r="AI43">
        <f t="shared" si="25"/>
        <v>34.380000000000003</v>
      </c>
      <c r="AJ43">
        <f t="shared" si="14"/>
        <v>0</v>
      </c>
      <c r="AK43">
        <f t="shared" si="26"/>
        <v>0</v>
      </c>
      <c r="AM43">
        <f>$B$5*'5 Year Rainfall Simulation'!F44/1000</f>
        <v>1.5875373365131711</v>
      </c>
      <c r="AN43">
        <f t="shared" si="15"/>
        <v>1.5875373365131711</v>
      </c>
      <c r="AO43">
        <f t="shared" si="16"/>
        <v>0.62</v>
      </c>
      <c r="AP43">
        <f t="shared" si="17"/>
        <v>0.96753733651317109</v>
      </c>
      <c r="AQ43">
        <f t="shared" si="27"/>
        <v>35</v>
      </c>
      <c r="AR43">
        <f t="shared" si="18"/>
        <v>0.93845204222294432</v>
      </c>
      <c r="AS43">
        <f t="shared" si="28"/>
        <v>0</v>
      </c>
    </row>
    <row r="44" spans="6:45" ht="18" customHeight="1">
      <c r="F44" s="109">
        <v>44601</v>
      </c>
      <c r="G44">
        <f>B$5*'5 Year Rainfall Simulation'!B45/1000</f>
        <v>2.44</v>
      </c>
      <c r="H44">
        <f t="shared" si="0"/>
        <v>2.44</v>
      </c>
      <c r="I44">
        <f t="shared" si="29"/>
        <v>0.62</v>
      </c>
      <c r="J44">
        <f t="shared" si="1"/>
        <v>1.8199999999999998</v>
      </c>
      <c r="K44">
        <f t="shared" si="19"/>
        <v>32.380000000000003</v>
      </c>
      <c r="L44">
        <f t="shared" si="2"/>
        <v>1.4423742549912535</v>
      </c>
      <c r="M44">
        <f t="shared" si="20"/>
        <v>0</v>
      </c>
      <c r="O44">
        <f>$B$5*'5 Year Rainfall Simulation'!C45/1000</f>
        <v>0.64</v>
      </c>
      <c r="P44">
        <f t="shared" si="3"/>
        <v>0.64</v>
      </c>
      <c r="Q44">
        <f t="shared" si="4"/>
        <v>0.62</v>
      </c>
      <c r="R44">
        <f t="shared" si="5"/>
        <v>2.0000000000000018E-2</v>
      </c>
      <c r="S44">
        <f t="shared" si="21"/>
        <v>35</v>
      </c>
      <c r="T44">
        <f t="shared" si="6"/>
        <v>0.3783276734403288</v>
      </c>
      <c r="U44">
        <f t="shared" si="22"/>
        <v>0</v>
      </c>
      <c r="W44">
        <f>$B$5*'5 Year Rainfall Simulation'!D45/1000</f>
        <v>0.1527149638725856</v>
      </c>
      <c r="X44">
        <f t="shared" si="7"/>
        <v>0.1527149638725856</v>
      </c>
      <c r="Y44">
        <f t="shared" si="8"/>
        <v>0.62</v>
      </c>
      <c r="Z44">
        <f t="shared" si="9"/>
        <v>-0.4672850361274144</v>
      </c>
      <c r="AA44">
        <f t="shared" si="23"/>
        <v>32.348113708234308</v>
      </c>
      <c r="AB44">
        <f t="shared" si="10"/>
        <v>9.0275464033498717E-2</v>
      </c>
      <c r="AC44">
        <f t="shared" si="24"/>
        <v>0</v>
      </c>
      <c r="AE44">
        <f>$B$5*'5 Year Rainfall Simulation'!E45/1000</f>
        <v>0</v>
      </c>
      <c r="AF44">
        <f t="shared" si="11"/>
        <v>0</v>
      </c>
      <c r="AG44">
        <f t="shared" si="12"/>
        <v>0.62</v>
      </c>
      <c r="AH44">
        <f t="shared" si="13"/>
        <v>-0.62</v>
      </c>
      <c r="AI44">
        <f t="shared" si="25"/>
        <v>33.760000000000005</v>
      </c>
      <c r="AJ44">
        <f t="shared" si="14"/>
        <v>0</v>
      </c>
      <c r="AK44">
        <f t="shared" si="26"/>
        <v>0</v>
      </c>
      <c r="AM44">
        <f>$B$5*'5 Year Rainfall Simulation'!F45/1000</f>
        <v>0.8168472625532297</v>
      </c>
      <c r="AN44">
        <f t="shared" si="15"/>
        <v>0.8168472625532297</v>
      </c>
      <c r="AO44">
        <f t="shared" si="16"/>
        <v>0.62</v>
      </c>
      <c r="AP44">
        <f t="shared" si="17"/>
        <v>0.19684726255322971</v>
      </c>
      <c r="AQ44">
        <f t="shared" si="27"/>
        <v>35</v>
      </c>
      <c r="AR44">
        <f t="shared" si="18"/>
        <v>0.48286863187166379</v>
      </c>
      <c r="AS44">
        <f t="shared" si="28"/>
        <v>0</v>
      </c>
    </row>
    <row r="45" spans="6:45" ht="18" customHeight="1">
      <c r="F45" s="109">
        <v>44602</v>
      </c>
      <c r="G45">
        <f>B$5*'5 Year Rainfall Simulation'!B46/1000</f>
        <v>2.68</v>
      </c>
      <c r="H45">
        <f t="shared" si="0"/>
        <v>2.68</v>
      </c>
      <c r="I45">
        <f t="shared" si="29"/>
        <v>0.62</v>
      </c>
      <c r="J45">
        <f t="shared" si="1"/>
        <v>2.06</v>
      </c>
      <c r="K45">
        <f t="shared" si="19"/>
        <v>34.440000000000005</v>
      </c>
      <c r="L45">
        <f t="shared" si="2"/>
        <v>1.5842471325313769</v>
      </c>
      <c r="M45">
        <f t="shared" si="20"/>
        <v>0</v>
      </c>
      <c r="O45">
        <f>$B$5*'5 Year Rainfall Simulation'!C46/1000</f>
        <v>0.04</v>
      </c>
      <c r="P45">
        <f t="shared" si="3"/>
        <v>0.04</v>
      </c>
      <c r="Q45">
        <f t="shared" si="4"/>
        <v>0.62</v>
      </c>
      <c r="R45">
        <f t="shared" si="5"/>
        <v>-0.57999999999999996</v>
      </c>
      <c r="S45">
        <f t="shared" si="21"/>
        <v>34.42</v>
      </c>
      <c r="T45">
        <f t="shared" si="6"/>
        <v>2.364547959002055E-2</v>
      </c>
      <c r="U45">
        <f t="shared" si="22"/>
        <v>0</v>
      </c>
      <c r="W45">
        <f>$B$5*'5 Year Rainfall Simulation'!D46/1000</f>
        <v>1.668395686250659</v>
      </c>
      <c r="X45">
        <f t="shared" si="7"/>
        <v>1.668395686250659</v>
      </c>
      <c r="Y45">
        <f t="shared" si="8"/>
        <v>0.62</v>
      </c>
      <c r="Z45">
        <f t="shared" si="9"/>
        <v>1.0483956862506592</v>
      </c>
      <c r="AA45">
        <f t="shared" si="23"/>
        <v>33.396509394484966</v>
      </c>
      <c r="AB45">
        <f t="shared" si="10"/>
        <v>0.98625040368295724</v>
      </c>
      <c r="AC45">
        <f t="shared" si="24"/>
        <v>0</v>
      </c>
      <c r="AE45">
        <f>$B$5*'5 Year Rainfall Simulation'!E46/1000</f>
        <v>0</v>
      </c>
      <c r="AF45">
        <f t="shared" si="11"/>
        <v>0</v>
      </c>
      <c r="AG45">
        <f t="shared" si="12"/>
        <v>0.62</v>
      </c>
      <c r="AH45">
        <f t="shared" si="13"/>
        <v>-0.62</v>
      </c>
      <c r="AI45">
        <f t="shared" si="25"/>
        <v>33.140000000000008</v>
      </c>
      <c r="AJ45">
        <f t="shared" si="14"/>
        <v>0</v>
      </c>
      <c r="AK45">
        <f t="shared" si="26"/>
        <v>0</v>
      </c>
      <c r="AM45">
        <f>$B$5*'5 Year Rainfall Simulation'!F46/1000</f>
        <v>0.98682410912693896</v>
      </c>
      <c r="AN45">
        <f t="shared" si="15"/>
        <v>0.98682410912693896</v>
      </c>
      <c r="AO45">
        <f t="shared" si="16"/>
        <v>0.62</v>
      </c>
      <c r="AP45">
        <f t="shared" si="17"/>
        <v>0.36682410912693897</v>
      </c>
      <c r="AQ45">
        <f t="shared" si="27"/>
        <v>35</v>
      </c>
      <c r="AR45">
        <f t="shared" si="18"/>
        <v>0.58334823328253116</v>
      </c>
      <c r="AS45">
        <f t="shared" si="28"/>
        <v>0</v>
      </c>
    </row>
    <row r="46" spans="6:45" ht="18" customHeight="1">
      <c r="F46" s="109">
        <v>44603</v>
      </c>
      <c r="G46">
        <f>B$5*'5 Year Rainfall Simulation'!B47/1000</f>
        <v>9.32</v>
      </c>
      <c r="H46">
        <f t="shared" si="0"/>
        <v>9.32</v>
      </c>
      <c r="I46">
        <f t="shared" si="29"/>
        <v>0.62</v>
      </c>
      <c r="J46">
        <f t="shared" si="1"/>
        <v>8.7000000000000011</v>
      </c>
      <c r="K46">
        <f t="shared" si="19"/>
        <v>35</v>
      </c>
      <c r="L46">
        <f t="shared" si="2"/>
        <v>5.5093967444747882</v>
      </c>
      <c r="M46">
        <f t="shared" si="20"/>
        <v>0</v>
      </c>
      <c r="O46">
        <f>$B$5*'5 Year Rainfall Simulation'!C47/1000</f>
        <v>3.9200000000000004</v>
      </c>
      <c r="P46">
        <f t="shared" si="3"/>
        <v>3.9200000000000004</v>
      </c>
      <c r="Q46">
        <f t="shared" si="4"/>
        <v>0.62</v>
      </c>
      <c r="R46">
        <f t="shared" si="5"/>
        <v>3.3000000000000003</v>
      </c>
      <c r="S46">
        <f t="shared" si="21"/>
        <v>35</v>
      </c>
      <c r="T46">
        <f t="shared" si="6"/>
        <v>2.3172569998220141</v>
      </c>
      <c r="U46">
        <f t="shared" si="22"/>
        <v>0</v>
      </c>
      <c r="W46">
        <f>$B$5*'5 Year Rainfall Simulation'!D47/1000</f>
        <v>10.014787444388947</v>
      </c>
      <c r="X46">
        <f t="shared" si="7"/>
        <v>10</v>
      </c>
      <c r="Y46">
        <f t="shared" si="8"/>
        <v>0.62</v>
      </c>
      <c r="Z46">
        <f t="shared" si="9"/>
        <v>9.3800000000000008</v>
      </c>
      <c r="AA46">
        <f t="shared" si="23"/>
        <v>35</v>
      </c>
      <c r="AB46">
        <f t="shared" si="10"/>
        <v>5.9113698975051374</v>
      </c>
      <c r="AC46">
        <f t="shared" si="24"/>
        <v>0</v>
      </c>
      <c r="AE46">
        <f>$B$5*'5 Year Rainfall Simulation'!E47/1000</f>
        <v>4.0967615601010925</v>
      </c>
      <c r="AF46">
        <f t="shared" si="11"/>
        <v>4.0967615601010925</v>
      </c>
      <c r="AG46">
        <f t="shared" si="12"/>
        <v>0.62</v>
      </c>
      <c r="AH46">
        <f t="shared" si="13"/>
        <v>3.4767615601010924</v>
      </c>
      <c r="AI46">
        <f t="shared" si="25"/>
        <v>35</v>
      </c>
      <c r="AJ46">
        <f t="shared" si="14"/>
        <v>2.4217472963637783</v>
      </c>
      <c r="AK46">
        <f t="shared" si="26"/>
        <v>0</v>
      </c>
      <c r="AM46">
        <f>$B$5*'5 Year Rainfall Simulation'!F47/1000</f>
        <v>7.3253565196192261</v>
      </c>
      <c r="AN46">
        <f t="shared" si="15"/>
        <v>7.3253565196192261</v>
      </c>
      <c r="AO46">
        <f t="shared" si="16"/>
        <v>0.62</v>
      </c>
      <c r="AP46">
        <f t="shared" si="17"/>
        <v>6.705356519619226</v>
      </c>
      <c r="AQ46">
        <f t="shared" si="27"/>
        <v>35</v>
      </c>
      <c r="AR46">
        <f t="shared" si="18"/>
        <v>4.3302892018570098</v>
      </c>
      <c r="AS46">
        <f t="shared" si="28"/>
        <v>0</v>
      </c>
    </row>
    <row r="47" spans="6:45" ht="18" customHeight="1">
      <c r="F47" s="109">
        <v>44604</v>
      </c>
      <c r="G47">
        <f>B$5*'5 Year Rainfall Simulation'!B48/1000</f>
        <v>3.36</v>
      </c>
      <c r="H47">
        <f t="shared" si="0"/>
        <v>3.36</v>
      </c>
      <c r="I47">
        <f t="shared" si="29"/>
        <v>0.62</v>
      </c>
      <c r="J47">
        <f t="shared" si="1"/>
        <v>2.7399999999999998</v>
      </c>
      <c r="K47">
        <f t="shared" si="19"/>
        <v>35</v>
      </c>
      <c r="L47">
        <f t="shared" si="2"/>
        <v>1.9862202855617261</v>
      </c>
      <c r="M47">
        <f t="shared" si="20"/>
        <v>0</v>
      </c>
      <c r="O47">
        <f>$B$5*'5 Year Rainfall Simulation'!C48/1000</f>
        <v>6.08</v>
      </c>
      <c r="P47">
        <f t="shared" si="3"/>
        <v>6.08</v>
      </c>
      <c r="Q47">
        <f t="shared" si="4"/>
        <v>0.62</v>
      </c>
      <c r="R47">
        <f t="shared" si="5"/>
        <v>5.46</v>
      </c>
      <c r="S47">
        <f t="shared" si="21"/>
        <v>35</v>
      </c>
      <c r="T47">
        <f t="shared" si="6"/>
        <v>3.5941128976831238</v>
      </c>
      <c r="U47">
        <f t="shared" si="22"/>
        <v>0</v>
      </c>
      <c r="W47">
        <f>$B$5*'5 Year Rainfall Simulation'!D48/1000</f>
        <v>3.8601244377609065</v>
      </c>
      <c r="X47">
        <f t="shared" si="7"/>
        <v>3.8601244377609065</v>
      </c>
      <c r="Y47">
        <f t="shared" si="8"/>
        <v>0.62</v>
      </c>
      <c r="Z47">
        <f t="shared" si="9"/>
        <v>3.2401244377609064</v>
      </c>
      <c r="AA47">
        <f t="shared" si="23"/>
        <v>35</v>
      </c>
      <c r="AB47">
        <f t="shared" si="10"/>
        <v>2.2818623402003766</v>
      </c>
      <c r="AC47">
        <f t="shared" si="24"/>
        <v>0</v>
      </c>
      <c r="AE47">
        <f>$B$5*'5 Year Rainfall Simulation'!E48/1000</f>
        <v>6.690546753876065</v>
      </c>
      <c r="AF47">
        <f t="shared" si="11"/>
        <v>6.690546753876065</v>
      </c>
      <c r="AG47">
        <f t="shared" si="12"/>
        <v>0.62</v>
      </c>
      <c r="AH47">
        <f t="shared" si="13"/>
        <v>6.0705467538760649</v>
      </c>
      <c r="AI47">
        <f t="shared" si="25"/>
        <v>35</v>
      </c>
      <c r="AJ47">
        <f t="shared" si="14"/>
        <v>3.9550296678713686</v>
      </c>
      <c r="AK47">
        <f t="shared" si="26"/>
        <v>0</v>
      </c>
      <c r="AM47">
        <f>$B$5*'5 Year Rainfall Simulation'!F48/1000</f>
        <v>3.3406917755606718</v>
      </c>
      <c r="AN47">
        <f t="shared" si="15"/>
        <v>3.3406917755606718</v>
      </c>
      <c r="AO47">
        <f t="shared" si="16"/>
        <v>0.62</v>
      </c>
      <c r="AP47">
        <f t="shared" si="17"/>
        <v>2.7206917755606717</v>
      </c>
      <c r="AQ47">
        <f t="shared" si="27"/>
        <v>35</v>
      </c>
      <c r="AR47">
        <f t="shared" si="18"/>
        <v>1.9748064798892344</v>
      </c>
      <c r="AS47">
        <f t="shared" si="28"/>
        <v>0</v>
      </c>
    </row>
    <row r="48" spans="6:45" ht="18" customHeight="1">
      <c r="F48" s="109">
        <v>44605</v>
      </c>
      <c r="G48">
        <f>B$5*'5 Year Rainfall Simulation'!B49/1000</f>
        <v>3.12</v>
      </c>
      <c r="H48">
        <f t="shared" si="0"/>
        <v>3.12</v>
      </c>
      <c r="I48">
        <f t="shared" si="29"/>
        <v>0.62</v>
      </c>
      <c r="J48">
        <f t="shared" si="1"/>
        <v>2.5</v>
      </c>
      <c r="K48">
        <f t="shared" si="19"/>
        <v>35</v>
      </c>
      <c r="L48">
        <f t="shared" si="2"/>
        <v>1.8443474080216031</v>
      </c>
      <c r="M48">
        <f t="shared" si="20"/>
        <v>0</v>
      </c>
      <c r="O48">
        <f>$B$5*'5 Year Rainfall Simulation'!C49/1000</f>
        <v>3.8</v>
      </c>
      <c r="P48">
        <f t="shared" si="3"/>
        <v>3.8</v>
      </c>
      <c r="Q48">
        <f t="shared" si="4"/>
        <v>0.62</v>
      </c>
      <c r="R48">
        <f t="shared" si="5"/>
        <v>3.1799999999999997</v>
      </c>
      <c r="S48">
        <f t="shared" si="21"/>
        <v>35</v>
      </c>
      <c r="T48">
        <f t="shared" si="6"/>
        <v>2.2463205610519523</v>
      </c>
      <c r="U48">
        <f t="shared" si="22"/>
        <v>0</v>
      </c>
      <c r="W48">
        <f>$B$5*'5 Year Rainfall Simulation'!D49/1000</f>
        <v>1.5878037177851489</v>
      </c>
      <c r="X48">
        <f t="shared" si="7"/>
        <v>1.5878037177851489</v>
      </c>
      <c r="Y48">
        <f t="shared" si="8"/>
        <v>0.62</v>
      </c>
      <c r="Z48">
        <f t="shared" si="9"/>
        <v>0.96780371778514895</v>
      </c>
      <c r="AA48">
        <f t="shared" si="23"/>
        <v>35</v>
      </c>
      <c r="AB48">
        <f t="shared" si="10"/>
        <v>0.93860951004618731</v>
      </c>
      <c r="AC48">
        <f t="shared" si="24"/>
        <v>0</v>
      </c>
      <c r="AE48">
        <f>$B$5*'5 Year Rainfall Simulation'!E49/1000</f>
        <v>5.4907940270289819</v>
      </c>
      <c r="AF48">
        <f t="shared" si="11"/>
        <v>5.4907940270289819</v>
      </c>
      <c r="AG48">
        <f t="shared" si="12"/>
        <v>0.62</v>
      </c>
      <c r="AH48">
        <f t="shared" si="13"/>
        <v>4.8707940270289818</v>
      </c>
      <c r="AI48">
        <f t="shared" si="25"/>
        <v>35</v>
      </c>
      <c r="AJ48">
        <f t="shared" si="14"/>
        <v>3.2458114524780135</v>
      </c>
      <c r="AK48">
        <f t="shared" si="26"/>
        <v>0</v>
      </c>
      <c r="AM48">
        <f>$B$5*'5 Year Rainfall Simulation'!F49/1000</f>
        <v>0.21785965754353417</v>
      </c>
      <c r="AN48">
        <f t="shared" si="15"/>
        <v>0.21785965754353417</v>
      </c>
      <c r="AO48">
        <f t="shared" si="16"/>
        <v>0.62</v>
      </c>
      <c r="AP48">
        <f t="shared" si="17"/>
        <v>-0.40214034245646579</v>
      </c>
      <c r="AQ48">
        <f t="shared" si="27"/>
        <v>34.597859657543538</v>
      </c>
      <c r="AR48">
        <f t="shared" si="18"/>
        <v>0.12878490214836261</v>
      </c>
      <c r="AS48">
        <f t="shared" si="28"/>
        <v>0</v>
      </c>
    </row>
    <row r="49" spans="6:45" ht="18" customHeight="1">
      <c r="F49" s="109">
        <v>44606</v>
      </c>
      <c r="G49">
        <f>B$5*'5 Year Rainfall Simulation'!B50/1000</f>
        <v>0.6</v>
      </c>
      <c r="H49">
        <f t="shared" si="0"/>
        <v>0.6</v>
      </c>
      <c r="I49">
        <f t="shared" si="29"/>
        <v>0.62</v>
      </c>
      <c r="J49">
        <f t="shared" si="1"/>
        <v>-2.0000000000000018E-2</v>
      </c>
      <c r="K49">
        <f t="shared" si="19"/>
        <v>34.979999999999997</v>
      </c>
      <c r="L49">
        <f t="shared" si="2"/>
        <v>0.35468219385030825</v>
      </c>
      <c r="M49">
        <f t="shared" si="20"/>
        <v>0</v>
      </c>
      <c r="O49">
        <f>$B$5*'5 Year Rainfall Simulation'!C50/1000</f>
        <v>0.04</v>
      </c>
      <c r="P49">
        <f t="shared" si="3"/>
        <v>0.04</v>
      </c>
      <c r="Q49">
        <f t="shared" si="4"/>
        <v>0.62</v>
      </c>
      <c r="R49">
        <f t="shared" si="5"/>
        <v>-0.57999999999999996</v>
      </c>
      <c r="S49">
        <f t="shared" si="21"/>
        <v>34.42</v>
      </c>
      <c r="T49">
        <f t="shared" si="6"/>
        <v>2.364547959002055E-2</v>
      </c>
      <c r="U49">
        <f t="shared" si="22"/>
        <v>0</v>
      </c>
      <c r="W49">
        <f>$B$5*'5 Year Rainfall Simulation'!D50/1000</f>
        <v>1.8787353482630693</v>
      </c>
      <c r="X49">
        <f t="shared" si="7"/>
        <v>1.8787353482630693</v>
      </c>
      <c r="Y49">
        <f t="shared" si="8"/>
        <v>0.62</v>
      </c>
      <c r="Z49">
        <f t="shared" si="9"/>
        <v>1.2587353482630692</v>
      </c>
      <c r="AA49">
        <f t="shared" si="23"/>
        <v>35</v>
      </c>
      <c r="AB49">
        <f t="shared" si="10"/>
        <v>1.110589958310114</v>
      </c>
      <c r="AC49">
        <f t="shared" si="24"/>
        <v>0</v>
      </c>
      <c r="AE49">
        <f>$B$5*'5 Year Rainfall Simulation'!E50/1000</f>
        <v>0</v>
      </c>
      <c r="AF49">
        <f t="shared" si="11"/>
        <v>0</v>
      </c>
      <c r="AG49">
        <f t="shared" si="12"/>
        <v>0.62</v>
      </c>
      <c r="AH49">
        <f t="shared" si="13"/>
        <v>-0.62</v>
      </c>
      <c r="AI49">
        <f t="shared" si="25"/>
        <v>34.380000000000003</v>
      </c>
      <c r="AJ49">
        <f t="shared" si="14"/>
        <v>0</v>
      </c>
      <c r="AK49">
        <f t="shared" si="26"/>
        <v>0</v>
      </c>
      <c r="AM49">
        <f>$B$5*'5 Year Rainfall Simulation'!F50/1000</f>
        <v>1.7841364135010231</v>
      </c>
      <c r="AN49">
        <f t="shared" si="15"/>
        <v>1.7841364135010231</v>
      </c>
      <c r="AO49">
        <f t="shared" si="16"/>
        <v>0.62</v>
      </c>
      <c r="AP49">
        <f t="shared" si="17"/>
        <v>1.1641364135010233</v>
      </c>
      <c r="AQ49">
        <f t="shared" si="27"/>
        <v>35</v>
      </c>
      <c r="AR49">
        <f t="shared" si="18"/>
        <v>1.0546690287812728</v>
      </c>
      <c r="AS49">
        <f t="shared" si="28"/>
        <v>0</v>
      </c>
    </row>
    <row r="50" spans="6:45" ht="18" customHeight="1">
      <c r="F50" s="109">
        <v>44607</v>
      </c>
      <c r="G50">
        <f>B$5*'5 Year Rainfall Simulation'!B51/1000</f>
        <v>2.3199999999999998</v>
      </c>
      <c r="H50">
        <f t="shared" si="0"/>
        <v>2.3199999999999998</v>
      </c>
      <c r="I50">
        <f t="shared" si="29"/>
        <v>0.62</v>
      </c>
      <c r="J50">
        <f t="shared" si="1"/>
        <v>1.6999999999999997</v>
      </c>
      <c r="K50">
        <f t="shared" si="19"/>
        <v>35</v>
      </c>
      <c r="L50">
        <f t="shared" si="2"/>
        <v>1.3714378162211918</v>
      </c>
      <c r="M50">
        <f t="shared" si="20"/>
        <v>0</v>
      </c>
      <c r="O50">
        <f>$B$5*'5 Year Rainfall Simulation'!C51/1000</f>
        <v>0</v>
      </c>
      <c r="P50">
        <f t="shared" si="3"/>
        <v>0</v>
      </c>
      <c r="Q50">
        <f t="shared" si="4"/>
        <v>0.62</v>
      </c>
      <c r="R50">
        <f t="shared" si="5"/>
        <v>-0.62</v>
      </c>
      <c r="S50">
        <f t="shared" si="21"/>
        <v>33.800000000000004</v>
      </c>
      <c r="T50">
        <f t="shared" si="6"/>
        <v>0</v>
      </c>
      <c r="U50">
        <f t="shared" si="22"/>
        <v>0</v>
      </c>
      <c r="W50">
        <f>$B$5*'5 Year Rainfall Simulation'!D51/1000</f>
        <v>2.6396238890453221</v>
      </c>
      <c r="X50">
        <f t="shared" si="7"/>
        <v>2.6396238890453221</v>
      </c>
      <c r="Y50">
        <f t="shared" si="8"/>
        <v>0.62</v>
      </c>
      <c r="Z50">
        <f t="shared" si="9"/>
        <v>2.019623889045322</v>
      </c>
      <c r="AA50">
        <f t="shared" si="23"/>
        <v>35</v>
      </c>
      <c r="AB50">
        <f t="shared" si="10"/>
        <v>1.5603793198437959</v>
      </c>
      <c r="AC50">
        <f t="shared" si="24"/>
        <v>0</v>
      </c>
      <c r="AE50">
        <f>$B$5*'5 Year Rainfall Simulation'!E51/1000</f>
        <v>0</v>
      </c>
      <c r="AF50">
        <f t="shared" si="11"/>
        <v>0</v>
      </c>
      <c r="AG50">
        <f t="shared" si="12"/>
        <v>0.62</v>
      </c>
      <c r="AH50">
        <f t="shared" si="13"/>
        <v>-0.62</v>
      </c>
      <c r="AI50">
        <f t="shared" si="25"/>
        <v>33.760000000000005</v>
      </c>
      <c r="AJ50">
        <f t="shared" si="14"/>
        <v>0</v>
      </c>
      <c r="AK50">
        <f t="shared" si="26"/>
        <v>0</v>
      </c>
      <c r="AM50">
        <f>$B$5*'5 Year Rainfall Simulation'!F51/1000</f>
        <v>1.9611782768041648</v>
      </c>
      <c r="AN50">
        <f t="shared" si="15"/>
        <v>1.9611782768041648</v>
      </c>
      <c r="AO50">
        <f t="shared" si="16"/>
        <v>0.62</v>
      </c>
      <c r="AP50">
        <f t="shared" si="17"/>
        <v>1.3411782768041647</v>
      </c>
      <c r="AQ50">
        <f t="shared" si="27"/>
        <v>35</v>
      </c>
      <c r="AR50">
        <f t="shared" si="18"/>
        <v>1.1593250229141139</v>
      </c>
      <c r="AS50">
        <f t="shared" si="28"/>
        <v>0</v>
      </c>
    </row>
    <row r="51" spans="6:45" ht="18" customHeight="1">
      <c r="F51" s="109">
        <v>44608</v>
      </c>
      <c r="G51">
        <f>B$5*'5 Year Rainfall Simulation'!B52/1000</f>
        <v>3.8</v>
      </c>
      <c r="H51">
        <f t="shared" si="0"/>
        <v>3.8</v>
      </c>
      <c r="I51">
        <f t="shared" si="29"/>
        <v>0.62</v>
      </c>
      <c r="J51">
        <f t="shared" si="1"/>
        <v>3.1799999999999997</v>
      </c>
      <c r="K51">
        <f t="shared" si="19"/>
        <v>35</v>
      </c>
      <c r="L51">
        <f t="shared" si="2"/>
        <v>2.2463205610519523</v>
      </c>
      <c r="M51">
        <f t="shared" si="20"/>
        <v>0</v>
      </c>
      <c r="O51">
        <f>$B$5*'5 Year Rainfall Simulation'!C52/1000</f>
        <v>0</v>
      </c>
      <c r="P51">
        <f t="shared" si="3"/>
        <v>0</v>
      </c>
      <c r="Q51">
        <f t="shared" si="4"/>
        <v>0.62</v>
      </c>
      <c r="R51">
        <f t="shared" si="5"/>
        <v>-0.62</v>
      </c>
      <c r="S51">
        <f t="shared" si="21"/>
        <v>33.180000000000007</v>
      </c>
      <c r="T51">
        <f t="shared" si="6"/>
        <v>0</v>
      </c>
      <c r="U51">
        <f t="shared" si="22"/>
        <v>0</v>
      </c>
      <c r="W51">
        <f>$B$5*'5 Year Rainfall Simulation'!D52/1000</f>
        <v>4.2282192146266997</v>
      </c>
      <c r="X51">
        <f t="shared" si="7"/>
        <v>4.2282192146266997</v>
      </c>
      <c r="Y51">
        <f t="shared" si="8"/>
        <v>0.62</v>
      </c>
      <c r="Z51">
        <f t="shared" si="9"/>
        <v>3.6082192146266996</v>
      </c>
      <c r="AA51">
        <f t="shared" si="23"/>
        <v>35</v>
      </c>
      <c r="AB51">
        <f t="shared" si="10"/>
        <v>2.4994567785397086</v>
      </c>
      <c r="AC51">
        <f t="shared" si="24"/>
        <v>0</v>
      </c>
      <c r="AE51">
        <f>$B$5*'5 Year Rainfall Simulation'!E52/1000</f>
        <v>0</v>
      </c>
      <c r="AF51">
        <f t="shared" si="11"/>
        <v>0</v>
      </c>
      <c r="AG51">
        <f t="shared" si="12"/>
        <v>0.62</v>
      </c>
      <c r="AH51">
        <f t="shared" si="13"/>
        <v>-0.62</v>
      </c>
      <c r="AI51">
        <f t="shared" si="25"/>
        <v>33.140000000000008</v>
      </c>
      <c r="AJ51">
        <f t="shared" si="14"/>
        <v>0</v>
      </c>
      <c r="AK51">
        <f t="shared" si="26"/>
        <v>0</v>
      </c>
      <c r="AM51">
        <f>$B$5*'5 Year Rainfall Simulation'!F52/1000</f>
        <v>1.6975488061170603</v>
      </c>
      <c r="AN51">
        <f t="shared" si="15"/>
        <v>1.6975488061170603</v>
      </c>
      <c r="AO51">
        <f t="shared" si="16"/>
        <v>0.62</v>
      </c>
      <c r="AP51">
        <f t="shared" si="17"/>
        <v>1.0775488061170604</v>
      </c>
      <c r="AQ51">
        <f t="shared" si="27"/>
        <v>35</v>
      </c>
      <c r="AR51">
        <f t="shared" si="18"/>
        <v>1.0034838912026176</v>
      </c>
      <c r="AS51">
        <f t="shared" si="28"/>
        <v>0</v>
      </c>
    </row>
    <row r="52" spans="6:45" ht="18" customHeight="1">
      <c r="F52" s="109">
        <v>44609</v>
      </c>
      <c r="G52">
        <f>B$5*'5 Year Rainfall Simulation'!B53/1000</f>
        <v>1.8399999999999999</v>
      </c>
      <c r="H52">
        <f t="shared" si="0"/>
        <v>1.8399999999999999</v>
      </c>
      <c r="I52">
        <f t="shared" si="29"/>
        <v>0.62</v>
      </c>
      <c r="J52">
        <f t="shared" si="1"/>
        <v>1.2199999999999998</v>
      </c>
      <c r="K52">
        <f t="shared" si="19"/>
        <v>35</v>
      </c>
      <c r="L52">
        <f t="shared" si="2"/>
        <v>1.0876920611409453</v>
      </c>
      <c r="M52">
        <f t="shared" si="20"/>
        <v>0</v>
      </c>
      <c r="O52">
        <f>$B$5*'5 Year Rainfall Simulation'!C53/1000</f>
        <v>0</v>
      </c>
      <c r="P52">
        <f t="shared" si="3"/>
        <v>0</v>
      </c>
      <c r="Q52">
        <f t="shared" si="4"/>
        <v>0.62</v>
      </c>
      <c r="R52">
        <f t="shared" si="5"/>
        <v>-0.62</v>
      </c>
      <c r="S52">
        <f t="shared" si="21"/>
        <v>32.560000000000009</v>
      </c>
      <c r="T52">
        <f t="shared" si="6"/>
        <v>0</v>
      </c>
      <c r="U52">
        <f t="shared" si="22"/>
        <v>0</v>
      </c>
      <c r="W52">
        <f>$B$5*'5 Year Rainfall Simulation'!D53/1000</f>
        <v>1.0946892699856812</v>
      </c>
      <c r="X52">
        <f t="shared" si="7"/>
        <v>1.0946892699856812</v>
      </c>
      <c r="Y52">
        <f t="shared" si="8"/>
        <v>0.62</v>
      </c>
      <c r="Z52">
        <f t="shared" si="9"/>
        <v>0.47468926998568117</v>
      </c>
      <c r="AA52">
        <f t="shared" si="23"/>
        <v>35</v>
      </c>
      <c r="AB52">
        <f t="shared" si="10"/>
        <v>0.64711131977152303</v>
      </c>
      <c r="AC52">
        <f t="shared" si="24"/>
        <v>0</v>
      </c>
      <c r="AE52">
        <f>$B$5*'5 Year Rainfall Simulation'!E53/1000</f>
        <v>0</v>
      </c>
      <c r="AF52">
        <f t="shared" si="11"/>
        <v>0</v>
      </c>
      <c r="AG52">
        <f t="shared" si="12"/>
        <v>0.62</v>
      </c>
      <c r="AH52">
        <f t="shared" si="13"/>
        <v>-0.62</v>
      </c>
      <c r="AI52">
        <f t="shared" si="25"/>
        <v>32.52000000000001</v>
      </c>
      <c r="AJ52">
        <f t="shared" si="14"/>
        <v>0</v>
      </c>
      <c r="AK52">
        <f t="shared" si="26"/>
        <v>0</v>
      </c>
      <c r="AM52">
        <f>$B$5*'5 Year Rainfall Simulation'!F53/1000</f>
        <v>2.1316047680909382</v>
      </c>
      <c r="AN52">
        <f t="shared" si="15"/>
        <v>2.1316047680909382</v>
      </c>
      <c r="AO52">
        <f t="shared" si="16"/>
        <v>0.62</v>
      </c>
      <c r="AP52">
        <f t="shared" si="17"/>
        <v>1.5116047680909381</v>
      </c>
      <c r="AQ52">
        <f t="shared" si="27"/>
        <v>35</v>
      </c>
      <c r="AR52">
        <f t="shared" si="18"/>
        <v>1.2600704259471192</v>
      </c>
      <c r="AS52">
        <f t="shared" si="28"/>
        <v>0</v>
      </c>
    </row>
    <row r="53" spans="6:45" ht="18" customHeight="1">
      <c r="F53" s="109">
        <v>44610</v>
      </c>
      <c r="G53">
        <f>B$5*'5 Year Rainfall Simulation'!B54/1000</f>
        <v>2.52</v>
      </c>
      <c r="H53">
        <f t="shared" si="0"/>
        <v>2.52</v>
      </c>
      <c r="I53">
        <f t="shared" si="29"/>
        <v>0.62</v>
      </c>
      <c r="J53">
        <f t="shared" si="1"/>
        <v>1.9</v>
      </c>
      <c r="K53">
        <f t="shared" si="19"/>
        <v>35</v>
      </c>
      <c r="L53">
        <f t="shared" si="2"/>
        <v>1.4896652141712947</v>
      </c>
      <c r="M53">
        <f t="shared" si="20"/>
        <v>0</v>
      </c>
      <c r="O53">
        <f>$B$5*'5 Year Rainfall Simulation'!C54/1000</f>
        <v>0.8</v>
      </c>
      <c r="P53">
        <f t="shared" si="3"/>
        <v>0.8</v>
      </c>
      <c r="Q53">
        <f t="shared" si="4"/>
        <v>0.62</v>
      </c>
      <c r="R53">
        <f t="shared" si="5"/>
        <v>0.18000000000000005</v>
      </c>
      <c r="S53">
        <f t="shared" si="21"/>
        <v>32.740000000000009</v>
      </c>
      <c r="T53">
        <f t="shared" si="6"/>
        <v>0.47290959180041103</v>
      </c>
      <c r="U53">
        <f t="shared" si="22"/>
        <v>0</v>
      </c>
      <c r="W53">
        <f>$B$5*'5 Year Rainfall Simulation'!D54/1000</f>
        <v>3.038347358125754E-2</v>
      </c>
      <c r="X53">
        <f t="shared" si="7"/>
        <v>3.038347358125754E-2</v>
      </c>
      <c r="Y53">
        <f t="shared" si="8"/>
        <v>0.62</v>
      </c>
      <c r="Z53">
        <f t="shared" si="9"/>
        <v>-0.5896165264187424</v>
      </c>
      <c r="AA53">
        <f t="shared" si="23"/>
        <v>34.410383473581255</v>
      </c>
      <c r="AB53">
        <f t="shared" si="10"/>
        <v>1.7960795110988845E-2</v>
      </c>
      <c r="AC53">
        <f t="shared" si="24"/>
        <v>0</v>
      </c>
      <c r="AE53">
        <f>$B$5*'5 Year Rainfall Simulation'!E54/1000</f>
        <v>0.72139190226809846</v>
      </c>
      <c r="AF53">
        <f t="shared" si="11"/>
        <v>0.72139190226809846</v>
      </c>
      <c r="AG53">
        <f t="shared" si="12"/>
        <v>0.62</v>
      </c>
      <c r="AH53">
        <f t="shared" si="13"/>
        <v>0.10139190226809847</v>
      </c>
      <c r="AI53">
        <f t="shared" si="25"/>
        <v>32.621391902268108</v>
      </c>
      <c r="AJ53">
        <f t="shared" si="14"/>
        <v>0.42644143753716057</v>
      </c>
      <c r="AK53">
        <f t="shared" si="26"/>
        <v>0</v>
      </c>
      <c r="AM53">
        <f>$B$5*'5 Year Rainfall Simulation'!F54/1000</f>
        <v>0.73343160934160379</v>
      </c>
      <c r="AN53">
        <f t="shared" si="15"/>
        <v>0.73343160934160379</v>
      </c>
      <c r="AO53">
        <f t="shared" si="16"/>
        <v>0.62</v>
      </c>
      <c r="AP53">
        <f t="shared" si="17"/>
        <v>0.11343160934160379</v>
      </c>
      <c r="AQ53">
        <f t="shared" si="27"/>
        <v>35</v>
      </c>
      <c r="AR53">
        <f t="shared" si="18"/>
        <v>0.43355855373407048</v>
      </c>
      <c r="AS53">
        <f t="shared" si="28"/>
        <v>0</v>
      </c>
    </row>
    <row r="54" spans="6:45" ht="18" customHeight="1">
      <c r="F54" s="109">
        <v>44611</v>
      </c>
      <c r="G54">
        <f>B$5*'5 Year Rainfall Simulation'!B55/1000</f>
        <v>4.3600000000000003</v>
      </c>
      <c r="H54">
        <f t="shared" si="0"/>
        <v>4.3600000000000003</v>
      </c>
      <c r="I54">
        <f t="shared" si="29"/>
        <v>0.62</v>
      </c>
      <c r="J54">
        <f t="shared" si="1"/>
        <v>3.74</v>
      </c>
      <c r="K54">
        <f t="shared" si="19"/>
        <v>35</v>
      </c>
      <c r="L54">
        <f t="shared" si="2"/>
        <v>2.5773572753122402</v>
      </c>
      <c r="M54">
        <f t="shared" si="20"/>
        <v>0</v>
      </c>
      <c r="O54">
        <f>$B$5*'5 Year Rainfall Simulation'!C55/1000</f>
        <v>2.2000000000000002</v>
      </c>
      <c r="P54">
        <f t="shared" si="3"/>
        <v>2.2000000000000002</v>
      </c>
      <c r="Q54">
        <f t="shared" si="4"/>
        <v>0.62</v>
      </c>
      <c r="R54">
        <f t="shared" si="5"/>
        <v>1.58</v>
      </c>
      <c r="S54">
        <f t="shared" si="21"/>
        <v>34.320000000000007</v>
      </c>
      <c r="T54">
        <f t="shared" si="6"/>
        <v>1.3005013774511305</v>
      </c>
      <c r="U54">
        <f t="shared" si="22"/>
        <v>0</v>
      </c>
      <c r="W54">
        <f>$B$5*'5 Year Rainfall Simulation'!D55/1000</f>
        <v>5.4969624698753492</v>
      </c>
      <c r="X54">
        <f t="shared" si="7"/>
        <v>5.4969624698753492</v>
      </c>
      <c r="Y54">
        <f t="shared" si="8"/>
        <v>0.62</v>
      </c>
      <c r="Z54">
        <f t="shared" si="9"/>
        <v>4.8769624698753491</v>
      </c>
      <c r="AA54">
        <f t="shared" si="23"/>
        <v>35</v>
      </c>
      <c r="AB54">
        <f t="shared" si="10"/>
        <v>3.2494578472136633</v>
      </c>
      <c r="AC54">
        <f t="shared" si="24"/>
        <v>0</v>
      </c>
      <c r="AE54">
        <f>$B$5*'5 Year Rainfall Simulation'!E55/1000</f>
        <v>1.6113803976838823</v>
      </c>
      <c r="AF54">
        <f t="shared" si="11"/>
        <v>1.6113803976838823</v>
      </c>
      <c r="AG54">
        <f t="shared" si="12"/>
        <v>0.62</v>
      </c>
      <c r="AH54">
        <f t="shared" si="13"/>
        <v>0.99138039768388231</v>
      </c>
      <c r="AI54">
        <f t="shared" si="25"/>
        <v>33.612772299951992</v>
      </c>
      <c r="AJ54">
        <f t="shared" si="14"/>
        <v>0.95254655762983598</v>
      </c>
      <c r="AK54">
        <f t="shared" si="26"/>
        <v>0</v>
      </c>
      <c r="AM54">
        <f>$B$5*'5 Year Rainfall Simulation'!F55/1000</f>
        <v>6.4282580673671132</v>
      </c>
      <c r="AN54">
        <f t="shared" si="15"/>
        <v>6.4282580673671132</v>
      </c>
      <c r="AO54">
        <f t="shared" si="16"/>
        <v>0.62</v>
      </c>
      <c r="AP54">
        <f t="shared" si="17"/>
        <v>5.8082580673671131</v>
      </c>
      <c r="AQ54">
        <f t="shared" si="27"/>
        <v>35</v>
      </c>
      <c r="AR54">
        <f t="shared" si="18"/>
        <v>3.7999811232828509</v>
      </c>
      <c r="AS54">
        <f t="shared" si="28"/>
        <v>0</v>
      </c>
    </row>
    <row r="55" spans="6:45" ht="18" customHeight="1">
      <c r="F55" s="109">
        <v>44612</v>
      </c>
      <c r="G55">
        <f>B$5*'5 Year Rainfall Simulation'!B56/1000</f>
        <v>0.48</v>
      </c>
      <c r="H55">
        <f t="shared" si="0"/>
        <v>0.48</v>
      </c>
      <c r="I55">
        <f t="shared" si="29"/>
        <v>0.62</v>
      </c>
      <c r="J55">
        <f t="shared" si="1"/>
        <v>-0.14000000000000001</v>
      </c>
      <c r="K55">
        <f t="shared" si="19"/>
        <v>34.86</v>
      </c>
      <c r="L55">
        <f t="shared" si="2"/>
        <v>0.28374575508024658</v>
      </c>
      <c r="M55">
        <f t="shared" si="20"/>
        <v>0</v>
      </c>
      <c r="O55">
        <f>$B$5*'5 Year Rainfall Simulation'!C56/1000</f>
        <v>0.08</v>
      </c>
      <c r="P55">
        <f t="shared" si="3"/>
        <v>0.08</v>
      </c>
      <c r="Q55">
        <f t="shared" si="4"/>
        <v>0.62</v>
      </c>
      <c r="R55">
        <f t="shared" si="5"/>
        <v>-0.54</v>
      </c>
      <c r="S55">
        <f t="shared" si="21"/>
        <v>33.780000000000008</v>
      </c>
      <c r="T55">
        <f t="shared" si="6"/>
        <v>4.7290959180041101E-2</v>
      </c>
      <c r="U55">
        <f t="shared" si="22"/>
        <v>0</v>
      </c>
      <c r="W55">
        <f>$B$5*'5 Year Rainfall Simulation'!D56/1000</f>
        <v>1.483090291121774</v>
      </c>
      <c r="X55">
        <f t="shared" si="7"/>
        <v>1.483090291121774</v>
      </c>
      <c r="Y55">
        <f t="shared" si="8"/>
        <v>0.62</v>
      </c>
      <c r="Z55">
        <f t="shared" si="9"/>
        <v>0.86309029112177404</v>
      </c>
      <c r="AA55">
        <f t="shared" si="23"/>
        <v>35</v>
      </c>
      <c r="AB55">
        <f t="shared" si="10"/>
        <v>0.87670953022193865</v>
      </c>
      <c r="AC55">
        <f t="shared" si="24"/>
        <v>0</v>
      </c>
      <c r="AE55">
        <f>$B$5*'5 Year Rainfall Simulation'!E56/1000</f>
        <v>0</v>
      </c>
      <c r="AF55">
        <f t="shared" si="11"/>
        <v>0</v>
      </c>
      <c r="AG55">
        <f t="shared" si="12"/>
        <v>0.62</v>
      </c>
      <c r="AH55">
        <f t="shared" si="13"/>
        <v>-0.62</v>
      </c>
      <c r="AI55">
        <f t="shared" si="25"/>
        <v>32.992772299951994</v>
      </c>
      <c r="AJ55">
        <f t="shared" si="14"/>
        <v>0</v>
      </c>
      <c r="AK55">
        <f t="shared" si="26"/>
        <v>0</v>
      </c>
      <c r="AM55">
        <f>$B$5*'5 Year Rainfall Simulation'!F56/1000</f>
        <v>1.7419284288047676</v>
      </c>
      <c r="AN55">
        <f t="shared" si="15"/>
        <v>1.7419284288047676</v>
      </c>
      <c r="AO55">
        <f t="shared" si="16"/>
        <v>0.62</v>
      </c>
      <c r="AP55">
        <f t="shared" si="17"/>
        <v>1.1219284288047677</v>
      </c>
      <c r="AQ55">
        <f t="shared" si="27"/>
        <v>35</v>
      </c>
      <c r="AR55">
        <f t="shared" si="18"/>
        <v>1.0297183277644926</v>
      </c>
      <c r="AS55">
        <f t="shared" si="28"/>
        <v>0</v>
      </c>
    </row>
    <row r="56" spans="6:45" ht="18" customHeight="1">
      <c r="F56" s="109">
        <v>44613</v>
      </c>
      <c r="G56">
        <f>B$5*'5 Year Rainfall Simulation'!B57/1000</f>
        <v>0.16</v>
      </c>
      <c r="H56">
        <f t="shared" si="0"/>
        <v>0.16</v>
      </c>
      <c r="I56">
        <f t="shared" si="29"/>
        <v>0.62</v>
      </c>
      <c r="J56">
        <f t="shared" si="1"/>
        <v>-0.45999999999999996</v>
      </c>
      <c r="K56">
        <f t="shared" si="19"/>
        <v>34.4</v>
      </c>
      <c r="L56">
        <f t="shared" si="2"/>
        <v>9.4581918360082201E-2</v>
      </c>
      <c r="M56">
        <f t="shared" si="20"/>
        <v>0</v>
      </c>
      <c r="O56">
        <f>$B$5*'5 Year Rainfall Simulation'!C57/1000</f>
        <v>0</v>
      </c>
      <c r="P56">
        <f t="shared" si="3"/>
        <v>0</v>
      </c>
      <c r="Q56">
        <f t="shared" si="4"/>
        <v>0.62</v>
      </c>
      <c r="R56">
        <f t="shared" si="5"/>
        <v>-0.62</v>
      </c>
      <c r="S56">
        <f t="shared" si="21"/>
        <v>33.160000000000011</v>
      </c>
      <c r="T56">
        <f t="shared" si="6"/>
        <v>0</v>
      </c>
      <c r="U56">
        <f t="shared" si="22"/>
        <v>0</v>
      </c>
      <c r="W56">
        <f>$B$5*'5 Year Rainfall Simulation'!D57/1000</f>
        <v>0</v>
      </c>
      <c r="X56">
        <f t="shared" si="7"/>
        <v>0</v>
      </c>
      <c r="Y56">
        <f t="shared" si="8"/>
        <v>0.62</v>
      </c>
      <c r="Z56">
        <f t="shared" si="9"/>
        <v>-0.62</v>
      </c>
      <c r="AA56">
        <f t="shared" si="23"/>
        <v>34.380000000000003</v>
      </c>
      <c r="AB56">
        <f t="shared" si="10"/>
        <v>0</v>
      </c>
      <c r="AC56">
        <f t="shared" si="24"/>
        <v>0</v>
      </c>
      <c r="AE56">
        <f>$B$5*'5 Year Rainfall Simulation'!E57/1000</f>
        <v>9.7256975471148324E-2</v>
      </c>
      <c r="AF56">
        <f t="shared" si="11"/>
        <v>9.7256975471148324E-2</v>
      </c>
      <c r="AG56">
        <f t="shared" si="12"/>
        <v>0.62</v>
      </c>
      <c r="AH56">
        <f t="shared" si="13"/>
        <v>-0.52274302452885169</v>
      </c>
      <c r="AI56">
        <f t="shared" si="25"/>
        <v>32.470029275423144</v>
      </c>
      <c r="AJ56">
        <f t="shared" si="14"/>
        <v>5.7492195712254175E-2</v>
      </c>
      <c r="AK56">
        <f t="shared" si="26"/>
        <v>0</v>
      </c>
      <c r="AM56">
        <f>$B$5*'5 Year Rainfall Simulation'!F57/1000</f>
        <v>0</v>
      </c>
      <c r="AN56">
        <f t="shared" si="15"/>
        <v>0</v>
      </c>
      <c r="AO56">
        <f t="shared" si="16"/>
        <v>0.62</v>
      </c>
      <c r="AP56">
        <f t="shared" si="17"/>
        <v>-0.62</v>
      </c>
      <c r="AQ56">
        <f t="shared" si="27"/>
        <v>34.380000000000003</v>
      </c>
      <c r="AR56">
        <f t="shared" si="18"/>
        <v>0</v>
      </c>
      <c r="AS56">
        <f t="shared" si="28"/>
        <v>0</v>
      </c>
    </row>
    <row r="57" spans="6:45" ht="18" customHeight="1">
      <c r="F57" s="109">
        <v>44614</v>
      </c>
      <c r="G57">
        <f>B$5*'5 Year Rainfall Simulation'!B58/1000</f>
        <v>0.96</v>
      </c>
      <c r="H57">
        <f t="shared" si="0"/>
        <v>0.96</v>
      </c>
      <c r="I57">
        <f t="shared" si="29"/>
        <v>0.62</v>
      </c>
      <c r="J57">
        <f t="shared" si="1"/>
        <v>0.33999999999999997</v>
      </c>
      <c r="K57">
        <f t="shared" si="19"/>
        <v>34.74</v>
      </c>
      <c r="L57">
        <f t="shared" si="2"/>
        <v>0.56749151016049315</v>
      </c>
      <c r="M57">
        <f t="shared" si="20"/>
        <v>0</v>
      </c>
      <c r="O57">
        <f>$B$5*'5 Year Rainfall Simulation'!C58/1000</f>
        <v>0</v>
      </c>
      <c r="P57">
        <f t="shared" si="3"/>
        <v>0</v>
      </c>
      <c r="Q57">
        <f t="shared" si="4"/>
        <v>0.62</v>
      </c>
      <c r="R57">
        <f t="shared" si="5"/>
        <v>-0.62</v>
      </c>
      <c r="S57">
        <f t="shared" si="21"/>
        <v>32.540000000000013</v>
      </c>
      <c r="T57">
        <f t="shared" si="6"/>
        <v>0</v>
      </c>
      <c r="U57">
        <f t="shared" si="22"/>
        <v>0</v>
      </c>
      <c r="W57">
        <f>$B$5*'5 Year Rainfall Simulation'!D58/1000</f>
        <v>0</v>
      </c>
      <c r="X57">
        <f t="shared" si="7"/>
        <v>0</v>
      </c>
      <c r="Y57">
        <f t="shared" si="8"/>
        <v>0.62</v>
      </c>
      <c r="Z57">
        <f t="shared" si="9"/>
        <v>-0.62</v>
      </c>
      <c r="AA57">
        <f t="shared" si="23"/>
        <v>33.760000000000005</v>
      </c>
      <c r="AB57">
        <f t="shared" si="10"/>
        <v>0</v>
      </c>
      <c r="AC57">
        <f t="shared" si="24"/>
        <v>0</v>
      </c>
      <c r="AE57">
        <f>$B$5*'5 Year Rainfall Simulation'!E58/1000</f>
        <v>0.62404702634902931</v>
      </c>
      <c r="AF57">
        <f t="shared" si="11"/>
        <v>0.62404702634902931</v>
      </c>
      <c r="AG57">
        <f t="shared" si="12"/>
        <v>0.62</v>
      </c>
      <c r="AH57">
        <f t="shared" si="13"/>
        <v>4.0470263490293146E-3</v>
      </c>
      <c r="AI57">
        <f t="shared" si="25"/>
        <v>32.474076301772172</v>
      </c>
      <c r="AJ57">
        <f t="shared" si="14"/>
        <v>0.36889728061872473</v>
      </c>
      <c r="AK57">
        <f t="shared" si="26"/>
        <v>0</v>
      </c>
      <c r="AM57">
        <f>$B$5*'5 Year Rainfall Simulation'!F58/1000</f>
        <v>1.7247429275471513</v>
      </c>
      <c r="AN57">
        <f t="shared" si="15"/>
        <v>1.7247429275471513</v>
      </c>
      <c r="AO57">
        <f t="shared" si="16"/>
        <v>0.62</v>
      </c>
      <c r="AP57">
        <f t="shared" si="17"/>
        <v>1.1047429275471514</v>
      </c>
      <c r="AQ57">
        <f t="shared" si="27"/>
        <v>35</v>
      </c>
      <c r="AR57">
        <f t="shared" si="18"/>
        <v>1.0195593422837115</v>
      </c>
      <c r="AS57">
        <f t="shared" si="28"/>
        <v>0</v>
      </c>
    </row>
    <row r="58" spans="6:45" ht="18" customHeight="1">
      <c r="F58" s="109">
        <v>44615</v>
      </c>
      <c r="G58">
        <f>B$5*'5 Year Rainfall Simulation'!B59/1000</f>
        <v>2.92</v>
      </c>
      <c r="H58">
        <f t="shared" si="0"/>
        <v>2.92</v>
      </c>
      <c r="I58">
        <f t="shared" si="29"/>
        <v>0.62</v>
      </c>
      <c r="J58">
        <f t="shared" si="1"/>
        <v>2.2999999999999998</v>
      </c>
      <c r="K58">
        <f t="shared" si="19"/>
        <v>35</v>
      </c>
      <c r="L58">
        <f t="shared" si="2"/>
        <v>1.7261200100715002</v>
      </c>
      <c r="M58">
        <f t="shared" si="20"/>
        <v>0</v>
      </c>
      <c r="O58">
        <f>$B$5*'5 Year Rainfall Simulation'!C59/1000</f>
        <v>0</v>
      </c>
      <c r="P58">
        <f t="shared" si="3"/>
        <v>0</v>
      </c>
      <c r="Q58">
        <f t="shared" si="4"/>
        <v>0.62</v>
      </c>
      <c r="R58">
        <f t="shared" si="5"/>
        <v>-0.62</v>
      </c>
      <c r="S58">
        <f t="shared" si="21"/>
        <v>31.920000000000012</v>
      </c>
      <c r="T58">
        <f t="shared" si="6"/>
        <v>0</v>
      </c>
      <c r="U58">
        <f t="shared" si="22"/>
        <v>0</v>
      </c>
      <c r="W58">
        <f>$B$5*'5 Year Rainfall Simulation'!D59/1000</f>
        <v>3.7766829959843058</v>
      </c>
      <c r="X58">
        <f t="shared" si="7"/>
        <v>3.7766829959843058</v>
      </c>
      <c r="Y58">
        <f t="shared" si="8"/>
        <v>0.62</v>
      </c>
      <c r="Z58">
        <f t="shared" si="9"/>
        <v>3.1566829959843057</v>
      </c>
      <c r="AA58">
        <f t="shared" si="23"/>
        <v>35</v>
      </c>
      <c r="AB58">
        <f t="shared" si="10"/>
        <v>2.2325370174881143</v>
      </c>
      <c r="AC58">
        <f t="shared" si="24"/>
        <v>0</v>
      </c>
      <c r="AE58">
        <f>$B$5*'5 Year Rainfall Simulation'!E59/1000</f>
        <v>1.6871851444090302</v>
      </c>
      <c r="AF58">
        <f t="shared" si="11"/>
        <v>1.6871851444090302</v>
      </c>
      <c r="AG58">
        <f t="shared" si="12"/>
        <v>0.62</v>
      </c>
      <c r="AH58">
        <f t="shared" si="13"/>
        <v>1.0671851444090303</v>
      </c>
      <c r="AI58">
        <f t="shared" si="25"/>
        <v>33.541261446181203</v>
      </c>
      <c r="AJ58">
        <f t="shared" si="14"/>
        <v>0.99735754741773996</v>
      </c>
      <c r="AK58">
        <f t="shared" si="26"/>
        <v>0</v>
      </c>
      <c r="AM58">
        <f>$B$5*'5 Year Rainfall Simulation'!F59/1000</f>
        <v>3.4901233575760862</v>
      </c>
      <c r="AN58">
        <f t="shared" si="15"/>
        <v>3.4901233575760862</v>
      </c>
      <c r="AO58">
        <f t="shared" si="16"/>
        <v>0.62</v>
      </c>
      <c r="AP58">
        <f t="shared" si="17"/>
        <v>2.8701233575760861</v>
      </c>
      <c r="AQ58">
        <f t="shared" si="27"/>
        <v>35</v>
      </c>
      <c r="AR58">
        <f t="shared" si="18"/>
        <v>2.0631410154554835</v>
      </c>
      <c r="AS58">
        <f t="shared" si="28"/>
        <v>0</v>
      </c>
    </row>
    <row r="59" spans="6:45" ht="18" customHeight="1">
      <c r="F59" s="109">
        <v>44616</v>
      </c>
      <c r="G59">
        <f>B$5*'5 Year Rainfall Simulation'!B60/1000</f>
        <v>1.36</v>
      </c>
      <c r="H59">
        <f t="shared" si="0"/>
        <v>1.36</v>
      </c>
      <c r="I59">
        <f t="shared" si="29"/>
        <v>0.62</v>
      </c>
      <c r="J59">
        <f t="shared" si="1"/>
        <v>0.7400000000000001</v>
      </c>
      <c r="K59">
        <f t="shared" si="19"/>
        <v>35</v>
      </c>
      <c r="L59">
        <f t="shared" si="2"/>
        <v>0.80394630606069883</v>
      </c>
      <c r="M59">
        <f t="shared" si="20"/>
        <v>0</v>
      </c>
      <c r="O59">
        <f>$B$5*'5 Year Rainfall Simulation'!C60/1000</f>
        <v>0.04</v>
      </c>
      <c r="P59">
        <f t="shared" si="3"/>
        <v>0.04</v>
      </c>
      <c r="Q59">
        <f t="shared" si="4"/>
        <v>0.62</v>
      </c>
      <c r="R59">
        <f t="shared" si="5"/>
        <v>-0.57999999999999996</v>
      </c>
      <c r="S59">
        <f t="shared" si="21"/>
        <v>31.340000000000014</v>
      </c>
      <c r="T59">
        <f t="shared" si="6"/>
        <v>2.364547959002055E-2</v>
      </c>
      <c r="U59">
        <f t="shared" si="22"/>
        <v>0</v>
      </c>
      <c r="W59">
        <f>$B$5*'5 Year Rainfall Simulation'!D60/1000</f>
        <v>1.9100813483605459</v>
      </c>
      <c r="X59">
        <f t="shared" si="7"/>
        <v>1.9100813483605459</v>
      </c>
      <c r="Y59">
        <f t="shared" si="8"/>
        <v>0.62</v>
      </c>
      <c r="Z59">
        <f t="shared" si="9"/>
        <v>1.290081348360546</v>
      </c>
      <c r="AA59">
        <f t="shared" si="23"/>
        <v>35</v>
      </c>
      <c r="AB59">
        <f t="shared" si="10"/>
        <v>1.1291197384484555</v>
      </c>
      <c r="AC59">
        <f t="shared" si="24"/>
        <v>0</v>
      </c>
      <c r="AE59">
        <f>$B$5*'5 Year Rainfall Simulation'!E60/1000</f>
        <v>1.3927728724102455</v>
      </c>
      <c r="AF59">
        <f t="shared" si="11"/>
        <v>1.3927728724102455</v>
      </c>
      <c r="AG59">
        <f t="shared" si="12"/>
        <v>0.62</v>
      </c>
      <c r="AH59">
        <f t="shared" si="13"/>
        <v>0.7727728724102455</v>
      </c>
      <c r="AI59">
        <f t="shared" si="25"/>
        <v>34.314034318591446</v>
      </c>
      <c r="AJ59">
        <f t="shared" si="14"/>
        <v>0.82331956320276889</v>
      </c>
      <c r="AK59">
        <f t="shared" si="26"/>
        <v>0</v>
      </c>
      <c r="AM59">
        <f>$B$5*'5 Year Rainfall Simulation'!F60/1000</f>
        <v>2.177623984690646</v>
      </c>
      <c r="AN59">
        <f t="shared" si="15"/>
        <v>2.177623984690646</v>
      </c>
      <c r="AO59">
        <f t="shared" si="16"/>
        <v>0.62</v>
      </c>
      <c r="AP59">
        <f t="shared" si="17"/>
        <v>1.5576239846906459</v>
      </c>
      <c r="AQ59">
        <f t="shared" si="27"/>
        <v>35</v>
      </c>
      <c r="AR59">
        <f t="shared" si="18"/>
        <v>1.2872740871185473</v>
      </c>
      <c r="AS59">
        <f t="shared" si="28"/>
        <v>0</v>
      </c>
    </row>
    <row r="60" spans="6:45" ht="18" customHeight="1">
      <c r="F60" s="109">
        <v>44617</v>
      </c>
      <c r="G60">
        <f>B$5*'5 Year Rainfall Simulation'!B61/1000</f>
        <v>0</v>
      </c>
      <c r="H60">
        <f t="shared" si="0"/>
        <v>0</v>
      </c>
      <c r="I60">
        <f t="shared" si="29"/>
        <v>0.62</v>
      </c>
      <c r="J60">
        <f t="shared" si="1"/>
        <v>-0.62</v>
      </c>
      <c r="K60">
        <f t="shared" si="19"/>
        <v>34.380000000000003</v>
      </c>
      <c r="L60">
        <f t="shared" si="2"/>
        <v>0</v>
      </c>
      <c r="M60">
        <f t="shared" si="20"/>
        <v>0</v>
      </c>
      <c r="O60">
        <f>$B$5*'5 Year Rainfall Simulation'!C61/1000</f>
        <v>0.91999999999999993</v>
      </c>
      <c r="P60">
        <f t="shared" si="3"/>
        <v>0.91999999999999993</v>
      </c>
      <c r="Q60">
        <f t="shared" si="4"/>
        <v>0.62</v>
      </c>
      <c r="R60">
        <f t="shared" si="5"/>
        <v>0.29999999999999993</v>
      </c>
      <c r="S60">
        <f t="shared" si="21"/>
        <v>31.640000000000015</v>
      </c>
      <c r="T60">
        <f t="shared" si="6"/>
        <v>0.54384603057047265</v>
      </c>
      <c r="U60">
        <f t="shared" si="22"/>
        <v>0</v>
      </c>
      <c r="W60">
        <f>$B$5*'5 Year Rainfall Simulation'!D61/1000</f>
        <v>0</v>
      </c>
      <c r="X60">
        <f t="shared" si="7"/>
        <v>0</v>
      </c>
      <c r="Y60">
        <f t="shared" si="8"/>
        <v>0.62</v>
      </c>
      <c r="Z60">
        <f t="shared" si="9"/>
        <v>-0.62</v>
      </c>
      <c r="AA60">
        <f t="shared" si="23"/>
        <v>34.380000000000003</v>
      </c>
      <c r="AB60">
        <f t="shared" si="10"/>
        <v>0</v>
      </c>
      <c r="AC60">
        <f t="shared" si="24"/>
        <v>0</v>
      </c>
      <c r="AE60">
        <f>$B$5*'5 Year Rainfall Simulation'!E61/1000</f>
        <v>0.40966264044932565</v>
      </c>
      <c r="AF60">
        <f t="shared" si="11"/>
        <v>0.40966264044932565</v>
      </c>
      <c r="AG60">
        <f t="shared" si="12"/>
        <v>0.62</v>
      </c>
      <c r="AH60">
        <f t="shared" si="13"/>
        <v>-0.21033735955067434</v>
      </c>
      <c r="AI60">
        <f t="shared" si="25"/>
        <v>34.103696959040775</v>
      </c>
      <c r="AJ60">
        <f t="shared" si="14"/>
        <v>0.24216674008846142</v>
      </c>
      <c r="AK60">
        <f t="shared" si="26"/>
        <v>0</v>
      </c>
      <c r="AM60">
        <f>$B$5*'5 Year Rainfall Simulation'!F61/1000</f>
        <v>0</v>
      </c>
      <c r="AN60">
        <f t="shared" si="15"/>
        <v>0</v>
      </c>
      <c r="AO60">
        <f t="shared" si="16"/>
        <v>0.62</v>
      </c>
      <c r="AP60">
        <f t="shared" si="17"/>
        <v>-0.62</v>
      </c>
      <c r="AQ60">
        <f t="shared" si="27"/>
        <v>34.380000000000003</v>
      </c>
      <c r="AR60">
        <f t="shared" si="18"/>
        <v>0</v>
      </c>
      <c r="AS60">
        <f t="shared" si="28"/>
        <v>0</v>
      </c>
    </row>
    <row r="61" spans="6:45" ht="18" customHeight="1">
      <c r="F61" s="109">
        <v>44618</v>
      </c>
      <c r="G61">
        <f>B$5*'5 Year Rainfall Simulation'!B62/1000</f>
        <v>0.16</v>
      </c>
      <c r="H61">
        <f t="shared" si="0"/>
        <v>0.16</v>
      </c>
      <c r="I61">
        <f t="shared" si="29"/>
        <v>0.62</v>
      </c>
      <c r="J61">
        <f t="shared" si="1"/>
        <v>-0.45999999999999996</v>
      </c>
      <c r="K61">
        <f t="shared" si="19"/>
        <v>33.92</v>
      </c>
      <c r="L61">
        <f t="shared" si="2"/>
        <v>9.4581918360082201E-2</v>
      </c>
      <c r="M61">
        <f t="shared" si="20"/>
        <v>0</v>
      </c>
      <c r="O61">
        <f>$B$5*'5 Year Rainfall Simulation'!C62/1000</f>
        <v>1.7600000000000002</v>
      </c>
      <c r="P61">
        <f t="shared" si="3"/>
        <v>1.7600000000000002</v>
      </c>
      <c r="Q61">
        <f t="shared" si="4"/>
        <v>0.62</v>
      </c>
      <c r="R61">
        <f t="shared" si="5"/>
        <v>1.1400000000000001</v>
      </c>
      <c r="S61">
        <f t="shared" si="21"/>
        <v>32.780000000000015</v>
      </c>
      <c r="T61">
        <f t="shared" si="6"/>
        <v>1.0404011019609043</v>
      </c>
      <c r="U61">
        <f t="shared" si="22"/>
        <v>0</v>
      </c>
      <c r="W61">
        <f>$B$5*'5 Year Rainfall Simulation'!D62/1000</f>
        <v>9.686843843641367E-2</v>
      </c>
      <c r="X61">
        <f t="shared" si="7"/>
        <v>9.686843843641367E-2</v>
      </c>
      <c r="Y61">
        <f t="shared" si="8"/>
        <v>0.62</v>
      </c>
      <c r="Z61">
        <f t="shared" si="9"/>
        <v>-0.52313156156358631</v>
      </c>
      <c r="AA61">
        <f t="shared" si="23"/>
        <v>33.856868438436415</v>
      </c>
      <c r="AB61">
        <f t="shared" si="10"/>
        <v>5.726251709913454E-2</v>
      </c>
      <c r="AC61">
        <f t="shared" si="24"/>
        <v>0</v>
      </c>
      <c r="AE61">
        <f>$B$5*'5 Year Rainfall Simulation'!E62/1000</f>
        <v>0.98806028306732308</v>
      </c>
      <c r="AF61">
        <f t="shared" si="11"/>
        <v>0.98806028306732308</v>
      </c>
      <c r="AG61">
        <f t="shared" si="12"/>
        <v>0.62</v>
      </c>
      <c r="AH61">
        <f t="shared" si="13"/>
        <v>0.36806028306732308</v>
      </c>
      <c r="AI61">
        <f t="shared" si="25"/>
        <v>34.471757242108097</v>
      </c>
      <c r="AJ61">
        <f t="shared" si="14"/>
        <v>0.58407898142445791</v>
      </c>
      <c r="AK61">
        <f t="shared" si="26"/>
        <v>0</v>
      </c>
      <c r="AM61">
        <f>$B$5*'5 Year Rainfall Simulation'!F62/1000</f>
        <v>0</v>
      </c>
      <c r="AN61">
        <f t="shared" si="15"/>
        <v>0</v>
      </c>
      <c r="AO61">
        <f t="shared" si="16"/>
        <v>0.62</v>
      </c>
      <c r="AP61">
        <f t="shared" si="17"/>
        <v>-0.62</v>
      </c>
      <c r="AQ61">
        <f t="shared" si="27"/>
        <v>33.760000000000005</v>
      </c>
      <c r="AR61">
        <f t="shared" si="18"/>
        <v>0</v>
      </c>
      <c r="AS61">
        <f t="shared" si="28"/>
        <v>0</v>
      </c>
    </row>
    <row r="62" spans="6:45" ht="18" customHeight="1">
      <c r="F62" s="109">
        <v>44619</v>
      </c>
      <c r="G62">
        <f>B$5*'5 Year Rainfall Simulation'!B63/1000</f>
        <v>0</v>
      </c>
      <c r="H62">
        <f t="shared" si="0"/>
        <v>0</v>
      </c>
      <c r="I62">
        <f t="shared" si="29"/>
        <v>0.62</v>
      </c>
      <c r="J62">
        <f t="shared" si="1"/>
        <v>-0.62</v>
      </c>
      <c r="K62">
        <f t="shared" si="19"/>
        <v>33.300000000000004</v>
      </c>
      <c r="L62">
        <f t="shared" si="2"/>
        <v>0</v>
      </c>
      <c r="M62">
        <f t="shared" si="20"/>
        <v>0</v>
      </c>
      <c r="O62">
        <f>$B$5*'5 Year Rainfall Simulation'!C63/1000</f>
        <v>0.08</v>
      </c>
      <c r="P62">
        <f t="shared" si="3"/>
        <v>0.08</v>
      </c>
      <c r="Q62">
        <f t="shared" si="4"/>
        <v>0.62</v>
      </c>
      <c r="R62">
        <f t="shared" si="5"/>
        <v>-0.54</v>
      </c>
      <c r="S62">
        <f t="shared" si="21"/>
        <v>32.240000000000016</v>
      </c>
      <c r="T62">
        <f t="shared" si="6"/>
        <v>4.7290959180041101E-2</v>
      </c>
      <c r="U62">
        <f t="shared" si="22"/>
        <v>0</v>
      </c>
      <c r="W62">
        <f>$B$5*'5 Year Rainfall Simulation'!D63/1000</f>
        <v>0</v>
      </c>
      <c r="X62">
        <f t="shared" si="7"/>
        <v>0</v>
      </c>
      <c r="Y62">
        <f t="shared" si="8"/>
        <v>0.62</v>
      </c>
      <c r="Z62">
        <f t="shared" si="9"/>
        <v>-0.62</v>
      </c>
      <c r="AA62">
        <f t="shared" si="23"/>
        <v>33.236868438436417</v>
      </c>
      <c r="AB62">
        <f t="shared" si="10"/>
        <v>0</v>
      </c>
      <c r="AC62">
        <f t="shared" si="24"/>
        <v>0</v>
      </c>
      <c r="AE62">
        <f>$B$5*'5 Year Rainfall Simulation'!E63/1000</f>
        <v>0</v>
      </c>
      <c r="AF62">
        <f t="shared" si="11"/>
        <v>0</v>
      </c>
      <c r="AG62">
        <f t="shared" si="12"/>
        <v>0.62</v>
      </c>
      <c r="AH62">
        <f t="shared" si="13"/>
        <v>-0.62</v>
      </c>
      <c r="AI62">
        <f t="shared" si="25"/>
        <v>33.8517572421081</v>
      </c>
      <c r="AJ62">
        <f t="shared" si="14"/>
        <v>0</v>
      </c>
      <c r="AK62">
        <f t="shared" si="26"/>
        <v>0</v>
      </c>
      <c r="AM62">
        <f>$B$5*'5 Year Rainfall Simulation'!F63/1000</f>
        <v>0</v>
      </c>
      <c r="AN62">
        <f t="shared" si="15"/>
        <v>0</v>
      </c>
      <c r="AO62">
        <f t="shared" si="16"/>
        <v>0.62</v>
      </c>
      <c r="AP62">
        <f t="shared" si="17"/>
        <v>-0.62</v>
      </c>
      <c r="AQ62">
        <f t="shared" si="27"/>
        <v>33.140000000000008</v>
      </c>
      <c r="AR62">
        <f t="shared" si="18"/>
        <v>0</v>
      </c>
      <c r="AS62">
        <f t="shared" si="28"/>
        <v>0</v>
      </c>
    </row>
    <row r="63" spans="6:45" ht="18" customHeight="1">
      <c r="F63" s="109">
        <v>44620</v>
      </c>
      <c r="G63">
        <f>B$5*'5 Year Rainfall Simulation'!B64/1000</f>
        <v>0.08</v>
      </c>
      <c r="H63">
        <f t="shared" si="0"/>
        <v>0.08</v>
      </c>
      <c r="I63">
        <f t="shared" si="29"/>
        <v>0.62</v>
      </c>
      <c r="J63">
        <f t="shared" si="1"/>
        <v>-0.54</v>
      </c>
      <c r="K63">
        <f t="shared" si="19"/>
        <v>32.760000000000005</v>
      </c>
      <c r="L63">
        <f t="shared" si="2"/>
        <v>4.7290959180041101E-2</v>
      </c>
      <c r="M63">
        <f t="shared" si="20"/>
        <v>0</v>
      </c>
      <c r="O63">
        <f>$B$5*'5 Year Rainfall Simulation'!C64/1000</f>
        <v>0</v>
      </c>
      <c r="P63">
        <f t="shared" si="3"/>
        <v>0</v>
      </c>
      <c r="Q63">
        <f t="shared" si="4"/>
        <v>0.62</v>
      </c>
      <c r="R63">
        <f t="shared" si="5"/>
        <v>-0.62</v>
      </c>
      <c r="S63">
        <f t="shared" si="21"/>
        <v>31.620000000000015</v>
      </c>
      <c r="T63">
        <f t="shared" si="6"/>
        <v>0</v>
      </c>
      <c r="U63">
        <f t="shared" si="22"/>
        <v>0</v>
      </c>
      <c r="W63">
        <f>$B$5*'5 Year Rainfall Simulation'!D64/1000</f>
        <v>1.3339171002621986</v>
      </c>
      <c r="X63">
        <f t="shared" si="7"/>
        <v>1.3339171002621986</v>
      </c>
      <c r="Y63">
        <f t="shared" si="8"/>
        <v>0.62</v>
      </c>
      <c r="Z63">
        <f t="shared" si="9"/>
        <v>0.71391710026219857</v>
      </c>
      <c r="AA63">
        <f t="shared" si="23"/>
        <v>33.950785538698618</v>
      </c>
      <c r="AB63">
        <f t="shared" si="10"/>
        <v>0.78852773922573027</v>
      </c>
      <c r="AC63">
        <f t="shared" si="24"/>
        <v>0</v>
      </c>
      <c r="AE63">
        <f>$B$5*'5 Year Rainfall Simulation'!E64/1000</f>
        <v>1.5737989985902707</v>
      </c>
      <c r="AF63">
        <f t="shared" si="11"/>
        <v>1.5737989985902707</v>
      </c>
      <c r="AG63">
        <f t="shared" si="12"/>
        <v>0.62</v>
      </c>
      <c r="AH63">
        <f t="shared" si="13"/>
        <v>0.95379899859027073</v>
      </c>
      <c r="AI63">
        <f t="shared" si="25"/>
        <v>34.805556240698373</v>
      </c>
      <c r="AJ63">
        <f t="shared" si="14"/>
        <v>0.93033080249902567</v>
      </c>
      <c r="AK63">
        <f t="shared" si="26"/>
        <v>0</v>
      </c>
      <c r="AM63">
        <f>$B$5*'5 Year Rainfall Simulation'!F64/1000</f>
        <v>0</v>
      </c>
      <c r="AN63">
        <f t="shared" si="15"/>
        <v>0</v>
      </c>
      <c r="AO63">
        <f t="shared" si="16"/>
        <v>0.62</v>
      </c>
      <c r="AP63">
        <f t="shared" si="17"/>
        <v>-0.62</v>
      </c>
      <c r="AQ63">
        <f t="shared" si="27"/>
        <v>32.52000000000001</v>
      </c>
      <c r="AR63">
        <f t="shared" si="18"/>
        <v>0</v>
      </c>
      <c r="AS63">
        <f t="shared" si="28"/>
        <v>0</v>
      </c>
    </row>
    <row r="64" spans="6:45" ht="18" customHeight="1">
      <c r="F64" s="109">
        <v>44621</v>
      </c>
      <c r="G64">
        <f>B$5*'5 Year Rainfall Simulation'!B65/1000</f>
        <v>0.4</v>
      </c>
      <c r="H64">
        <f t="shared" si="0"/>
        <v>0.4</v>
      </c>
      <c r="I64">
        <f t="shared" si="29"/>
        <v>0.62</v>
      </c>
      <c r="J64">
        <f t="shared" si="1"/>
        <v>-0.21999999999999997</v>
      </c>
      <c r="K64">
        <f t="shared" si="19"/>
        <v>32.540000000000006</v>
      </c>
      <c r="L64">
        <f t="shared" si="2"/>
        <v>0.23645479590020552</v>
      </c>
      <c r="M64">
        <f t="shared" si="20"/>
        <v>0</v>
      </c>
      <c r="O64">
        <f>$B$5*'5 Year Rainfall Simulation'!C65/1000</f>
        <v>0.24</v>
      </c>
      <c r="P64">
        <f t="shared" si="3"/>
        <v>0.24</v>
      </c>
      <c r="Q64">
        <f t="shared" si="4"/>
        <v>0.62</v>
      </c>
      <c r="R64">
        <f t="shared" si="5"/>
        <v>-0.38</v>
      </c>
      <c r="S64">
        <f t="shared" si="21"/>
        <v>31.240000000000016</v>
      </c>
      <c r="T64">
        <f t="shared" si="6"/>
        <v>0.14187287754012329</v>
      </c>
      <c r="U64">
        <f t="shared" si="22"/>
        <v>0</v>
      </c>
      <c r="W64">
        <f>$B$5*'5 Year Rainfall Simulation'!D65/1000</f>
        <v>0.315212661712029</v>
      </c>
      <c r="X64">
        <f t="shared" si="7"/>
        <v>0.315212661712029</v>
      </c>
      <c r="Y64">
        <f t="shared" si="8"/>
        <v>0.62</v>
      </c>
      <c r="Z64">
        <f t="shared" si="9"/>
        <v>-0.304787338287971</v>
      </c>
      <c r="AA64">
        <f t="shared" si="23"/>
        <v>33.645998200410645</v>
      </c>
      <c r="AB64">
        <f t="shared" si="10"/>
        <v>0.18633386397569585</v>
      </c>
      <c r="AC64">
        <f t="shared" si="24"/>
        <v>0</v>
      </c>
      <c r="AE64">
        <f>$B$5*'5 Year Rainfall Simulation'!E65/1000</f>
        <v>0.85648563614603801</v>
      </c>
      <c r="AF64">
        <f t="shared" si="11"/>
        <v>0.85648563614603801</v>
      </c>
      <c r="AG64">
        <f t="shared" si="12"/>
        <v>0.62</v>
      </c>
      <c r="AH64">
        <f t="shared" si="13"/>
        <v>0.23648563614603801</v>
      </c>
      <c r="AI64">
        <f t="shared" si="25"/>
        <v>35</v>
      </c>
      <c r="AJ64">
        <f t="shared" si="14"/>
        <v>0.50630034071592278</v>
      </c>
      <c r="AK64">
        <f t="shared" si="26"/>
        <v>0</v>
      </c>
      <c r="AM64">
        <f>$B$5*'5 Year Rainfall Simulation'!F65/1000</f>
        <v>0</v>
      </c>
      <c r="AN64">
        <f t="shared" si="15"/>
        <v>0</v>
      </c>
      <c r="AO64">
        <f t="shared" si="16"/>
        <v>0.62</v>
      </c>
      <c r="AP64">
        <f t="shared" si="17"/>
        <v>-0.62</v>
      </c>
      <c r="AQ64">
        <f t="shared" si="27"/>
        <v>31.900000000000009</v>
      </c>
      <c r="AR64">
        <f t="shared" si="18"/>
        <v>0</v>
      </c>
      <c r="AS64">
        <f t="shared" si="28"/>
        <v>0</v>
      </c>
    </row>
    <row r="65" spans="6:45" ht="18" customHeight="1">
      <c r="F65" s="109">
        <v>44622</v>
      </c>
      <c r="G65">
        <f>B$5*'5 Year Rainfall Simulation'!B66/1000</f>
        <v>3.8</v>
      </c>
      <c r="H65">
        <f t="shared" si="0"/>
        <v>3.8</v>
      </c>
      <c r="I65">
        <f t="shared" si="29"/>
        <v>0.62</v>
      </c>
      <c r="J65">
        <f t="shared" si="1"/>
        <v>3.1799999999999997</v>
      </c>
      <c r="K65">
        <f t="shared" si="19"/>
        <v>35</v>
      </c>
      <c r="L65">
        <f t="shared" si="2"/>
        <v>2.2463205610519523</v>
      </c>
      <c r="M65">
        <f t="shared" si="20"/>
        <v>0</v>
      </c>
      <c r="O65">
        <f>$B$5*'5 Year Rainfall Simulation'!C66/1000</f>
        <v>0</v>
      </c>
      <c r="P65">
        <f t="shared" si="3"/>
        <v>0</v>
      </c>
      <c r="Q65">
        <f t="shared" si="4"/>
        <v>0.62</v>
      </c>
      <c r="R65">
        <f t="shared" si="5"/>
        <v>-0.62</v>
      </c>
      <c r="S65">
        <f t="shared" si="21"/>
        <v>30.620000000000015</v>
      </c>
      <c r="T65">
        <f t="shared" si="6"/>
        <v>0</v>
      </c>
      <c r="U65">
        <f t="shared" si="22"/>
        <v>0</v>
      </c>
      <c r="W65">
        <f>$B$5*'5 Year Rainfall Simulation'!D66/1000</f>
        <v>0.69864928479637134</v>
      </c>
      <c r="X65">
        <f t="shared" si="7"/>
        <v>0.69864928479637134</v>
      </c>
      <c r="Y65">
        <f t="shared" si="8"/>
        <v>0.62</v>
      </c>
      <c r="Z65">
        <f t="shared" si="9"/>
        <v>7.8649284796371344E-2</v>
      </c>
      <c r="AA65">
        <f t="shared" si="23"/>
        <v>33.724647485207015</v>
      </c>
      <c r="AB65">
        <f t="shared" si="10"/>
        <v>0.41299743510587633</v>
      </c>
      <c r="AC65">
        <f t="shared" si="24"/>
        <v>0</v>
      </c>
      <c r="AE65">
        <f>$B$5*'5 Year Rainfall Simulation'!E66/1000</f>
        <v>1.5387030473780294</v>
      </c>
      <c r="AF65">
        <f t="shared" si="11"/>
        <v>1.5387030473780294</v>
      </c>
      <c r="AG65">
        <f t="shared" si="12"/>
        <v>0.62</v>
      </c>
      <c r="AH65">
        <f t="shared" si="13"/>
        <v>0.91870304737802944</v>
      </c>
      <c r="AI65">
        <f t="shared" si="25"/>
        <v>35</v>
      </c>
      <c r="AJ65">
        <f t="shared" si="14"/>
        <v>0.9095842875469905</v>
      </c>
      <c r="AK65">
        <f t="shared" si="26"/>
        <v>0</v>
      </c>
      <c r="AM65">
        <f>$B$5*'5 Year Rainfall Simulation'!F66/1000</f>
        <v>0</v>
      </c>
      <c r="AN65">
        <f t="shared" si="15"/>
        <v>0</v>
      </c>
      <c r="AO65">
        <f t="shared" si="16"/>
        <v>0.62</v>
      </c>
      <c r="AP65">
        <f t="shared" si="17"/>
        <v>-0.62</v>
      </c>
      <c r="AQ65">
        <f t="shared" si="27"/>
        <v>31.280000000000008</v>
      </c>
      <c r="AR65">
        <f t="shared" si="18"/>
        <v>0</v>
      </c>
      <c r="AS65">
        <f t="shared" si="28"/>
        <v>0</v>
      </c>
    </row>
    <row r="66" spans="6:45" ht="18" customHeight="1">
      <c r="F66" s="109">
        <v>44623</v>
      </c>
      <c r="G66">
        <f>B$5*'5 Year Rainfall Simulation'!B67/1000</f>
        <v>0.2</v>
      </c>
      <c r="H66">
        <f t="shared" si="0"/>
        <v>0.2</v>
      </c>
      <c r="I66">
        <f t="shared" si="29"/>
        <v>0.62</v>
      </c>
      <c r="J66">
        <f t="shared" si="1"/>
        <v>-0.42</v>
      </c>
      <c r="K66">
        <f t="shared" si="19"/>
        <v>34.58</v>
      </c>
      <c r="L66">
        <f t="shared" si="2"/>
        <v>0.11822739795010276</v>
      </c>
      <c r="M66">
        <f t="shared" si="20"/>
        <v>0</v>
      </c>
      <c r="O66">
        <f>$B$5*'5 Year Rainfall Simulation'!C67/1000</f>
        <v>0</v>
      </c>
      <c r="P66">
        <f t="shared" si="3"/>
        <v>0</v>
      </c>
      <c r="Q66">
        <f t="shared" si="4"/>
        <v>0.62</v>
      </c>
      <c r="R66">
        <f t="shared" si="5"/>
        <v>-0.62</v>
      </c>
      <c r="S66">
        <f t="shared" si="21"/>
        <v>30.000000000000014</v>
      </c>
      <c r="T66">
        <f t="shared" si="6"/>
        <v>0</v>
      </c>
      <c r="U66">
        <f t="shared" si="22"/>
        <v>0</v>
      </c>
      <c r="W66">
        <f>$B$5*'5 Year Rainfall Simulation'!D67/1000</f>
        <v>1.9428041514065606</v>
      </c>
      <c r="X66">
        <f t="shared" si="7"/>
        <v>1.9428041514065606</v>
      </c>
      <c r="Y66">
        <f t="shared" si="8"/>
        <v>0.62</v>
      </c>
      <c r="Z66">
        <f t="shared" si="9"/>
        <v>1.3228041514065607</v>
      </c>
      <c r="AA66">
        <f t="shared" si="23"/>
        <v>35</v>
      </c>
      <c r="AB66">
        <f t="shared" si="10"/>
        <v>1.1484633977372756</v>
      </c>
      <c r="AC66">
        <f t="shared" si="24"/>
        <v>0</v>
      </c>
      <c r="AE66">
        <f>$B$5*'5 Year Rainfall Simulation'!E67/1000</f>
        <v>0</v>
      </c>
      <c r="AF66">
        <f t="shared" si="11"/>
        <v>0</v>
      </c>
      <c r="AG66">
        <f t="shared" si="12"/>
        <v>0.62</v>
      </c>
      <c r="AH66">
        <f t="shared" si="13"/>
        <v>-0.62</v>
      </c>
      <c r="AI66">
        <f t="shared" si="25"/>
        <v>34.380000000000003</v>
      </c>
      <c r="AJ66">
        <f t="shared" si="14"/>
        <v>0</v>
      </c>
      <c r="AK66">
        <f t="shared" si="26"/>
        <v>0</v>
      </c>
      <c r="AM66">
        <f>$B$5*'5 Year Rainfall Simulation'!F67/1000</f>
        <v>0.76055866521532145</v>
      </c>
      <c r="AN66">
        <f t="shared" si="15"/>
        <v>0.76055866521532145</v>
      </c>
      <c r="AO66">
        <f t="shared" si="16"/>
        <v>0.62</v>
      </c>
      <c r="AP66">
        <f t="shared" si="17"/>
        <v>0.14055866521532145</v>
      </c>
      <c r="AQ66">
        <f t="shared" si="27"/>
        <v>31.420558665215331</v>
      </c>
      <c r="AR66">
        <f t="shared" si="18"/>
        <v>0.44959435988405394</v>
      </c>
      <c r="AS66">
        <f t="shared" si="28"/>
        <v>0</v>
      </c>
    </row>
    <row r="67" spans="6:45" ht="18" customHeight="1">
      <c r="F67" s="109">
        <v>44624</v>
      </c>
      <c r="G67">
        <f>B$5*'5 Year Rainfall Simulation'!B68/1000</f>
        <v>0.48</v>
      </c>
      <c r="H67">
        <f t="shared" si="0"/>
        <v>0.48</v>
      </c>
      <c r="I67">
        <f t="shared" si="29"/>
        <v>0.62</v>
      </c>
      <c r="J67">
        <f t="shared" si="1"/>
        <v>-0.14000000000000001</v>
      </c>
      <c r="K67">
        <f t="shared" si="19"/>
        <v>34.44</v>
      </c>
      <c r="L67">
        <f t="shared" si="2"/>
        <v>0.28374575508024658</v>
      </c>
      <c r="M67">
        <f t="shared" si="20"/>
        <v>0</v>
      </c>
      <c r="O67">
        <f>$B$5*'5 Year Rainfall Simulation'!C68/1000</f>
        <v>0.08</v>
      </c>
      <c r="P67">
        <f t="shared" si="3"/>
        <v>0.08</v>
      </c>
      <c r="Q67">
        <f t="shared" si="4"/>
        <v>0.62</v>
      </c>
      <c r="R67">
        <f t="shared" si="5"/>
        <v>-0.54</v>
      </c>
      <c r="S67">
        <f t="shared" si="21"/>
        <v>29.460000000000015</v>
      </c>
      <c r="T67">
        <f t="shared" si="6"/>
        <v>4.7290959180041101E-2</v>
      </c>
      <c r="U67">
        <f t="shared" si="22"/>
        <v>0</v>
      </c>
      <c r="W67">
        <f>$B$5*'5 Year Rainfall Simulation'!D68/1000</f>
        <v>0.91825253711287369</v>
      </c>
      <c r="X67">
        <f t="shared" si="7"/>
        <v>0.91825253711287369</v>
      </c>
      <c r="Y67">
        <f t="shared" si="8"/>
        <v>0.62</v>
      </c>
      <c r="Z67">
        <f t="shared" si="9"/>
        <v>0.29825253711287369</v>
      </c>
      <c r="AA67">
        <f t="shared" si="23"/>
        <v>35</v>
      </c>
      <c r="AB67">
        <f t="shared" si="10"/>
        <v>0.54281304061967606</v>
      </c>
      <c r="AC67">
        <f t="shared" si="24"/>
        <v>0</v>
      </c>
      <c r="AE67">
        <f>$B$5*'5 Year Rainfall Simulation'!E68/1000</f>
        <v>1.3969149364792073</v>
      </c>
      <c r="AF67">
        <f t="shared" si="11"/>
        <v>1.3969149364792073</v>
      </c>
      <c r="AG67">
        <f t="shared" si="12"/>
        <v>0.62</v>
      </c>
      <c r="AH67">
        <f t="shared" si="13"/>
        <v>0.77691493647920729</v>
      </c>
      <c r="AI67">
        <f t="shared" si="25"/>
        <v>35</v>
      </c>
      <c r="AJ67">
        <f t="shared" si="14"/>
        <v>0.82576809048784872</v>
      </c>
      <c r="AK67">
        <f t="shared" si="26"/>
        <v>0</v>
      </c>
      <c r="AM67">
        <f>$B$5*'5 Year Rainfall Simulation'!F68/1000</f>
        <v>1.2127152206713205</v>
      </c>
      <c r="AN67">
        <f t="shared" si="15"/>
        <v>1.2127152206713205</v>
      </c>
      <c r="AO67">
        <f t="shared" si="16"/>
        <v>0.62</v>
      </c>
      <c r="AP67">
        <f t="shared" si="17"/>
        <v>0.59271522067132054</v>
      </c>
      <c r="AQ67">
        <f t="shared" si="27"/>
        <v>32.013273885886655</v>
      </c>
      <c r="AR67">
        <f t="shared" si="18"/>
        <v>0.71688082497227446</v>
      </c>
      <c r="AS67">
        <f t="shared" si="28"/>
        <v>0</v>
      </c>
    </row>
    <row r="68" spans="6:45" ht="18" customHeight="1">
      <c r="F68" s="109">
        <v>44625</v>
      </c>
      <c r="G68">
        <f>B$5*'5 Year Rainfall Simulation'!B69/1000</f>
        <v>4.76</v>
      </c>
      <c r="H68">
        <f t="shared" si="0"/>
        <v>4.76</v>
      </c>
      <c r="I68">
        <f t="shared" si="29"/>
        <v>0.62</v>
      </c>
      <c r="J68">
        <f t="shared" si="1"/>
        <v>4.1399999999999997</v>
      </c>
      <c r="K68">
        <f t="shared" si="19"/>
        <v>35</v>
      </c>
      <c r="L68">
        <f t="shared" si="2"/>
        <v>2.8138120712124453</v>
      </c>
      <c r="M68">
        <f t="shared" si="20"/>
        <v>0</v>
      </c>
      <c r="O68">
        <f>$B$5*'5 Year Rainfall Simulation'!C69/1000</f>
        <v>0.36</v>
      </c>
      <c r="P68">
        <f t="shared" si="3"/>
        <v>0.36</v>
      </c>
      <c r="Q68">
        <f t="shared" si="4"/>
        <v>0.62</v>
      </c>
      <c r="R68">
        <f t="shared" si="5"/>
        <v>-0.26</v>
      </c>
      <c r="S68">
        <f t="shared" si="21"/>
        <v>29.200000000000014</v>
      </c>
      <c r="T68">
        <f t="shared" si="6"/>
        <v>0.21280931631018496</v>
      </c>
      <c r="U68">
        <f t="shared" si="22"/>
        <v>0</v>
      </c>
      <c r="W68">
        <f>$B$5*'5 Year Rainfall Simulation'!D69/1000</f>
        <v>1.9949554878762648</v>
      </c>
      <c r="X68">
        <f t="shared" si="7"/>
        <v>1.9949554878762648</v>
      </c>
      <c r="Y68">
        <f t="shared" si="8"/>
        <v>0.62</v>
      </c>
      <c r="Z68">
        <f t="shared" si="9"/>
        <v>1.3749554878762646</v>
      </c>
      <c r="AA68">
        <f t="shared" si="23"/>
        <v>35</v>
      </c>
      <c r="AB68">
        <f t="shared" si="10"/>
        <v>1.1792919817894427</v>
      </c>
      <c r="AC68">
        <f t="shared" si="24"/>
        <v>0</v>
      </c>
      <c r="AE68">
        <f>$B$5*'5 Year Rainfall Simulation'!E69/1000</f>
        <v>0</v>
      </c>
      <c r="AF68">
        <f t="shared" si="11"/>
        <v>0</v>
      </c>
      <c r="AG68">
        <f t="shared" si="12"/>
        <v>0.62</v>
      </c>
      <c r="AH68">
        <f t="shared" si="13"/>
        <v>-0.62</v>
      </c>
      <c r="AI68">
        <f t="shared" si="25"/>
        <v>34.380000000000003</v>
      </c>
      <c r="AJ68">
        <f t="shared" si="14"/>
        <v>0</v>
      </c>
      <c r="AK68">
        <f t="shared" si="26"/>
        <v>0</v>
      </c>
      <c r="AM68">
        <f>$B$5*'5 Year Rainfall Simulation'!F69/1000</f>
        <v>2.2003885448747003</v>
      </c>
      <c r="AN68">
        <f t="shared" si="15"/>
        <v>2.2003885448747003</v>
      </c>
      <c r="AO68">
        <f t="shared" si="16"/>
        <v>0.62</v>
      </c>
      <c r="AP68">
        <f t="shared" si="17"/>
        <v>1.5803885448747002</v>
      </c>
      <c r="AQ68">
        <f t="shared" si="27"/>
        <v>33.593662430761356</v>
      </c>
      <c r="AR68">
        <f t="shared" si="18"/>
        <v>1.3007310606987437</v>
      </c>
      <c r="AS68">
        <f t="shared" si="28"/>
        <v>0</v>
      </c>
    </row>
    <row r="69" spans="6:45" ht="18" customHeight="1">
      <c r="F69" s="109">
        <v>44626</v>
      </c>
      <c r="G69">
        <f>B$5*'5 Year Rainfall Simulation'!B70/1000</f>
        <v>1.72</v>
      </c>
      <c r="H69">
        <f t="shared" ref="H69:H132" si="30">IF($C$16="y",IF(G69&lt;$B$6,G69,$B$6),IF(G69&lt;$B$14,G69,$B$14))</f>
        <v>1.72</v>
      </c>
      <c r="I69">
        <f t="shared" si="29"/>
        <v>0.62</v>
      </c>
      <c r="J69">
        <f t="shared" ref="J69:J132" si="31">H69-I69</f>
        <v>1.1000000000000001</v>
      </c>
      <c r="K69">
        <f t="shared" si="19"/>
        <v>35</v>
      </c>
      <c r="L69">
        <f t="shared" ref="L69:L132" si="32">H69/($B$14/24)</f>
        <v>1.0167556223708836</v>
      </c>
      <c r="M69">
        <f t="shared" si="20"/>
        <v>0</v>
      </c>
      <c r="O69">
        <f>$B$5*'5 Year Rainfall Simulation'!C70/1000</f>
        <v>0.16</v>
      </c>
      <c r="P69">
        <f t="shared" ref="P69:P132" si="33">IF($C$16="y",IF(O69&lt;$B$6,O69,$B$6),IF(O69&lt;$B$14,O69,$B$14))</f>
        <v>0.16</v>
      </c>
      <c r="Q69">
        <f t="shared" ref="Q69:Q132" si="34">$B$4</f>
        <v>0.62</v>
      </c>
      <c r="R69">
        <f t="shared" ref="R69:R132" si="35">P69-Q69</f>
        <v>-0.45999999999999996</v>
      </c>
      <c r="S69">
        <f t="shared" si="21"/>
        <v>28.740000000000013</v>
      </c>
      <c r="T69">
        <f t="shared" ref="T69:T132" si="36">P69/($B$14/24)</f>
        <v>9.4581918360082201E-2</v>
      </c>
      <c r="U69">
        <f t="shared" si="22"/>
        <v>0</v>
      </c>
      <c r="W69">
        <f>$B$5*'5 Year Rainfall Simulation'!D70/1000</f>
        <v>1.8938001248615517</v>
      </c>
      <c r="X69">
        <f t="shared" ref="X69:X132" si="37">IF($C$16="y",IF(W69&lt;$B$6,W69,$B$6),IF(W69&lt;$B$14,W69,$B$14))</f>
        <v>1.8938001248615517</v>
      </c>
      <c r="Y69">
        <f t="shared" ref="Y69:Y132" si="38">$B$4</f>
        <v>0.62</v>
      </c>
      <c r="Z69">
        <f t="shared" ref="Z69:Z132" si="39">X69-Y69</f>
        <v>1.2738001248615518</v>
      </c>
      <c r="AA69">
        <f t="shared" si="23"/>
        <v>35</v>
      </c>
      <c r="AB69">
        <f t="shared" ref="AB69:AB132" si="40">X69/($B$14/24)</f>
        <v>1.1194953049998049</v>
      </c>
      <c r="AC69">
        <f t="shared" si="24"/>
        <v>0</v>
      </c>
      <c r="AE69">
        <f>$B$5*'5 Year Rainfall Simulation'!E70/1000</f>
        <v>0</v>
      </c>
      <c r="AF69">
        <f t="shared" ref="AF69:AF132" si="41">IF($C$16="y",IF(AE69&lt;$B$6,AE69,$B$6),IF(AE69&lt;$B$14,AE69,$B$14))</f>
        <v>0</v>
      </c>
      <c r="AG69">
        <f t="shared" ref="AG69:AG132" si="42">$B$4</f>
        <v>0.62</v>
      </c>
      <c r="AH69">
        <f t="shared" ref="AH69:AH132" si="43">AF69-AG69</f>
        <v>-0.62</v>
      </c>
      <c r="AI69">
        <f t="shared" si="25"/>
        <v>33.760000000000005</v>
      </c>
      <c r="AJ69">
        <f t="shared" ref="AJ69:AJ132" si="44">AF69/($B$14/24)</f>
        <v>0</v>
      </c>
      <c r="AK69">
        <f t="shared" si="26"/>
        <v>0</v>
      </c>
      <c r="AM69">
        <f>$B$5*'5 Year Rainfall Simulation'!F70/1000</f>
        <v>0</v>
      </c>
      <c r="AN69">
        <f t="shared" ref="AN69:AN132" si="45">IF($C$16="y",IF(AM69&lt;$B$6,AM69,$B$6),IF(AM69&lt;$B$14,AM69,$B$14))</f>
        <v>0</v>
      </c>
      <c r="AO69">
        <f t="shared" ref="AO69:AO132" si="46">$B$4</f>
        <v>0.62</v>
      </c>
      <c r="AP69">
        <f t="shared" ref="AP69:AP132" si="47">AN69-AO69</f>
        <v>-0.62</v>
      </c>
      <c r="AQ69">
        <f t="shared" si="27"/>
        <v>32.973662430761358</v>
      </c>
      <c r="AR69">
        <f t="shared" ref="AR69:AR132" si="48">AN69/($B$14/24)</f>
        <v>0</v>
      </c>
      <c r="AS69">
        <f t="shared" si="28"/>
        <v>0</v>
      </c>
    </row>
    <row r="70" spans="6:45" ht="18" customHeight="1">
      <c r="F70" s="109">
        <v>44627</v>
      </c>
      <c r="G70">
        <f>B$5*'5 Year Rainfall Simulation'!B71/1000</f>
        <v>6.8</v>
      </c>
      <c r="H70">
        <f t="shared" si="30"/>
        <v>6.8</v>
      </c>
      <c r="I70">
        <f t="shared" si="29"/>
        <v>0.62</v>
      </c>
      <c r="J70">
        <f t="shared" si="31"/>
        <v>6.18</v>
      </c>
      <c r="K70">
        <f t="shared" ref="K70:K133" si="49">IF(M70&gt;0,0,IF((K69+J70)&gt;$B$7,$B$7,(K69+J70)))</f>
        <v>35</v>
      </c>
      <c r="L70">
        <f t="shared" si="32"/>
        <v>4.0197315303034937</v>
      </c>
      <c r="M70">
        <f t="shared" ref="M70:M133" si="50">IF(K69+J70&lt;0,1,0)</f>
        <v>0</v>
      </c>
      <c r="O70">
        <f>$B$5*'5 Year Rainfall Simulation'!C71/1000</f>
        <v>0</v>
      </c>
      <c r="P70">
        <f t="shared" si="33"/>
        <v>0</v>
      </c>
      <c r="Q70">
        <f t="shared" si="34"/>
        <v>0.62</v>
      </c>
      <c r="R70">
        <f t="shared" si="35"/>
        <v>-0.62</v>
      </c>
      <c r="S70">
        <f t="shared" ref="S70:S133" si="51">IF(U70&gt;0,P70,IF((S69+R70)&gt;$B$7,$B$7,(S69+R70)))</f>
        <v>28.120000000000012</v>
      </c>
      <c r="T70">
        <f t="shared" si="36"/>
        <v>0</v>
      </c>
      <c r="U70">
        <f t="shared" ref="U70:U133" si="52">IF(S69-Q70&lt;0,1,0)</f>
        <v>0</v>
      </c>
      <c r="W70">
        <f>$B$5*'5 Year Rainfall Simulation'!D71/1000</f>
        <v>5.6788189383824399</v>
      </c>
      <c r="X70">
        <f t="shared" si="37"/>
        <v>5.6788189383824399</v>
      </c>
      <c r="Y70">
        <f t="shared" si="38"/>
        <v>0.62</v>
      </c>
      <c r="Z70">
        <f t="shared" si="39"/>
        <v>5.0588189383824398</v>
      </c>
      <c r="AA70">
        <f t="shared" ref="AA70:AA133" si="53">IF(AC70&gt;0,0,IF((AA69+Z70)&gt;$B$7,$B$7,(AA69+Z70)))</f>
        <v>35</v>
      </c>
      <c r="AB70">
        <f t="shared" si="40"/>
        <v>3.3569599325736039</v>
      </c>
      <c r="AC70">
        <f t="shared" ref="AC70:AC133" si="54">IF(AA69+Z70&lt;0,1,0)</f>
        <v>0</v>
      </c>
      <c r="AE70">
        <f>$B$5*'5 Year Rainfall Simulation'!E71/1000</f>
        <v>0</v>
      </c>
      <c r="AF70">
        <f t="shared" si="41"/>
        <v>0</v>
      </c>
      <c r="AG70">
        <f t="shared" si="42"/>
        <v>0.62</v>
      </c>
      <c r="AH70">
        <f t="shared" si="43"/>
        <v>-0.62</v>
      </c>
      <c r="AI70">
        <f t="shared" ref="AI70:AI133" si="55">IF(AK70&gt;0,0,IF((AI69+AH70)&gt;$B$7,$B$7,(AI69+AH70)))</f>
        <v>33.140000000000008</v>
      </c>
      <c r="AJ70">
        <f t="shared" si="44"/>
        <v>0</v>
      </c>
      <c r="AK70">
        <f t="shared" ref="AK70:AK133" si="56">IF(AI69+AH70&lt;0,1,0)</f>
        <v>0</v>
      </c>
      <c r="AM70">
        <f>$B$5*'5 Year Rainfall Simulation'!F71/1000</f>
        <v>5.961681972985958</v>
      </c>
      <c r="AN70">
        <f t="shared" si="45"/>
        <v>5.961681972985958</v>
      </c>
      <c r="AO70">
        <f t="shared" si="46"/>
        <v>0.62</v>
      </c>
      <c r="AP70">
        <f t="shared" si="47"/>
        <v>5.3416819729859579</v>
      </c>
      <c r="AQ70">
        <f t="shared" ref="AQ70:AQ133" si="57">IF(AS70&gt;0,0,IF((AQ69+AP70)&gt;$B$7,$B$7,(AQ69+AP70)))</f>
        <v>35</v>
      </c>
      <c r="AR70">
        <f t="shared" si="48"/>
        <v>3.5241707353608231</v>
      </c>
      <c r="AS70">
        <f t="shared" ref="AS70:AS133" si="58">IF(AQ69+AP70&lt;0,1,0)</f>
        <v>0</v>
      </c>
    </row>
    <row r="71" spans="6:45" ht="18" customHeight="1">
      <c r="F71" s="109">
        <v>44628</v>
      </c>
      <c r="G71">
        <f>B$5*'5 Year Rainfall Simulation'!B72/1000</f>
        <v>10.48</v>
      </c>
      <c r="H71">
        <f t="shared" si="30"/>
        <v>10</v>
      </c>
      <c r="I71">
        <f t="shared" si="29"/>
        <v>0.62</v>
      </c>
      <c r="J71">
        <f t="shared" si="31"/>
        <v>9.3800000000000008</v>
      </c>
      <c r="K71">
        <f t="shared" si="49"/>
        <v>35</v>
      </c>
      <c r="L71">
        <f t="shared" si="32"/>
        <v>5.9113698975051374</v>
      </c>
      <c r="M71">
        <f t="shared" si="50"/>
        <v>0</v>
      </c>
      <c r="O71">
        <f>$B$5*'5 Year Rainfall Simulation'!C72/1000</f>
        <v>0.08</v>
      </c>
      <c r="P71">
        <f t="shared" si="33"/>
        <v>0.08</v>
      </c>
      <c r="Q71">
        <f t="shared" si="34"/>
        <v>0.62</v>
      </c>
      <c r="R71">
        <f t="shared" si="35"/>
        <v>-0.54</v>
      </c>
      <c r="S71">
        <f t="shared" si="51"/>
        <v>27.580000000000013</v>
      </c>
      <c r="T71">
        <f t="shared" si="36"/>
        <v>4.7290959180041101E-2</v>
      </c>
      <c r="U71">
        <f t="shared" si="52"/>
        <v>0</v>
      </c>
      <c r="W71">
        <f>$B$5*'5 Year Rainfall Simulation'!D72/1000</f>
        <v>9.5797864597540734</v>
      </c>
      <c r="X71">
        <f t="shared" si="37"/>
        <v>9.5797864597540734</v>
      </c>
      <c r="Y71">
        <f t="shared" si="38"/>
        <v>0.62</v>
      </c>
      <c r="Z71">
        <f t="shared" si="39"/>
        <v>8.9597864597540742</v>
      </c>
      <c r="AA71">
        <f t="shared" si="53"/>
        <v>35</v>
      </c>
      <c r="AB71">
        <f t="shared" si="40"/>
        <v>5.6629661302717542</v>
      </c>
      <c r="AC71">
        <f t="shared" si="54"/>
        <v>0</v>
      </c>
      <c r="AE71">
        <f>$B$5*'5 Year Rainfall Simulation'!E72/1000</f>
        <v>0</v>
      </c>
      <c r="AF71">
        <f t="shared" si="41"/>
        <v>0</v>
      </c>
      <c r="AG71">
        <f t="shared" si="42"/>
        <v>0.62</v>
      </c>
      <c r="AH71">
        <f t="shared" si="43"/>
        <v>-0.62</v>
      </c>
      <c r="AI71">
        <f t="shared" si="55"/>
        <v>32.52000000000001</v>
      </c>
      <c r="AJ71">
        <f t="shared" si="44"/>
        <v>0</v>
      </c>
      <c r="AK71">
        <f t="shared" si="56"/>
        <v>0</v>
      </c>
      <c r="AM71">
        <f>$B$5*'5 Year Rainfall Simulation'!F72/1000</f>
        <v>9.0415919057051362</v>
      </c>
      <c r="AN71">
        <f t="shared" si="45"/>
        <v>9.0415919057051362</v>
      </c>
      <c r="AO71">
        <f t="shared" si="46"/>
        <v>0.62</v>
      </c>
      <c r="AP71">
        <f t="shared" si="47"/>
        <v>8.4215919057051369</v>
      </c>
      <c r="AQ71">
        <f t="shared" si="57"/>
        <v>35</v>
      </c>
      <c r="AR71">
        <f t="shared" si="48"/>
        <v>5.3448194216911453</v>
      </c>
      <c r="AS71">
        <f t="shared" si="58"/>
        <v>0</v>
      </c>
    </row>
    <row r="72" spans="6:45" ht="18" customHeight="1">
      <c r="F72" s="109">
        <v>44629</v>
      </c>
      <c r="G72">
        <f>B$5*'5 Year Rainfall Simulation'!B73/1000</f>
        <v>2.12</v>
      </c>
      <c r="H72">
        <f t="shared" si="30"/>
        <v>2.12</v>
      </c>
      <c r="I72">
        <f t="shared" si="29"/>
        <v>0.62</v>
      </c>
      <c r="J72">
        <f t="shared" si="31"/>
        <v>1.5</v>
      </c>
      <c r="K72">
        <f t="shared" si="49"/>
        <v>35</v>
      </c>
      <c r="L72">
        <f t="shared" si="32"/>
        <v>1.2532104182710893</v>
      </c>
      <c r="M72">
        <f t="shared" si="50"/>
        <v>0</v>
      </c>
      <c r="O72">
        <f>$B$5*'5 Year Rainfall Simulation'!C73/1000</f>
        <v>0.08</v>
      </c>
      <c r="P72">
        <f t="shared" si="33"/>
        <v>0.08</v>
      </c>
      <c r="Q72">
        <f t="shared" si="34"/>
        <v>0.62</v>
      </c>
      <c r="R72">
        <f t="shared" si="35"/>
        <v>-0.54</v>
      </c>
      <c r="S72">
        <f t="shared" si="51"/>
        <v>27.040000000000013</v>
      </c>
      <c r="T72">
        <f t="shared" si="36"/>
        <v>4.7290959180041101E-2</v>
      </c>
      <c r="U72">
        <f t="shared" si="52"/>
        <v>0</v>
      </c>
      <c r="W72">
        <f>$B$5*'5 Year Rainfall Simulation'!D73/1000</f>
        <v>1.2640510765795929</v>
      </c>
      <c r="X72">
        <f t="shared" si="37"/>
        <v>1.2640510765795929</v>
      </c>
      <c r="Y72">
        <f t="shared" si="38"/>
        <v>0.62</v>
      </c>
      <c r="Z72">
        <f t="shared" si="39"/>
        <v>0.64405107657959293</v>
      </c>
      <c r="AA72">
        <f t="shared" si="53"/>
        <v>35</v>
      </c>
      <c r="AB72">
        <f t="shared" si="40"/>
        <v>0.74722734830015669</v>
      </c>
      <c r="AC72">
        <f t="shared" si="54"/>
        <v>0</v>
      </c>
      <c r="AE72">
        <f>$B$5*'5 Year Rainfall Simulation'!E73/1000</f>
        <v>1.7042605804528312</v>
      </c>
      <c r="AF72">
        <f t="shared" si="41"/>
        <v>1.7042605804528312</v>
      </c>
      <c r="AG72">
        <f t="shared" si="42"/>
        <v>0.62</v>
      </c>
      <c r="AH72">
        <f t="shared" si="43"/>
        <v>1.0842605804528311</v>
      </c>
      <c r="AI72">
        <f t="shared" si="55"/>
        <v>33.604260580452845</v>
      </c>
      <c r="AJ72">
        <f t="shared" si="44"/>
        <v>1.0074514692793499</v>
      </c>
      <c r="AK72">
        <f t="shared" si="56"/>
        <v>0</v>
      </c>
      <c r="AM72">
        <f>$B$5*'5 Year Rainfall Simulation'!F73/1000</f>
        <v>0.90489655388987533</v>
      </c>
      <c r="AN72">
        <f t="shared" si="45"/>
        <v>0.90489655388987533</v>
      </c>
      <c r="AO72">
        <f t="shared" si="46"/>
        <v>0.62</v>
      </c>
      <c r="AP72">
        <f t="shared" si="47"/>
        <v>0.28489655388987534</v>
      </c>
      <c r="AQ72">
        <f t="shared" si="57"/>
        <v>35</v>
      </c>
      <c r="AR72">
        <f t="shared" si="48"/>
        <v>0.53491782490207451</v>
      </c>
      <c r="AS72">
        <f t="shared" si="58"/>
        <v>0</v>
      </c>
    </row>
    <row r="73" spans="6:45" ht="18" customHeight="1">
      <c r="F73" s="109">
        <v>44630</v>
      </c>
      <c r="G73">
        <f>B$5*'5 Year Rainfall Simulation'!B74/1000</f>
        <v>0.48</v>
      </c>
      <c r="H73">
        <f t="shared" si="30"/>
        <v>0.48</v>
      </c>
      <c r="I73">
        <f t="shared" si="29"/>
        <v>0.62</v>
      </c>
      <c r="J73">
        <f t="shared" si="31"/>
        <v>-0.14000000000000001</v>
      </c>
      <c r="K73">
        <f t="shared" si="49"/>
        <v>34.86</v>
      </c>
      <c r="L73">
        <f t="shared" si="32"/>
        <v>0.28374575508024658</v>
      </c>
      <c r="M73">
        <f t="shared" si="50"/>
        <v>0</v>
      </c>
      <c r="O73">
        <f>$B$5*'5 Year Rainfall Simulation'!C74/1000</f>
        <v>0.56000000000000005</v>
      </c>
      <c r="P73">
        <f t="shared" si="33"/>
        <v>0.56000000000000005</v>
      </c>
      <c r="Q73">
        <f t="shared" si="34"/>
        <v>0.62</v>
      </c>
      <c r="R73">
        <f t="shared" si="35"/>
        <v>-5.9999999999999942E-2</v>
      </c>
      <c r="S73">
        <f t="shared" si="51"/>
        <v>26.980000000000015</v>
      </c>
      <c r="T73">
        <f t="shared" si="36"/>
        <v>0.33103671426028775</v>
      </c>
      <c r="U73">
        <f t="shared" si="52"/>
        <v>0</v>
      </c>
      <c r="W73">
        <f>$B$5*'5 Year Rainfall Simulation'!D74/1000</f>
        <v>1.8942641939288947</v>
      </c>
      <c r="X73">
        <f t="shared" si="37"/>
        <v>1.8942641939288947</v>
      </c>
      <c r="Y73">
        <f t="shared" si="38"/>
        <v>0.62</v>
      </c>
      <c r="Z73">
        <f t="shared" si="39"/>
        <v>1.2742641939288948</v>
      </c>
      <c r="AA73">
        <f t="shared" si="53"/>
        <v>35</v>
      </c>
      <c r="AB73">
        <f t="shared" si="40"/>
        <v>1.1197696333913103</v>
      </c>
      <c r="AC73">
        <f t="shared" si="54"/>
        <v>0</v>
      </c>
      <c r="AE73">
        <f>$B$5*'5 Year Rainfall Simulation'!E74/1000</f>
        <v>0</v>
      </c>
      <c r="AF73">
        <f t="shared" si="41"/>
        <v>0</v>
      </c>
      <c r="AG73">
        <f t="shared" si="42"/>
        <v>0.62</v>
      </c>
      <c r="AH73">
        <f t="shared" si="43"/>
        <v>-0.62</v>
      </c>
      <c r="AI73">
        <f t="shared" si="55"/>
        <v>32.984260580452847</v>
      </c>
      <c r="AJ73">
        <f t="shared" si="44"/>
        <v>0</v>
      </c>
      <c r="AK73">
        <f t="shared" si="56"/>
        <v>0</v>
      </c>
      <c r="AM73">
        <f>$B$5*'5 Year Rainfall Simulation'!F74/1000</f>
        <v>2.0622243020110016</v>
      </c>
      <c r="AN73">
        <f t="shared" si="45"/>
        <v>2.0622243020110016</v>
      </c>
      <c r="AO73">
        <f t="shared" si="46"/>
        <v>0.62</v>
      </c>
      <c r="AP73">
        <f t="shared" si="47"/>
        <v>1.4422243020110015</v>
      </c>
      <c r="AQ73">
        <f t="shared" si="57"/>
        <v>35</v>
      </c>
      <c r="AR73">
        <f t="shared" si="48"/>
        <v>1.219057066081138</v>
      </c>
      <c r="AS73">
        <f t="shared" si="58"/>
        <v>0</v>
      </c>
    </row>
    <row r="74" spans="6:45" ht="18" customHeight="1">
      <c r="F74" s="109">
        <v>44631</v>
      </c>
      <c r="G74">
        <f>B$5*'5 Year Rainfall Simulation'!B75/1000</f>
        <v>0</v>
      </c>
      <c r="H74">
        <f t="shared" si="30"/>
        <v>0</v>
      </c>
      <c r="I74">
        <f t="shared" si="29"/>
        <v>0.62</v>
      </c>
      <c r="J74">
        <f t="shared" si="31"/>
        <v>-0.62</v>
      </c>
      <c r="K74">
        <f t="shared" si="49"/>
        <v>34.24</v>
      </c>
      <c r="L74">
        <f t="shared" si="32"/>
        <v>0</v>
      </c>
      <c r="M74">
        <f t="shared" si="50"/>
        <v>0</v>
      </c>
      <c r="O74">
        <f>$B$5*'5 Year Rainfall Simulation'!C75/1000</f>
        <v>2.72</v>
      </c>
      <c r="P74">
        <f t="shared" si="33"/>
        <v>2.72</v>
      </c>
      <c r="Q74">
        <f t="shared" si="34"/>
        <v>0.62</v>
      </c>
      <c r="R74">
        <f t="shared" si="35"/>
        <v>2.1</v>
      </c>
      <c r="S74">
        <f t="shared" si="51"/>
        <v>29.080000000000016</v>
      </c>
      <c r="T74">
        <f t="shared" si="36"/>
        <v>1.6078926121213977</v>
      </c>
      <c r="U74">
        <f t="shared" si="52"/>
        <v>0</v>
      </c>
      <c r="W74">
        <f>$B$5*'5 Year Rainfall Simulation'!D75/1000</f>
        <v>0</v>
      </c>
      <c r="X74">
        <f t="shared" si="37"/>
        <v>0</v>
      </c>
      <c r="Y74">
        <f t="shared" si="38"/>
        <v>0.62</v>
      </c>
      <c r="Z74">
        <f t="shared" si="39"/>
        <v>-0.62</v>
      </c>
      <c r="AA74">
        <f t="shared" si="53"/>
        <v>34.380000000000003</v>
      </c>
      <c r="AB74">
        <f t="shared" si="40"/>
        <v>0</v>
      </c>
      <c r="AC74">
        <f t="shared" si="54"/>
        <v>0</v>
      </c>
      <c r="AE74">
        <f>$B$5*'5 Year Rainfall Simulation'!E75/1000</f>
        <v>2.1675779945992923</v>
      </c>
      <c r="AF74">
        <f t="shared" si="41"/>
        <v>2.1675779945992923</v>
      </c>
      <c r="AG74">
        <f t="shared" si="42"/>
        <v>0.62</v>
      </c>
      <c r="AH74">
        <f t="shared" si="43"/>
        <v>1.5475779945992922</v>
      </c>
      <c r="AI74">
        <f t="shared" si="55"/>
        <v>34.531838575052141</v>
      </c>
      <c r="AJ74">
        <f t="shared" si="44"/>
        <v>1.281335530776881</v>
      </c>
      <c r="AK74">
        <f t="shared" si="56"/>
        <v>0</v>
      </c>
      <c r="AM74">
        <f>$B$5*'5 Year Rainfall Simulation'!F75/1000</f>
        <v>0</v>
      </c>
      <c r="AN74">
        <f t="shared" si="45"/>
        <v>0</v>
      </c>
      <c r="AO74">
        <f t="shared" si="46"/>
        <v>0.62</v>
      </c>
      <c r="AP74">
        <f t="shared" si="47"/>
        <v>-0.62</v>
      </c>
      <c r="AQ74">
        <f t="shared" si="57"/>
        <v>34.380000000000003</v>
      </c>
      <c r="AR74">
        <f t="shared" si="48"/>
        <v>0</v>
      </c>
      <c r="AS74">
        <f t="shared" si="58"/>
        <v>0</v>
      </c>
    </row>
    <row r="75" spans="6:45" ht="18" customHeight="1">
      <c r="F75" s="109">
        <v>44632</v>
      </c>
      <c r="G75">
        <f>B$5*'5 Year Rainfall Simulation'!B76/1000</f>
        <v>0.56000000000000005</v>
      </c>
      <c r="H75">
        <f t="shared" si="30"/>
        <v>0.56000000000000005</v>
      </c>
      <c r="I75">
        <f t="shared" si="29"/>
        <v>0.62</v>
      </c>
      <c r="J75">
        <f t="shared" si="31"/>
        <v>-5.9999999999999942E-2</v>
      </c>
      <c r="K75">
        <f t="shared" si="49"/>
        <v>34.18</v>
      </c>
      <c r="L75">
        <f t="shared" si="32"/>
        <v>0.33103671426028775</v>
      </c>
      <c r="M75">
        <f t="shared" si="50"/>
        <v>0</v>
      </c>
      <c r="O75">
        <f>$B$5*'5 Year Rainfall Simulation'!C76/1000</f>
        <v>1.72</v>
      </c>
      <c r="P75">
        <f t="shared" si="33"/>
        <v>1.72</v>
      </c>
      <c r="Q75">
        <f t="shared" si="34"/>
        <v>0.62</v>
      </c>
      <c r="R75">
        <f t="shared" si="35"/>
        <v>1.1000000000000001</v>
      </c>
      <c r="S75">
        <f t="shared" si="51"/>
        <v>30.180000000000017</v>
      </c>
      <c r="T75">
        <f t="shared" si="36"/>
        <v>1.0167556223708836</v>
      </c>
      <c r="U75">
        <f t="shared" si="52"/>
        <v>0</v>
      </c>
      <c r="W75">
        <f>$B$5*'5 Year Rainfall Simulation'!D76/1000</f>
        <v>0</v>
      </c>
      <c r="X75">
        <f t="shared" si="37"/>
        <v>0</v>
      </c>
      <c r="Y75">
        <f t="shared" si="38"/>
        <v>0.62</v>
      </c>
      <c r="Z75">
        <f t="shared" si="39"/>
        <v>-0.62</v>
      </c>
      <c r="AA75">
        <f t="shared" si="53"/>
        <v>33.760000000000005</v>
      </c>
      <c r="AB75">
        <f t="shared" si="40"/>
        <v>0</v>
      </c>
      <c r="AC75">
        <f t="shared" si="54"/>
        <v>0</v>
      </c>
      <c r="AE75">
        <f>$B$5*'5 Year Rainfall Simulation'!E76/1000</f>
        <v>0</v>
      </c>
      <c r="AF75">
        <f t="shared" si="41"/>
        <v>0</v>
      </c>
      <c r="AG75">
        <f t="shared" si="42"/>
        <v>0.62</v>
      </c>
      <c r="AH75">
        <f t="shared" si="43"/>
        <v>-0.62</v>
      </c>
      <c r="AI75">
        <f t="shared" si="55"/>
        <v>33.911838575052144</v>
      </c>
      <c r="AJ75">
        <f t="shared" si="44"/>
        <v>0</v>
      </c>
      <c r="AK75">
        <f t="shared" si="56"/>
        <v>0</v>
      </c>
      <c r="AM75">
        <f>$B$5*'5 Year Rainfall Simulation'!F76/1000</f>
        <v>0.11455986407956419</v>
      </c>
      <c r="AN75">
        <f t="shared" si="45"/>
        <v>0.11455986407956419</v>
      </c>
      <c r="AO75">
        <f t="shared" si="46"/>
        <v>0.62</v>
      </c>
      <c r="AP75">
        <f t="shared" si="47"/>
        <v>-0.5054401359204358</v>
      </c>
      <c r="AQ75">
        <f t="shared" si="57"/>
        <v>33.874559864079565</v>
      </c>
      <c r="AR75">
        <f t="shared" si="48"/>
        <v>6.7720573198221584E-2</v>
      </c>
      <c r="AS75">
        <f t="shared" si="58"/>
        <v>0</v>
      </c>
    </row>
    <row r="76" spans="6:45" ht="18" customHeight="1">
      <c r="F76" s="109">
        <v>44633</v>
      </c>
      <c r="G76">
        <f>B$5*'5 Year Rainfall Simulation'!B77/1000</f>
        <v>4.04</v>
      </c>
      <c r="H76">
        <f t="shared" si="30"/>
        <v>4.04</v>
      </c>
      <c r="I76">
        <f t="shared" si="29"/>
        <v>0.62</v>
      </c>
      <c r="J76">
        <f t="shared" si="31"/>
        <v>3.42</v>
      </c>
      <c r="K76">
        <f t="shared" si="49"/>
        <v>35</v>
      </c>
      <c r="L76">
        <f t="shared" si="32"/>
        <v>2.3881934385920758</v>
      </c>
      <c r="M76">
        <f t="shared" si="50"/>
        <v>0</v>
      </c>
      <c r="O76">
        <f>$B$5*'5 Year Rainfall Simulation'!C77/1000</f>
        <v>3.4799999999999995</v>
      </c>
      <c r="P76">
        <f t="shared" si="33"/>
        <v>3.4799999999999995</v>
      </c>
      <c r="Q76">
        <f t="shared" si="34"/>
        <v>0.62</v>
      </c>
      <c r="R76">
        <f t="shared" si="35"/>
        <v>2.8599999999999994</v>
      </c>
      <c r="S76">
        <f t="shared" si="51"/>
        <v>33.04000000000002</v>
      </c>
      <c r="T76">
        <f t="shared" si="36"/>
        <v>2.0571567243317879</v>
      </c>
      <c r="U76">
        <f t="shared" si="52"/>
        <v>0</v>
      </c>
      <c r="W76">
        <f>$B$5*'5 Year Rainfall Simulation'!D77/1000</f>
        <v>4.0886348146146139</v>
      </c>
      <c r="X76">
        <f t="shared" si="37"/>
        <v>4.0886348146146139</v>
      </c>
      <c r="Y76">
        <f t="shared" si="38"/>
        <v>0.62</v>
      </c>
      <c r="Z76">
        <f t="shared" si="39"/>
        <v>3.4686348146146138</v>
      </c>
      <c r="AA76">
        <f t="shared" si="53"/>
        <v>35</v>
      </c>
      <c r="AB76">
        <f t="shared" si="40"/>
        <v>2.4169432765004326</v>
      </c>
      <c r="AC76">
        <f t="shared" si="54"/>
        <v>0</v>
      </c>
      <c r="AE76">
        <f>$B$5*'5 Year Rainfall Simulation'!E77/1000</f>
        <v>1.3675848147356413</v>
      </c>
      <c r="AF76">
        <f t="shared" si="41"/>
        <v>1.3675848147356413</v>
      </c>
      <c r="AG76">
        <f t="shared" si="42"/>
        <v>0.62</v>
      </c>
      <c r="AH76">
        <f t="shared" si="43"/>
        <v>0.74758481473564131</v>
      </c>
      <c r="AI76">
        <f t="shared" si="55"/>
        <v>34.659423389787783</v>
      </c>
      <c r="AJ76">
        <f t="shared" si="44"/>
        <v>0.80842997061134103</v>
      </c>
      <c r="AK76">
        <f t="shared" si="56"/>
        <v>0</v>
      </c>
      <c r="AM76">
        <f>$B$5*'5 Year Rainfall Simulation'!F77/1000</f>
        <v>1.0104368655488425</v>
      </c>
      <c r="AN76">
        <f t="shared" si="45"/>
        <v>1.0104368655488425</v>
      </c>
      <c r="AO76">
        <f t="shared" si="46"/>
        <v>0.62</v>
      </c>
      <c r="AP76">
        <f t="shared" si="47"/>
        <v>0.39043686554884249</v>
      </c>
      <c r="AQ76">
        <f t="shared" si="57"/>
        <v>34.264996729628407</v>
      </c>
      <c r="AR76">
        <f t="shared" si="48"/>
        <v>0.59730660703348737</v>
      </c>
      <c r="AS76">
        <f t="shared" si="58"/>
        <v>0</v>
      </c>
    </row>
    <row r="77" spans="6:45" ht="18" customHeight="1">
      <c r="F77" s="109">
        <v>44634</v>
      </c>
      <c r="G77">
        <f>B$5*'5 Year Rainfall Simulation'!B78/1000</f>
        <v>2.76</v>
      </c>
      <c r="H77">
        <f t="shared" si="30"/>
        <v>2.76</v>
      </c>
      <c r="I77">
        <f t="shared" si="29"/>
        <v>0.62</v>
      </c>
      <c r="J77">
        <f t="shared" si="31"/>
        <v>2.1399999999999997</v>
      </c>
      <c r="K77">
        <f t="shared" si="49"/>
        <v>35</v>
      </c>
      <c r="L77">
        <f t="shared" si="32"/>
        <v>1.6315380917114179</v>
      </c>
      <c r="M77">
        <f t="shared" si="50"/>
        <v>0</v>
      </c>
      <c r="O77">
        <f>$B$5*'5 Year Rainfall Simulation'!C78/1000</f>
        <v>0.12</v>
      </c>
      <c r="P77">
        <f t="shared" si="33"/>
        <v>0.12</v>
      </c>
      <c r="Q77">
        <f t="shared" si="34"/>
        <v>0.62</v>
      </c>
      <c r="R77">
        <f t="shared" si="35"/>
        <v>-0.5</v>
      </c>
      <c r="S77">
        <f t="shared" si="51"/>
        <v>32.54000000000002</v>
      </c>
      <c r="T77">
        <f t="shared" si="36"/>
        <v>7.0936438770061644E-2</v>
      </c>
      <c r="U77">
        <f t="shared" si="52"/>
        <v>0</v>
      </c>
      <c r="W77">
        <f>$B$5*'5 Year Rainfall Simulation'!D78/1000</f>
        <v>2.4008356252107799</v>
      </c>
      <c r="X77">
        <f t="shared" si="37"/>
        <v>2.4008356252107799</v>
      </c>
      <c r="Y77">
        <f t="shared" si="38"/>
        <v>0.62</v>
      </c>
      <c r="Z77">
        <f t="shared" si="39"/>
        <v>1.7808356252107798</v>
      </c>
      <c r="AA77">
        <f t="shared" si="53"/>
        <v>35</v>
      </c>
      <c r="AB77">
        <f t="shared" si="40"/>
        <v>1.4192227443728931</v>
      </c>
      <c r="AC77">
        <f t="shared" si="54"/>
        <v>0</v>
      </c>
      <c r="AE77">
        <f>$B$5*'5 Year Rainfall Simulation'!E78/1000</f>
        <v>1.3000867516456636</v>
      </c>
      <c r="AF77">
        <f t="shared" si="41"/>
        <v>1.3000867516456636</v>
      </c>
      <c r="AG77">
        <f t="shared" si="42"/>
        <v>0.62</v>
      </c>
      <c r="AH77">
        <f t="shared" si="43"/>
        <v>0.68008675164566357</v>
      </c>
      <c r="AI77">
        <f t="shared" si="55"/>
        <v>35</v>
      </c>
      <c r="AJ77">
        <f t="shared" si="44"/>
        <v>0.76852936878234135</v>
      </c>
      <c r="AK77">
        <f t="shared" si="56"/>
        <v>0</v>
      </c>
      <c r="AM77">
        <f>$B$5*'5 Year Rainfall Simulation'!F78/1000</f>
        <v>2.5904973880788758</v>
      </c>
      <c r="AN77">
        <f t="shared" si="45"/>
        <v>2.5904973880788758</v>
      </c>
      <c r="AO77">
        <f t="shared" si="46"/>
        <v>0.62</v>
      </c>
      <c r="AP77">
        <f t="shared" si="47"/>
        <v>1.9704973880788756</v>
      </c>
      <c r="AQ77">
        <f t="shared" si="57"/>
        <v>35</v>
      </c>
      <c r="AR77">
        <f t="shared" si="48"/>
        <v>1.5313388279455151</v>
      </c>
      <c r="AS77">
        <f t="shared" si="58"/>
        <v>0</v>
      </c>
    </row>
    <row r="78" spans="6:45" ht="18" customHeight="1">
      <c r="F78" s="109">
        <v>44635</v>
      </c>
      <c r="G78">
        <f>B$5*'5 Year Rainfall Simulation'!B79/1000</f>
        <v>4.5599999999999996</v>
      </c>
      <c r="H78">
        <f t="shared" si="30"/>
        <v>4.5599999999999996</v>
      </c>
      <c r="I78">
        <f t="shared" si="29"/>
        <v>0.62</v>
      </c>
      <c r="J78">
        <f t="shared" si="31"/>
        <v>3.9399999999999995</v>
      </c>
      <c r="K78">
        <f t="shared" si="49"/>
        <v>35</v>
      </c>
      <c r="L78">
        <f t="shared" si="32"/>
        <v>2.6955846732623425</v>
      </c>
      <c r="M78">
        <f t="shared" si="50"/>
        <v>0</v>
      </c>
      <c r="O78">
        <f>$B$5*'5 Year Rainfall Simulation'!C79/1000</f>
        <v>0</v>
      </c>
      <c r="P78">
        <f t="shared" si="33"/>
        <v>0</v>
      </c>
      <c r="Q78">
        <f t="shared" si="34"/>
        <v>0.62</v>
      </c>
      <c r="R78">
        <f t="shared" si="35"/>
        <v>-0.62</v>
      </c>
      <c r="S78">
        <f t="shared" si="51"/>
        <v>31.920000000000019</v>
      </c>
      <c r="T78">
        <f t="shared" si="36"/>
        <v>0</v>
      </c>
      <c r="U78">
        <f t="shared" si="52"/>
        <v>0</v>
      </c>
      <c r="W78">
        <f>$B$5*'5 Year Rainfall Simulation'!D79/1000</f>
        <v>5.3909864041559254</v>
      </c>
      <c r="X78">
        <f t="shared" si="37"/>
        <v>5.3909864041559254</v>
      </c>
      <c r="Y78">
        <f t="shared" si="38"/>
        <v>0.62</v>
      </c>
      <c r="Z78">
        <f t="shared" si="39"/>
        <v>4.7709864041559253</v>
      </c>
      <c r="AA78">
        <f t="shared" si="53"/>
        <v>35</v>
      </c>
      <c r="AB78">
        <f t="shared" si="40"/>
        <v>3.1868114747386804</v>
      </c>
      <c r="AC78">
        <f t="shared" si="54"/>
        <v>0</v>
      </c>
      <c r="AE78">
        <f>$B$5*'5 Year Rainfall Simulation'!E79/1000</f>
        <v>0</v>
      </c>
      <c r="AF78">
        <f t="shared" si="41"/>
        <v>0</v>
      </c>
      <c r="AG78">
        <f t="shared" si="42"/>
        <v>0.62</v>
      </c>
      <c r="AH78">
        <f t="shared" si="43"/>
        <v>-0.62</v>
      </c>
      <c r="AI78">
        <f t="shared" si="55"/>
        <v>34.380000000000003</v>
      </c>
      <c r="AJ78">
        <f t="shared" si="44"/>
        <v>0</v>
      </c>
      <c r="AK78">
        <f t="shared" si="56"/>
        <v>0</v>
      </c>
      <c r="AM78">
        <f>$B$5*'5 Year Rainfall Simulation'!F79/1000</f>
        <v>6.4802568696047906</v>
      </c>
      <c r="AN78">
        <f t="shared" si="45"/>
        <v>6.4802568696047906</v>
      </c>
      <c r="AO78">
        <f t="shared" si="46"/>
        <v>0.62</v>
      </c>
      <c r="AP78">
        <f t="shared" si="47"/>
        <v>5.8602568696047905</v>
      </c>
      <c r="AQ78">
        <f t="shared" si="57"/>
        <v>35</v>
      </c>
      <c r="AR78">
        <f t="shared" si="48"/>
        <v>3.8307195387082635</v>
      </c>
      <c r="AS78">
        <f t="shared" si="58"/>
        <v>0</v>
      </c>
    </row>
    <row r="79" spans="6:45" ht="18" customHeight="1">
      <c r="F79" s="109">
        <v>44636</v>
      </c>
      <c r="G79">
        <f>B$5*'5 Year Rainfall Simulation'!B80/1000</f>
        <v>1.08</v>
      </c>
      <c r="H79">
        <f t="shared" si="30"/>
        <v>1.08</v>
      </c>
      <c r="I79">
        <f t="shared" si="29"/>
        <v>0.62</v>
      </c>
      <c r="J79">
        <f t="shared" si="31"/>
        <v>0.46000000000000008</v>
      </c>
      <c r="K79">
        <f t="shared" si="49"/>
        <v>35</v>
      </c>
      <c r="L79">
        <f t="shared" si="32"/>
        <v>0.63842794893055488</v>
      </c>
      <c r="M79">
        <f t="shared" si="50"/>
        <v>0</v>
      </c>
      <c r="O79">
        <f>$B$5*'5 Year Rainfall Simulation'!C80/1000</f>
        <v>0</v>
      </c>
      <c r="P79">
        <f t="shared" si="33"/>
        <v>0</v>
      </c>
      <c r="Q79">
        <f t="shared" si="34"/>
        <v>0.62</v>
      </c>
      <c r="R79">
        <f t="shared" si="35"/>
        <v>-0.62</v>
      </c>
      <c r="S79">
        <f t="shared" si="51"/>
        <v>31.300000000000018</v>
      </c>
      <c r="T79">
        <f t="shared" si="36"/>
        <v>0</v>
      </c>
      <c r="U79">
        <f t="shared" si="52"/>
        <v>0</v>
      </c>
      <c r="W79">
        <f>$B$5*'5 Year Rainfall Simulation'!D80/1000</f>
        <v>0.333372474713374</v>
      </c>
      <c r="X79">
        <f t="shared" si="37"/>
        <v>0.333372474713374</v>
      </c>
      <c r="Y79">
        <f t="shared" si="38"/>
        <v>0.62</v>
      </c>
      <c r="Z79">
        <f t="shared" si="39"/>
        <v>-0.28662752528662599</v>
      </c>
      <c r="AA79">
        <f t="shared" si="53"/>
        <v>34.713372474713374</v>
      </c>
      <c r="AB79">
        <f t="shared" si="40"/>
        <v>0.19706880116774317</v>
      </c>
      <c r="AC79">
        <f t="shared" si="54"/>
        <v>0</v>
      </c>
      <c r="AE79">
        <f>$B$5*'5 Year Rainfall Simulation'!E80/1000</f>
        <v>0.31155308284763139</v>
      </c>
      <c r="AF79">
        <f t="shared" si="41"/>
        <v>0.31155308284763139</v>
      </c>
      <c r="AG79">
        <f t="shared" si="42"/>
        <v>0.62</v>
      </c>
      <c r="AH79">
        <f t="shared" si="43"/>
        <v>-0.3084469171523686</v>
      </c>
      <c r="AI79">
        <f t="shared" si="55"/>
        <v>34.071553082847636</v>
      </c>
      <c r="AJ79">
        <f t="shared" si="44"/>
        <v>0.18417055154204123</v>
      </c>
      <c r="AK79">
        <f t="shared" si="56"/>
        <v>0</v>
      </c>
      <c r="AM79">
        <f>$B$5*'5 Year Rainfall Simulation'!F80/1000</f>
        <v>0</v>
      </c>
      <c r="AN79">
        <f t="shared" si="45"/>
        <v>0</v>
      </c>
      <c r="AO79">
        <f t="shared" si="46"/>
        <v>0.62</v>
      </c>
      <c r="AP79">
        <f t="shared" si="47"/>
        <v>-0.62</v>
      </c>
      <c r="AQ79">
        <f t="shared" si="57"/>
        <v>34.380000000000003</v>
      </c>
      <c r="AR79">
        <f t="shared" si="48"/>
        <v>0</v>
      </c>
      <c r="AS79">
        <f t="shared" si="58"/>
        <v>0</v>
      </c>
    </row>
    <row r="80" spans="6:45" ht="18" customHeight="1">
      <c r="F80" s="109">
        <v>44637</v>
      </c>
      <c r="G80">
        <f>B$5*'5 Year Rainfall Simulation'!B81/1000</f>
        <v>0.08</v>
      </c>
      <c r="H80">
        <f t="shared" si="30"/>
        <v>0.08</v>
      </c>
      <c r="I80">
        <f t="shared" si="29"/>
        <v>0.62</v>
      </c>
      <c r="J80">
        <f t="shared" si="31"/>
        <v>-0.54</v>
      </c>
      <c r="K80">
        <f t="shared" si="49"/>
        <v>34.46</v>
      </c>
      <c r="L80">
        <f t="shared" si="32"/>
        <v>4.7290959180041101E-2</v>
      </c>
      <c r="M80">
        <f t="shared" si="50"/>
        <v>0</v>
      </c>
      <c r="O80">
        <f>$B$5*'5 Year Rainfall Simulation'!C81/1000</f>
        <v>0</v>
      </c>
      <c r="P80">
        <f t="shared" si="33"/>
        <v>0</v>
      </c>
      <c r="Q80">
        <f t="shared" si="34"/>
        <v>0.62</v>
      </c>
      <c r="R80">
        <f t="shared" si="35"/>
        <v>-0.62</v>
      </c>
      <c r="S80">
        <f t="shared" si="51"/>
        <v>30.680000000000017</v>
      </c>
      <c r="T80">
        <f t="shared" si="36"/>
        <v>0</v>
      </c>
      <c r="U80">
        <f t="shared" si="52"/>
        <v>0</v>
      </c>
      <c r="W80">
        <f>$B$5*'5 Year Rainfall Simulation'!D81/1000</f>
        <v>0.96021466824759749</v>
      </c>
      <c r="X80">
        <f t="shared" si="37"/>
        <v>0.96021466824759749</v>
      </c>
      <c r="Y80">
        <f t="shared" si="38"/>
        <v>0.62</v>
      </c>
      <c r="Z80">
        <f t="shared" si="39"/>
        <v>0.3402146682475975</v>
      </c>
      <c r="AA80">
        <f t="shared" si="53"/>
        <v>35</v>
      </c>
      <c r="AB80">
        <f t="shared" si="40"/>
        <v>0.56761840850217304</v>
      </c>
      <c r="AC80">
        <f t="shared" si="54"/>
        <v>0</v>
      </c>
      <c r="AE80">
        <f>$B$5*'5 Year Rainfall Simulation'!E81/1000</f>
        <v>0</v>
      </c>
      <c r="AF80">
        <f t="shared" si="41"/>
        <v>0</v>
      </c>
      <c r="AG80">
        <f t="shared" si="42"/>
        <v>0.62</v>
      </c>
      <c r="AH80">
        <f t="shared" si="43"/>
        <v>-0.62</v>
      </c>
      <c r="AI80">
        <f t="shared" si="55"/>
        <v>33.451553082847639</v>
      </c>
      <c r="AJ80">
        <f t="shared" si="44"/>
        <v>0</v>
      </c>
      <c r="AK80">
        <f t="shared" si="56"/>
        <v>0</v>
      </c>
      <c r="AM80">
        <f>$B$5*'5 Year Rainfall Simulation'!F81/1000</f>
        <v>2.6069927389085144</v>
      </c>
      <c r="AN80">
        <f t="shared" si="45"/>
        <v>2.6069927389085144</v>
      </c>
      <c r="AO80">
        <f t="shared" si="46"/>
        <v>0.62</v>
      </c>
      <c r="AP80">
        <f t="shared" si="47"/>
        <v>1.9869927389085142</v>
      </c>
      <c r="AQ80">
        <f t="shared" si="57"/>
        <v>35</v>
      </c>
      <c r="AR80">
        <f t="shared" si="48"/>
        <v>1.5410898399798263</v>
      </c>
      <c r="AS80">
        <f t="shared" si="58"/>
        <v>0</v>
      </c>
    </row>
    <row r="81" spans="6:45" ht="18" customHeight="1">
      <c r="F81" s="109">
        <v>44638</v>
      </c>
      <c r="G81">
        <f>B$5*'5 Year Rainfall Simulation'!B82/1000</f>
        <v>6.2</v>
      </c>
      <c r="H81">
        <f t="shared" si="30"/>
        <v>6.2</v>
      </c>
      <c r="I81">
        <f t="shared" si="29"/>
        <v>0.62</v>
      </c>
      <c r="J81">
        <f t="shared" si="31"/>
        <v>5.58</v>
      </c>
      <c r="K81">
        <f t="shared" si="49"/>
        <v>35</v>
      </c>
      <c r="L81">
        <f t="shared" si="32"/>
        <v>3.6650493364531855</v>
      </c>
      <c r="M81">
        <f t="shared" si="50"/>
        <v>0</v>
      </c>
      <c r="O81">
        <f>$B$5*'5 Year Rainfall Simulation'!C82/1000</f>
        <v>6.2</v>
      </c>
      <c r="P81">
        <f t="shared" si="33"/>
        <v>6.2</v>
      </c>
      <c r="Q81">
        <f t="shared" si="34"/>
        <v>0.62</v>
      </c>
      <c r="R81">
        <f t="shared" si="35"/>
        <v>5.58</v>
      </c>
      <c r="S81">
        <f t="shared" si="51"/>
        <v>35</v>
      </c>
      <c r="T81">
        <f t="shared" si="36"/>
        <v>3.6650493364531855</v>
      </c>
      <c r="U81">
        <f t="shared" si="52"/>
        <v>0</v>
      </c>
      <c r="W81">
        <f>$B$5*'5 Year Rainfall Simulation'!D82/1000</f>
        <v>3.0232156266124703</v>
      </c>
      <c r="X81">
        <f t="shared" si="37"/>
        <v>3.0232156266124703</v>
      </c>
      <c r="Y81">
        <f t="shared" si="38"/>
        <v>0.62</v>
      </c>
      <c r="Z81">
        <f t="shared" si="39"/>
        <v>2.4032156266124702</v>
      </c>
      <c r="AA81">
        <f t="shared" si="53"/>
        <v>35</v>
      </c>
      <c r="AB81">
        <f t="shared" si="40"/>
        <v>1.7871345848824089</v>
      </c>
      <c r="AC81">
        <f t="shared" si="54"/>
        <v>0</v>
      </c>
      <c r="AE81">
        <f>$B$5*'5 Year Rainfall Simulation'!E82/1000</f>
        <v>6.7776126463287438</v>
      </c>
      <c r="AF81">
        <f t="shared" si="41"/>
        <v>6.7776126463287438</v>
      </c>
      <c r="AG81">
        <f t="shared" si="42"/>
        <v>0.62</v>
      </c>
      <c r="AH81">
        <f t="shared" si="43"/>
        <v>6.1576126463287437</v>
      </c>
      <c r="AI81">
        <f t="shared" si="55"/>
        <v>35</v>
      </c>
      <c r="AJ81">
        <f t="shared" si="44"/>
        <v>4.006497537445787</v>
      </c>
      <c r="AK81">
        <f t="shared" si="56"/>
        <v>0</v>
      </c>
      <c r="AM81">
        <f>$B$5*'5 Year Rainfall Simulation'!F82/1000</f>
        <v>1.13674683137585</v>
      </c>
      <c r="AN81">
        <f t="shared" si="45"/>
        <v>1.13674683137585</v>
      </c>
      <c r="AO81">
        <f t="shared" si="46"/>
        <v>0.62</v>
      </c>
      <c r="AP81">
        <f t="shared" si="47"/>
        <v>0.51674683137584998</v>
      </c>
      <c r="AQ81">
        <f t="shared" si="57"/>
        <v>35</v>
      </c>
      <c r="AR81">
        <f t="shared" si="48"/>
        <v>0.67197310000795485</v>
      </c>
      <c r="AS81">
        <f t="shared" si="58"/>
        <v>0</v>
      </c>
    </row>
    <row r="82" spans="6:45" ht="18" customHeight="1">
      <c r="F82" s="109">
        <v>44639</v>
      </c>
      <c r="G82">
        <f>B$5*'5 Year Rainfall Simulation'!B83/1000</f>
        <v>0.32</v>
      </c>
      <c r="H82">
        <f t="shared" si="30"/>
        <v>0.32</v>
      </c>
      <c r="I82">
        <f t="shared" si="29"/>
        <v>0.62</v>
      </c>
      <c r="J82">
        <f t="shared" si="31"/>
        <v>-0.3</v>
      </c>
      <c r="K82">
        <f t="shared" si="49"/>
        <v>34.700000000000003</v>
      </c>
      <c r="L82">
        <f t="shared" si="32"/>
        <v>0.1891638367201644</v>
      </c>
      <c r="M82">
        <f t="shared" si="50"/>
        <v>0</v>
      </c>
      <c r="O82">
        <f>$B$5*'5 Year Rainfall Simulation'!C83/1000</f>
        <v>7.08</v>
      </c>
      <c r="P82">
        <f t="shared" si="33"/>
        <v>7.08</v>
      </c>
      <c r="Q82">
        <f t="shared" si="34"/>
        <v>0.62</v>
      </c>
      <c r="R82">
        <f t="shared" si="35"/>
        <v>6.46</v>
      </c>
      <c r="S82">
        <f t="shared" si="51"/>
        <v>35</v>
      </c>
      <c r="T82">
        <f t="shared" si="36"/>
        <v>4.1852498874336375</v>
      </c>
      <c r="U82">
        <f t="shared" si="52"/>
        <v>0</v>
      </c>
      <c r="W82">
        <f>$B$5*'5 Year Rainfall Simulation'!D83/1000</f>
        <v>1.6478114441517056</v>
      </c>
      <c r="X82">
        <f t="shared" si="37"/>
        <v>1.6478114441517056</v>
      </c>
      <c r="Y82">
        <f t="shared" si="38"/>
        <v>0.62</v>
      </c>
      <c r="Z82">
        <f t="shared" si="39"/>
        <v>1.0278114441517054</v>
      </c>
      <c r="AA82">
        <f t="shared" si="53"/>
        <v>35</v>
      </c>
      <c r="AB82">
        <f t="shared" si="40"/>
        <v>0.97408229677228608</v>
      </c>
      <c r="AC82">
        <f t="shared" si="54"/>
        <v>0</v>
      </c>
      <c r="AE82">
        <f>$B$5*'5 Year Rainfall Simulation'!E83/1000</f>
        <v>7.9743088035864504</v>
      </c>
      <c r="AF82">
        <f t="shared" si="41"/>
        <v>7.9743088035864504</v>
      </c>
      <c r="AG82">
        <f t="shared" si="42"/>
        <v>0.62</v>
      </c>
      <c r="AH82">
        <f t="shared" si="43"/>
        <v>7.3543088035864503</v>
      </c>
      <c r="AI82">
        <f t="shared" si="55"/>
        <v>35</v>
      </c>
      <c r="AJ82">
        <f t="shared" si="44"/>
        <v>4.7139089014931157</v>
      </c>
      <c r="AK82">
        <f t="shared" si="56"/>
        <v>0</v>
      </c>
      <c r="AM82">
        <f>$B$5*'5 Year Rainfall Simulation'!F83/1000</f>
        <v>3.3757492906320556</v>
      </c>
      <c r="AN82">
        <f t="shared" si="45"/>
        <v>3.3757492906320556</v>
      </c>
      <c r="AO82">
        <f t="shared" si="46"/>
        <v>0.62</v>
      </c>
      <c r="AP82">
        <f t="shared" si="47"/>
        <v>2.7557492906320555</v>
      </c>
      <c r="AQ82">
        <f t="shared" si="57"/>
        <v>35</v>
      </c>
      <c r="AR82">
        <f t="shared" si="48"/>
        <v>1.9955302738166656</v>
      </c>
      <c r="AS82">
        <f t="shared" si="58"/>
        <v>0</v>
      </c>
    </row>
    <row r="83" spans="6:45" ht="18" customHeight="1">
      <c r="F83" s="109">
        <v>44640</v>
      </c>
      <c r="G83">
        <f>B$5*'5 Year Rainfall Simulation'!B84/1000</f>
        <v>0.32</v>
      </c>
      <c r="H83">
        <f t="shared" si="30"/>
        <v>0.32</v>
      </c>
      <c r="I83">
        <f t="shared" si="29"/>
        <v>0.62</v>
      </c>
      <c r="J83">
        <f t="shared" si="31"/>
        <v>-0.3</v>
      </c>
      <c r="K83">
        <f t="shared" si="49"/>
        <v>34.400000000000006</v>
      </c>
      <c r="L83">
        <f t="shared" si="32"/>
        <v>0.1891638367201644</v>
      </c>
      <c r="M83">
        <f t="shared" si="50"/>
        <v>0</v>
      </c>
      <c r="O83">
        <f>$B$5*'5 Year Rainfall Simulation'!C84/1000</f>
        <v>5.72</v>
      </c>
      <c r="P83">
        <f t="shared" si="33"/>
        <v>5.72</v>
      </c>
      <c r="Q83">
        <f t="shared" si="34"/>
        <v>0.62</v>
      </c>
      <c r="R83">
        <f t="shared" si="35"/>
        <v>5.0999999999999996</v>
      </c>
      <c r="S83">
        <f t="shared" si="51"/>
        <v>35</v>
      </c>
      <c r="T83">
        <f t="shared" si="36"/>
        <v>3.3813035813729386</v>
      </c>
      <c r="U83">
        <f t="shared" si="52"/>
        <v>0</v>
      </c>
      <c r="W83">
        <f>$B$5*'5 Year Rainfall Simulation'!D84/1000</f>
        <v>1.6123568156879022</v>
      </c>
      <c r="X83">
        <f t="shared" si="37"/>
        <v>1.6123568156879022</v>
      </c>
      <c r="Y83">
        <f t="shared" si="38"/>
        <v>0.62</v>
      </c>
      <c r="Z83">
        <f t="shared" si="39"/>
        <v>0.99235681568790224</v>
      </c>
      <c r="AA83">
        <f t="shared" si="53"/>
        <v>35</v>
      </c>
      <c r="AB83">
        <f t="shared" si="40"/>
        <v>0.9531237544294705</v>
      </c>
      <c r="AC83">
        <f t="shared" si="54"/>
        <v>0</v>
      </c>
      <c r="AE83">
        <f>$B$5*'5 Year Rainfall Simulation'!E84/1000</f>
        <v>7.36525919998906</v>
      </c>
      <c r="AF83">
        <f t="shared" si="41"/>
        <v>7.36525919998906</v>
      </c>
      <c r="AG83">
        <f t="shared" si="42"/>
        <v>0.62</v>
      </c>
      <c r="AH83">
        <f t="shared" si="43"/>
        <v>6.7452591999890599</v>
      </c>
      <c r="AI83">
        <f t="shared" si="55"/>
        <v>35</v>
      </c>
      <c r="AJ83">
        <f t="shared" si="44"/>
        <v>4.3538771522138102</v>
      </c>
      <c r="AK83">
        <f t="shared" si="56"/>
        <v>0</v>
      </c>
      <c r="AM83">
        <f>$B$5*'5 Year Rainfall Simulation'!F84/1000</f>
        <v>0</v>
      </c>
      <c r="AN83">
        <f t="shared" si="45"/>
        <v>0</v>
      </c>
      <c r="AO83">
        <f t="shared" si="46"/>
        <v>0.62</v>
      </c>
      <c r="AP83">
        <f t="shared" si="47"/>
        <v>-0.62</v>
      </c>
      <c r="AQ83">
        <f t="shared" si="57"/>
        <v>34.380000000000003</v>
      </c>
      <c r="AR83">
        <f t="shared" si="48"/>
        <v>0</v>
      </c>
      <c r="AS83">
        <f t="shared" si="58"/>
        <v>0</v>
      </c>
    </row>
    <row r="84" spans="6:45" ht="18" customHeight="1">
      <c r="F84" s="109">
        <v>44641</v>
      </c>
      <c r="G84">
        <f>B$5*'5 Year Rainfall Simulation'!B85/1000</f>
        <v>1.52</v>
      </c>
      <c r="H84">
        <f t="shared" si="30"/>
        <v>1.52</v>
      </c>
      <c r="I84">
        <f t="shared" si="29"/>
        <v>0.62</v>
      </c>
      <c r="J84">
        <f t="shared" si="31"/>
        <v>0.9</v>
      </c>
      <c r="K84">
        <f t="shared" si="49"/>
        <v>35</v>
      </c>
      <c r="L84">
        <f t="shared" si="32"/>
        <v>0.89852822442078095</v>
      </c>
      <c r="M84">
        <f t="shared" si="50"/>
        <v>0</v>
      </c>
      <c r="O84">
        <f>$B$5*'5 Year Rainfall Simulation'!C85/1000</f>
        <v>0</v>
      </c>
      <c r="P84">
        <f t="shared" si="33"/>
        <v>0</v>
      </c>
      <c r="Q84">
        <f t="shared" si="34"/>
        <v>0.62</v>
      </c>
      <c r="R84">
        <f t="shared" si="35"/>
        <v>-0.62</v>
      </c>
      <c r="S84">
        <f t="shared" si="51"/>
        <v>34.380000000000003</v>
      </c>
      <c r="T84">
        <f t="shared" si="36"/>
        <v>0</v>
      </c>
      <c r="U84">
        <f t="shared" si="52"/>
        <v>0</v>
      </c>
      <c r="W84">
        <f>$B$5*'5 Year Rainfall Simulation'!D85/1000</f>
        <v>1.4622369324268816</v>
      </c>
      <c r="X84">
        <f t="shared" si="37"/>
        <v>1.4622369324268816</v>
      </c>
      <c r="Y84">
        <f t="shared" si="38"/>
        <v>0.62</v>
      </c>
      <c r="Z84">
        <f t="shared" si="39"/>
        <v>0.84223693242688158</v>
      </c>
      <c r="AA84">
        <f t="shared" si="53"/>
        <v>35</v>
      </c>
      <c r="AB84">
        <f t="shared" si="40"/>
        <v>0.8643823385368522</v>
      </c>
      <c r="AC84">
        <f t="shared" si="54"/>
        <v>0</v>
      </c>
      <c r="AE84">
        <f>$B$5*'5 Year Rainfall Simulation'!E85/1000</f>
        <v>0</v>
      </c>
      <c r="AF84">
        <f t="shared" si="41"/>
        <v>0</v>
      </c>
      <c r="AG84">
        <f t="shared" si="42"/>
        <v>0.62</v>
      </c>
      <c r="AH84">
        <f t="shared" si="43"/>
        <v>-0.62</v>
      </c>
      <c r="AI84">
        <f t="shared" si="55"/>
        <v>34.380000000000003</v>
      </c>
      <c r="AJ84">
        <f t="shared" si="44"/>
        <v>0</v>
      </c>
      <c r="AK84">
        <f t="shared" si="56"/>
        <v>0</v>
      </c>
      <c r="AM84">
        <f>$B$5*'5 Year Rainfall Simulation'!F85/1000</f>
        <v>0</v>
      </c>
      <c r="AN84">
        <f t="shared" si="45"/>
        <v>0</v>
      </c>
      <c r="AO84">
        <f t="shared" si="46"/>
        <v>0.62</v>
      </c>
      <c r="AP84">
        <f t="shared" si="47"/>
        <v>-0.62</v>
      </c>
      <c r="AQ84">
        <f t="shared" si="57"/>
        <v>33.760000000000005</v>
      </c>
      <c r="AR84">
        <f t="shared" si="48"/>
        <v>0</v>
      </c>
      <c r="AS84">
        <f t="shared" si="58"/>
        <v>0</v>
      </c>
    </row>
    <row r="85" spans="6:45" ht="18" customHeight="1">
      <c r="F85" s="109">
        <v>44642</v>
      </c>
      <c r="G85">
        <f>B$5*'5 Year Rainfall Simulation'!B86/1000</f>
        <v>0.52</v>
      </c>
      <c r="H85">
        <f t="shared" si="30"/>
        <v>0.52</v>
      </c>
      <c r="I85">
        <f t="shared" si="29"/>
        <v>0.62</v>
      </c>
      <c r="J85">
        <f t="shared" si="31"/>
        <v>-9.9999999999999978E-2</v>
      </c>
      <c r="K85">
        <f t="shared" si="49"/>
        <v>34.9</v>
      </c>
      <c r="L85">
        <f t="shared" si="32"/>
        <v>0.30739123467026719</v>
      </c>
      <c r="M85">
        <f t="shared" si="50"/>
        <v>0</v>
      </c>
      <c r="O85">
        <f>$B$5*'5 Year Rainfall Simulation'!C86/1000</f>
        <v>1.4</v>
      </c>
      <c r="P85">
        <f t="shared" si="33"/>
        <v>1.4</v>
      </c>
      <c r="Q85">
        <f t="shared" si="34"/>
        <v>0.62</v>
      </c>
      <c r="R85">
        <f t="shared" si="35"/>
        <v>0.77999999999999992</v>
      </c>
      <c r="S85">
        <f t="shared" si="51"/>
        <v>35</v>
      </c>
      <c r="T85">
        <f t="shared" si="36"/>
        <v>0.82759178565071922</v>
      </c>
      <c r="U85">
        <f t="shared" si="52"/>
        <v>0</v>
      </c>
      <c r="W85">
        <f>$B$5*'5 Year Rainfall Simulation'!D86/1000</f>
        <v>0</v>
      </c>
      <c r="X85">
        <f t="shared" si="37"/>
        <v>0</v>
      </c>
      <c r="Y85">
        <f t="shared" si="38"/>
        <v>0.62</v>
      </c>
      <c r="Z85">
        <f t="shared" si="39"/>
        <v>-0.62</v>
      </c>
      <c r="AA85">
        <f t="shared" si="53"/>
        <v>34.380000000000003</v>
      </c>
      <c r="AB85">
        <f t="shared" si="40"/>
        <v>0</v>
      </c>
      <c r="AC85">
        <f t="shared" si="54"/>
        <v>0</v>
      </c>
      <c r="AE85">
        <f>$B$5*'5 Year Rainfall Simulation'!E86/1000</f>
        <v>0.35967339101244</v>
      </c>
      <c r="AF85">
        <f t="shared" si="41"/>
        <v>0.35967339101244</v>
      </c>
      <c r="AG85">
        <f t="shared" si="42"/>
        <v>0.62</v>
      </c>
      <c r="AH85">
        <f t="shared" si="43"/>
        <v>-0.26032660898755999</v>
      </c>
      <c r="AI85">
        <f t="shared" si="55"/>
        <v>34.119673391012441</v>
      </c>
      <c r="AJ85">
        <f t="shared" si="44"/>
        <v>0.21261624565645329</v>
      </c>
      <c r="AK85">
        <f t="shared" si="56"/>
        <v>0</v>
      </c>
      <c r="AM85">
        <f>$B$5*'5 Year Rainfall Simulation'!F86/1000</f>
        <v>0</v>
      </c>
      <c r="AN85">
        <f t="shared" si="45"/>
        <v>0</v>
      </c>
      <c r="AO85">
        <f t="shared" si="46"/>
        <v>0.62</v>
      </c>
      <c r="AP85">
        <f t="shared" si="47"/>
        <v>-0.62</v>
      </c>
      <c r="AQ85">
        <f t="shared" si="57"/>
        <v>33.140000000000008</v>
      </c>
      <c r="AR85">
        <f t="shared" si="48"/>
        <v>0</v>
      </c>
      <c r="AS85">
        <f t="shared" si="58"/>
        <v>0</v>
      </c>
    </row>
    <row r="86" spans="6:45" ht="18" customHeight="1">
      <c r="F86" s="109">
        <v>44643</v>
      </c>
      <c r="G86">
        <f>B$5*'5 Year Rainfall Simulation'!B87/1000</f>
        <v>0</v>
      </c>
      <c r="H86">
        <f t="shared" si="30"/>
        <v>0</v>
      </c>
      <c r="I86">
        <f t="shared" si="29"/>
        <v>0.62</v>
      </c>
      <c r="J86">
        <f t="shared" si="31"/>
        <v>-0.62</v>
      </c>
      <c r="K86">
        <f t="shared" si="49"/>
        <v>34.28</v>
      </c>
      <c r="L86">
        <f t="shared" si="32"/>
        <v>0</v>
      </c>
      <c r="M86">
        <f t="shared" si="50"/>
        <v>0</v>
      </c>
      <c r="O86">
        <f>$B$5*'5 Year Rainfall Simulation'!C87/1000</f>
        <v>1.92</v>
      </c>
      <c r="P86">
        <f t="shared" si="33"/>
        <v>1.92</v>
      </c>
      <c r="Q86">
        <f t="shared" si="34"/>
        <v>0.62</v>
      </c>
      <c r="R86">
        <f t="shared" si="35"/>
        <v>1.2999999999999998</v>
      </c>
      <c r="S86">
        <f t="shared" si="51"/>
        <v>35</v>
      </c>
      <c r="T86">
        <f t="shared" si="36"/>
        <v>1.1349830203209863</v>
      </c>
      <c r="U86">
        <f t="shared" si="52"/>
        <v>0</v>
      </c>
      <c r="W86">
        <f>$B$5*'5 Year Rainfall Simulation'!D87/1000</f>
        <v>1.1750018125527983</v>
      </c>
      <c r="X86">
        <f t="shared" si="37"/>
        <v>1.1750018125527983</v>
      </c>
      <c r="Y86">
        <f t="shared" si="38"/>
        <v>0.62</v>
      </c>
      <c r="Z86">
        <f t="shared" si="39"/>
        <v>0.55500181255279835</v>
      </c>
      <c r="AA86">
        <f t="shared" si="53"/>
        <v>34.935001812552798</v>
      </c>
      <c r="AB86">
        <f t="shared" si="40"/>
        <v>0.69458703442385861</v>
      </c>
      <c r="AC86">
        <f t="shared" si="54"/>
        <v>0</v>
      </c>
      <c r="AE86">
        <f>$B$5*'5 Year Rainfall Simulation'!E87/1000</f>
        <v>0.48206154272145452</v>
      </c>
      <c r="AF86">
        <f t="shared" si="41"/>
        <v>0.48206154272145452</v>
      </c>
      <c r="AG86">
        <f t="shared" si="42"/>
        <v>0.62</v>
      </c>
      <c r="AH86">
        <f t="shared" si="43"/>
        <v>-0.13793845727854548</v>
      </c>
      <c r="AI86">
        <f t="shared" si="55"/>
        <v>33.981734933733897</v>
      </c>
      <c r="AJ86">
        <f t="shared" si="44"/>
        <v>0.2849644092388493</v>
      </c>
      <c r="AK86">
        <f t="shared" si="56"/>
        <v>0</v>
      </c>
      <c r="AM86">
        <f>$B$5*'5 Year Rainfall Simulation'!F87/1000</f>
        <v>0.32647067157287446</v>
      </c>
      <c r="AN86">
        <f t="shared" si="45"/>
        <v>0.32647067157287446</v>
      </c>
      <c r="AO86">
        <f t="shared" si="46"/>
        <v>0.62</v>
      </c>
      <c r="AP86">
        <f t="shared" si="47"/>
        <v>-0.29352932842712554</v>
      </c>
      <c r="AQ86">
        <f t="shared" si="57"/>
        <v>32.846470671572881</v>
      </c>
      <c r="AR86">
        <f t="shared" si="48"/>
        <v>0.19298889003541764</v>
      </c>
      <c r="AS86">
        <f t="shared" si="58"/>
        <v>0</v>
      </c>
    </row>
    <row r="87" spans="6:45" ht="18" customHeight="1">
      <c r="F87" s="109">
        <v>44644</v>
      </c>
      <c r="G87">
        <f>B$5*'5 Year Rainfall Simulation'!B88/1000</f>
        <v>0.8</v>
      </c>
      <c r="H87">
        <f t="shared" si="30"/>
        <v>0.8</v>
      </c>
      <c r="I87">
        <f t="shared" si="29"/>
        <v>0.62</v>
      </c>
      <c r="J87">
        <f t="shared" si="31"/>
        <v>0.18000000000000005</v>
      </c>
      <c r="K87">
        <f t="shared" si="49"/>
        <v>34.46</v>
      </c>
      <c r="L87">
        <f t="shared" si="32"/>
        <v>0.47290959180041103</v>
      </c>
      <c r="M87">
        <f t="shared" si="50"/>
        <v>0</v>
      </c>
      <c r="O87">
        <f>$B$5*'5 Year Rainfall Simulation'!C88/1000</f>
        <v>3.64</v>
      </c>
      <c r="P87">
        <f t="shared" si="33"/>
        <v>3.64</v>
      </c>
      <c r="Q87">
        <f t="shared" si="34"/>
        <v>0.62</v>
      </c>
      <c r="R87">
        <f t="shared" si="35"/>
        <v>3.02</v>
      </c>
      <c r="S87">
        <f t="shared" si="51"/>
        <v>35</v>
      </c>
      <c r="T87">
        <f t="shared" si="36"/>
        <v>2.1517386426918703</v>
      </c>
      <c r="U87">
        <f t="shared" si="52"/>
        <v>0</v>
      </c>
      <c r="W87">
        <f>$B$5*'5 Year Rainfall Simulation'!D88/1000</f>
        <v>0.41133264155682242</v>
      </c>
      <c r="X87">
        <f t="shared" si="37"/>
        <v>0.41133264155682242</v>
      </c>
      <c r="Y87">
        <f t="shared" si="38"/>
        <v>0.62</v>
      </c>
      <c r="Z87">
        <f t="shared" si="39"/>
        <v>-0.20866735844317758</v>
      </c>
      <c r="AA87">
        <f t="shared" si="53"/>
        <v>34.726334454109619</v>
      </c>
      <c r="AB87">
        <f t="shared" si="40"/>
        <v>0.2431539395160271</v>
      </c>
      <c r="AC87">
        <f t="shared" si="54"/>
        <v>0</v>
      </c>
      <c r="AE87">
        <f>$B$5*'5 Year Rainfall Simulation'!E88/1000</f>
        <v>4.532235718362478</v>
      </c>
      <c r="AF87">
        <f t="shared" si="41"/>
        <v>4.532235718362478</v>
      </c>
      <c r="AG87">
        <f t="shared" si="42"/>
        <v>0.62</v>
      </c>
      <c r="AH87">
        <f t="shared" si="43"/>
        <v>3.9122357183624779</v>
      </c>
      <c r="AI87">
        <f t="shared" si="55"/>
        <v>35</v>
      </c>
      <c r="AJ87">
        <f t="shared" si="44"/>
        <v>2.6791721793925527</v>
      </c>
      <c r="AK87">
        <f t="shared" si="56"/>
        <v>0</v>
      </c>
      <c r="AM87">
        <f>$B$5*'5 Year Rainfall Simulation'!F88/1000</f>
        <v>1.447105541827906</v>
      </c>
      <c r="AN87">
        <f t="shared" si="45"/>
        <v>1.447105541827906</v>
      </c>
      <c r="AO87">
        <f t="shared" si="46"/>
        <v>0.62</v>
      </c>
      <c r="AP87">
        <f t="shared" si="47"/>
        <v>0.82710554182790597</v>
      </c>
      <c r="AQ87">
        <f t="shared" si="57"/>
        <v>33.673576213400786</v>
      </c>
      <c r="AR87">
        <f t="shared" si="48"/>
        <v>0.85543761384743455</v>
      </c>
      <c r="AS87">
        <f t="shared" si="58"/>
        <v>0</v>
      </c>
    </row>
    <row r="88" spans="6:45" ht="18" customHeight="1">
      <c r="F88" s="109">
        <v>44645</v>
      </c>
      <c r="G88">
        <f>B$5*'5 Year Rainfall Simulation'!B89/1000</f>
        <v>6.2</v>
      </c>
      <c r="H88">
        <f t="shared" si="30"/>
        <v>6.2</v>
      </c>
      <c r="I88">
        <f t="shared" si="29"/>
        <v>0.62</v>
      </c>
      <c r="J88">
        <f t="shared" si="31"/>
        <v>5.58</v>
      </c>
      <c r="K88">
        <f t="shared" si="49"/>
        <v>35</v>
      </c>
      <c r="L88">
        <f t="shared" si="32"/>
        <v>3.6650493364531855</v>
      </c>
      <c r="M88">
        <f t="shared" si="50"/>
        <v>0</v>
      </c>
      <c r="O88">
        <f>$B$5*'5 Year Rainfall Simulation'!C89/1000</f>
        <v>20.88</v>
      </c>
      <c r="P88">
        <f t="shared" si="33"/>
        <v>10</v>
      </c>
      <c r="Q88">
        <f t="shared" si="34"/>
        <v>0.62</v>
      </c>
      <c r="R88">
        <f t="shared" si="35"/>
        <v>9.3800000000000008</v>
      </c>
      <c r="S88">
        <f t="shared" si="51"/>
        <v>35</v>
      </c>
      <c r="T88">
        <f t="shared" si="36"/>
        <v>5.9113698975051374</v>
      </c>
      <c r="U88">
        <f t="shared" si="52"/>
        <v>0</v>
      </c>
      <c r="W88">
        <f>$B$5*'5 Year Rainfall Simulation'!D89/1000</f>
        <v>3.0697437613432559</v>
      </c>
      <c r="X88">
        <f t="shared" si="37"/>
        <v>3.0697437613432559</v>
      </c>
      <c r="Y88">
        <f t="shared" si="38"/>
        <v>0.62</v>
      </c>
      <c r="Z88">
        <f t="shared" si="39"/>
        <v>2.4497437613432558</v>
      </c>
      <c r="AA88">
        <f t="shared" si="53"/>
        <v>35</v>
      </c>
      <c r="AB88">
        <f t="shared" si="40"/>
        <v>1.8146390863858719</v>
      </c>
      <c r="AC88">
        <f t="shared" si="54"/>
        <v>0</v>
      </c>
      <c r="AE88">
        <f>$B$5*'5 Year Rainfall Simulation'!E89/1000</f>
        <v>18.967192238073896</v>
      </c>
      <c r="AF88">
        <f t="shared" si="41"/>
        <v>10</v>
      </c>
      <c r="AG88">
        <f t="shared" si="42"/>
        <v>0.62</v>
      </c>
      <c r="AH88">
        <f t="shared" si="43"/>
        <v>9.3800000000000008</v>
      </c>
      <c r="AI88">
        <f t="shared" si="55"/>
        <v>35</v>
      </c>
      <c r="AJ88">
        <f t="shared" si="44"/>
        <v>5.9113698975051374</v>
      </c>
      <c r="AK88">
        <f t="shared" si="56"/>
        <v>0</v>
      </c>
      <c r="AM88">
        <f>$B$5*'5 Year Rainfall Simulation'!F89/1000</f>
        <v>4.117970997837884</v>
      </c>
      <c r="AN88">
        <f t="shared" si="45"/>
        <v>4.117970997837884</v>
      </c>
      <c r="AO88">
        <f t="shared" si="46"/>
        <v>0.62</v>
      </c>
      <c r="AP88">
        <f t="shared" si="47"/>
        <v>3.4979709978378839</v>
      </c>
      <c r="AQ88">
        <f t="shared" si="57"/>
        <v>35</v>
      </c>
      <c r="AR88">
        <f t="shared" si="48"/>
        <v>2.4342849795418062</v>
      </c>
      <c r="AS88">
        <f t="shared" si="58"/>
        <v>0</v>
      </c>
    </row>
    <row r="89" spans="6:45" ht="18" customHeight="1">
      <c r="F89" s="109">
        <v>44646</v>
      </c>
      <c r="G89">
        <f>B$5*'5 Year Rainfall Simulation'!B90/1000</f>
        <v>0.04</v>
      </c>
      <c r="H89">
        <f t="shared" si="30"/>
        <v>0.04</v>
      </c>
      <c r="I89">
        <f t="shared" si="29"/>
        <v>0.62</v>
      </c>
      <c r="J89">
        <f t="shared" si="31"/>
        <v>-0.57999999999999996</v>
      </c>
      <c r="K89">
        <f t="shared" si="49"/>
        <v>34.42</v>
      </c>
      <c r="L89">
        <f t="shared" si="32"/>
        <v>2.364547959002055E-2</v>
      </c>
      <c r="M89">
        <f t="shared" si="50"/>
        <v>0</v>
      </c>
      <c r="O89">
        <f>$B$5*'5 Year Rainfall Simulation'!C90/1000</f>
        <v>6.6400000000000006</v>
      </c>
      <c r="P89">
        <f t="shared" si="33"/>
        <v>6.6400000000000006</v>
      </c>
      <c r="Q89">
        <f t="shared" si="34"/>
        <v>0.62</v>
      </c>
      <c r="R89">
        <f t="shared" si="35"/>
        <v>6.0200000000000005</v>
      </c>
      <c r="S89">
        <f t="shared" si="51"/>
        <v>35</v>
      </c>
      <c r="T89">
        <f t="shared" si="36"/>
        <v>3.9251496119434117</v>
      </c>
      <c r="U89">
        <f t="shared" si="52"/>
        <v>0</v>
      </c>
      <c r="W89">
        <f>$B$5*'5 Year Rainfall Simulation'!D90/1000</f>
        <v>0</v>
      </c>
      <c r="X89">
        <f t="shared" si="37"/>
        <v>0</v>
      </c>
      <c r="Y89">
        <f t="shared" si="38"/>
        <v>0.62</v>
      </c>
      <c r="Z89">
        <f t="shared" si="39"/>
        <v>-0.62</v>
      </c>
      <c r="AA89">
        <f t="shared" si="53"/>
        <v>34.380000000000003</v>
      </c>
      <c r="AB89">
        <f t="shared" si="40"/>
        <v>0</v>
      </c>
      <c r="AC89">
        <f t="shared" si="54"/>
        <v>0</v>
      </c>
      <c r="AE89">
        <f>$B$5*'5 Year Rainfall Simulation'!E90/1000</f>
        <v>7.6809471331378321</v>
      </c>
      <c r="AF89">
        <f t="shared" si="41"/>
        <v>7.6809471331378321</v>
      </c>
      <c r="AG89">
        <f t="shared" si="42"/>
        <v>0.62</v>
      </c>
      <c r="AH89">
        <f t="shared" si="43"/>
        <v>7.060947133137832</v>
      </c>
      <c r="AI89">
        <f t="shared" si="55"/>
        <v>35</v>
      </c>
      <c r="AJ89">
        <f t="shared" si="44"/>
        <v>4.5404919667159369</v>
      </c>
      <c r="AK89">
        <f t="shared" si="56"/>
        <v>0</v>
      </c>
      <c r="AM89">
        <f>$B$5*'5 Year Rainfall Simulation'!F90/1000</f>
        <v>1.7213766622187765</v>
      </c>
      <c r="AN89">
        <f t="shared" si="45"/>
        <v>1.7213766622187765</v>
      </c>
      <c r="AO89">
        <f t="shared" si="46"/>
        <v>0.62</v>
      </c>
      <c r="AP89">
        <f t="shared" si="47"/>
        <v>1.1013766622187764</v>
      </c>
      <c r="AQ89">
        <f t="shared" si="57"/>
        <v>35</v>
      </c>
      <c r="AR89">
        <f t="shared" si="48"/>
        <v>1.0175694183307944</v>
      </c>
      <c r="AS89">
        <f t="shared" si="58"/>
        <v>0</v>
      </c>
    </row>
    <row r="90" spans="6:45" ht="18" customHeight="1">
      <c r="F90" s="109">
        <v>44647</v>
      </c>
      <c r="G90">
        <f>B$5*'5 Year Rainfall Simulation'!B91/1000</f>
        <v>0.88000000000000012</v>
      </c>
      <c r="H90">
        <f t="shared" si="30"/>
        <v>0.88000000000000012</v>
      </c>
      <c r="I90">
        <f t="shared" si="29"/>
        <v>0.62</v>
      </c>
      <c r="J90">
        <f t="shared" si="31"/>
        <v>0.26000000000000012</v>
      </c>
      <c r="K90">
        <f t="shared" si="49"/>
        <v>34.68</v>
      </c>
      <c r="L90">
        <f t="shared" si="32"/>
        <v>0.52020055098045215</v>
      </c>
      <c r="M90">
        <f t="shared" si="50"/>
        <v>0</v>
      </c>
      <c r="O90">
        <f>$B$5*'5 Year Rainfall Simulation'!C91/1000</f>
        <v>5.24</v>
      </c>
      <c r="P90">
        <f t="shared" si="33"/>
        <v>5.24</v>
      </c>
      <c r="Q90">
        <f t="shared" si="34"/>
        <v>0.62</v>
      </c>
      <c r="R90">
        <f t="shared" si="35"/>
        <v>4.62</v>
      </c>
      <c r="S90">
        <f t="shared" si="51"/>
        <v>35</v>
      </c>
      <c r="T90">
        <f t="shared" si="36"/>
        <v>3.0975578262926922</v>
      </c>
      <c r="U90">
        <f t="shared" si="52"/>
        <v>0</v>
      </c>
      <c r="W90">
        <f>$B$5*'5 Year Rainfall Simulation'!D91/1000</f>
        <v>2.5097477670321479E-2</v>
      </c>
      <c r="X90">
        <f t="shared" si="37"/>
        <v>2.5097477670321479E-2</v>
      </c>
      <c r="Y90">
        <f t="shared" si="38"/>
        <v>0.62</v>
      </c>
      <c r="Z90">
        <f t="shared" si="39"/>
        <v>-0.59490252232967855</v>
      </c>
      <c r="AA90">
        <f t="shared" si="53"/>
        <v>33.785097477670327</v>
      </c>
      <c r="AB90">
        <f t="shared" si="40"/>
        <v>1.4836047400364576E-2</v>
      </c>
      <c r="AC90">
        <f t="shared" si="54"/>
        <v>0</v>
      </c>
      <c r="AE90">
        <f>$B$5*'5 Year Rainfall Simulation'!E91/1000</f>
        <v>4.2394750348759977</v>
      </c>
      <c r="AF90">
        <f t="shared" si="41"/>
        <v>4.2394750348759977</v>
      </c>
      <c r="AG90">
        <f t="shared" si="42"/>
        <v>0.62</v>
      </c>
      <c r="AH90">
        <f t="shared" si="43"/>
        <v>3.6194750348759976</v>
      </c>
      <c r="AI90">
        <f t="shared" si="55"/>
        <v>35</v>
      </c>
      <c r="AJ90">
        <f t="shared" si="44"/>
        <v>2.5061105102390515</v>
      </c>
      <c r="AK90">
        <f t="shared" si="56"/>
        <v>0</v>
      </c>
      <c r="AM90">
        <f>$B$5*'5 Year Rainfall Simulation'!F91/1000</f>
        <v>0.26717714392705577</v>
      </c>
      <c r="AN90">
        <f t="shared" si="45"/>
        <v>0.26717714392705577</v>
      </c>
      <c r="AO90">
        <f t="shared" si="46"/>
        <v>0.62</v>
      </c>
      <c r="AP90">
        <f t="shared" si="47"/>
        <v>-0.35282285607294422</v>
      </c>
      <c r="AQ90">
        <f t="shared" si="57"/>
        <v>34.647177143927053</v>
      </c>
      <c r="AR90">
        <f t="shared" si="48"/>
        <v>0.1579382925911795</v>
      </c>
      <c r="AS90">
        <f t="shared" si="58"/>
        <v>0</v>
      </c>
    </row>
    <row r="91" spans="6:45" ht="18" customHeight="1">
      <c r="F91" s="109">
        <v>44648</v>
      </c>
      <c r="G91">
        <f>B$5*'5 Year Rainfall Simulation'!B92/1000</f>
        <v>4.72</v>
      </c>
      <c r="H91">
        <f t="shared" si="30"/>
        <v>4.72</v>
      </c>
      <c r="I91">
        <f t="shared" si="29"/>
        <v>0.62</v>
      </c>
      <c r="J91">
        <f t="shared" si="31"/>
        <v>4.0999999999999996</v>
      </c>
      <c r="K91">
        <f t="shared" si="49"/>
        <v>35</v>
      </c>
      <c r="L91">
        <f t="shared" si="32"/>
        <v>2.790166591622425</v>
      </c>
      <c r="M91">
        <f t="shared" si="50"/>
        <v>0</v>
      </c>
      <c r="O91">
        <f>$B$5*'5 Year Rainfall Simulation'!C92/1000</f>
        <v>13.76</v>
      </c>
      <c r="P91">
        <f t="shared" si="33"/>
        <v>10</v>
      </c>
      <c r="Q91">
        <f t="shared" si="34"/>
        <v>0.62</v>
      </c>
      <c r="R91">
        <f t="shared" si="35"/>
        <v>9.3800000000000008</v>
      </c>
      <c r="S91">
        <f t="shared" si="51"/>
        <v>35</v>
      </c>
      <c r="T91">
        <f t="shared" si="36"/>
        <v>5.9113698975051374</v>
      </c>
      <c r="U91">
        <f t="shared" si="52"/>
        <v>0</v>
      </c>
      <c r="W91">
        <f>$B$5*'5 Year Rainfall Simulation'!D92/1000</f>
        <v>4.7395148698048057</v>
      </c>
      <c r="X91">
        <f t="shared" si="37"/>
        <v>4.7395148698048057</v>
      </c>
      <c r="Y91">
        <f t="shared" si="38"/>
        <v>0.62</v>
      </c>
      <c r="Z91">
        <f t="shared" si="39"/>
        <v>4.1195148698048056</v>
      </c>
      <c r="AA91">
        <f t="shared" si="53"/>
        <v>35</v>
      </c>
      <c r="AB91">
        <f t="shared" si="40"/>
        <v>2.801702553014211</v>
      </c>
      <c r="AC91">
        <f t="shared" si="54"/>
        <v>0</v>
      </c>
      <c r="AE91">
        <f>$B$5*'5 Year Rainfall Simulation'!E92/1000</f>
        <v>14.854249799481824</v>
      </c>
      <c r="AF91">
        <f t="shared" si="41"/>
        <v>10</v>
      </c>
      <c r="AG91">
        <f t="shared" si="42"/>
        <v>0.62</v>
      </c>
      <c r="AH91">
        <f t="shared" si="43"/>
        <v>9.3800000000000008</v>
      </c>
      <c r="AI91">
        <f t="shared" si="55"/>
        <v>35</v>
      </c>
      <c r="AJ91">
        <f t="shared" si="44"/>
        <v>5.9113698975051374</v>
      </c>
      <c r="AK91">
        <f t="shared" si="56"/>
        <v>0</v>
      </c>
      <c r="AM91">
        <f>$B$5*'5 Year Rainfall Simulation'!F92/1000</f>
        <v>4.3429626963984118</v>
      </c>
      <c r="AN91">
        <f t="shared" si="45"/>
        <v>4.3429626963984118</v>
      </c>
      <c r="AO91">
        <f t="shared" si="46"/>
        <v>0.62</v>
      </c>
      <c r="AP91">
        <f t="shared" si="47"/>
        <v>3.7229626963984117</v>
      </c>
      <c r="AQ91">
        <f t="shared" si="57"/>
        <v>35</v>
      </c>
      <c r="AR91">
        <f t="shared" si="48"/>
        <v>2.5672858949477315</v>
      </c>
      <c r="AS91">
        <f t="shared" si="58"/>
        <v>0</v>
      </c>
    </row>
    <row r="92" spans="6:45" ht="18" customHeight="1">
      <c r="F92" s="109">
        <v>44649</v>
      </c>
      <c r="G92">
        <f>B$5*'5 Year Rainfall Simulation'!B93/1000</f>
        <v>8.32</v>
      </c>
      <c r="H92">
        <f t="shared" si="30"/>
        <v>8.32</v>
      </c>
      <c r="I92">
        <f t="shared" si="29"/>
        <v>0.62</v>
      </c>
      <c r="J92">
        <f t="shared" si="31"/>
        <v>7.7</v>
      </c>
      <c r="K92">
        <f t="shared" si="49"/>
        <v>35</v>
      </c>
      <c r="L92">
        <f t="shared" si="32"/>
        <v>4.918259754724275</v>
      </c>
      <c r="M92">
        <f t="shared" si="50"/>
        <v>0</v>
      </c>
      <c r="O92">
        <f>$B$5*'5 Year Rainfall Simulation'!C93/1000</f>
        <v>2</v>
      </c>
      <c r="P92">
        <f t="shared" si="33"/>
        <v>2</v>
      </c>
      <c r="Q92">
        <f t="shared" si="34"/>
        <v>0.62</v>
      </c>
      <c r="R92">
        <f t="shared" si="35"/>
        <v>1.38</v>
      </c>
      <c r="S92">
        <f t="shared" si="51"/>
        <v>35</v>
      </c>
      <c r="T92">
        <f t="shared" si="36"/>
        <v>1.1822739795010275</v>
      </c>
      <c r="U92">
        <f t="shared" si="52"/>
        <v>0</v>
      </c>
      <c r="W92">
        <f>$B$5*'5 Year Rainfall Simulation'!D93/1000</f>
        <v>7.3968684896840591</v>
      </c>
      <c r="X92">
        <f t="shared" si="37"/>
        <v>7.3968684896840591</v>
      </c>
      <c r="Y92">
        <f t="shared" si="38"/>
        <v>0.62</v>
      </c>
      <c r="Z92">
        <f t="shared" si="39"/>
        <v>6.776868489684059</v>
      </c>
      <c r="AA92">
        <f t="shared" si="53"/>
        <v>35</v>
      </c>
      <c r="AB92">
        <f t="shared" si="40"/>
        <v>4.3725625725722637</v>
      </c>
      <c r="AC92">
        <f t="shared" si="54"/>
        <v>0</v>
      </c>
      <c r="AE92">
        <f>$B$5*'5 Year Rainfall Simulation'!E93/1000</f>
        <v>0.40783372257972161</v>
      </c>
      <c r="AF92">
        <f t="shared" si="41"/>
        <v>0.40783372257972161</v>
      </c>
      <c r="AG92">
        <f t="shared" si="42"/>
        <v>0.62</v>
      </c>
      <c r="AH92">
        <f t="shared" si="43"/>
        <v>-0.21216627742027838</v>
      </c>
      <c r="AI92">
        <f t="shared" si="55"/>
        <v>34.78783372257972</v>
      </c>
      <c r="AJ92">
        <f t="shared" si="44"/>
        <v>0.24108559908452276</v>
      </c>
      <c r="AK92">
        <f t="shared" si="56"/>
        <v>0</v>
      </c>
      <c r="AM92">
        <f>$B$5*'5 Year Rainfall Simulation'!F93/1000</f>
        <v>4.6919921719231112</v>
      </c>
      <c r="AN92">
        <f t="shared" si="45"/>
        <v>4.6919921719231112</v>
      </c>
      <c r="AO92">
        <f t="shared" si="46"/>
        <v>0.62</v>
      </c>
      <c r="AP92">
        <f t="shared" si="47"/>
        <v>4.0719921719231111</v>
      </c>
      <c r="AQ92">
        <f t="shared" si="57"/>
        <v>35</v>
      </c>
      <c r="AR92">
        <f t="shared" si="48"/>
        <v>2.773610128443603</v>
      </c>
      <c r="AS92">
        <f t="shared" si="58"/>
        <v>0</v>
      </c>
    </row>
    <row r="93" spans="6:45" ht="18" customHeight="1">
      <c r="F93" s="109">
        <v>44650</v>
      </c>
      <c r="G93">
        <f>B$5*'5 Year Rainfall Simulation'!B94/1000</f>
        <v>0.6</v>
      </c>
      <c r="H93">
        <f t="shared" si="30"/>
        <v>0.6</v>
      </c>
      <c r="I93">
        <f t="shared" si="29"/>
        <v>0.62</v>
      </c>
      <c r="J93">
        <f t="shared" si="31"/>
        <v>-2.0000000000000018E-2</v>
      </c>
      <c r="K93">
        <f t="shared" si="49"/>
        <v>34.979999999999997</v>
      </c>
      <c r="L93">
        <f t="shared" si="32"/>
        <v>0.35468219385030825</v>
      </c>
      <c r="M93">
        <f t="shared" si="50"/>
        <v>0</v>
      </c>
      <c r="O93">
        <f>$B$5*'5 Year Rainfall Simulation'!C94/1000</f>
        <v>7.5400000000000009</v>
      </c>
      <c r="P93">
        <f t="shared" si="33"/>
        <v>7.5400000000000009</v>
      </c>
      <c r="Q93">
        <f t="shared" si="34"/>
        <v>0.62</v>
      </c>
      <c r="R93">
        <f t="shared" si="35"/>
        <v>6.9200000000000008</v>
      </c>
      <c r="S93">
        <f t="shared" si="51"/>
        <v>35</v>
      </c>
      <c r="T93">
        <f t="shared" si="36"/>
        <v>4.4571729027188747</v>
      </c>
      <c r="U93">
        <f t="shared" si="52"/>
        <v>0</v>
      </c>
      <c r="W93">
        <f>$B$5*'5 Year Rainfall Simulation'!D94/1000</f>
        <v>0</v>
      </c>
      <c r="X93">
        <f t="shared" si="37"/>
        <v>0</v>
      </c>
      <c r="Y93">
        <f t="shared" si="38"/>
        <v>0.62</v>
      </c>
      <c r="Z93">
        <f t="shared" si="39"/>
        <v>-0.62</v>
      </c>
      <c r="AA93">
        <f t="shared" si="53"/>
        <v>34.380000000000003</v>
      </c>
      <c r="AB93">
        <f t="shared" si="40"/>
        <v>0</v>
      </c>
      <c r="AC93">
        <f t="shared" si="54"/>
        <v>0</v>
      </c>
      <c r="AE93">
        <f>$B$5*'5 Year Rainfall Simulation'!E94/1000</f>
        <v>4.7897577491582242</v>
      </c>
      <c r="AF93">
        <f t="shared" si="41"/>
        <v>4.7897577491582242</v>
      </c>
      <c r="AG93">
        <f t="shared" si="42"/>
        <v>0.62</v>
      </c>
      <c r="AH93">
        <f t="shared" si="43"/>
        <v>4.1697577491582241</v>
      </c>
      <c r="AI93">
        <f t="shared" si="55"/>
        <v>35</v>
      </c>
      <c r="AJ93">
        <f t="shared" si="44"/>
        <v>2.8314029774715892</v>
      </c>
      <c r="AK93">
        <f t="shared" si="56"/>
        <v>0</v>
      </c>
      <c r="AM93">
        <f>$B$5*'5 Year Rainfall Simulation'!F94/1000</f>
        <v>0</v>
      </c>
      <c r="AN93">
        <f t="shared" si="45"/>
        <v>0</v>
      </c>
      <c r="AO93">
        <f t="shared" si="46"/>
        <v>0.62</v>
      </c>
      <c r="AP93">
        <f t="shared" si="47"/>
        <v>-0.62</v>
      </c>
      <c r="AQ93">
        <f t="shared" si="57"/>
        <v>34.380000000000003</v>
      </c>
      <c r="AR93">
        <f t="shared" si="48"/>
        <v>0</v>
      </c>
      <c r="AS93">
        <f t="shared" si="58"/>
        <v>0</v>
      </c>
    </row>
    <row r="94" spans="6:45" ht="18" customHeight="1">
      <c r="F94" s="109">
        <v>44651</v>
      </c>
      <c r="G94">
        <f>B$5*'5 Year Rainfall Simulation'!B95/1000</f>
        <v>0</v>
      </c>
      <c r="H94">
        <f t="shared" si="30"/>
        <v>0</v>
      </c>
      <c r="I94">
        <f t="shared" si="29"/>
        <v>0.62</v>
      </c>
      <c r="J94">
        <f t="shared" si="31"/>
        <v>-0.62</v>
      </c>
      <c r="K94">
        <f t="shared" si="49"/>
        <v>34.36</v>
      </c>
      <c r="L94">
        <f t="shared" si="32"/>
        <v>0</v>
      </c>
      <c r="M94">
        <f t="shared" si="50"/>
        <v>0</v>
      </c>
      <c r="O94">
        <f>$B$5*'5 Year Rainfall Simulation'!C95/1000</f>
        <v>2.3199999999999998</v>
      </c>
      <c r="P94">
        <f t="shared" si="33"/>
        <v>2.3199999999999998</v>
      </c>
      <c r="Q94">
        <f t="shared" si="34"/>
        <v>0.62</v>
      </c>
      <c r="R94">
        <f t="shared" si="35"/>
        <v>1.6999999999999997</v>
      </c>
      <c r="S94">
        <f t="shared" si="51"/>
        <v>35</v>
      </c>
      <c r="T94">
        <f t="shared" si="36"/>
        <v>1.3714378162211918</v>
      </c>
      <c r="U94">
        <f t="shared" si="52"/>
        <v>0</v>
      </c>
      <c r="W94">
        <f>$B$5*'5 Year Rainfall Simulation'!D95/1000</f>
        <v>1.2195601119174695</v>
      </c>
      <c r="X94">
        <f t="shared" si="37"/>
        <v>1.2195601119174695</v>
      </c>
      <c r="Y94">
        <f t="shared" si="38"/>
        <v>0.62</v>
      </c>
      <c r="Z94">
        <f t="shared" si="39"/>
        <v>0.5995601119174695</v>
      </c>
      <c r="AA94">
        <f t="shared" si="53"/>
        <v>34.979560111917472</v>
      </c>
      <c r="AB94">
        <f t="shared" si="40"/>
        <v>0.72092709337869254</v>
      </c>
      <c r="AC94">
        <f t="shared" si="54"/>
        <v>0</v>
      </c>
      <c r="AE94">
        <f>$B$5*'5 Year Rainfall Simulation'!E95/1000</f>
        <v>2.6932998310832601</v>
      </c>
      <c r="AF94">
        <f t="shared" si="41"/>
        <v>2.6932998310832601</v>
      </c>
      <c r="AG94">
        <f t="shared" si="42"/>
        <v>0.62</v>
      </c>
      <c r="AH94">
        <f t="shared" si="43"/>
        <v>2.07329983108326</v>
      </c>
      <c r="AI94">
        <f t="shared" si="55"/>
        <v>35</v>
      </c>
      <c r="AJ94">
        <f t="shared" si="44"/>
        <v>1.5921091546421255</v>
      </c>
      <c r="AK94">
        <f t="shared" si="56"/>
        <v>0</v>
      </c>
      <c r="AM94">
        <f>$B$5*'5 Year Rainfall Simulation'!F95/1000</f>
        <v>1.343234378915847</v>
      </c>
      <c r="AN94">
        <f t="shared" si="45"/>
        <v>1.343234378915847</v>
      </c>
      <c r="AO94">
        <f t="shared" si="46"/>
        <v>0.62</v>
      </c>
      <c r="AP94">
        <f t="shared" si="47"/>
        <v>0.72323437891584696</v>
      </c>
      <c r="AQ94">
        <f t="shared" si="57"/>
        <v>35</v>
      </c>
      <c r="AR94">
        <f t="shared" si="48"/>
        <v>0.79403552728171478</v>
      </c>
      <c r="AS94">
        <f t="shared" si="58"/>
        <v>0</v>
      </c>
    </row>
    <row r="95" spans="6:45" ht="18" customHeight="1">
      <c r="F95" s="109">
        <v>44652</v>
      </c>
      <c r="G95">
        <f>B$5*'5 Year Rainfall Simulation'!B96/1000</f>
        <v>0</v>
      </c>
      <c r="H95">
        <f t="shared" si="30"/>
        <v>0</v>
      </c>
      <c r="I95">
        <f t="shared" si="29"/>
        <v>0.62</v>
      </c>
      <c r="J95">
        <f t="shared" si="31"/>
        <v>-0.62</v>
      </c>
      <c r="K95">
        <f t="shared" si="49"/>
        <v>33.74</v>
      </c>
      <c r="L95">
        <f t="shared" si="32"/>
        <v>0</v>
      </c>
      <c r="M95">
        <f t="shared" si="50"/>
        <v>0</v>
      </c>
      <c r="O95">
        <f>$B$5*'5 Year Rainfall Simulation'!C96/1000</f>
        <v>0</v>
      </c>
      <c r="P95">
        <f t="shared" si="33"/>
        <v>0</v>
      </c>
      <c r="Q95">
        <f t="shared" si="34"/>
        <v>0.62</v>
      </c>
      <c r="R95">
        <f t="shared" si="35"/>
        <v>-0.62</v>
      </c>
      <c r="S95">
        <f t="shared" si="51"/>
        <v>34.380000000000003</v>
      </c>
      <c r="T95">
        <f t="shared" si="36"/>
        <v>0</v>
      </c>
      <c r="U95">
        <f t="shared" si="52"/>
        <v>0</v>
      </c>
      <c r="W95">
        <f>$B$5*'5 Year Rainfall Simulation'!D96/1000</f>
        <v>0</v>
      </c>
      <c r="X95">
        <f t="shared" si="37"/>
        <v>0</v>
      </c>
      <c r="Y95">
        <f t="shared" si="38"/>
        <v>0.62</v>
      </c>
      <c r="Z95">
        <f t="shared" si="39"/>
        <v>-0.62</v>
      </c>
      <c r="AA95">
        <f t="shared" si="53"/>
        <v>34.359560111917475</v>
      </c>
      <c r="AB95">
        <f t="shared" si="40"/>
        <v>0</v>
      </c>
      <c r="AC95">
        <f t="shared" si="54"/>
        <v>0</v>
      </c>
      <c r="AE95">
        <f>$B$5*'5 Year Rainfall Simulation'!E96/1000</f>
        <v>0</v>
      </c>
      <c r="AF95">
        <f t="shared" si="41"/>
        <v>0</v>
      </c>
      <c r="AG95">
        <f t="shared" si="42"/>
        <v>0.62</v>
      </c>
      <c r="AH95">
        <f t="shared" si="43"/>
        <v>-0.62</v>
      </c>
      <c r="AI95">
        <f t="shared" si="55"/>
        <v>34.380000000000003</v>
      </c>
      <c r="AJ95">
        <f t="shared" si="44"/>
        <v>0</v>
      </c>
      <c r="AK95">
        <f t="shared" si="56"/>
        <v>0</v>
      </c>
      <c r="AM95">
        <f>$B$5*'5 Year Rainfall Simulation'!F96/1000</f>
        <v>0</v>
      </c>
      <c r="AN95">
        <f t="shared" si="45"/>
        <v>0</v>
      </c>
      <c r="AO95">
        <f t="shared" si="46"/>
        <v>0.62</v>
      </c>
      <c r="AP95">
        <f t="shared" si="47"/>
        <v>-0.62</v>
      </c>
      <c r="AQ95">
        <f t="shared" si="57"/>
        <v>34.380000000000003</v>
      </c>
      <c r="AR95">
        <f t="shared" si="48"/>
        <v>0</v>
      </c>
      <c r="AS95">
        <f t="shared" si="58"/>
        <v>0</v>
      </c>
    </row>
    <row r="96" spans="6:45" ht="18" customHeight="1">
      <c r="F96" s="109">
        <v>44653</v>
      </c>
      <c r="G96">
        <f>B$5*'5 Year Rainfall Simulation'!B97/1000</f>
        <v>1.1200000000000001</v>
      </c>
      <c r="H96">
        <f t="shared" si="30"/>
        <v>1.1200000000000001</v>
      </c>
      <c r="I96">
        <f t="shared" si="29"/>
        <v>0.62</v>
      </c>
      <c r="J96">
        <f t="shared" si="31"/>
        <v>0.50000000000000011</v>
      </c>
      <c r="K96">
        <f t="shared" si="49"/>
        <v>34.24</v>
      </c>
      <c r="L96">
        <f t="shared" si="32"/>
        <v>0.66207342852057549</v>
      </c>
      <c r="M96">
        <f t="shared" si="50"/>
        <v>0</v>
      </c>
      <c r="O96">
        <f>$B$5*'5 Year Rainfall Simulation'!C97/1000</f>
        <v>6.7400000000000011</v>
      </c>
      <c r="P96">
        <f t="shared" si="33"/>
        <v>6.7400000000000011</v>
      </c>
      <c r="Q96">
        <f t="shared" si="34"/>
        <v>0.62</v>
      </c>
      <c r="R96">
        <f t="shared" si="35"/>
        <v>6.120000000000001</v>
      </c>
      <c r="S96">
        <f t="shared" si="51"/>
        <v>35</v>
      </c>
      <c r="T96">
        <f t="shared" si="36"/>
        <v>3.9842633109184633</v>
      </c>
      <c r="U96">
        <f t="shared" si="52"/>
        <v>0</v>
      </c>
      <c r="W96">
        <f>$B$5*'5 Year Rainfall Simulation'!D97/1000</f>
        <v>0.89894935669706477</v>
      </c>
      <c r="X96">
        <f t="shared" si="37"/>
        <v>0.89894935669706477</v>
      </c>
      <c r="Y96">
        <f t="shared" si="38"/>
        <v>0.62</v>
      </c>
      <c r="Z96">
        <f t="shared" si="39"/>
        <v>0.27894935669706478</v>
      </c>
      <c r="AA96">
        <f t="shared" si="53"/>
        <v>34.638509468614537</v>
      </c>
      <c r="AB96">
        <f t="shared" si="40"/>
        <v>0.53140221665606369</v>
      </c>
      <c r="AC96">
        <f t="shared" si="54"/>
        <v>0</v>
      </c>
      <c r="AE96">
        <f>$B$5*'5 Year Rainfall Simulation'!E97/1000</f>
        <v>5.2947791403435023</v>
      </c>
      <c r="AF96">
        <f t="shared" si="41"/>
        <v>5.2947791403435023</v>
      </c>
      <c r="AG96">
        <f t="shared" si="42"/>
        <v>0.62</v>
      </c>
      <c r="AH96">
        <f t="shared" si="43"/>
        <v>4.6747791403435022</v>
      </c>
      <c r="AI96">
        <f t="shared" si="55"/>
        <v>35</v>
      </c>
      <c r="AJ96">
        <f t="shared" si="44"/>
        <v>3.1299398024164709</v>
      </c>
      <c r="AK96">
        <f t="shared" si="56"/>
        <v>0</v>
      </c>
      <c r="AM96">
        <f>$B$5*'5 Year Rainfall Simulation'!F97/1000</f>
        <v>2.9252886324259819E-2</v>
      </c>
      <c r="AN96">
        <f t="shared" si="45"/>
        <v>2.9252886324259819E-2</v>
      </c>
      <c r="AO96">
        <f t="shared" si="46"/>
        <v>0.62</v>
      </c>
      <c r="AP96">
        <f t="shared" si="47"/>
        <v>-0.59074711367574018</v>
      </c>
      <c r="AQ96">
        <f t="shared" si="57"/>
        <v>33.789252886324263</v>
      </c>
      <c r="AR96">
        <f t="shared" si="48"/>
        <v>1.7292463163236921E-2</v>
      </c>
      <c r="AS96">
        <f t="shared" si="58"/>
        <v>0</v>
      </c>
    </row>
    <row r="97" spans="6:45" ht="18" customHeight="1">
      <c r="F97" s="109">
        <v>44654</v>
      </c>
      <c r="G97">
        <f>B$5*'5 Year Rainfall Simulation'!B98/1000</f>
        <v>4.0799999999999992</v>
      </c>
      <c r="H97">
        <f t="shared" si="30"/>
        <v>4.0799999999999992</v>
      </c>
      <c r="I97">
        <f t="shared" si="29"/>
        <v>0.62</v>
      </c>
      <c r="J97">
        <f t="shared" si="31"/>
        <v>3.4599999999999991</v>
      </c>
      <c r="K97">
        <f t="shared" si="49"/>
        <v>35</v>
      </c>
      <c r="L97">
        <f t="shared" si="32"/>
        <v>2.4118389181820956</v>
      </c>
      <c r="M97">
        <f t="shared" si="50"/>
        <v>0</v>
      </c>
      <c r="O97">
        <f>$B$5*'5 Year Rainfall Simulation'!C98/1000</f>
        <v>1.8</v>
      </c>
      <c r="P97">
        <f t="shared" si="33"/>
        <v>1.8</v>
      </c>
      <c r="Q97">
        <f t="shared" si="34"/>
        <v>0.62</v>
      </c>
      <c r="R97">
        <f t="shared" si="35"/>
        <v>1.1800000000000002</v>
      </c>
      <c r="S97">
        <f t="shared" si="51"/>
        <v>35</v>
      </c>
      <c r="T97">
        <f t="shared" si="36"/>
        <v>1.0640465815509248</v>
      </c>
      <c r="U97">
        <f t="shared" si="52"/>
        <v>0</v>
      </c>
      <c r="W97">
        <f>$B$5*'5 Year Rainfall Simulation'!D98/1000</f>
        <v>2.6917046106085483</v>
      </c>
      <c r="X97">
        <f t="shared" si="37"/>
        <v>2.6917046106085483</v>
      </c>
      <c r="Y97">
        <f t="shared" si="38"/>
        <v>0.62</v>
      </c>
      <c r="Z97">
        <f t="shared" si="39"/>
        <v>2.0717046106085482</v>
      </c>
      <c r="AA97">
        <f t="shared" si="53"/>
        <v>35</v>
      </c>
      <c r="AB97">
        <f t="shared" si="40"/>
        <v>1.5911661608127161</v>
      </c>
      <c r="AC97">
        <f t="shared" si="54"/>
        <v>0</v>
      </c>
      <c r="AE97">
        <f>$B$5*'5 Year Rainfall Simulation'!E98/1000</f>
        <v>0</v>
      </c>
      <c r="AF97">
        <f t="shared" si="41"/>
        <v>0</v>
      </c>
      <c r="AG97">
        <f t="shared" si="42"/>
        <v>0.62</v>
      </c>
      <c r="AH97">
        <f t="shared" si="43"/>
        <v>-0.62</v>
      </c>
      <c r="AI97">
        <f t="shared" si="55"/>
        <v>34.380000000000003</v>
      </c>
      <c r="AJ97">
        <f t="shared" si="44"/>
        <v>0</v>
      </c>
      <c r="AK97">
        <f t="shared" si="56"/>
        <v>0</v>
      </c>
      <c r="AM97">
        <f>$B$5*'5 Year Rainfall Simulation'!F98/1000</f>
        <v>4.4527367553051702</v>
      </c>
      <c r="AN97">
        <f t="shared" si="45"/>
        <v>4.4527367553051702</v>
      </c>
      <c r="AO97">
        <f t="shared" si="46"/>
        <v>0.62</v>
      </c>
      <c r="AP97">
        <f t="shared" si="47"/>
        <v>3.8327367553051701</v>
      </c>
      <c r="AQ97">
        <f t="shared" si="57"/>
        <v>35</v>
      </c>
      <c r="AR97">
        <f t="shared" si="48"/>
        <v>2.6321774016825685</v>
      </c>
      <c r="AS97">
        <f t="shared" si="58"/>
        <v>0</v>
      </c>
    </row>
    <row r="98" spans="6:45" ht="18" customHeight="1">
      <c r="F98" s="109">
        <v>44655</v>
      </c>
      <c r="G98">
        <f>B$5*'5 Year Rainfall Simulation'!B99/1000</f>
        <v>0.52</v>
      </c>
      <c r="H98">
        <f t="shared" si="30"/>
        <v>0.52</v>
      </c>
      <c r="I98">
        <f t="shared" si="29"/>
        <v>0.62</v>
      </c>
      <c r="J98">
        <f t="shared" si="31"/>
        <v>-9.9999999999999978E-2</v>
      </c>
      <c r="K98">
        <f t="shared" si="49"/>
        <v>34.9</v>
      </c>
      <c r="L98">
        <f t="shared" si="32"/>
        <v>0.30739123467026719</v>
      </c>
      <c r="M98">
        <f t="shared" si="50"/>
        <v>0</v>
      </c>
      <c r="O98">
        <f>$B$5*'5 Year Rainfall Simulation'!C99/1000</f>
        <v>1.68</v>
      </c>
      <c r="P98">
        <f t="shared" si="33"/>
        <v>1.68</v>
      </c>
      <c r="Q98">
        <f t="shared" si="34"/>
        <v>0.62</v>
      </c>
      <c r="R98">
        <f t="shared" si="35"/>
        <v>1.06</v>
      </c>
      <c r="S98">
        <f t="shared" si="51"/>
        <v>35</v>
      </c>
      <c r="T98">
        <f t="shared" si="36"/>
        <v>0.99311014278086307</v>
      </c>
      <c r="U98">
        <f t="shared" si="52"/>
        <v>0</v>
      </c>
      <c r="W98">
        <f>$B$5*'5 Year Rainfall Simulation'!D99/1000</f>
        <v>1.6175169400175182</v>
      </c>
      <c r="X98">
        <f t="shared" si="37"/>
        <v>1.6175169400175182</v>
      </c>
      <c r="Y98">
        <f t="shared" si="38"/>
        <v>0.62</v>
      </c>
      <c r="Z98">
        <f t="shared" si="39"/>
        <v>0.99751694001751823</v>
      </c>
      <c r="AA98">
        <f t="shared" si="53"/>
        <v>35</v>
      </c>
      <c r="AB98">
        <f t="shared" si="40"/>
        <v>0.95617409479241811</v>
      </c>
      <c r="AC98">
        <f t="shared" si="54"/>
        <v>0</v>
      </c>
      <c r="AE98">
        <f>$B$5*'5 Year Rainfall Simulation'!E99/1000</f>
        <v>1.4030290408400456</v>
      </c>
      <c r="AF98">
        <f t="shared" si="41"/>
        <v>1.4030290408400456</v>
      </c>
      <c r="AG98">
        <f t="shared" si="42"/>
        <v>0.62</v>
      </c>
      <c r="AH98">
        <f t="shared" si="43"/>
        <v>0.78302904084004565</v>
      </c>
      <c r="AI98">
        <f t="shared" si="55"/>
        <v>35</v>
      </c>
      <c r="AJ98">
        <f t="shared" si="44"/>
        <v>0.82938236373473528</v>
      </c>
      <c r="AK98">
        <f t="shared" si="56"/>
        <v>0</v>
      </c>
      <c r="AM98">
        <f>$B$5*'5 Year Rainfall Simulation'!F99/1000</f>
        <v>0.63925923670127283</v>
      </c>
      <c r="AN98">
        <f t="shared" si="45"/>
        <v>0.63925923670127283</v>
      </c>
      <c r="AO98">
        <f t="shared" si="46"/>
        <v>0.62</v>
      </c>
      <c r="AP98">
        <f t="shared" si="47"/>
        <v>1.925923670127283E-2</v>
      </c>
      <c r="AQ98">
        <f t="shared" si="57"/>
        <v>35</v>
      </c>
      <c r="AR98">
        <f t="shared" si="48"/>
        <v>0.37788978085380159</v>
      </c>
      <c r="AS98">
        <f t="shared" si="58"/>
        <v>0</v>
      </c>
    </row>
    <row r="99" spans="6:45" ht="18" customHeight="1">
      <c r="F99" s="109">
        <v>44656</v>
      </c>
      <c r="G99">
        <f>B$5*'5 Year Rainfall Simulation'!B100/1000</f>
        <v>3.18</v>
      </c>
      <c r="H99">
        <f t="shared" si="30"/>
        <v>3.18</v>
      </c>
      <c r="I99">
        <f t="shared" si="29"/>
        <v>0.62</v>
      </c>
      <c r="J99">
        <f t="shared" si="31"/>
        <v>2.56</v>
      </c>
      <c r="K99">
        <f t="shared" si="49"/>
        <v>35</v>
      </c>
      <c r="L99">
        <f t="shared" si="32"/>
        <v>1.879815627406634</v>
      </c>
      <c r="M99">
        <f t="shared" si="50"/>
        <v>0</v>
      </c>
      <c r="O99">
        <f>$B$5*'5 Year Rainfall Simulation'!C100/1000</f>
        <v>0.12</v>
      </c>
      <c r="P99">
        <f t="shared" si="33"/>
        <v>0.12</v>
      </c>
      <c r="Q99">
        <f t="shared" si="34"/>
        <v>0.62</v>
      </c>
      <c r="R99">
        <f t="shared" si="35"/>
        <v>-0.5</v>
      </c>
      <c r="S99">
        <f t="shared" si="51"/>
        <v>34.5</v>
      </c>
      <c r="T99">
        <f t="shared" si="36"/>
        <v>7.0936438770061644E-2</v>
      </c>
      <c r="U99">
        <f t="shared" si="52"/>
        <v>0</v>
      </c>
      <c r="W99">
        <f>$B$5*'5 Year Rainfall Simulation'!D100/1000</f>
        <v>4.0252334083431593</v>
      </c>
      <c r="X99">
        <f t="shared" si="37"/>
        <v>4.0252334083431593</v>
      </c>
      <c r="Y99">
        <f t="shared" si="38"/>
        <v>0.62</v>
      </c>
      <c r="Z99">
        <f t="shared" si="39"/>
        <v>3.4052334083431592</v>
      </c>
      <c r="AA99">
        <f t="shared" si="53"/>
        <v>35</v>
      </c>
      <c r="AB99">
        <f t="shared" si="40"/>
        <v>2.379464360051176</v>
      </c>
      <c r="AC99">
        <f t="shared" si="54"/>
        <v>0</v>
      </c>
      <c r="AE99">
        <f>$B$5*'5 Year Rainfall Simulation'!E100/1000</f>
        <v>0</v>
      </c>
      <c r="AF99">
        <f t="shared" si="41"/>
        <v>0</v>
      </c>
      <c r="AG99">
        <f t="shared" si="42"/>
        <v>0.62</v>
      </c>
      <c r="AH99">
        <f t="shared" si="43"/>
        <v>-0.62</v>
      </c>
      <c r="AI99">
        <f t="shared" si="55"/>
        <v>34.380000000000003</v>
      </c>
      <c r="AJ99">
        <f t="shared" si="44"/>
        <v>0</v>
      </c>
      <c r="AK99">
        <f t="shared" si="56"/>
        <v>0</v>
      </c>
      <c r="AM99">
        <f>$B$5*'5 Year Rainfall Simulation'!F100/1000</f>
        <v>5.5697859713428715</v>
      </c>
      <c r="AN99">
        <f t="shared" si="45"/>
        <v>5.5697859713428715</v>
      </c>
      <c r="AO99">
        <f t="shared" si="46"/>
        <v>0.62</v>
      </c>
      <c r="AP99">
        <f t="shared" si="47"/>
        <v>4.9497859713428713</v>
      </c>
      <c r="AQ99">
        <f t="shared" si="57"/>
        <v>35</v>
      </c>
      <c r="AR99">
        <f t="shared" si="48"/>
        <v>3.2925065126542665</v>
      </c>
      <c r="AS99">
        <f t="shared" si="58"/>
        <v>0</v>
      </c>
    </row>
    <row r="100" spans="6:45" ht="18" customHeight="1">
      <c r="F100" s="109">
        <v>44657</v>
      </c>
      <c r="G100">
        <f>B$5*'5 Year Rainfall Simulation'!B101/1000</f>
        <v>1.88</v>
      </c>
      <c r="H100">
        <f t="shared" si="30"/>
        <v>1.88</v>
      </c>
      <c r="I100">
        <f t="shared" ref="I100:I163" si="59">$B$4</f>
        <v>0.62</v>
      </c>
      <c r="J100">
        <f t="shared" si="31"/>
        <v>1.2599999999999998</v>
      </c>
      <c r="K100">
        <f t="shared" si="49"/>
        <v>35</v>
      </c>
      <c r="L100">
        <f t="shared" si="32"/>
        <v>1.1113375407309658</v>
      </c>
      <c r="M100">
        <f t="shared" si="50"/>
        <v>0</v>
      </c>
      <c r="O100">
        <f>$B$5*'5 Year Rainfall Simulation'!C101/1000</f>
        <v>0</v>
      </c>
      <c r="P100">
        <f t="shared" si="33"/>
        <v>0</v>
      </c>
      <c r="Q100">
        <f t="shared" si="34"/>
        <v>0.62</v>
      </c>
      <c r="R100">
        <f t="shared" si="35"/>
        <v>-0.62</v>
      </c>
      <c r="S100">
        <f t="shared" si="51"/>
        <v>33.880000000000003</v>
      </c>
      <c r="T100">
        <f t="shared" si="36"/>
        <v>0</v>
      </c>
      <c r="U100">
        <f t="shared" si="52"/>
        <v>0</v>
      </c>
      <c r="W100">
        <f>$B$5*'5 Year Rainfall Simulation'!D101/1000</f>
        <v>0</v>
      </c>
      <c r="X100">
        <f t="shared" si="37"/>
        <v>0</v>
      </c>
      <c r="Y100">
        <f t="shared" si="38"/>
        <v>0.62</v>
      </c>
      <c r="Z100">
        <f t="shared" si="39"/>
        <v>-0.62</v>
      </c>
      <c r="AA100">
        <f t="shared" si="53"/>
        <v>34.380000000000003</v>
      </c>
      <c r="AB100">
        <f t="shared" si="40"/>
        <v>0</v>
      </c>
      <c r="AC100">
        <f t="shared" si="54"/>
        <v>0</v>
      </c>
      <c r="AE100">
        <f>$B$5*'5 Year Rainfall Simulation'!E101/1000</f>
        <v>0</v>
      </c>
      <c r="AF100">
        <f t="shared" si="41"/>
        <v>0</v>
      </c>
      <c r="AG100">
        <f t="shared" si="42"/>
        <v>0.62</v>
      </c>
      <c r="AH100">
        <f t="shared" si="43"/>
        <v>-0.62</v>
      </c>
      <c r="AI100">
        <f t="shared" si="55"/>
        <v>33.760000000000005</v>
      </c>
      <c r="AJ100">
        <f t="shared" si="44"/>
        <v>0</v>
      </c>
      <c r="AK100">
        <f t="shared" si="56"/>
        <v>0</v>
      </c>
      <c r="AM100">
        <f>$B$5*'5 Year Rainfall Simulation'!F101/1000</f>
        <v>0</v>
      </c>
      <c r="AN100">
        <f t="shared" si="45"/>
        <v>0</v>
      </c>
      <c r="AO100">
        <f t="shared" si="46"/>
        <v>0.62</v>
      </c>
      <c r="AP100">
        <f t="shared" si="47"/>
        <v>-0.62</v>
      </c>
      <c r="AQ100">
        <f t="shared" si="57"/>
        <v>34.380000000000003</v>
      </c>
      <c r="AR100">
        <f t="shared" si="48"/>
        <v>0</v>
      </c>
      <c r="AS100">
        <f t="shared" si="58"/>
        <v>0</v>
      </c>
    </row>
    <row r="101" spans="6:45" ht="18" customHeight="1">
      <c r="F101" s="109">
        <v>44658</v>
      </c>
      <c r="G101">
        <f>B$5*'5 Year Rainfall Simulation'!B102/1000</f>
        <v>2.72</v>
      </c>
      <c r="H101">
        <f t="shared" si="30"/>
        <v>2.72</v>
      </c>
      <c r="I101">
        <f t="shared" si="59"/>
        <v>0.62</v>
      </c>
      <c r="J101">
        <f t="shared" si="31"/>
        <v>2.1</v>
      </c>
      <c r="K101">
        <f t="shared" si="49"/>
        <v>35</v>
      </c>
      <c r="L101">
        <f t="shared" si="32"/>
        <v>1.6078926121213977</v>
      </c>
      <c r="M101">
        <f t="shared" si="50"/>
        <v>0</v>
      </c>
      <c r="O101">
        <f>$B$5*'5 Year Rainfall Simulation'!C102/1000</f>
        <v>0</v>
      </c>
      <c r="P101">
        <f t="shared" si="33"/>
        <v>0</v>
      </c>
      <c r="Q101">
        <f t="shared" si="34"/>
        <v>0.62</v>
      </c>
      <c r="R101">
        <f t="shared" si="35"/>
        <v>-0.62</v>
      </c>
      <c r="S101">
        <f t="shared" si="51"/>
        <v>33.260000000000005</v>
      </c>
      <c r="T101">
        <f t="shared" si="36"/>
        <v>0</v>
      </c>
      <c r="U101">
        <f t="shared" si="52"/>
        <v>0</v>
      </c>
      <c r="W101">
        <f>$B$5*'5 Year Rainfall Simulation'!D102/1000</f>
        <v>1.3660004200741924</v>
      </c>
      <c r="X101">
        <f t="shared" si="37"/>
        <v>1.3660004200741924</v>
      </c>
      <c r="Y101">
        <f t="shared" si="38"/>
        <v>0.62</v>
      </c>
      <c r="Z101">
        <f t="shared" si="39"/>
        <v>0.74600042007419243</v>
      </c>
      <c r="AA101">
        <f t="shared" si="53"/>
        <v>35</v>
      </c>
      <c r="AB101">
        <f t="shared" si="40"/>
        <v>0.80749337632059537</v>
      </c>
      <c r="AC101">
        <f t="shared" si="54"/>
        <v>0</v>
      </c>
      <c r="AE101">
        <f>$B$5*'5 Year Rainfall Simulation'!E102/1000</f>
        <v>0.29972097775250223</v>
      </c>
      <c r="AF101">
        <f t="shared" si="41"/>
        <v>0.29972097775250223</v>
      </c>
      <c r="AG101">
        <f t="shared" si="42"/>
        <v>0.62</v>
      </c>
      <c r="AH101">
        <f t="shared" si="43"/>
        <v>-0.32027902224749777</v>
      </c>
      <c r="AI101">
        <f t="shared" si="55"/>
        <v>33.439720977752508</v>
      </c>
      <c r="AJ101">
        <f t="shared" si="44"/>
        <v>0.17717615655369487</v>
      </c>
      <c r="AK101">
        <f t="shared" si="56"/>
        <v>0</v>
      </c>
      <c r="AM101">
        <f>$B$5*'5 Year Rainfall Simulation'!F102/1000</f>
        <v>0</v>
      </c>
      <c r="AN101">
        <f t="shared" si="45"/>
        <v>0</v>
      </c>
      <c r="AO101">
        <f t="shared" si="46"/>
        <v>0.62</v>
      </c>
      <c r="AP101">
        <f t="shared" si="47"/>
        <v>-0.62</v>
      </c>
      <c r="AQ101">
        <f t="shared" si="57"/>
        <v>33.760000000000005</v>
      </c>
      <c r="AR101">
        <f t="shared" si="48"/>
        <v>0</v>
      </c>
      <c r="AS101">
        <f t="shared" si="58"/>
        <v>0</v>
      </c>
    </row>
    <row r="102" spans="6:45" ht="18" customHeight="1">
      <c r="F102" s="109">
        <v>44659</v>
      </c>
      <c r="G102">
        <f>B$5*'5 Year Rainfall Simulation'!B103/1000</f>
        <v>1.1200000000000001</v>
      </c>
      <c r="H102">
        <f t="shared" si="30"/>
        <v>1.1200000000000001</v>
      </c>
      <c r="I102">
        <f t="shared" si="59"/>
        <v>0.62</v>
      </c>
      <c r="J102">
        <f t="shared" si="31"/>
        <v>0.50000000000000011</v>
      </c>
      <c r="K102">
        <f t="shared" si="49"/>
        <v>35</v>
      </c>
      <c r="L102">
        <f t="shared" si="32"/>
        <v>0.66207342852057549</v>
      </c>
      <c r="M102">
        <f t="shared" si="50"/>
        <v>0</v>
      </c>
      <c r="O102">
        <f>$B$5*'5 Year Rainfall Simulation'!C103/1000</f>
        <v>0</v>
      </c>
      <c r="P102">
        <f t="shared" si="33"/>
        <v>0</v>
      </c>
      <c r="Q102">
        <f t="shared" si="34"/>
        <v>0.62</v>
      </c>
      <c r="R102">
        <f t="shared" si="35"/>
        <v>-0.62</v>
      </c>
      <c r="S102">
        <f t="shared" si="51"/>
        <v>32.640000000000008</v>
      </c>
      <c r="T102">
        <f t="shared" si="36"/>
        <v>0</v>
      </c>
      <c r="U102">
        <f t="shared" si="52"/>
        <v>0</v>
      </c>
      <c r="W102">
        <f>$B$5*'5 Year Rainfall Simulation'!D103/1000</f>
        <v>1.0283897634148564</v>
      </c>
      <c r="X102">
        <f t="shared" si="37"/>
        <v>1.0283897634148564</v>
      </c>
      <c r="Y102">
        <f t="shared" si="38"/>
        <v>0.62</v>
      </c>
      <c r="Z102">
        <f t="shared" si="39"/>
        <v>0.40838976341485644</v>
      </c>
      <c r="AA102">
        <f t="shared" si="53"/>
        <v>35</v>
      </c>
      <c r="AB102">
        <f t="shared" si="40"/>
        <v>0.60791922903530127</v>
      </c>
      <c r="AC102">
        <f t="shared" si="54"/>
        <v>0</v>
      </c>
      <c r="AE102">
        <f>$B$5*'5 Year Rainfall Simulation'!E103/1000</f>
        <v>0</v>
      </c>
      <c r="AF102">
        <f t="shared" si="41"/>
        <v>0</v>
      </c>
      <c r="AG102">
        <f t="shared" si="42"/>
        <v>0.62</v>
      </c>
      <c r="AH102">
        <f t="shared" si="43"/>
        <v>-0.62</v>
      </c>
      <c r="AI102">
        <f t="shared" si="55"/>
        <v>32.81972097775251</v>
      </c>
      <c r="AJ102">
        <f t="shared" si="44"/>
        <v>0</v>
      </c>
      <c r="AK102">
        <f t="shared" si="56"/>
        <v>0</v>
      </c>
      <c r="AM102">
        <f>$B$5*'5 Year Rainfall Simulation'!F103/1000</f>
        <v>2.6236384983693344</v>
      </c>
      <c r="AN102">
        <f t="shared" si="45"/>
        <v>2.6236384983693344</v>
      </c>
      <c r="AO102">
        <f t="shared" si="46"/>
        <v>0.62</v>
      </c>
      <c r="AP102">
        <f t="shared" si="47"/>
        <v>2.0036384983693343</v>
      </c>
      <c r="AQ102">
        <f t="shared" si="57"/>
        <v>35</v>
      </c>
      <c r="AR102">
        <f t="shared" si="48"/>
        <v>1.5509297641196065</v>
      </c>
      <c r="AS102">
        <f t="shared" si="58"/>
        <v>0</v>
      </c>
    </row>
    <row r="103" spans="6:45" ht="18" customHeight="1">
      <c r="F103" s="109">
        <v>44660</v>
      </c>
      <c r="G103">
        <f>B$5*'5 Year Rainfall Simulation'!B104/1000</f>
        <v>0</v>
      </c>
      <c r="H103">
        <f t="shared" si="30"/>
        <v>0</v>
      </c>
      <c r="I103">
        <f t="shared" si="59"/>
        <v>0.62</v>
      </c>
      <c r="J103">
        <f t="shared" si="31"/>
        <v>-0.62</v>
      </c>
      <c r="K103">
        <f t="shared" si="49"/>
        <v>34.380000000000003</v>
      </c>
      <c r="L103">
        <f t="shared" si="32"/>
        <v>0</v>
      </c>
      <c r="M103">
        <f t="shared" si="50"/>
        <v>0</v>
      </c>
      <c r="O103">
        <f>$B$5*'5 Year Rainfall Simulation'!C104/1000</f>
        <v>0.64</v>
      </c>
      <c r="P103">
        <f t="shared" si="33"/>
        <v>0.64</v>
      </c>
      <c r="Q103">
        <f t="shared" si="34"/>
        <v>0.62</v>
      </c>
      <c r="R103">
        <f t="shared" si="35"/>
        <v>2.0000000000000018E-2</v>
      </c>
      <c r="S103">
        <f t="shared" si="51"/>
        <v>32.660000000000011</v>
      </c>
      <c r="T103">
        <f t="shared" si="36"/>
        <v>0.3783276734403288</v>
      </c>
      <c r="U103">
        <f t="shared" si="52"/>
        <v>0</v>
      </c>
      <c r="W103">
        <f>$B$5*'5 Year Rainfall Simulation'!D104/1000</f>
        <v>0</v>
      </c>
      <c r="X103">
        <f t="shared" si="37"/>
        <v>0</v>
      </c>
      <c r="Y103">
        <f t="shared" si="38"/>
        <v>0.62</v>
      </c>
      <c r="Z103">
        <f t="shared" si="39"/>
        <v>-0.62</v>
      </c>
      <c r="AA103">
        <f t="shared" si="53"/>
        <v>34.380000000000003</v>
      </c>
      <c r="AB103">
        <f t="shared" si="40"/>
        <v>0</v>
      </c>
      <c r="AC103">
        <f t="shared" si="54"/>
        <v>0</v>
      </c>
      <c r="AE103">
        <f>$B$5*'5 Year Rainfall Simulation'!E104/1000</f>
        <v>0</v>
      </c>
      <c r="AF103">
        <f t="shared" si="41"/>
        <v>0</v>
      </c>
      <c r="AG103">
        <f t="shared" si="42"/>
        <v>0.62</v>
      </c>
      <c r="AH103">
        <f t="shared" si="43"/>
        <v>-0.62</v>
      </c>
      <c r="AI103">
        <f t="shared" si="55"/>
        <v>32.199720977752513</v>
      </c>
      <c r="AJ103">
        <f t="shared" si="44"/>
        <v>0</v>
      </c>
      <c r="AK103">
        <f t="shared" si="56"/>
        <v>0</v>
      </c>
      <c r="AM103">
        <f>$B$5*'5 Year Rainfall Simulation'!F104/1000</f>
        <v>0</v>
      </c>
      <c r="AN103">
        <f t="shared" si="45"/>
        <v>0</v>
      </c>
      <c r="AO103">
        <f t="shared" si="46"/>
        <v>0.62</v>
      </c>
      <c r="AP103">
        <f t="shared" si="47"/>
        <v>-0.62</v>
      </c>
      <c r="AQ103">
        <f t="shared" si="57"/>
        <v>34.380000000000003</v>
      </c>
      <c r="AR103">
        <f t="shared" si="48"/>
        <v>0</v>
      </c>
      <c r="AS103">
        <f t="shared" si="58"/>
        <v>0</v>
      </c>
    </row>
    <row r="104" spans="6:45" ht="18" customHeight="1">
      <c r="F104" s="109">
        <v>44661</v>
      </c>
      <c r="G104">
        <f>B$5*'5 Year Rainfall Simulation'!B105/1000</f>
        <v>3.3200000000000003</v>
      </c>
      <c r="H104">
        <f t="shared" si="30"/>
        <v>3.3200000000000003</v>
      </c>
      <c r="I104">
        <f t="shared" si="59"/>
        <v>0.62</v>
      </c>
      <c r="J104">
        <f t="shared" si="31"/>
        <v>2.7</v>
      </c>
      <c r="K104">
        <f t="shared" si="49"/>
        <v>35</v>
      </c>
      <c r="L104">
        <f t="shared" si="32"/>
        <v>1.9625748059717059</v>
      </c>
      <c r="M104">
        <f t="shared" si="50"/>
        <v>0</v>
      </c>
      <c r="O104">
        <f>$B$5*'5 Year Rainfall Simulation'!C105/1000</f>
        <v>8.0400000000000009</v>
      </c>
      <c r="P104">
        <f t="shared" si="33"/>
        <v>8.0400000000000009</v>
      </c>
      <c r="Q104">
        <f t="shared" si="34"/>
        <v>0.62</v>
      </c>
      <c r="R104">
        <f t="shared" si="35"/>
        <v>7.4200000000000008</v>
      </c>
      <c r="S104">
        <f t="shared" si="51"/>
        <v>35</v>
      </c>
      <c r="T104">
        <f t="shared" si="36"/>
        <v>4.7527413975941313</v>
      </c>
      <c r="U104">
        <f t="shared" si="52"/>
        <v>0</v>
      </c>
      <c r="W104">
        <f>$B$5*'5 Year Rainfall Simulation'!D105/1000</f>
        <v>0.71535485876194171</v>
      </c>
      <c r="X104">
        <f t="shared" si="37"/>
        <v>0.71535485876194171</v>
      </c>
      <c r="Y104">
        <f t="shared" si="38"/>
        <v>0.62</v>
      </c>
      <c r="Z104">
        <f t="shared" si="39"/>
        <v>9.5354858761941719E-2</v>
      </c>
      <c r="AA104">
        <f t="shared" si="53"/>
        <v>34.475354858761946</v>
      </c>
      <c r="AB104">
        <f t="shared" si="40"/>
        <v>0.42287271781193819</v>
      </c>
      <c r="AC104">
        <f t="shared" si="54"/>
        <v>0</v>
      </c>
      <c r="AE104">
        <f>$B$5*'5 Year Rainfall Simulation'!E105/1000</f>
        <v>9.7451438691104766</v>
      </c>
      <c r="AF104">
        <f t="shared" si="41"/>
        <v>9.7451438691104766</v>
      </c>
      <c r="AG104">
        <f t="shared" si="42"/>
        <v>0.62</v>
      </c>
      <c r="AH104">
        <f t="shared" si="43"/>
        <v>9.1251438691104774</v>
      </c>
      <c r="AI104">
        <f t="shared" si="55"/>
        <v>35</v>
      </c>
      <c r="AJ104">
        <f t="shared" si="44"/>
        <v>5.7607150114716417</v>
      </c>
      <c r="AK104">
        <f t="shared" si="56"/>
        <v>0</v>
      </c>
      <c r="AM104">
        <f>$B$5*'5 Year Rainfall Simulation'!F105/1000</f>
        <v>0</v>
      </c>
      <c r="AN104">
        <f t="shared" si="45"/>
        <v>0</v>
      </c>
      <c r="AO104">
        <f t="shared" si="46"/>
        <v>0.62</v>
      </c>
      <c r="AP104">
        <f t="shared" si="47"/>
        <v>-0.62</v>
      </c>
      <c r="AQ104">
        <f t="shared" si="57"/>
        <v>33.760000000000005</v>
      </c>
      <c r="AR104">
        <f t="shared" si="48"/>
        <v>0</v>
      </c>
      <c r="AS104">
        <f t="shared" si="58"/>
        <v>0</v>
      </c>
    </row>
    <row r="105" spans="6:45" ht="18" customHeight="1">
      <c r="F105" s="109">
        <v>44662</v>
      </c>
      <c r="G105">
        <f>B$5*'5 Year Rainfall Simulation'!B106/1000</f>
        <v>0</v>
      </c>
      <c r="H105">
        <f t="shared" si="30"/>
        <v>0</v>
      </c>
      <c r="I105">
        <f t="shared" si="59"/>
        <v>0.62</v>
      </c>
      <c r="J105">
        <f t="shared" si="31"/>
        <v>-0.62</v>
      </c>
      <c r="K105">
        <f t="shared" si="49"/>
        <v>34.380000000000003</v>
      </c>
      <c r="L105">
        <f t="shared" si="32"/>
        <v>0</v>
      </c>
      <c r="M105">
        <f t="shared" si="50"/>
        <v>0</v>
      </c>
      <c r="O105">
        <f>$B$5*'5 Year Rainfall Simulation'!C106/1000</f>
        <v>1.8399999999999999</v>
      </c>
      <c r="P105">
        <f t="shared" si="33"/>
        <v>1.8399999999999999</v>
      </c>
      <c r="Q105">
        <f t="shared" si="34"/>
        <v>0.62</v>
      </c>
      <c r="R105">
        <f t="shared" si="35"/>
        <v>1.2199999999999998</v>
      </c>
      <c r="S105">
        <f t="shared" si="51"/>
        <v>35</v>
      </c>
      <c r="T105">
        <f t="shared" si="36"/>
        <v>1.0876920611409453</v>
      </c>
      <c r="U105">
        <f t="shared" si="52"/>
        <v>0</v>
      </c>
      <c r="W105">
        <f>$B$5*'5 Year Rainfall Simulation'!D106/1000</f>
        <v>0</v>
      </c>
      <c r="X105">
        <f t="shared" si="37"/>
        <v>0</v>
      </c>
      <c r="Y105">
        <f t="shared" si="38"/>
        <v>0.62</v>
      </c>
      <c r="Z105">
        <f t="shared" si="39"/>
        <v>-0.62</v>
      </c>
      <c r="AA105">
        <f t="shared" si="53"/>
        <v>33.855354858761949</v>
      </c>
      <c r="AB105">
        <f t="shared" si="40"/>
        <v>0</v>
      </c>
      <c r="AC105">
        <f t="shared" si="54"/>
        <v>0</v>
      </c>
      <c r="AE105">
        <f>$B$5*'5 Year Rainfall Simulation'!E106/1000</f>
        <v>0.70806655839193977</v>
      </c>
      <c r="AF105">
        <f t="shared" si="41"/>
        <v>0.70806655839193977</v>
      </c>
      <c r="AG105">
        <f t="shared" si="42"/>
        <v>0.62</v>
      </c>
      <c r="AH105">
        <f t="shared" si="43"/>
        <v>8.8066558391939775E-2</v>
      </c>
      <c r="AI105">
        <f t="shared" si="55"/>
        <v>35</v>
      </c>
      <c r="AJ105">
        <f t="shared" si="44"/>
        <v>0.41856433387081765</v>
      </c>
      <c r="AK105">
        <f t="shared" si="56"/>
        <v>0</v>
      </c>
      <c r="AM105">
        <f>$B$5*'5 Year Rainfall Simulation'!F106/1000</f>
        <v>0</v>
      </c>
      <c r="AN105">
        <f t="shared" si="45"/>
        <v>0</v>
      </c>
      <c r="AO105">
        <f t="shared" si="46"/>
        <v>0.62</v>
      </c>
      <c r="AP105">
        <f t="shared" si="47"/>
        <v>-0.62</v>
      </c>
      <c r="AQ105">
        <f t="shared" si="57"/>
        <v>33.140000000000008</v>
      </c>
      <c r="AR105">
        <f t="shared" si="48"/>
        <v>0</v>
      </c>
      <c r="AS105">
        <f t="shared" si="58"/>
        <v>0</v>
      </c>
    </row>
    <row r="106" spans="6:45" ht="18" customHeight="1">
      <c r="F106" s="109">
        <v>44663</v>
      </c>
      <c r="G106">
        <f>B$5*'5 Year Rainfall Simulation'!B107/1000</f>
        <v>0</v>
      </c>
      <c r="H106">
        <f t="shared" si="30"/>
        <v>0</v>
      </c>
      <c r="I106">
        <f t="shared" si="59"/>
        <v>0.62</v>
      </c>
      <c r="J106">
        <f t="shared" si="31"/>
        <v>-0.62</v>
      </c>
      <c r="K106">
        <f t="shared" si="49"/>
        <v>33.760000000000005</v>
      </c>
      <c r="L106">
        <f t="shared" si="32"/>
        <v>0</v>
      </c>
      <c r="M106">
        <f t="shared" si="50"/>
        <v>0</v>
      </c>
      <c r="O106">
        <f>$B$5*'5 Year Rainfall Simulation'!C107/1000</f>
        <v>4.88</v>
      </c>
      <c r="P106">
        <f t="shared" si="33"/>
        <v>4.88</v>
      </c>
      <c r="Q106">
        <f t="shared" si="34"/>
        <v>0.62</v>
      </c>
      <c r="R106">
        <f t="shared" si="35"/>
        <v>4.26</v>
      </c>
      <c r="S106">
        <f t="shared" si="51"/>
        <v>35</v>
      </c>
      <c r="T106">
        <f t="shared" si="36"/>
        <v>2.884748509982507</v>
      </c>
      <c r="U106">
        <f t="shared" si="52"/>
        <v>0</v>
      </c>
      <c r="W106">
        <f>$B$5*'5 Year Rainfall Simulation'!D107/1000</f>
        <v>0</v>
      </c>
      <c r="X106">
        <f t="shared" si="37"/>
        <v>0</v>
      </c>
      <c r="Y106">
        <f t="shared" si="38"/>
        <v>0.62</v>
      </c>
      <c r="Z106">
        <f t="shared" si="39"/>
        <v>-0.62</v>
      </c>
      <c r="AA106">
        <f t="shared" si="53"/>
        <v>33.235354858761951</v>
      </c>
      <c r="AB106">
        <f t="shared" si="40"/>
        <v>0</v>
      </c>
      <c r="AC106">
        <f t="shared" si="54"/>
        <v>0</v>
      </c>
      <c r="AE106">
        <f>$B$5*'5 Year Rainfall Simulation'!E107/1000</f>
        <v>4.0040674684828881</v>
      </c>
      <c r="AF106">
        <f t="shared" si="41"/>
        <v>4.0040674684828881</v>
      </c>
      <c r="AG106">
        <f t="shared" si="42"/>
        <v>0.62</v>
      </c>
      <c r="AH106">
        <f t="shared" si="43"/>
        <v>3.384067468482888</v>
      </c>
      <c r="AI106">
        <f t="shared" si="55"/>
        <v>35</v>
      </c>
      <c r="AJ106">
        <f t="shared" si="44"/>
        <v>2.3669523900769347</v>
      </c>
      <c r="AK106">
        <f t="shared" si="56"/>
        <v>0</v>
      </c>
      <c r="AM106">
        <f>$B$5*'5 Year Rainfall Simulation'!F107/1000</f>
        <v>1.2950216314153402</v>
      </c>
      <c r="AN106">
        <f t="shared" si="45"/>
        <v>1.2950216314153402</v>
      </c>
      <c r="AO106">
        <f t="shared" si="46"/>
        <v>0.62</v>
      </c>
      <c r="AP106">
        <f t="shared" si="47"/>
        <v>0.67502163141534022</v>
      </c>
      <c r="AQ106">
        <f t="shared" si="57"/>
        <v>33.815021631415348</v>
      </c>
      <c r="AR106">
        <f t="shared" si="48"/>
        <v>0.76553518885666361</v>
      </c>
      <c r="AS106">
        <f t="shared" si="58"/>
        <v>0</v>
      </c>
    </row>
    <row r="107" spans="6:45" ht="18" customHeight="1">
      <c r="F107" s="109">
        <v>44664</v>
      </c>
      <c r="G107">
        <f>B$5*'5 Year Rainfall Simulation'!B108/1000</f>
        <v>0</v>
      </c>
      <c r="H107">
        <f t="shared" si="30"/>
        <v>0</v>
      </c>
      <c r="I107">
        <f t="shared" si="59"/>
        <v>0.62</v>
      </c>
      <c r="J107">
        <f t="shared" si="31"/>
        <v>-0.62</v>
      </c>
      <c r="K107">
        <f t="shared" si="49"/>
        <v>33.140000000000008</v>
      </c>
      <c r="L107">
        <f t="shared" si="32"/>
        <v>0</v>
      </c>
      <c r="M107">
        <f t="shared" si="50"/>
        <v>0</v>
      </c>
      <c r="O107">
        <f>$B$5*'5 Year Rainfall Simulation'!C108/1000</f>
        <v>3.24</v>
      </c>
      <c r="P107">
        <f t="shared" si="33"/>
        <v>3.24</v>
      </c>
      <c r="Q107">
        <f t="shared" si="34"/>
        <v>0.62</v>
      </c>
      <c r="R107">
        <f t="shared" si="35"/>
        <v>2.62</v>
      </c>
      <c r="S107">
        <f t="shared" si="51"/>
        <v>35</v>
      </c>
      <c r="T107">
        <f t="shared" si="36"/>
        <v>1.9152838467916649</v>
      </c>
      <c r="U107">
        <f t="shared" si="52"/>
        <v>0</v>
      </c>
      <c r="W107">
        <f>$B$5*'5 Year Rainfall Simulation'!D108/1000</f>
        <v>0</v>
      </c>
      <c r="X107">
        <f t="shared" si="37"/>
        <v>0</v>
      </c>
      <c r="Y107">
        <f t="shared" si="38"/>
        <v>0.62</v>
      </c>
      <c r="Z107">
        <f t="shared" si="39"/>
        <v>-0.62</v>
      </c>
      <c r="AA107">
        <f t="shared" si="53"/>
        <v>32.615354858761954</v>
      </c>
      <c r="AB107">
        <f t="shared" si="40"/>
        <v>0</v>
      </c>
      <c r="AC107">
        <f t="shared" si="54"/>
        <v>0</v>
      </c>
      <c r="AE107">
        <f>$B$5*'5 Year Rainfall Simulation'!E108/1000</f>
        <v>1.4503903364352395</v>
      </c>
      <c r="AF107">
        <f t="shared" si="41"/>
        <v>1.4503903364352395</v>
      </c>
      <c r="AG107">
        <f t="shared" si="42"/>
        <v>0.62</v>
      </c>
      <c r="AH107">
        <f t="shared" si="43"/>
        <v>0.83039033643523952</v>
      </c>
      <c r="AI107">
        <f t="shared" si="55"/>
        <v>35</v>
      </c>
      <c r="AJ107">
        <f t="shared" si="44"/>
        <v>0.85737937744356241</v>
      </c>
      <c r="AK107">
        <f t="shared" si="56"/>
        <v>0</v>
      </c>
      <c r="AM107">
        <f>$B$5*'5 Year Rainfall Simulation'!F108/1000</f>
        <v>0.84441742668494135</v>
      </c>
      <c r="AN107">
        <f t="shared" si="45"/>
        <v>0.84441742668494135</v>
      </c>
      <c r="AO107">
        <f t="shared" si="46"/>
        <v>0.62</v>
      </c>
      <c r="AP107">
        <f t="shared" si="47"/>
        <v>0.22441742668494136</v>
      </c>
      <c r="AQ107">
        <f t="shared" si="57"/>
        <v>34.039439058100292</v>
      </c>
      <c r="AR107">
        <f t="shared" si="48"/>
        <v>0.49916637570341138</v>
      </c>
      <c r="AS107">
        <f t="shared" si="58"/>
        <v>0</v>
      </c>
    </row>
    <row r="108" spans="6:45" ht="18" customHeight="1">
      <c r="F108" s="109">
        <v>44665</v>
      </c>
      <c r="G108">
        <f>B$5*'5 Year Rainfall Simulation'!B109/1000</f>
        <v>2.96</v>
      </c>
      <c r="H108">
        <f t="shared" si="30"/>
        <v>2.96</v>
      </c>
      <c r="I108">
        <f t="shared" si="59"/>
        <v>0.62</v>
      </c>
      <c r="J108">
        <f t="shared" si="31"/>
        <v>2.34</v>
      </c>
      <c r="K108">
        <f t="shared" si="49"/>
        <v>35</v>
      </c>
      <c r="L108">
        <f t="shared" si="32"/>
        <v>1.7497654896615207</v>
      </c>
      <c r="M108">
        <f t="shared" si="50"/>
        <v>0</v>
      </c>
      <c r="O108">
        <f>$B$5*'5 Year Rainfall Simulation'!C109/1000</f>
        <v>0.3</v>
      </c>
      <c r="P108">
        <f t="shared" si="33"/>
        <v>0.3</v>
      </c>
      <c r="Q108">
        <f t="shared" si="34"/>
        <v>0.62</v>
      </c>
      <c r="R108">
        <f t="shared" si="35"/>
        <v>-0.32</v>
      </c>
      <c r="S108">
        <f t="shared" si="51"/>
        <v>34.68</v>
      </c>
      <c r="T108">
        <f t="shared" si="36"/>
        <v>0.17734109692515412</v>
      </c>
      <c r="U108">
        <f t="shared" si="52"/>
        <v>0</v>
      </c>
      <c r="W108">
        <f>$B$5*'5 Year Rainfall Simulation'!D109/1000</f>
        <v>2.8602366367712779</v>
      </c>
      <c r="X108">
        <f t="shared" si="37"/>
        <v>2.8602366367712779</v>
      </c>
      <c r="Y108">
        <f t="shared" si="38"/>
        <v>0.62</v>
      </c>
      <c r="Z108">
        <f t="shared" si="39"/>
        <v>2.2402366367712778</v>
      </c>
      <c r="AA108">
        <f t="shared" si="53"/>
        <v>34.855591495533233</v>
      </c>
      <c r="AB108">
        <f t="shared" si="40"/>
        <v>1.6907916754351069</v>
      </c>
      <c r="AC108">
        <f t="shared" si="54"/>
        <v>0</v>
      </c>
      <c r="AE108">
        <f>$B$5*'5 Year Rainfall Simulation'!E109/1000</f>
        <v>0</v>
      </c>
      <c r="AF108">
        <f t="shared" si="41"/>
        <v>0</v>
      </c>
      <c r="AG108">
        <f t="shared" si="42"/>
        <v>0.62</v>
      </c>
      <c r="AH108">
        <f t="shared" si="43"/>
        <v>-0.62</v>
      </c>
      <c r="AI108">
        <f t="shared" si="55"/>
        <v>34.380000000000003</v>
      </c>
      <c r="AJ108">
        <f t="shared" si="44"/>
        <v>0</v>
      </c>
      <c r="AK108">
        <f t="shared" si="56"/>
        <v>0</v>
      </c>
      <c r="AM108">
        <f>$B$5*'5 Year Rainfall Simulation'!F109/1000</f>
        <v>1.9282503310488814</v>
      </c>
      <c r="AN108">
        <f t="shared" si="45"/>
        <v>1.9282503310488814</v>
      </c>
      <c r="AO108">
        <f t="shared" si="46"/>
        <v>0.62</v>
      </c>
      <c r="AP108">
        <f t="shared" si="47"/>
        <v>1.3082503310488813</v>
      </c>
      <c r="AQ108">
        <f t="shared" si="57"/>
        <v>35</v>
      </c>
      <c r="AR108">
        <f t="shared" si="48"/>
        <v>1.1398600961816674</v>
      </c>
      <c r="AS108">
        <f t="shared" si="58"/>
        <v>0</v>
      </c>
    </row>
    <row r="109" spans="6:45" ht="18" customHeight="1">
      <c r="F109" s="109">
        <v>44666</v>
      </c>
      <c r="G109">
        <f>B$5*'5 Year Rainfall Simulation'!B110/1000</f>
        <v>4.16</v>
      </c>
      <c r="H109">
        <f t="shared" si="30"/>
        <v>4.16</v>
      </c>
      <c r="I109">
        <f t="shared" si="59"/>
        <v>0.62</v>
      </c>
      <c r="J109">
        <f t="shared" si="31"/>
        <v>3.54</v>
      </c>
      <c r="K109">
        <f t="shared" si="49"/>
        <v>35</v>
      </c>
      <c r="L109">
        <f t="shared" si="32"/>
        <v>2.4591298773621375</v>
      </c>
      <c r="M109">
        <f t="shared" si="50"/>
        <v>0</v>
      </c>
      <c r="O109">
        <f>$B$5*'5 Year Rainfall Simulation'!C110/1000</f>
        <v>7.4400000000000013</v>
      </c>
      <c r="P109">
        <f t="shared" si="33"/>
        <v>7.4400000000000013</v>
      </c>
      <c r="Q109">
        <f t="shared" si="34"/>
        <v>0.62</v>
      </c>
      <c r="R109">
        <f t="shared" si="35"/>
        <v>6.8200000000000012</v>
      </c>
      <c r="S109">
        <f t="shared" si="51"/>
        <v>35</v>
      </c>
      <c r="T109">
        <f t="shared" si="36"/>
        <v>4.3980592037438235</v>
      </c>
      <c r="U109">
        <f t="shared" si="52"/>
        <v>0</v>
      </c>
      <c r="W109">
        <f>$B$5*'5 Year Rainfall Simulation'!D110/1000</f>
        <v>4.5723924181472517</v>
      </c>
      <c r="X109">
        <f t="shared" si="37"/>
        <v>4.5723924181472517</v>
      </c>
      <c r="Y109">
        <f t="shared" si="38"/>
        <v>0.62</v>
      </c>
      <c r="Z109">
        <f t="shared" si="39"/>
        <v>3.9523924181472516</v>
      </c>
      <c r="AA109">
        <f t="shared" si="53"/>
        <v>35</v>
      </c>
      <c r="AB109">
        <f t="shared" si="40"/>
        <v>2.7029102900216389</v>
      </c>
      <c r="AC109">
        <f t="shared" si="54"/>
        <v>0</v>
      </c>
      <c r="AE109">
        <f>$B$5*'5 Year Rainfall Simulation'!E110/1000</f>
        <v>8.3205462302474409</v>
      </c>
      <c r="AF109">
        <f t="shared" si="41"/>
        <v>8.3205462302474409</v>
      </c>
      <c r="AG109">
        <f t="shared" si="42"/>
        <v>0.62</v>
      </c>
      <c r="AH109">
        <f t="shared" si="43"/>
        <v>7.7005462302474408</v>
      </c>
      <c r="AI109">
        <f t="shared" si="55"/>
        <v>35</v>
      </c>
      <c r="AJ109">
        <f t="shared" si="44"/>
        <v>4.9185826516284576</v>
      </c>
      <c r="AK109">
        <f t="shared" si="56"/>
        <v>0</v>
      </c>
      <c r="AM109">
        <f>$B$5*'5 Year Rainfall Simulation'!F110/1000</f>
        <v>2.6473467697943578</v>
      </c>
      <c r="AN109">
        <f t="shared" si="45"/>
        <v>2.6473467697943578</v>
      </c>
      <c r="AO109">
        <f t="shared" si="46"/>
        <v>0.62</v>
      </c>
      <c r="AP109">
        <f t="shared" si="47"/>
        <v>2.0273467697943577</v>
      </c>
      <c r="AQ109">
        <f t="shared" si="57"/>
        <v>35</v>
      </c>
      <c r="AR109">
        <f t="shared" si="48"/>
        <v>1.5649446003219831</v>
      </c>
      <c r="AS109">
        <f t="shared" si="58"/>
        <v>0</v>
      </c>
    </row>
    <row r="110" spans="6:45" ht="18" customHeight="1">
      <c r="F110" s="109">
        <v>44667</v>
      </c>
      <c r="G110">
        <f>B$5*'5 Year Rainfall Simulation'!B111/1000</f>
        <v>7.48</v>
      </c>
      <c r="H110">
        <f t="shared" si="30"/>
        <v>7.48</v>
      </c>
      <c r="I110">
        <f t="shared" si="59"/>
        <v>0.62</v>
      </c>
      <c r="J110">
        <f t="shared" si="31"/>
        <v>6.86</v>
      </c>
      <c r="K110">
        <f t="shared" si="49"/>
        <v>35</v>
      </c>
      <c r="L110">
        <f t="shared" si="32"/>
        <v>4.4217046833338429</v>
      </c>
      <c r="M110">
        <f t="shared" si="50"/>
        <v>0</v>
      </c>
      <c r="O110">
        <f>$B$5*'5 Year Rainfall Simulation'!C111/1000</f>
        <v>0.6</v>
      </c>
      <c r="P110">
        <f t="shared" si="33"/>
        <v>0.6</v>
      </c>
      <c r="Q110">
        <f t="shared" si="34"/>
        <v>0.62</v>
      </c>
      <c r="R110">
        <f t="shared" si="35"/>
        <v>-2.0000000000000018E-2</v>
      </c>
      <c r="S110">
        <f t="shared" si="51"/>
        <v>34.979999999999997</v>
      </c>
      <c r="T110">
        <f t="shared" si="36"/>
        <v>0.35468219385030825</v>
      </c>
      <c r="U110">
        <f t="shared" si="52"/>
        <v>0</v>
      </c>
      <c r="W110">
        <f>$B$5*'5 Year Rainfall Simulation'!D111/1000</f>
        <v>5.9810607970723604</v>
      </c>
      <c r="X110">
        <f t="shared" si="37"/>
        <v>5.9810607970723604</v>
      </c>
      <c r="Y110">
        <f t="shared" si="38"/>
        <v>0.62</v>
      </c>
      <c r="Z110">
        <f t="shared" si="39"/>
        <v>5.3610607970723603</v>
      </c>
      <c r="AA110">
        <f t="shared" si="53"/>
        <v>35</v>
      </c>
      <c r="AB110">
        <f t="shared" si="40"/>
        <v>3.5356262750961638</v>
      </c>
      <c r="AC110">
        <f t="shared" si="54"/>
        <v>0</v>
      </c>
      <c r="AE110">
        <f>$B$5*'5 Year Rainfall Simulation'!E111/1000</f>
        <v>0</v>
      </c>
      <c r="AF110">
        <f t="shared" si="41"/>
        <v>0</v>
      </c>
      <c r="AG110">
        <f t="shared" si="42"/>
        <v>0.62</v>
      </c>
      <c r="AH110">
        <f t="shared" si="43"/>
        <v>-0.62</v>
      </c>
      <c r="AI110">
        <f t="shared" si="55"/>
        <v>34.380000000000003</v>
      </c>
      <c r="AJ110">
        <f t="shared" si="44"/>
        <v>0</v>
      </c>
      <c r="AK110">
        <f t="shared" si="56"/>
        <v>0</v>
      </c>
      <c r="AM110">
        <f>$B$5*'5 Year Rainfall Simulation'!F111/1000</f>
        <v>5.7497005943025457</v>
      </c>
      <c r="AN110">
        <f t="shared" si="45"/>
        <v>5.7497005943025457</v>
      </c>
      <c r="AO110">
        <f t="shared" si="46"/>
        <v>0.62</v>
      </c>
      <c r="AP110">
        <f t="shared" si="47"/>
        <v>5.1297005943025455</v>
      </c>
      <c r="AQ110">
        <f t="shared" si="57"/>
        <v>35</v>
      </c>
      <c r="AR110">
        <f t="shared" si="48"/>
        <v>3.398860701282747</v>
      </c>
      <c r="AS110">
        <f t="shared" si="58"/>
        <v>0</v>
      </c>
    </row>
    <row r="111" spans="6:45" ht="18" customHeight="1">
      <c r="F111" s="109">
        <v>44668</v>
      </c>
      <c r="G111">
        <f>B$5*'5 Year Rainfall Simulation'!B112/1000</f>
        <v>1.9600000000000002</v>
      </c>
      <c r="H111">
        <f t="shared" si="30"/>
        <v>1.9600000000000002</v>
      </c>
      <c r="I111">
        <f t="shared" si="59"/>
        <v>0.62</v>
      </c>
      <c r="J111">
        <f t="shared" si="31"/>
        <v>1.3400000000000003</v>
      </c>
      <c r="K111">
        <f t="shared" si="49"/>
        <v>35</v>
      </c>
      <c r="L111">
        <f t="shared" si="32"/>
        <v>1.158628499911007</v>
      </c>
      <c r="M111">
        <f t="shared" si="50"/>
        <v>0</v>
      </c>
      <c r="O111">
        <f>$B$5*'5 Year Rainfall Simulation'!C112/1000</f>
        <v>0</v>
      </c>
      <c r="P111">
        <f t="shared" si="33"/>
        <v>0</v>
      </c>
      <c r="Q111">
        <f t="shared" si="34"/>
        <v>0.62</v>
      </c>
      <c r="R111">
        <f t="shared" si="35"/>
        <v>-0.62</v>
      </c>
      <c r="S111">
        <f t="shared" si="51"/>
        <v>34.36</v>
      </c>
      <c r="T111">
        <f t="shared" si="36"/>
        <v>0</v>
      </c>
      <c r="U111">
        <f t="shared" si="52"/>
        <v>0</v>
      </c>
      <c r="W111">
        <f>$B$5*'5 Year Rainfall Simulation'!D112/1000</f>
        <v>0</v>
      </c>
      <c r="X111">
        <f t="shared" si="37"/>
        <v>0</v>
      </c>
      <c r="Y111">
        <f t="shared" si="38"/>
        <v>0.62</v>
      </c>
      <c r="Z111">
        <f t="shared" si="39"/>
        <v>-0.62</v>
      </c>
      <c r="AA111">
        <f t="shared" si="53"/>
        <v>34.380000000000003</v>
      </c>
      <c r="AB111">
        <f t="shared" si="40"/>
        <v>0</v>
      </c>
      <c r="AC111">
        <f t="shared" si="54"/>
        <v>0</v>
      </c>
      <c r="AE111">
        <f>$B$5*'5 Year Rainfall Simulation'!E112/1000</f>
        <v>0.97390811951159062</v>
      </c>
      <c r="AF111">
        <f t="shared" si="41"/>
        <v>0.97390811951159062</v>
      </c>
      <c r="AG111">
        <f t="shared" si="42"/>
        <v>0.62</v>
      </c>
      <c r="AH111">
        <f t="shared" si="43"/>
        <v>0.35390811951159062</v>
      </c>
      <c r="AI111">
        <f t="shared" si="55"/>
        <v>34.733908119511597</v>
      </c>
      <c r="AJ111">
        <f t="shared" si="44"/>
        <v>0.57571311406166525</v>
      </c>
      <c r="AK111">
        <f t="shared" si="56"/>
        <v>0</v>
      </c>
      <c r="AM111">
        <f>$B$5*'5 Year Rainfall Simulation'!F112/1000</f>
        <v>0</v>
      </c>
      <c r="AN111">
        <f t="shared" si="45"/>
        <v>0</v>
      </c>
      <c r="AO111">
        <f t="shared" si="46"/>
        <v>0.62</v>
      </c>
      <c r="AP111">
        <f t="shared" si="47"/>
        <v>-0.62</v>
      </c>
      <c r="AQ111">
        <f t="shared" si="57"/>
        <v>34.380000000000003</v>
      </c>
      <c r="AR111">
        <f t="shared" si="48"/>
        <v>0</v>
      </c>
      <c r="AS111">
        <f t="shared" si="58"/>
        <v>0</v>
      </c>
    </row>
    <row r="112" spans="6:45" ht="18" customHeight="1">
      <c r="F112" s="109">
        <v>44669</v>
      </c>
      <c r="G112">
        <f>B$5*'5 Year Rainfall Simulation'!B113/1000</f>
        <v>0.38</v>
      </c>
      <c r="H112">
        <f t="shared" si="30"/>
        <v>0.38</v>
      </c>
      <c r="I112">
        <f t="shared" si="59"/>
        <v>0.62</v>
      </c>
      <c r="J112">
        <f t="shared" si="31"/>
        <v>-0.24</v>
      </c>
      <c r="K112">
        <f t="shared" si="49"/>
        <v>34.76</v>
      </c>
      <c r="L112">
        <f t="shared" si="32"/>
        <v>0.22463205610519524</v>
      </c>
      <c r="M112">
        <f t="shared" si="50"/>
        <v>0</v>
      </c>
      <c r="O112">
        <f>$B$5*'5 Year Rainfall Simulation'!C113/1000</f>
        <v>0</v>
      </c>
      <c r="P112">
        <f t="shared" si="33"/>
        <v>0</v>
      </c>
      <c r="Q112">
        <f t="shared" si="34"/>
        <v>0.62</v>
      </c>
      <c r="R112">
        <f t="shared" si="35"/>
        <v>-0.62</v>
      </c>
      <c r="S112">
        <f t="shared" si="51"/>
        <v>33.74</v>
      </c>
      <c r="T112">
        <f t="shared" si="36"/>
        <v>0</v>
      </c>
      <c r="U112">
        <f t="shared" si="52"/>
        <v>0</v>
      </c>
      <c r="W112">
        <f>$B$5*'5 Year Rainfall Simulation'!D113/1000</f>
        <v>0</v>
      </c>
      <c r="X112">
        <f t="shared" si="37"/>
        <v>0</v>
      </c>
      <c r="Y112">
        <f t="shared" si="38"/>
        <v>0.62</v>
      </c>
      <c r="Z112">
        <f t="shared" si="39"/>
        <v>-0.62</v>
      </c>
      <c r="AA112">
        <f t="shared" si="53"/>
        <v>33.760000000000005</v>
      </c>
      <c r="AB112">
        <f t="shared" si="40"/>
        <v>0</v>
      </c>
      <c r="AC112">
        <f t="shared" si="54"/>
        <v>0</v>
      </c>
      <c r="AE112">
        <f>$B$5*'5 Year Rainfall Simulation'!E113/1000</f>
        <v>0</v>
      </c>
      <c r="AF112">
        <f t="shared" si="41"/>
        <v>0</v>
      </c>
      <c r="AG112">
        <f t="shared" si="42"/>
        <v>0.62</v>
      </c>
      <c r="AH112">
        <f t="shared" si="43"/>
        <v>-0.62</v>
      </c>
      <c r="AI112">
        <f t="shared" si="55"/>
        <v>34.113908119511599</v>
      </c>
      <c r="AJ112">
        <f t="shared" si="44"/>
        <v>0</v>
      </c>
      <c r="AK112">
        <f t="shared" si="56"/>
        <v>0</v>
      </c>
      <c r="AM112">
        <f>$B$5*'5 Year Rainfall Simulation'!F113/1000</f>
        <v>1.190856405165102</v>
      </c>
      <c r="AN112">
        <f t="shared" si="45"/>
        <v>1.190856405165102</v>
      </c>
      <c r="AO112">
        <f t="shared" si="46"/>
        <v>0.62</v>
      </c>
      <c r="AP112">
        <f t="shared" si="47"/>
        <v>0.57085640516510205</v>
      </c>
      <c r="AQ112">
        <f t="shared" si="57"/>
        <v>34.950856405165105</v>
      </c>
      <c r="AR112">
        <f t="shared" si="48"/>
        <v>0.70395927057441665</v>
      </c>
      <c r="AS112">
        <f t="shared" si="58"/>
        <v>0</v>
      </c>
    </row>
    <row r="113" spans="6:45" ht="18" customHeight="1">
      <c r="F113" s="109">
        <v>44670</v>
      </c>
      <c r="G113">
        <f>B$5*'5 Year Rainfall Simulation'!B114/1000</f>
        <v>4.2</v>
      </c>
      <c r="H113">
        <f t="shared" si="30"/>
        <v>4.2</v>
      </c>
      <c r="I113">
        <f t="shared" si="59"/>
        <v>0.62</v>
      </c>
      <c r="J113">
        <f t="shared" si="31"/>
        <v>3.58</v>
      </c>
      <c r="K113">
        <f t="shared" si="49"/>
        <v>35</v>
      </c>
      <c r="L113">
        <f t="shared" si="32"/>
        <v>2.4827753569521578</v>
      </c>
      <c r="M113">
        <f t="shared" si="50"/>
        <v>0</v>
      </c>
      <c r="O113">
        <f>$B$5*'5 Year Rainfall Simulation'!C114/1000</f>
        <v>0</v>
      </c>
      <c r="P113">
        <f t="shared" si="33"/>
        <v>0</v>
      </c>
      <c r="Q113">
        <f t="shared" si="34"/>
        <v>0.62</v>
      </c>
      <c r="R113">
        <f t="shared" si="35"/>
        <v>-0.62</v>
      </c>
      <c r="S113">
        <f t="shared" si="51"/>
        <v>33.120000000000005</v>
      </c>
      <c r="T113">
        <f t="shared" si="36"/>
        <v>0</v>
      </c>
      <c r="U113">
        <f t="shared" si="52"/>
        <v>0</v>
      </c>
      <c r="W113">
        <f>$B$5*'5 Year Rainfall Simulation'!D114/1000</f>
        <v>3.1857479766396124</v>
      </c>
      <c r="X113">
        <f t="shared" si="37"/>
        <v>3.1857479766396124</v>
      </c>
      <c r="Y113">
        <f t="shared" si="38"/>
        <v>0.62</v>
      </c>
      <c r="Z113">
        <f t="shared" si="39"/>
        <v>2.5657479766396123</v>
      </c>
      <c r="AA113">
        <f t="shared" si="53"/>
        <v>35</v>
      </c>
      <c r="AB113">
        <f t="shared" si="40"/>
        <v>1.8832134690145306</v>
      </c>
      <c r="AC113">
        <f t="shared" si="54"/>
        <v>0</v>
      </c>
      <c r="AE113">
        <f>$B$5*'5 Year Rainfall Simulation'!E114/1000</f>
        <v>0</v>
      </c>
      <c r="AF113">
        <f t="shared" si="41"/>
        <v>0</v>
      </c>
      <c r="AG113">
        <f t="shared" si="42"/>
        <v>0.62</v>
      </c>
      <c r="AH113">
        <f t="shared" si="43"/>
        <v>-0.62</v>
      </c>
      <c r="AI113">
        <f t="shared" si="55"/>
        <v>33.493908119511602</v>
      </c>
      <c r="AJ113">
        <f t="shared" si="44"/>
        <v>0</v>
      </c>
      <c r="AK113">
        <f t="shared" si="56"/>
        <v>0</v>
      </c>
      <c r="AM113">
        <f>$B$5*'5 Year Rainfall Simulation'!F114/1000</f>
        <v>0.80518431017676484</v>
      </c>
      <c r="AN113">
        <f t="shared" si="45"/>
        <v>0.80518431017676484</v>
      </c>
      <c r="AO113">
        <f t="shared" si="46"/>
        <v>0.62</v>
      </c>
      <c r="AP113">
        <f t="shared" si="47"/>
        <v>0.18518431017676484</v>
      </c>
      <c r="AQ113">
        <f t="shared" si="57"/>
        <v>35</v>
      </c>
      <c r="AR113">
        <f t="shared" si="48"/>
        <v>0.47597422931223676</v>
      </c>
      <c r="AS113">
        <f t="shared" si="58"/>
        <v>0</v>
      </c>
    </row>
    <row r="114" spans="6:45" ht="18" customHeight="1">
      <c r="F114" s="109">
        <v>44671</v>
      </c>
      <c r="G114">
        <f>B$5*'5 Year Rainfall Simulation'!B115/1000</f>
        <v>6</v>
      </c>
      <c r="H114">
        <f t="shared" si="30"/>
        <v>6</v>
      </c>
      <c r="I114">
        <f t="shared" si="59"/>
        <v>0.62</v>
      </c>
      <c r="J114">
        <f t="shared" si="31"/>
        <v>5.38</v>
      </c>
      <c r="K114">
        <f t="shared" si="49"/>
        <v>35</v>
      </c>
      <c r="L114">
        <f t="shared" si="32"/>
        <v>3.5468219385030828</v>
      </c>
      <c r="M114">
        <f t="shared" si="50"/>
        <v>0</v>
      </c>
      <c r="O114">
        <f>$B$5*'5 Year Rainfall Simulation'!C115/1000</f>
        <v>0.22000000000000003</v>
      </c>
      <c r="P114">
        <f t="shared" si="33"/>
        <v>0.22000000000000003</v>
      </c>
      <c r="Q114">
        <f t="shared" si="34"/>
        <v>0.62</v>
      </c>
      <c r="R114">
        <f t="shared" si="35"/>
        <v>-0.39999999999999997</v>
      </c>
      <c r="S114">
        <f t="shared" si="51"/>
        <v>32.720000000000006</v>
      </c>
      <c r="T114">
        <f t="shared" si="36"/>
        <v>0.13005013774511304</v>
      </c>
      <c r="U114">
        <f t="shared" si="52"/>
        <v>0</v>
      </c>
      <c r="W114">
        <f>$B$5*'5 Year Rainfall Simulation'!D115/1000</f>
        <v>6.0338807964540448</v>
      </c>
      <c r="X114">
        <f t="shared" si="37"/>
        <v>6.0338807964540448</v>
      </c>
      <c r="Y114">
        <f t="shared" si="38"/>
        <v>0.62</v>
      </c>
      <c r="Z114">
        <f t="shared" si="39"/>
        <v>5.4138807964540447</v>
      </c>
      <c r="AA114">
        <f t="shared" si="53"/>
        <v>35</v>
      </c>
      <c r="AB114">
        <f t="shared" si="40"/>
        <v>3.5668501305292768</v>
      </c>
      <c r="AC114">
        <f t="shared" si="54"/>
        <v>0</v>
      </c>
      <c r="AE114">
        <f>$B$5*'5 Year Rainfall Simulation'!E115/1000</f>
        <v>0</v>
      </c>
      <c r="AF114">
        <f t="shared" si="41"/>
        <v>0</v>
      </c>
      <c r="AG114">
        <f t="shared" si="42"/>
        <v>0.62</v>
      </c>
      <c r="AH114">
        <f t="shared" si="43"/>
        <v>-0.62</v>
      </c>
      <c r="AI114">
        <f t="shared" si="55"/>
        <v>32.873908119511604</v>
      </c>
      <c r="AJ114">
        <f t="shared" si="44"/>
        <v>0</v>
      </c>
      <c r="AK114">
        <f t="shared" si="56"/>
        <v>0</v>
      </c>
      <c r="AM114">
        <f>$B$5*'5 Year Rainfall Simulation'!F115/1000</f>
        <v>7.4485181579605824</v>
      </c>
      <c r="AN114">
        <f t="shared" si="45"/>
        <v>7.4485181579605824</v>
      </c>
      <c r="AO114">
        <f t="shared" si="46"/>
        <v>0.62</v>
      </c>
      <c r="AP114">
        <f t="shared" si="47"/>
        <v>6.8285181579605823</v>
      </c>
      <c r="AQ114">
        <f t="shared" si="57"/>
        <v>35</v>
      </c>
      <c r="AR114">
        <f t="shared" si="48"/>
        <v>4.4030946019988608</v>
      </c>
      <c r="AS114">
        <f t="shared" si="58"/>
        <v>0</v>
      </c>
    </row>
    <row r="115" spans="6:45" ht="18" customHeight="1">
      <c r="F115" s="109">
        <v>44672</v>
      </c>
      <c r="G115">
        <f>B$5*'5 Year Rainfall Simulation'!B116/1000</f>
        <v>0</v>
      </c>
      <c r="H115">
        <f t="shared" si="30"/>
        <v>0</v>
      </c>
      <c r="I115">
        <f t="shared" si="59"/>
        <v>0.62</v>
      </c>
      <c r="J115">
        <f t="shared" si="31"/>
        <v>-0.62</v>
      </c>
      <c r="K115">
        <f t="shared" si="49"/>
        <v>34.380000000000003</v>
      </c>
      <c r="L115">
        <f t="shared" si="32"/>
        <v>0</v>
      </c>
      <c r="M115">
        <f t="shared" si="50"/>
        <v>0</v>
      </c>
      <c r="O115">
        <f>$B$5*'5 Year Rainfall Simulation'!C116/1000</f>
        <v>0.08</v>
      </c>
      <c r="P115">
        <f t="shared" si="33"/>
        <v>0.08</v>
      </c>
      <c r="Q115">
        <f t="shared" si="34"/>
        <v>0.62</v>
      </c>
      <c r="R115">
        <f t="shared" si="35"/>
        <v>-0.54</v>
      </c>
      <c r="S115">
        <f t="shared" si="51"/>
        <v>32.180000000000007</v>
      </c>
      <c r="T115">
        <f t="shared" si="36"/>
        <v>4.7290959180041101E-2</v>
      </c>
      <c r="U115">
        <f t="shared" si="52"/>
        <v>0</v>
      </c>
      <c r="W115">
        <f>$B$5*'5 Year Rainfall Simulation'!D116/1000</f>
        <v>1.7419976132109949</v>
      </c>
      <c r="X115">
        <f t="shared" si="37"/>
        <v>1.7419976132109949</v>
      </c>
      <c r="Y115">
        <f t="shared" si="38"/>
        <v>0.62</v>
      </c>
      <c r="Z115">
        <f t="shared" si="39"/>
        <v>1.1219976132109948</v>
      </c>
      <c r="AA115">
        <f t="shared" si="53"/>
        <v>35</v>
      </c>
      <c r="AB115">
        <f t="shared" si="40"/>
        <v>1.0297592252261274</v>
      </c>
      <c r="AC115">
        <f t="shared" si="54"/>
        <v>0</v>
      </c>
      <c r="AE115">
        <f>$B$5*'5 Year Rainfall Simulation'!E116/1000</f>
        <v>0</v>
      </c>
      <c r="AF115">
        <f t="shared" si="41"/>
        <v>0</v>
      </c>
      <c r="AG115">
        <f t="shared" si="42"/>
        <v>0.62</v>
      </c>
      <c r="AH115">
        <f t="shared" si="43"/>
        <v>-0.62</v>
      </c>
      <c r="AI115">
        <f t="shared" si="55"/>
        <v>32.253908119511607</v>
      </c>
      <c r="AJ115">
        <f t="shared" si="44"/>
        <v>0</v>
      </c>
      <c r="AK115">
        <f t="shared" si="56"/>
        <v>0</v>
      </c>
      <c r="AM115">
        <f>$B$5*'5 Year Rainfall Simulation'!F116/1000</f>
        <v>0</v>
      </c>
      <c r="AN115">
        <f t="shared" si="45"/>
        <v>0</v>
      </c>
      <c r="AO115">
        <f t="shared" si="46"/>
        <v>0.62</v>
      </c>
      <c r="AP115">
        <f t="shared" si="47"/>
        <v>-0.62</v>
      </c>
      <c r="AQ115">
        <f t="shared" si="57"/>
        <v>34.380000000000003</v>
      </c>
      <c r="AR115">
        <f t="shared" si="48"/>
        <v>0</v>
      </c>
      <c r="AS115">
        <f t="shared" si="58"/>
        <v>0</v>
      </c>
    </row>
    <row r="116" spans="6:45" ht="18" customHeight="1">
      <c r="F116" s="109">
        <v>44673</v>
      </c>
      <c r="G116">
        <f>B$5*'5 Year Rainfall Simulation'!B117/1000</f>
        <v>0.88000000000000012</v>
      </c>
      <c r="H116">
        <f t="shared" si="30"/>
        <v>0.88000000000000012</v>
      </c>
      <c r="I116">
        <f t="shared" si="59"/>
        <v>0.62</v>
      </c>
      <c r="J116">
        <f t="shared" si="31"/>
        <v>0.26000000000000012</v>
      </c>
      <c r="K116">
        <f t="shared" si="49"/>
        <v>34.64</v>
      </c>
      <c r="L116">
        <f t="shared" si="32"/>
        <v>0.52020055098045215</v>
      </c>
      <c r="M116">
        <f t="shared" si="50"/>
        <v>0</v>
      </c>
      <c r="O116">
        <f>$B$5*'5 Year Rainfall Simulation'!C117/1000</f>
        <v>1.6399999999999997</v>
      </c>
      <c r="P116">
        <f t="shared" si="33"/>
        <v>1.6399999999999997</v>
      </c>
      <c r="Q116">
        <f t="shared" si="34"/>
        <v>0.62</v>
      </c>
      <c r="R116">
        <f t="shared" si="35"/>
        <v>1.0199999999999996</v>
      </c>
      <c r="S116">
        <f t="shared" si="51"/>
        <v>33.200000000000003</v>
      </c>
      <c r="T116">
        <f t="shared" si="36"/>
        <v>0.96946466319084246</v>
      </c>
      <c r="U116">
        <f t="shared" si="52"/>
        <v>0</v>
      </c>
      <c r="W116">
        <f>$B$5*'5 Year Rainfall Simulation'!D117/1000</f>
        <v>0</v>
      </c>
      <c r="X116">
        <f t="shared" si="37"/>
        <v>0</v>
      </c>
      <c r="Y116">
        <f t="shared" si="38"/>
        <v>0.62</v>
      </c>
      <c r="Z116">
        <f t="shared" si="39"/>
        <v>-0.62</v>
      </c>
      <c r="AA116">
        <f t="shared" si="53"/>
        <v>34.380000000000003</v>
      </c>
      <c r="AB116">
        <f t="shared" si="40"/>
        <v>0</v>
      </c>
      <c r="AC116">
        <f t="shared" si="54"/>
        <v>0</v>
      </c>
      <c r="AE116">
        <f>$B$5*'5 Year Rainfall Simulation'!E117/1000</f>
        <v>0.82197513376617692</v>
      </c>
      <c r="AF116">
        <f t="shared" si="41"/>
        <v>0.82197513376617692</v>
      </c>
      <c r="AG116">
        <f t="shared" si="42"/>
        <v>0.62</v>
      </c>
      <c r="AH116">
        <f t="shared" si="43"/>
        <v>0.20197513376617693</v>
      </c>
      <c r="AI116">
        <f t="shared" si="55"/>
        <v>32.455883253277783</v>
      </c>
      <c r="AJ116">
        <f t="shared" si="44"/>
        <v>0.48589990622431373</v>
      </c>
      <c r="AK116">
        <f t="shared" si="56"/>
        <v>0</v>
      </c>
      <c r="AM116">
        <f>$B$5*'5 Year Rainfall Simulation'!F117/1000</f>
        <v>0</v>
      </c>
      <c r="AN116">
        <f t="shared" si="45"/>
        <v>0</v>
      </c>
      <c r="AO116">
        <f t="shared" si="46"/>
        <v>0.62</v>
      </c>
      <c r="AP116">
        <f t="shared" si="47"/>
        <v>-0.62</v>
      </c>
      <c r="AQ116">
        <f t="shared" si="57"/>
        <v>33.760000000000005</v>
      </c>
      <c r="AR116">
        <f t="shared" si="48"/>
        <v>0</v>
      </c>
      <c r="AS116">
        <f t="shared" si="58"/>
        <v>0</v>
      </c>
    </row>
    <row r="117" spans="6:45" ht="18" customHeight="1">
      <c r="F117" s="109">
        <v>44674</v>
      </c>
      <c r="G117">
        <f>B$5*'5 Year Rainfall Simulation'!B118/1000</f>
        <v>2.56</v>
      </c>
      <c r="H117">
        <f t="shared" si="30"/>
        <v>2.56</v>
      </c>
      <c r="I117">
        <f t="shared" si="59"/>
        <v>0.62</v>
      </c>
      <c r="J117">
        <f t="shared" si="31"/>
        <v>1.94</v>
      </c>
      <c r="K117">
        <f t="shared" si="49"/>
        <v>35</v>
      </c>
      <c r="L117">
        <f t="shared" si="32"/>
        <v>1.5133106937613152</v>
      </c>
      <c r="M117">
        <f t="shared" si="50"/>
        <v>0</v>
      </c>
      <c r="O117">
        <f>$B$5*'5 Year Rainfall Simulation'!C118/1000</f>
        <v>1.68</v>
      </c>
      <c r="P117">
        <f t="shared" si="33"/>
        <v>1.68</v>
      </c>
      <c r="Q117">
        <f t="shared" si="34"/>
        <v>0.62</v>
      </c>
      <c r="R117">
        <f t="shared" si="35"/>
        <v>1.06</v>
      </c>
      <c r="S117">
        <f t="shared" si="51"/>
        <v>34.260000000000005</v>
      </c>
      <c r="T117">
        <f t="shared" si="36"/>
        <v>0.99311014278086307</v>
      </c>
      <c r="U117">
        <f t="shared" si="52"/>
        <v>0</v>
      </c>
      <c r="W117">
        <f>$B$5*'5 Year Rainfall Simulation'!D118/1000</f>
        <v>0</v>
      </c>
      <c r="X117">
        <f t="shared" si="37"/>
        <v>0</v>
      </c>
      <c r="Y117">
        <f t="shared" si="38"/>
        <v>0.62</v>
      </c>
      <c r="Z117">
        <f t="shared" si="39"/>
        <v>-0.62</v>
      </c>
      <c r="AA117">
        <f t="shared" si="53"/>
        <v>33.760000000000005</v>
      </c>
      <c r="AB117">
        <f t="shared" si="40"/>
        <v>0</v>
      </c>
      <c r="AC117">
        <f t="shared" si="54"/>
        <v>0</v>
      </c>
      <c r="AE117">
        <f>$B$5*'5 Year Rainfall Simulation'!E118/1000</f>
        <v>6.3476498615699484E-2</v>
      </c>
      <c r="AF117">
        <f t="shared" si="41"/>
        <v>6.3476498615699484E-2</v>
      </c>
      <c r="AG117">
        <f t="shared" si="42"/>
        <v>0.62</v>
      </c>
      <c r="AH117">
        <f t="shared" si="43"/>
        <v>-0.55652350138430051</v>
      </c>
      <c r="AI117">
        <f t="shared" si="55"/>
        <v>31.899359751893481</v>
      </c>
      <c r="AJ117">
        <f t="shared" si="44"/>
        <v>3.7523306311587248E-2</v>
      </c>
      <c r="AK117">
        <f t="shared" si="56"/>
        <v>0</v>
      </c>
      <c r="AM117">
        <f>$B$5*'5 Year Rainfall Simulation'!F118/1000</f>
        <v>0</v>
      </c>
      <c r="AN117">
        <f t="shared" si="45"/>
        <v>0</v>
      </c>
      <c r="AO117">
        <f t="shared" si="46"/>
        <v>0.62</v>
      </c>
      <c r="AP117">
        <f t="shared" si="47"/>
        <v>-0.62</v>
      </c>
      <c r="AQ117">
        <f t="shared" si="57"/>
        <v>33.140000000000008</v>
      </c>
      <c r="AR117">
        <f t="shared" si="48"/>
        <v>0</v>
      </c>
      <c r="AS117">
        <f t="shared" si="58"/>
        <v>0</v>
      </c>
    </row>
    <row r="118" spans="6:45" ht="18" customHeight="1">
      <c r="F118" s="109">
        <v>44675</v>
      </c>
      <c r="G118">
        <f>B$5*'5 Year Rainfall Simulation'!B119/1000</f>
        <v>5.2</v>
      </c>
      <c r="H118">
        <f t="shared" si="30"/>
        <v>5.2</v>
      </c>
      <c r="I118">
        <f t="shared" si="59"/>
        <v>0.62</v>
      </c>
      <c r="J118">
        <f t="shared" si="31"/>
        <v>4.58</v>
      </c>
      <c r="K118">
        <f t="shared" si="49"/>
        <v>35</v>
      </c>
      <c r="L118">
        <f t="shared" si="32"/>
        <v>3.0739123467026719</v>
      </c>
      <c r="M118">
        <f t="shared" si="50"/>
        <v>0</v>
      </c>
      <c r="O118">
        <f>$B$5*'5 Year Rainfall Simulation'!C119/1000</f>
        <v>0.36</v>
      </c>
      <c r="P118">
        <f t="shared" si="33"/>
        <v>0.36</v>
      </c>
      <c r="Q118">
        <f t="shared" si="34"/>
        <v>0.62</v>
      </c>
      <c r="R118">
        <f t="shared" si="35"/>
        <v>-0.26</v>
      </c>
      <c r="S118">
        <f t="shared" si="51"/>
        <v>34.000000000000007</v>
      </c>
      <c r="T118">
        <f t="shared" si="36"/>
        <v>0.21280931631018496</v>
      </c>
      <c r="U118">
        <f t="shared" si="52"/>
        <v>0</v>
      </c>
      <c r="W118">
        <f>$B$5*'5 Year Rainfall Simulation'!D119/1000</f>
        <v>2.2052829737145618</v>
      </c>
      <c r="X118">
        <f t="shared" si="37"/>
        <v>2.2052829737145618</v>
      </c>
      <c r="Y118">
        <f t="shared" si="38"/>
        <v>0.62</v>
      </c>
      <c r="Z118">
        <f t="shared" si="39"/>
        <v>1.5852829737145617</v>
      </c>
      <c r="AA118">
        <f t="shared" si="53"/>
        <v>35</v>
      </c>
      <c r="AB118">
        <f t="shared" si="40"/>
        <v>1.3036243386296875</v>
      </c>
      <c r="AC118">
        <f t="shared" si="54"/>
        <v>0</v>
      </c>
      <c r="AE118">
        <f>$B$5*'5 Year Rainfall Simulation'!E119/1000</f>
        <v>0</v>
      </c>
      <c r="AF118">
        <f t="shared" si="41"/>
        <v>0</v>
      </c>
      <c r="AG118">
        <f t="shared" si="42"/>
        <v>0.62</v>
      </c>
      <c r="AH118">
        <f t="shared" si="43"/>
        <v>-0.62</v>
      </c>
      <c r="AI118">
        <f t="shared" si="55"/>
        <v>31.27935975189348</v>
      </c>
      <c r="AJ118">
        <f t="shared" si="44"/>
        <v>0</v>
      </c>
      <c r="AK118">
        <f t="shared" si="56"/>
        <v>0</v>
      </c>
      <c r="AM118">
        <f>$B$5*'5 Year Rainfall Simulation'!F119/1000</f>
        <v>0.42489830026089059</v>
      </c>
      <c r="AN118">
        <f t="shared" si="45"/>
        <v>0.42489830026089059</v>
      </c>
      <c r="AO118">
        <f t="shared" si="46"/>
        <v>0.62</v>
      </c>
      <c r="AP118">
        <f t="shared" si="47"/>
        <v>-0.1951016997391094</v>
      </c>
      <c r="AQ118">
        <f t="shared" si="57"/>
        <v>32.944898300260895</v>
      </c>
      <c r="AR118">
        <f t="shared" si="48"/>
        <v>0.25117310216633282</v>
      </c>
      <c r="AS118">
        <f t="shared" si="58"/>
        <v>0</v>
      </c>
    </row>
    <row r="119" spans="6:45" ht="18" customHeight="1">
      <c r="F119" s="109">
        <v>44676</v>
      </c>
      <c r="G119">
        <f>B$5*'5 Year Rainfall Simulation'!B120/1000</f>
        <v>0.36</v>
      </c>
      <c r="H119">
        <f t="shared" si="30"/>
        <v>0.36</v>
      </c>
      <c r="I119">
        <f t="shared" si="59"/>
        <v>0.62</v>
      </c>
      <c r="J119">
        <f t="shared" si="31"/>
        <v>-0.26</v>
      </c>
      <c r="K119">
        <f t="shared" si="49"/>
        <v>34.74</v>
      </c>
      <c r="L119">
        <f t="shared" si="32"/>
        <v>0.21280931631018496</v>
      </c>
      <c r="M119">
        <f t="shared" si="50"/>
        <v>0</v>
      </c>
      <c r="O119">
        <f>$B$5*'5 Year Rainfall Simulation'!C120/1000</f>
        <v>0</v>
      </c>
      <c r="P119">
        <f t="shared" si="33"/>
        <v>0</v>
      </c>
      <c r="Q119">
        <f t="shared" si="34"/>
        <v>0.62</v>
      </c>
      <c r="R119">
        <f t="shared" si="35"/>
        <v>-0.62</v>
      </c>
      <c r="S119">
        <f t="shared" si="51"/>
        <v>33.38000000000001</v>
      </c>
      <c r="T119">
        <f t="shared" si="36"/>
        <v>0</v>
      </c>
      <c r="U119">
        <f t="shared" si="52"/>
        <v>0</v>
      </c>
      <c r="W119">
        <f>$B$5*'5 Year Rainfall Simulation'!D120/1000</f>
        <v>0</v>
      </c>
      <c r="X119">
        <f t="shared" si="37"/>
        <v>0</v>
      </c>
      <c r="Y119">
        <f t="shared" si="38"/>
        <v>0.62</v>
      </c>
      <c r="Z119">
        <f t="shared" si="39"/>
        <v>-0.62</v>
      </c>
      <c r="AA119">
        <f t="shared" si="53"/>
        <v>34.380000000000003</v>
      </c>
      <c r="AB119">
        <f t="shared" si="40"/>
        <v>0</v>
      </c>
      <c r="AC119">
        <f t="shared" si="54"/>
        <v>0</v>
      </c>
      <c r="AE119">
        <f>$B$5*'5 Year Rainfall Simulation'!E120/1000</f>
        <v>0</v>
      </c>
      <c r="AF119">
        <f t="shared" si="41"/>
        <v>0</v>
      </c>
      <c r="AG119">
        <f t="shared" si="42"/>
        <v>0.62</v>
      </c>
      <c r="AH119">
        <f t="shared" si="43"/>
        <v>-0.62</v>
      </c>
      <c r="AI119">
        <f t="shared" si="55"/>
        <v>30.659359751893479</v>
      </c>
      <c r="AJ119">
        <f t="shared" si="44"/>
        <v>0</v>
      </c>
      <c r="AK119">
        <f t="shared" si="56"/>
        <v>0</v>
      </c>
      <c r="AM119">
        <f>$B$5*'5 Year Rainfall Simulation'!F120/1000</f>
        <v>0.57309481045649491</v>
      </c>
      <c r="AN119">
        <f t="shared" si="45"/>
        <v>0.57309481045649491</v>
      </c>
      <c r="AO119">
        <f t="shared" si="46"/>
        <v>0.62</v>
      </c>
      <c r="AP119">
        <f t="shared" si="47"/>
        <v>-4.6905189543505088E-2</v>
      </c>
      <c r="AQ119">
        <f t="shared" si="57"/>
        <v>32.897993110717394</v>
      </c>
      <c r="AR119">
        <f t="shared" si="48"/>
        <v>0.33877754109489366</v>
      </c>
      <c r="AS119">
        <f t="shared" si="58"/>
        <v>0</v>
      </c>
    </row>
    <row r="120" spans="6:45" ht="18" customHeight="1">
      <c r="F120" s="109">
        <v>44677</v>
      </c>
      <c r="G120">
        <f>B$5*'5 Year Rainfall Simulation'!B121/1000</f>
        <v>7</v>
      </c>
      <c r="H120">
        <f t="shared" si="30"/>
        <v>7</v>
      </c>
      <c r="I120">
        <f t="shared" si="59"/>
        <v>0.62</v>
      </c>
      <c r="J120">
        <f t="shared" si="31"/>
        <v>6.38</v>
      </c>
      <c r="K120">
        <f t="shared" si="49"/>
        <v>35</v>
      </c>
      <c r="L120">
        <f t="shared" si="32"/>
        <v>4.137958928253596</v>
      </c>
      <c r="M120">
        <f t="shared" si="50"/>
        <v>0</v>
      </c>
      <c r="O120">
        <f>$B$5*'5 Year Rainfall Simulation'!C121/1000</f>
        <v>0.84</v>
      </c>
      <c r="P120">
        <f t="shared" si="33"/>
        <v>0.84</v>
      </c>
      <c r="Q120">
        <f t="shared" si="34"/>
        <v>0.62</v>
      </c>
      <c r="R120">
        <f t="shared" si="35"/>
        <v>0.21999999999999997</v>
      </c>
      <c r="S120">
        <f t="shared" si="51"/>
        <v>33.600000000000009</v>
      </c>
      <c r="T120">
        <f t="shared" si="36"/>
        <v>0.49655507139043153</v>
      </c>
      <c r="U120">
        <f t="shared" si="52"/>
        <v>0</v>
      </c>
      <c r="W120">
        <f>$B$5*'5 Year Rainfall Simulation'!D121/1000</f>
        <v>6.9028271834177515</v>
      </c>
      <c r="X120">
        <f t="shared" si="37"/>
        <v>6.9028271834177515</v>
      </c>
      <c r="Y120">
        <f t="shared" si="38"/>
        <v>0.62</v>
      </c>
      <c r="Z120">
        <f t="shared" si="39"/>
        <v>6.2828271834177514</v>
      </c>
      <c r="AA120">
        <f t="shared" si="53"/>
        <v>35</v>
      </c>
      <c r="AB120">
        <f t="shared" si="40"/>
        <v>4.0805164819735875</v>
      </c>
      <c r="AC120">
        <f t="shared" si="54"/>
        <v>0</v>
      </c>
      <c r="AE120">
        <f>$B$5*'5 Year Rainfall Simulation'!E121/1000</f>
        <v>1.14173656323785</v>
      </c>
      <c r="AF120">
        <f t="shared" si="41"/>
        <v>1.14173656323785</v>
      </c>
      <c r="AG120">
        <f t="shared" si="42"/>
        <v>0.62</v>
      </c>
      <c r="AH120">
        <f t="shared" si="43"/>
        <v>0.52173656323785</v>
      </c>
      <c r="AI120">
        <f t="shared" si="55"/>
        <v>31.181096315131331</v>
      </c>
      <c r="AJ120">
        <f t="shared" si="44"/>
        <v>0.67492271508051971</v>
      </c>
      <c r="AK120">
        <f t="shared" si="56"/>
        <v>0</v>
      </c>
      <c r="AM120">
        <f>$B$5*'5 Year Rainfall Simulation'!F121/1000</f>
        <v>4.8343064888069005</v>
      </c>
      <c r="AN120">
        <f t="shared" si="45"/>
        <v>4.8343064888069005</v>
      </c>
      <c r="AO120">
        <f t="shared" si="46"/>
        <v>0.62</v>
      </c>
      <c r="AP120">
        <f t="shared" si="47"/>
        <v>4.2143064888069004</v>
      </c>
      <c r="AQ120">
        <f t="shared" si="57"/>
        <v>35</v>
      </c>
      <c r="AR120">
        <f t="shared" si="48"/>
        <v>2.857737385324687</v>
      </c>
      <c r="AS120">
        <f t="shared" si="58"/>
        <v>0</v>
      </c>
    </row>
    <row r="121" spans="6:45" ht="18" customHeight="1">
      <c r="F121" s="109">
        <v>44678</v>
      </c>
      <c r="G121">
        <f>B$5*'5 Year Rainfall Simulation'!B122/1000</f>
        <v>1.44</v>
      </c>
      <c r="H121">
        <f t="shared" si="30"/>
        <v>1.44</v>
      </c>
      <c r="I121">
        <f t="shared" si="59"/>
        <v>0.62</v>
      </c>
      <c r="J121">
        <f t="shared" si="31"/>
        <v>0.82</v>
      </c>
      <c r="K121">
        <f t="shared" si="49"/>
        <v>35</v>
      </c>
      <c r="L121">
        <f t="shared" si="32"/>
        <v>0.85123726524073984</v>
      </c>
      <c r="M121">
        <f t="shared" si="50"/>
        <v>0</v>
      </c>
      <c r="O121">
        <f>$B$5*'5 Year Rainfall Simulation'!C122/1000</f>
        <v>4.4800000000000004</v>
      </c>
      <c r="P121">
        <f t="shared" si="33"/>
        <v>4.4800000000000004</v>
      </c>
      <c r="Q121">
        <f t="shared" si="34"/>
        <v>0.62</v>
      </c>
      <c r="R121">
        <f t="shared" si="35"/>
        <v>3.8600000000000003</v>
      </c>
      <c r="S121">
        <f t="shared" si="51"/>
        <v>35</v>
      </c>
      <c r="T121">
        <f t="shared" si="36"/>
        <v>2.648293714082302</v>
      </c>
      <c r="U121">
        <f t="shared" si="52"/>
        <v>0</v>
      </c>
      <c r="W121">
        <f>$B$5*'5 Year Rainfall Simulation'!D122/1000</f>
        <v>2.3226544901247319</v>
      </c>
      <c r="X121">
        <f t="shared" si="37"/>
        <v>2.3226544901247319</v>
      </c>
      <c r="Y121">
        <f t="shared" si="38"/>
        <v>0.62</v>
      </c>
      <c r="Z121">
        <f t="shared" si="39"/>
        <v>1.7026544901247318</v>
      </c>
      <c r="AA121">
        <f t="shared" si="53"/>
        <v>35</v>
      </c>
      <c r="AB121">
        <f t="shared" si="40"/>
        <v>1.3730069835228484</v>
      </c>
      <c r="AC121">
        <f t="shared" si="54"/>
        <v>0</v>
      </c>
      <c r="AE121">
        <f>$B$5*'5 Year Rainfall Simulation'!E122/1000</f>
        <v>4.5079976943599238</v>
      </c>
      <c r="AF121">
        <f t="shared" si="41"/>
        <v>4.5079976943599238</v>
      </c>
      <c r="AG121">
        <f t="shared" si="42"/>
        <v>0.62</v>
      </c>
      <c r="AH121">
        <f t="shared" si="43"/>
        <v>3.8879976943599237</v>
      </c>
      <c r="AI121">
        <f t="shared" si="55"/>
        <v>35</v>
      </c>
      <c r="AJ121">
        <f t="shared" si="44"/>
        <v>2.6648441868461821</v>
      </c>
      <c r="AK121">
        <f t="shared" si="56"/>
        <v>0</v>
      </c>
      <c r="AM121">
        <f>$B$5*'5 Year Rainfall Simulation'!F122/1000</f>
        <v>3.6296477233805642</v>
      </c>
      <c r="AN121">
        <f t="shared" si="45"/>
        <v>3.6296477233805642</v>
      </c>
      <c r="AO121">
        <f t="shared" si="46"/>
        <v>0.62</v>
      </c>
      <c r="AP121">
        <f t="shared" si="47"/>
        <v>3.0096477233805641</v>
      </c>
      <c r="AQ121">
        <f t="shared" si="57"/>
        <v>35</v>
      </c>
      <c r="AR121">
        <f t="shared" si="48"/>
        <v>2.145619029053992</v>
      </c>
      <c r="AS121">
        <f t="shared" si="58"/>
        <v>0</v>
      </c>
    </row>
    <row r="122" spans="6:45" ht="18" customHeight="1">
      <c r="F122" s="109">
        <v>44679</v>
      </c>
      <c r="G122">
        <f>B$5*'5 Year Rainfall Simulation'!B123/1000</f>
        <v>0.16</v>
      </c>
      <c r="H122">
        <f t="shared" si="30"/>
        <v>0.16</v>
      </c>
      <c r="I122">
        <f t="shared" si="59"/>
        <v>0.62</v>
      </c>
      <c r="J122">
        <f t="shared" si="31"/>
        <v>-0.45999999999999996</v>
      </c>
      <c r="K122">
        <f t="shared" si="49"/>
        <v>34.54</v>
      </c>
      <c r="L122">
        <f t="shared" si="32"/>
        <v>9.4581918360082201E-2</v>
      </c>
      <c r="M122">
        <f t="shared" si="50"/>
        <v>0</v>
      </c>
      <c r="O122">
        <f>$B$5*'5 Year Rainfall Simulation'!C123/1000</f>
        <v>3.08</v>
      </c>
      <c r="P122">
        <f t="shared" si="33"/>
        <v>3.08</v>
      </c>
      <c r="Q122">
        <f t="shared" si="34"/>
        <v>0.62</v>
      </c>
      <c r="R122">
        <f t="shared" si="35"/>
        <v>2.46</v>
      </c>
      <c r="S122">
        <f t="shared" si="51"/>
        <v>35</v>
      </c>
      <c r="T122">
        <f t="shared" si="36"/>
        <v>1.8207019284315824</v>
      </c>
      <c r="U122">
        <f t="shared" si="52"/>
        <v>0</v>
      </c>
      <c r="W122">
        <f>$B$5*'5 Year Rainfall Simulation'!D123/1000</f>
        <v>0</v>
      </c>
      <c r="X122">
        <f t="shared" si="37"/>
        <v>0</v>
      </c>
      <c r="Y122">
        <f t="shared" si="38"/>
        <v>0.62</v>
      </c>
      <c r="Z122">
        <f t="shared" si="39"/>
        <v>-0.62</v>
      </c>
      <c r="AA122">
        <f t="shared" si="53"/>
        <v>34.380000000000003</v>
      </c>
      <c r="AB122">
        <f t="shared" si="40"/>
        <v>0</v>
      </c>
      <c r="AC122">
        <f t="shared" si="54"/>
        <v>0</v>
      </c>
      <c r="AE122">
        <f>$B$5*'5 Year Rainfall Simulation'!E123/1000</f>
        <v>4.0330385855078044</v>
      </c>
      <c r="AF122">
        <f t="shared" si="41"/>
        <v>4.0330385855078044</v>
      </c>
      <c r="AG122">
        <f t="shared" si="42"/>
        <v>0.62</v>
      </c>
      <c r="AH122">
        <f t="shared" si="43"/>
        <v>3.4130385855078043</v>
      </c>
      <c r="AI122">
        <f t="shared" si="55"/>
        <v>35</v>
      </c>
      <c r="AJ122">
        <f t="shared" si="44"/>
        <v>2.3840782889847536</v>
      </c>
      <c r="AK122">
        <f t="shared" si="56"/>
        <v>0</v>
      </c>
      <c r="AM122">
        <f>$B$5*'5 Year Rainfall Simulation'!F123/1000</f>
        <v>0</v>
      </c>
      <c r="AN122">
        <f t="shared" si="45"/>
        <v>0</v>
      </c>
      <c r="AO122">
        <f t="shared" si="46"/>
        <v>0.62</v>
      </c>
      <c r="AP122">
        <f t="shared" si="47"/>
        <v>-0.62</v>
      </c>
      <c r="AQ122">
        <f t="shared" si="57"/>
        <v>34.380000000000003</v>
      </c>
      <c r="AR122">
        <f t="shared" si="48"/>
        <v>0</v>
      </c>
      <c r="AS122">
        <f t="shared" si="58"/>
        <v>0</v>
      </c>
    </row>
    <row r="123" spans="6:45" ht="18" customHeight="1">
      <c r="F123" s="109">
        <v>44680</v>
      </c>
      <c r="G123">
        <f>B$5*'5 Year Rainfall Simulation'!B124/1000</f>
        <v>0.02</v>
      </c>
      <c r="H123">
        <f t="shared" si="30"/>
        <v>0.02</v>
      </c>
      <c r="I123">
        <f t="shared" si="59"/>
        <v>0.62</v>
      </c>
      <c r="J123">
        <f t="shared" si="31"/>
        <v>-0.6</v>
      </c>
      <c r="K123">
        <f t="shared" si="49"/>
        <v>33.94</v>
      </c>
      <c r="L123">
        <f t="shared" si="32"/>
        <v>1.1822739795010275E-2</v>
      </c>
      <c r="M123">
        <f t="shared" si="50"/>
        <v>0</v>
      </c>
      <c r="O123">
        <f>$B$5*'5 Year Rainfall Simulation'!C124/1000</f>
        <v>5.52</v>
      </c>
      <c r="P123">
        <f t="shared" si="33"/>
        <v>5.52</v>
      </c>
      <c r="Q123">
        <f t="shared" si="34"/>
        <v>0.62</v>
      </c>
      <c r="R123">
        <f t="shared" si="35"/>
        <v>4.8999999999999995</v>
      </c>
      <c r="S123">
        <f t="shared" si="51"/>
        <v>35</v>
      </c>
      <c r="T123">
        <f t="shared" si="36"/>
        <v>3.2630761834228359</v>
      </c>
      <c r="U123">
        <f t="shared" si="52"/>
        <v>0</v>
      </c>
      <c r="W123">
        <f>$B$5*'5 Year Rainfall Simulation'!D124/1000</f>
        <v>1.1274393274333987</v>
      </c>
      <c r="X123">
        <f t="shared" si="37"/>
        <v>1.1274393274333987</v>
      </c>
      <c r="Y123">
        <f t="shared" si="38"/>
        <v>0.62</v>
      </c>
      <c r="Z123">
        <f t="shared" si="39"/>
        <v>0.5074393274333987</v>
      </c>
      <c r="AA123">
        <f t="shared" si="53"/>
        <v>34.887439327433398</v>
      </c>
      <c r="AB123">
        <f t="shared" si="40"/>
        <v>0.66647109014532313</v>
      </c>
      <c r="AC123">
        <f t="shared" si="54"/>
        <v>0</v>
      </c>
      <c r="AE123">
        <f>$B$5*'5 Year Rainfall Simulation'!E124/1000</f>
        <v>2.672392365464908</v>
      </c>
      <c r="AF123">
        <f t="shared" si="41"/>
        <v>2.672392365464908</v>
      </c>
      <c r="AG123">
        <f t="shared" si="42"/>
        <v>0.62</v>
      </c>
      <c r="AH123">
        <f t="shared" si="43"/>
        <v>2.0523923654649079</v>
      </c>
      <c r="AI123">
        <f t="shared" si="55"/>
        <v>35</v>
      </c>
      <c r="AJ123">
        <f t="shared" si="44"/>
        <v>1.5797499783531805</v>
      </c>
      <c r="AK123">
        <f t="shared" si="56"/>
        <v>0</v>
      </c>
      <c r="AM123">
        <f>$B$5*'5 Year Rainfall Simulation'!F124/1000</f>
        <v>1.3857718456386914</v>
      </c>
      <c r="AN123">
        <f t="shared" si="45"/>
        <v>1.3857718456386914</v>
      </c>
      <c r="AO123">
        <f t="shared" si="46"/>
        <v>0.62</v>
      </c>
      <c r="AP123">
        <f t="shared" si="47"/>
        <v>0.76577184563869138</v>
      </c>
      <c r="AQ123">
        <f t="shared" si="57"/>
        <v>35</v>
      </c>
      <c r="AR123">
        <f t="shared" si="48"/>
        <v>0.81918099731186966</v>
      </c>
      <c r="AS123">
        <f t="shared" si="58"/>
        <v>0</v>
      </c>
    </row>
    <row r="124" spans="6:45" ht="18" customHeight="1">
      <c r="F124" s="109">
        <v>44681</v>
      </c>
      <c r="G124">
        <f>B$5*'5 Year Rainfall Simulation'!B125/1000</f>
        <v>0</v>
      </c>
      <c r="H124">
        <f t="shared" si="30"/>
        <v>0</v>
      </c>
      <c r="I124">
        <f t="shared" si="59"/>
        <v>0.62</v>
      </c>
      <c r="J124">
        <f t="shared" si="31"/>
        <v>-0.62</v>
      </c>
      <c r="K124">
        <f t="shared" si="49"/>
        <v>33.32</v>
      </c>
      <c r="L124">
        <f t="shared" si="32"/>
        <v>0</v>
      </c>
      <c r="M124">
        <f t="shared" si="50"/>
        <v>0</v>
      </c>
      <c r="O124">
        <f>$B$5*'5 Year Rainfall Simulation'!C125/1000</f>
        <v>0.96</v>
      </c>
      <c r="P124">
        <f t="shared" si="33"/>
        <v>0.96</v>
      </c>
      <c r="Q124">
        <f t="shared" si="34"/>
        <v>0.62</v>
      </c>
      <c r="R124">
        <f t="shared" si="35"/>
        <v>0.33999999999999997</v>
      </c>
      <c r="S124">
        <f t="shared" si="51"/>
        <v>35</v>
      </c>
      <c r="T124">
        <f t="shared" si="36"/>
        <v>0.56749151016049315</v>
      </c>
      <c r="U124">
        <f t="shared" si="52"/>
        <v>0</v>
      </c>
      <c r="W124">
        <f>$B$5*'5 Year Rainfall Simulation'!D125/1000</f>
        <v>0</v>
      </c>
      <c r="X124">
        <f t="shared" si="37"/>
        <v>0</v>
      </c>
      <c r="Y124">
        <f t="shared" si="38"/>
        <v>0.62</v>
      </c>
      <c r="Z124">
        <f t="shared" si="39"/>
        <v>-0.62</v>
      </c>
      <c r="AA124">
        <f t="shared" si="53"/>
        <v>34.267439327433401</v>
      </c>
      <c r="AB124">
        <f t="shared" si="40"/>
        <v>0</v>
      </c>
      <c r="AC124">
        <f t="shared" si="54"/>
        <v>0</v>
      </c>
      <c r="AE124">
        <f>$B$5*'5 Year Rainfall Simulation'!E125/1000</f>
        <v>2.0313010771900859</v>
      </c>
      <c r="AF124">
        <f t="shared" si="41"/>
        <v>2.0313010771900859</v>
      </c>
      <c r="AG124">
        <f t="shared" si="42"/>
        <v>0.62</v>
      </c>
      <c r="AH124">
        <f t="shared" si="43"/>
        <v>1.4113010771900858</v>
      </c>
      <c r="AI124">
        <f t="shared" si="55"/>
        <v>35</v>
      </c>
      <c r="AJ124">
        <f t="shared" si="44"/>
        <v>1.2007772040471234</v>
      </c>
      <c r="AK124">
        <f t="shared" si="56"/>
        <v>0</v>
      </c>
      <c r="AM124">
        <f>$B$5*'5 Year Rainfall Simulation'!F125/1000</f>
        <v>0.76761189539077079</v>
      </c>
      <c r="AN124">
        <f t="shared" si="45"/>
        <v>0.76761189539077079</v>
      </c>
      <c r="AO124">
        <f t="shared" si="46"/>
        <v>0.62</v>
      </c>
      <c r="AP124">
        <f t="shared" si="47"/>
        <v>0.1476118953907708</v>
      </c>
      <c r="AQ124">
        <f t="shared" si="57"/>
        <v>35</v>
      </c>
      <c r="AR124">
        <f t="shared" si="48"/>
        <v>0.45376378513798654</v>
      </c>
      <c r="AS124">
        <f t="shared" si="58"/>
        <v>0</v>
      </c>
    </row>
    <row r="125" spans="6:45" ht="18" customHeight="1">
      <c r="F125" s="109">
        <v>44682</v>
      </c>
      <c r="G125">
        <f>B$5*'5 Year Rainfall Simulation'!B126/1000</f>
        <v>0</v>
      </c>
      <c r="H125">
        <f t="shared" si="30"/>
        <v>0</v>
      </c>
      <c r="I125">
        <f t="shared" si="59"/>
        <v>0.62</v>
      </c>
      <c r="J125">
        <f t="shared" si="31"/>
        <v>-0.62</v>
      </c>
      <c r="K125">
        <f t="shared" si="49"/>
        <v>32.700000000000003</v>
      </c>
      <c r="L125">
        <f t="shared" si="32"/>
        <v>0</v>
      </c>
      <c r="M125">
        <f t="shared" si="50"/>
        <v>0</v>
      </c>
      <c r="O125">
        <f>$B$5*'5 Year Rainfall Simulation'!C126/1000</f>
        <v>0.16</v>
      </c>
      <c r="P125">
        <f t="shared" si="33"/>
        <v>0.16</v>
      </c>
      <c r="Q125">
        <f t="shared" si="34"/>
        <v>0.62</v>
      </c>
      <c r="R125">
        <f t="shared" si="35"/>
        <v>-0.45999999999999996</v>
      </c>
      <c r="S125">
        <f t="shared" si="51"/>
        <v>34.54</v>
      </c>
      <c r="T125">
        <f t="shared" si="36"/>
        <v>9.4581918360082201E-2</v>
      </c>
      <c r="U125">
        <f t="shared" si="52"/>
        <v>0</v>
      </c>
      <c r="W125">
        <f>$B$5*'5 Year Rainfall Simulation'!D126/1000</f>
        <v>0.54132729457115125</v>
      </c>
      <c r="X125">
        <f t="shared" si="37"/>
        <v>0.54132729457115125</v>
      </c>
      <c r="Y125">
        <f t="shared" si="38"/>
        <v>0.62</v>
      </c>
      <c r="Z125">
        <f t="shared" si="39"/>
        <v>-7.8672705428848744E-2</v>
      </c>
      <c r="AA125">
        <f t="shared" si="53"/>
        <v>34.18876662200455</v>
      </c>
      <c r="AB125">
        <f t="shared" si="40"/>
        <v>0.31999858738257997</v>
      </c>
      <c r="AC125">
        <f t="shared" si="54"/>
        <v>0</v>
      </c>
      <c r="AE125">
        <f>$B$5*'5 Year Rainfall Simulation'!E126/1000</f>
        <v>8.0555113125858488E-2</v>
      </c>
      <c r="AF125">
        <f t="shared" si="41"/>
        <v>8.0555113125858488E-2</v>
      </c>
      <c r="AG125">
        <f t="shared" si="42"/>
        <v>0.62</v>
      </c>
      <c r="AH125">
        <f t="shared" si="43"/>
        <v>-0.53944488687414149</v>
      </c>
      <c r="AI125">
        <f t="shared" si="55"/>
        <v>34.460555113125857</v>
      </c>
      <c r="AJ125">
        <f t="shared" si="44"/>
        <v>4.761910708223209E-2</v>
      </c>
      <c r="AK125">
        <f t="shared" si="56"/>
        <v>0</v>
      </c>
      <c r="AM125">
        <f>$B$5*'5 Year Rainfall Simulation'!F126/1000</f>
        <v>1.2912394026716996</v>
      </c>
      <c r="AN125">
        <f t="shared" si="45"/>
        <v>1.2912394026716996</v>
      </c>
      <c r="AO125">
        <f t="shared" si="46"/>
        <v>0.62</v>
      </c>
      <c r="AP125">
        <f t="shared" si="47"/>
        <v>0.67123940267169957</v>
      </c>
      <c r="AQ125">
        <f t="shared" si="57"/>
        <v>35</v>
      </c>
      <c r="AR125">
        <f t="shared" si="48"/>
        <v>0.76329937354260002</v>
      </c>
      <c r="AS125">
        <f t="shared" si="58"/>
        <v>0</v>
      </c>
    </row>
    <row r="126" spans="6:45" ht="18" customHeight="1">
      <c r="F126" s="109">
        <v>44683</v>
      </c>
      <c r="G126">
        <f>B$5*'5 Year Rainfall Simulation'!B127/1000</f>
        <v>0.4</v>
      </c>
      <c r="H126">
        <f t="shared" si="30"/>
        <v>0.4</v>
      </c>
      <c r="I126">
        <f t="shared" si="59"/>
        <v>0.62</v>
      </c>
      <c r="J126">
        <f t="shared" si="31"/>
        <v>-0.21999999999999997</v>
      </c>
      <c r="K126">
        <f t="shared" si="49"/>
        <v>32.480000000000004</v>
      </c>
      <c r="L126">
        <f t="shared" si="32"/>
        <v>0.23645479590020552</v>
      </c>
      <c r="M126">
        <f t="shared" si="50"/>
        <v>0</v>
      </c>
      <c r="O126">
        <f>$B$5*'5 Year Rainfall Simulation'!C127/1000</f>
        <v>0</v>
      </c>
      <c r="P126">
        <f t="shared" si="33"/>
        <v>0</v>
      </c>
      <c r="Q126">
        <f t="shared" si="34"/>
        <v>0.62</v>
      </c>
      <c r="R126">
        <f t="shared" si="35"/>
        <v>-0.62</v>
      </c>
      <c r="S126">
        <f t="shared" si="51"/>
        <v>33.92</v>
      </c>
      <c r="T126">
        <f t="shared" si="36"/>
        <v>0</v>
      </c>
      <c r="U126">
        <f t="shared" si="52"/>
        <v>0</v>
      </c>
      <c r="W126">
        <f>$B$5*'5 Year Rainfall Simulation'!D127/1000</f>
        <v>1.752480577459677</v>
      </c>
      <c r="X126">
        <f t="shared" si="37"/>
        <v>1.752480577459677</v>
      </c>
      <c r="Y126">
        <f t="shared" si="38"/>
        <v>0.62</v>
      </c>
      <c r="Z126">
        <f t="shared" si="39"/>
        <v>1.1324805774596771</v>
      </c>
      <c r="AA126">
        <f t="shared" si="53"/>
        <v>35</v>
      </c>
      <c r="AB126">
        <f t="shared" si="40"/>
        <v>1.0359560931557557</v>
      </c>
      <c r="AC126">
        <f t="shared" si="54"/>
        <v>0</v>
      </c>
      <c r="AE126">
        <f>$B$5*'5 Year Rainfall Simulation'!E127/1000</f>
        <v>1.6652585333120118</v>
      </c>
      <c r="AF126">
        <f t="shared" si="41"/>
        <v>1.6652585333120118</v>
      </c>
      <c r="AG126">
        <f t="shared" si="42"/>
        <v>0.62</v>
      </c>
      <c r="AH126">
        <f t="shared" si="43"/>
        <v>1.0452585333120119</v>
      </c>
      <c r="AI126">
        <f t="shared" si="55"/>
        <v>35</v>
      </c>
      <c r="AJ126">
        <f t="shared" si="44"/>
        <v>0.98439591653841829</v>
      </c>
      <c r="AK126">
        <f t="shared" si="56"/>
        <v>0</v>
      </c>
      <c r="AM126">
        <f>$B$5*'5 Year Rainfall Simulation'!F127/1000</f>
        <v>0</v>
      </c>
      <c r="AN126">
        <f t="shared" si="45"/>
        <v>0</v>
      </c>
      <c r="AO126">
        <f t="shared" si="46"/>
        <v>0.62</v>
      </c>
      <c r="AP126">
        <f t="shared" si="47"/>
        <v>-0.62</v>
      </c>
      <c r="AQ126">
        <f t="shared" si="57"/>
        <v>34.380000000000003</v>
      </c>
      <c r="AR126">
        <f t="shared" si="48"/>
        <v>0</v>
      </c>
      <c r="AS126">
        <f t="shared" si="58"/>
        <v>0</v>
      </c>
    </row>
    <row r="127" spans="6:45" ht="18" customHeight="1">
      <c r="F127" s="109">
        <v>44684</v>
      </c>
      <c r="G127">
        <f>B$5*'5 Year Rainfall Simulation'!B128/1000</f>
        <v>0.91999999999999993</v>
      </c>
      <c r="H127">
        <f t="shared" si="30"/>
        <v>0.91999999999999993</v>
      </c>
      <c r="I127">
        <f t="shared" si="59"/>
        <v>0.62</v>
      </c>
      <c r="J127">
        <f t="shared" si="31"/>
        <v>0.29999999999999993</v>
      </c>
      <c r="K127">
        <f t="shared" si="49"/>
        <v>32.78</v>
      </c>
      <c r="L127">
        <f t="shared" si="32"/>
        <v>0.54384603057047265</v>
      </c>
      <c r="M127">
        <f t="shared" si="50"/>
        <v>0</v>
      </c>
      <c r="O127">
        <f>$B$5*'5 Year Rainfall Simulation'!C128/1000</f>
        <v>0</v>
      </c>
      <c r="P127">
        <f t="shared" si="33"/>
        <v>0</v>
      </c>
      <c r="Q127">
        <f t="shared" si="34"/>
        <v>0.62</v>
      </c>
      <c r="R127">
        <f t="shared" si="35"/>
        <v>-0.62</v>
      </c>
      <c r="S127">
        <f t="shared" si="51"/>
        <v>33.300000000000004</v>
      </c>
      <c r="T127">
        <f t="shared" si="36"/>
        <v>0</v>
      </c>
      <c r="U127">
        <f t="shared" si="52"/>
        <v>0</v>
      </c>
      <c r="W127">
        <f>$B$5*'5 Year Rainfall Simulation'!D128/1000</f>
        <v>0</v>
      </c>
      <c r="X127">
        <f t="shared" si="37"/>
        <v>0</v>
      </c>
      <c r="Y127">
        <f t="shared" si="38"/>
        <v>0.62</v>
      </c>
      <c r="Z127">
        <f t="shared" si="39"/>
        <v>-0.62</v>
      </c>
      <c r="AA127">
        <f t="shared" si="53"/>
        <v>34.380000000000003</v>
      </c>
      <c r="AB127">
        <f t="shared" si="40"/>
        <v>0</v>
      </c>
      <c r="AC127">
        <f t="shared" si="54"/>
        <v>0</v>
      </c>
      <c r="AE127">
        <f>$B$5*'5 Year Rainfall Simulation'!E128/1000</f>
        <v>1.7112662652276602</v>
      </c>
      <c r="AF127">
        <f t="shared" si="41"/>
        <v>1.7112662652276602</v>
      </c>
      <c r="AG127">
        <f t="shared" si="42"/>
        <v>0.62</v>
      </c>
      <c r="AH127">
        <f t="shared" si="43"/>
        <v>1.0912662652276603</v>
      </c>
      <c r="AI127">
        <f t="shared" si="55"/>
        <v>35</v>
      </c>
      <c r="AJ127">
        <f t="shared" si="44"/>
        <v>1.0115927886882834</v>
      </c>
      <c r="AK127">
        <f t="shared" si="56"/>
        <v>0</v>
      </c>
      <c r="AM127">
        <f>$B$5*'5 Year Rainfall Simulation'!F128/1000</f>
        <v>0</v>
      </c>
      <c r="AN127">
        <f t="shared" si="45"/>
        <v>0</v>
      </c>
      <c r="AO127">
        <f t="shared" si="46"/>
        <v>0.62</v>
      </c>
      <c r="AP127">
        <f t="shared" si="47"/>
        <v>-0.62</v>
      </c>
      <c r="AQ127">
        <f t="shared" si="57"/>
        <v>33.760000000000005</v>
      </c>
      <c r="AR127">
        <f t="shared" si="48"/>
        <v>0</v>
      </c>
      <c r="AS127">
        <f t="shared" si="58"/>
        <v>0</v>
      </c>
    </row>
    <row r="128" spans="6:45" ht="18" customHeight="1">
      <c r="F128" s="109">
        <v>44685</v>
      </c>
      <c r="G128">
        <f>B$5*'5 Year Rainfall Simulation'!B129/1000</f>
        <v>0.76</v>
      </c>
      <c r="H128">
        <f t="shared" si="30"/>
        <v>0.76</v>
      </c>
      <c r="I128">
        <f t="shared" si="59"/>
        <v>0.62</v>
      </c>
      <c r="J128">
        <f t="shared" si="31"/>
        <v>0.14000000000000001</v>
      </c>
      <c r="K128">
        <f t="shared" si="49"/>
        <v>32.92</v>
      </c>
      <c r="L128">
        <f t="shared" si="32"/>
        <v>0.44926411221039048</v>
      </c>
      <c r="M128">
        <f t="shared" si="50"/>
        <v>0</v>
      </c>
      <c r="O128">
        <f>$B$5*'5 Year Rainfall Simulation'!C129/1000</f>
        <v>3.96</v>
      </c>
      <c r="P128">
        <f t="shared" si="33"/>
        <v>3.96</v>
      </c>
      <c r="Q128">
        <f t="shared" si="34"/>
        <v>0.62</v>
      </c>
      <c r="R128">
        <f t="shared" si="35"/>
        <v>3.34</v>
      </c>
      <c r="S128">
        <f t="shared" si="51"/>
        <v>35</v>
      </c>
      <c r="T128">
        <f t="shared" si="36"/>
        <v>2.3409024794120343</v>
      </c>
      <c r="U128">
        <f t="shared" si="52"/>
        <v>0</v>
      </c>
      <c r="W128">
        <f>$B$5*'5 Year Rainfall Simulation'!D129/1000</f>
        <v>2.2068521849309279</v>
      </c>
      <c r="X128">
        <f t="shared" si="37"/>
        <v>2.2068521849309279</v>
      </c>
      <c r="Y128">
        <f t="shared" si="38"/>
        <v>0.62</v>
      </c>
      <c r="Z128">
        <f t="shared" si="39"/>
        <v>1.5868521849309278</v>
      </c>
      <c r="AA128">
        <f t="shared" si="53"/>
        <v>35</v>
      </c>
      <c r="AB128">
        <f t="shared" si="40"/>
        <v>1.3045519574244129</v>
      </c>
      <c r="AC128">
        <f t="shared" si="54"/>
        <v>0</v>
      </c>
      <c r="AE128">
        <f>$B$5*'5 Year Rainfall Simulation'!E129/1000</f>
        <v>2.0061527923552798</v>
      </c>
      <c r="AF128">
        <f t="shared" si="41"/>
        <v>2.0061527923552798</v>
      </c>
      <c r="AG128">
        <f t="shared" si="42"/>
        <v>0.62</v>
      </c>
      <c r="AH128">
        <f t="shared" si="43"/>
        <v>1.3861527923552797</v>
      </c>
      <c r="AI128">
        <f t="shared" si="55"/>
        <v>35</v>
      </c>
      <c r="AJ128">
        <f t="shared" si="44"/>
        <v>1.1859111226524877</v>
      </c>
      <c r="AK128">
        <f t="shared" si="56"/>
        <v>0</v>
      </c>
      <c r="AM128">
        <f>$B$5*'5 Year Rainfall Simulation'!F129/1000</f>
        <v>2.166205052338662</v>
      </c>
      <c r="AN128">
        <f t="shared" si="45"/>
        <v>2.166205052338662</v>
      </c>
      <c r="AO128">
        <f t="shared" si="46"/>
        <v>0.62</v>
      </c>
      <c r="AP128">
        <f t="shared" si="47"/>
        <v>1.5462050523386619</v>
      </c>
      <c r="AQ128">
        <f t="shared" si="57"/>
        <v>35</v>
      </c>
      <c r="AR128">
        <f t="shared" si="48"/>
        <v>1.2805239338218308</v>
      </c>
      <c r="AS128">
        <f t="shared" si="58"/>
        <v>0</v>
      </c>
    </row>
    <row r="129" spans="6:45" ht="18" customHeight="1">
      <c r="F129" s="109">
        <v>44686</v>
      </c>
      <c r="G129">
        <f>B$5*'5 Year Rainfall Simulation'!B130/1000</f>
        <v>0</v>
      </c>
      <c r="H129">
        <f t="shared" si="30"/>
        <v>0</v>
      </c>
      <c r="I129">
        <f t="shared" si="59"/>
        <v>0.62</v>
      </c>
      <c r="J129">
        <f t="shared" si="31"/>
        <v>-0.62</v>
      </c>
      <c r="K129">
        <f t="shared" si="49"/>
        <v>32.300000000000004</v>
      </c>
      <c r="L129">
        <f t="shared" si="32"/>
        <v>0</v>
      </c>
      <c r="M129">
        <f t="shared" si="50"/>
        <v>0</v>
      </c>
      <c r="O129">
        <f>$B$5*'5 Year Rainfall Simulation'!C130/1000</f>
        <v>0.08</v>
      </c>
      <c r="P129">
        <f t="shared" si="33"/>
        <v>0.08</v>
      </c>
      <c r="Q129">
        <f t="shared" si="34"/>
        <v>0.62</v>
      </c>
      <c r="R129">
        <f t="shared" si="35"/>
        <v>-0.54</v>
      </c>
      <c r="S129">
        <f t="shared" si="51"/>
        <v>34.46</v>
      </c>
      <c r="T129">
        <f t="shared" si="36"/>
        <v>4.7290959180041101E-2</v>
      </c>
      <c r="U129">
        <f t="shared" si="52"/>
        <v>0</v>
      </c>
      <c r="W129">
        <f>$B$5*'5 Year Rainfall Simulation'!D130/1000</f>
        <v>0</v>
      </c>
      <c r="X129">
        <f t="shared" si="37"/>
        <v>0</v>
      </c>
      <c r="Y129">
        <f t="shared" si="38"/>
        <v>0.62</v>
      </c>
      <c r="Z129">
        <f t="shared" si="39"/>
        <v>-0.62</v>
      </c>
      <c r="AA129">
        <f t="shared" si="53"/>
        <v>34.380000000000003</v>
      </c>
      <c r="AB129">
        <f t="shared" si="40"/>
        <v>0</v>
      </c>
      <c r="AC129">
        <f t="shared" si="54"/>
        <v>0</v>
      </c>
      <c r="AE129">
        <f>$B$5*'5 Year Rainfall Simulation'!E130/1000</f>
        <v>0</v>
      </c>
      <c r="AF129">
        <f t="shared" si="41"/>
        <v>0</v>
      </c>
      <c r="AG129">
        <f t="shared" si="42"/>
        <v>0.62</v>
      </c>
      <c r="AH129">
        <f t="shared" si="43"/>
        <v>-0.62</v>
      </c>
      <c r="AI129">
        <f t="shared" si="55"/>
        <v>34.380000000000003</v>
      </c>
      <c r="AJ129">
        <f t="shared" si="44"/>
        <v>0</v>
      </c>
      <c r="AK129">
        <f t="shared" si="56"/>
        <v>0</v>
      </c>
      <c r="AM129">
        <f>$B$5*'5 Year Rainfall Simulation'!F130/1000</f>
        <v>0</v>
      </c>
      <c r="AN129">
        <f t="shared" si="45"/>
        <v>0</v>
      </c>
      <c r="AO129">
        <f t="shared" si="46"/>
        <v>0.62</v>
      </c>
      <c r="AP129">
        <f t="shared" si="47"/>
        <v>-0.62</v>
      </c>
      <c r="AQ129">
        <f t="shared" si="57"/>
        <v>34.380000000000003</v>
      </c>
      <c r="AR129">
        <f t="shared" si="48"/>
        <v>0</v>
      </c>
      <c r="AS129">
        <f t="shared" si="58"/>
        <v>0</v>
      </c>
    </row>
    <row r="130" spans="6:45" ht="18" customHeight="1">
      <c r="F130" s="109">
        <v>44687</v>
      </c>
      <c r="G130">
        <f>B$5*'5 Year Rainfall Simulation'!B131/1000</f>
        <v>0</v>
      </c>
      <c r="H130">
        <f t="shared" si="30"/>
        <v>0</v>
      </c>
      <c r="I130">
        <f t="shared" si="59"/>
        <v>0.62</v>
      </c>
      <c r="J130">
        <f t="shared" si="31"/>
        <v>-0.62</v>
      </c>
      <c r="K130">
        <f t="shared" si="49"/>
        <v>31.680000000000003</v>
      </c>
      <c r="L130">
        <f t="shared" si="32"/>
        <v>0</v>
      </c>
      <c r="M130">
        <f t="shared" si="50"/>
        <v>0</v>
      </c>
      <c r="O130">
        <f>$B$5*'5 Year Rainfall Simulation'!C131/1000</f>
        <v>0</v>
      </c>
      <c r="P130">
        <f t="shared" si="33"/>
        <v>0</v>
      </c>
      <c r="Q130">
        <f t="shared" si="34"/>
        <v>0.62</v>
      </c>
      <c r="R130">
        <f t="shared" si="35"/>
        <v>-0.62</v>
      </c>
      <c r="S130">
        <f t="shared" si="51"/>
        <v>33.840000000000003</v>
      </c>
      <c r="T130">
        <f t="shared" si="36"/>
        <v>0</v>
      </c>
      <c r="U130">
        <f t="shared" si="52"/>
        <v>0</v>
      </c>
      <c r="W130">
        <f>$B$5*'5 Year Rainfall Simulation'!D131/1000</f>
        <v>0</v>
      </c>
      <c r="X130">
        <f t="shared" si="37"/>
        <v>0</v>
      </c>
      <c r="Y130">
        <f t="shared" si="38"/>
        <v>0.62</v>
      </c>
      <c r="Z130">
        <f t="shared" si="39"/>
        <v>-0.62</v>
      </c>
      <c r="AA130">
        <f t="shared" si="53"/>
        <v>33.760000000000005</v>
      </c>
      <c r="AB130">
        <f t="shared" si="40"/>
        <v>0</v>
      </c>
      <c r="AC130">
        <f t="shared" si="54"/>
        <v>0</v>
      </c>
      <c r="AE130">
        <f>$B$5*'5 Year Rainfall Simulation'!E131/1000</f>
        <v>0</v>
      </c>
      <c r="AF130">
        <f t="shared" si="41"/>
        <v>0</v>
      </c>
      <c r="AG130">
        <f t="shared" si="42"/>
        <v>0.62</v>
      </c>
      <c r="AH130">
        <f t="shared" si="43"/>
        <v>-0.62</v>
      </c>
      <c r="AI130">
        <f t="shared" si="55"/>
        <v>33.760000000000005</v>
      </c>
      <c r="AJ130">
        <f t="shared" si="44"/>
        <v>0</v>
      </c>
      <c r="AK130">
        <f t="shared" si="56"/>
        <v>0</v>
      </c>
      <c r="AM130">
        <f>$B$5*'5 Year Rainfall Simulation'!F131/1000</f>
        <v>0</v>
      </c>
      <c r="AN130">
        <f t="shared" si="45"/>
        <v>0</v>
      </c>
      <c r="AO130">
        <f t="shared" si="46"/>
        <v>0.62</v>
      </c>
      <c r="AP130">
        <f t="shared" si="47"/>
        <v>-0.62</v>
      </c>
      <c r="AQ130">
        <f t="shared" si="57"/>
        <v>33.760000000000005</v>
      </c>
      <c r="AR130">
        <f t="shared" si="48"/>
        <v>0</v>
      </c>
      <c r="AS130">
        <f t="shared" si="58"/>
        <v>0</v>
      </c>
    </row>
    <row r="131" spans="6:45" ht="18" customHeight="1">
      <c r="F131" s="109">
        <v>44688</v>
      </c>
      <c r="G131">
        <f>B$5*'5 Year Rainfall Simulation'!B132/1000</f>
        <v>0</v>
      </c>
      <c r="H131">
        <f t="shared" si="30"/>
        <v>0</v>
      </c>
      <c r="I131">
        <f t="shared" si="59"/>
        <v>0.62</v>
      </c>
      <c r="J131">
        <f t="shared" si="31"/>
        <v>-0.62</v>
      </c>
      <c r="K131">
        <f t="shared" si="49"/>
        <v>31.060000000000002</v>
      </c>
      <c r="L131">
        <f t="shared" si="32"/>
        <v>0</v>
      </c>
      <c r="M131">
        <f t="shared" si="50"/>
        <v>0</v>
      </c>
      <c r="O131">
        <f>$B$5*'5 Year Rainfall Simulation'!C132/1000</f>
        <v>0</v>
      </c>
      <c r="P131">
        <f t="shared" si="33"/>
        <v>0</v>
      </c>
      <c r="Q131">
        <f t="shared" si="34"/>
        <v>0.62</v>
      </c>
      <c r="R131">
        <f t="shared" si="35"/>
        <v>-0.62</v>
      </c>
      <c r="S131">
        <f t="shared" si="51"/>
        <v>33.220000000000006</v>
      </c>
      <c r="T131">
        <f t="shared" si="36"/>
        <v>0</v>
      </c>
      <c r="U131">
        <f t="shared" si="52"/>
        <v>0</v>
      </c>
      <c r="W131">
        <f>$B$5*'5 Year Rainfall Simulation'!D132/1000</f>
        <v>0</v>
      </c>
      <c r="X131">
        <f t="shared" si="37"/>
        <v>0</v>
      </c>
      <c r="Y131">
        <f t="shared" si="38"/>
        <v>0.62</v>
      </c>
      <c r="Z131">
        <f t="shared" si="39"/>
        <v>-0.62</v>
      </c>
      <c r="AA131">
        <f t="shared" si="53"/>
        <v>33.140000000000008</v>
      </c>
      <c r="AB131">
        <f t="shared" si="40"/>
        <v>0</v>
      </c>
      <c r="AC131">
        <f t="shared" si="54"/>
        <v>0</v>
      </c>
      <c r="AE131">
        <f>$B$5*'5 Year Rainfall Simulation'!E132/1000</f>
        <v>0</v>
      </c>
      <c r="AF131">
        <f t="shared" si="41"/>
        <v>0</v>
      </c>
      <c r="AG131">
        <f t="shared" si="42"/>
        <v>0.62</v>
      </c>
      <c r="AH131">
        <f t="shared" si="43"/>
        <v>-0.62</v>
      </c>
      <c r="AI131">
        <f t="shared" si="55"/>
        <v>33.140000000000008</v>
      </c>
      <c r="AJ131">
        <f t="shared" si="44"/>
        <v>0</v>
      </c>
      <c r="AK131">
        <f t="shared" si="56"/>
        <v>0</v>
      </c>
      <c r="AM131">
        <f>$B$5*'5 Year Rainfall Simulation'!F132/1000</f>
        <v>0</v>
      </c>
      <c r="AN131">
        <f t="shared" si="45"/>
        <v>0</v>
      </c>
      <c r="AO131">
        <f t="shared" si="46"/>
        <v>0.62</v>
      </c>
      <c r="AP131">
        <f t="shared" si="47"/>
        <v>-0.62</v>
      </c>
      <c r="AQ131">
        <f t="shared" si="57"/>
        <v>33.140000000000008</v>
      </c>
      <c r="AR131">
        <f t="shared" si="48"/>
        <v>0</v>
      </c>
      <c r="AS131">
        <f t="shared" si="58"/>
        <v>0</v>
      </c>
    </row>
    <row r="132" spans="6:45" ht="18" customHeight="1">
      <c r="F132" s="109">
        <v>44689</v>
      </c>
      <c r="G132">
        <f>B$5*'5 Year Rainfall Simulation'!B133/1000</f>
        <v>0</v>
      </c>
      <c r="H132">
        <f t="shared" si="30"/>
        <v>0</v>
      </c>
      <c r="I132">
        <f t="shared" si="59"/>
        <v>0.62</v>
      </c>
      <c r="J132">
        <f t="shared" si="31"/>
        <v>-0.62</v>
      </c>
      <c r="K132">
        <f t="shared" si="49"/>
        <v>30.44</v>
      </c>
      <c r="L132">
        <f t="shared" si="32"/>
        <v>0</v>
      </c>
      <c r="M132">
        <f t="shared" si="50"/>
        <v>0</v>
      </c>
      <c r="O132">
        <f>$B$5*'5 Year Rainfall Simulation'!C133/1000</f>
        <v>0</v>
      </c>
      <c r="P132">
        <f t="shared" si="33"/>
        <v>0</v>
      </c>
      <c r="Q132">
        <f t="shared" si="34"/>
        <v>0.62</v>
      </c>
      <c r="R132">
        <f t="shared" si="35"/>
        <v>-0.62</v>
      </c>
      <c r="S132">
        <f t="shared" si="51"/>
        <v>32.600000000000009</v>
      </c>
      <c r="T132">
        <f t="shared" si="36"/>
        <v>0</v>
      </c>
      <c r="U132">
        <f t="shared" si="52"/>
        <v>0</v>
      </c>
      <c r="W132">
        <f>$B$5*'5 Year Rainfall Simulation'!D133/1000</f>
        <v>1.1666972611714597</v>
      </c>
      <c r="X132">
        <f t="shared" si="37"/>
        <v>1.1666972611714597</v>
      </c>
      <c r="Y132">
        <f t="shared" si="38"/>
        <v>0.62</v>
      </c>
      <c r="Z132">
        <f t="shared" si="39"/>
        <v>0.54669726117145967</v>
      </c>
      <c r="AA132">
        <f t="shared" si="53"/>
        <v>33.686697261171467</v>
      </c>
      <c r="AB132">
        <f t="shared" si="40"/>
        <v>0.68967790691906561</v>
      </c>
      <c r="AC132">
        <f t="shared" si="54"/>
        <v>0</v>
      </c>
      <c r="AE132">
        <f>$B$5*'5 Year Rainfall Simulation'!E133/1000</f>
        <v>0</v>
      </c>
      <c r="AF132">
        <f t="shared" si="41"/>
        <v>0</v>
      </c>
      <c r="AG132">
        <f t="shared" si="42"/>
        <v>0.62</v>
      </c>
      <c r="AH132">
        <f t="shared" si="43"/>
        <v>-0.62</v>
      </c>
      <c r="AI132">
        <f t="shared" si="55"/>
        <v>32.52000000000001</v>
      </c>
      <c r="AJ132">
        <f t="shared" si="44"/>
        <v>0</v>
      </c>
      <c r="AK132">
        <f t="shared" si="56"/>
        <v>0</v>
      </c>
      <c r="AM132">
        <f>$B$5*'5 Year Rainfall Simulation'!F133/1000</f>
        <v>1.2809048479923764</v>
      </c>
      <c r="AN132">
        <f t="shared" si="45"/>
        <v>1.2809048479923764</v>
      </c>
      <c r="AO132">
        <f t="shared" si="46"/>
        <v>0.62</v>
      </c>
      <c r="AP132">
        <f t="shared" si="47"/>
        <v>0.66090484799237637</v>
      </c>
      <c r="AQ132">
        <f t="shared" si="57"/>
        <v>33.800904847992385</v>
      </c>
      <c r="AR132">
        <f t="shared" si="48"/>
        <v>0.75719023599905277</v>
      </c>
      <c r="AS132">
        <f t="shared" si="58"/>
        <v>0</v>
      </c>
    </row>
    <row r="133" spans="6:45" ht="18" customHeight="1">
      <c r="F133" s="109">
        <v>44690</v>
      </c>
      <c r="G133">
        <f>B$5*'5 Year Rainfall Simulation'!B134/1000</f>
        <v>0</v>
      </c>
      <c r="H133">
        <f t="shared" ref="H133:H196" si="60">IF($C$16="y",IF(G133&lt;$B$6,G133,$B$6),IF(G133&lt;$B$14,G133,$B$14))</f>
        <v>0</v>
      </c>
      <c r="I133">
        <f t="shared" si="59"/>
        <v>0.62</v>
      </c>
      <c r="J133">
        <f t="shared" ref="J133:J196" si="61">H133-I133</f>
        <v>-0.62</v>
      </c>
      <c r="K133">
        <f t="shared" si="49"/>
        <v>29.82</v>
      </c>
      <c r="L133">
        <f t="shared" ref="L133:L196" si="62">H133/($B$14/24)</f>
        <v>0</v>
      </c>
      <c r="M133">
        <f t="shared" si="50"/>
        <v>0</v>
      </c>
      <c r="O133">
        <f>$B$5*'5 Year Rainfall Simulation'!C134/1000</f>
        <v>0</v>
      </c>
      <c r="P133">
        <f t="shared" ref="P133:P196" si="63">IF($C$16="y",IF(O133&lt;$B$6,O133,$B$6),IF(O133&lt;$B$14,O133,$B$14))</f>
        <v>0</v>
      </c>
      <c r="Q133">
        <f t="shared" ref="Q133:Q196" si="64">$B$4</f>
        <v>0.62</v>
      </c>
      <c r="R133">
        <f t="shared" ref="R133:R196" si="65">P133-Q133</f>
        <v>-0.62</v>
      </c>
      <c r="S133">
        <f t="shared" si="51"/>
        <v>31.980000000000008</v>
      </c>
      <c r="T133">
        <f t="shared" ref="T133:T196" si="66">P133/($B$14/24)</f>
        <v>0</v>
      </c>
      <c r="U133">
        <f t="shared" si="52"/>
        <v>0</v>
      </c>
      <c r="W133">
        <f>$B$5*'5 Year Rainfall Simulation'!D134/1000</f>
        <v>1.3636347436762792</v>
      </c>
      <c r="X133">
        <f t="shared" ref="X133:X196" si="67">IF($C$16="y",IF(W133&lt;$B$6,W133,$B$6),IF(W133&lt;$B$14,W133,$B$14))</f>
        <v>1.3636347436762792</v>
      </c>
      <c r="Y133">
        <f t="shared" ref="Y133:Y196" si="68">$B$4</f>
        <v>0.62</v>
      </c>
      <c r="Z133">
        <f t="shared" ref="Z133:Z196" si="69">X133-Y133</f>
        <v>0.74363474367627924</v>
      </c>
      <c r="AA133">
        <f t="shared" si="53"/>
        <v>34.430332004847749</v>
      </c>
      <c r="AB133">
        <f t="shared" ref="AB133:AB196" si="70">X133/($B$14/24)</f>
        <v>0.80609493749600913</v>
      </c>
      <c r="AC133">
        <f t="shared" si="54"/>
        <v>0</v>
      </c>
      <c r="AE133">
        <f>$B$5*'5 Year Rainfall Simulation'!E134/1000</f>
        <v>0</v>
      </c>
      <c r="AF133">
        <f t="shared" ref="AF133:AF196" si="71">IF($C$16="y",IF(AE133&lt;$B$6,AE133,$B$6),IF(AE133&lt;$B$14,AE133,$B$14))</f>
        <v>0</v>
      </c>
      <c r="AG133">
        <f t="shared" ref="AG133:AG196" si="72">$B$4</f>
        <v>0.62</v>
      </c>
      <c r="AH133">
        <f t="shared" ref="AH133:AH196" si="73">AF133-AG133</f>
        <v>-0.62</v>
      </c>
      <c r="AI133">
        <f t="shared" si="55"/>
        <v>31.900000000000009</v>
      </c>
      <c r="AJ133">
        <f t="shared" ref="AJ133:AJ196" si="74">AF133/($B$14/24)</f>
        <v>0</v>
      </c>
      <c r="AK133">
        <f t="shared" si="56"/>
        <v>0</v>
      </c>
      <c r="AM133">
        <f>$B$5*'5 Year Rainfall Simulation'!F134/1000</f>
        <v>2.5811263284901163</v>
      </c>
      <c r="AN133">
        <f t="shared" ref="AN133:AN196" si="75">IF($C$16="y",IF(AM133&lt;$B$6,AM133,$B$6),IF(AM133&lt;$B$14,AM133,$B$14))</f>
        <v>2.5811263284901163</v>
      </c>
      <c r="AO133">
        <f t="shared" ref="AO133:AO196" si="76">$B$4</f>
        <v>0.62</v>
      </c>
      <c r="AP133">
        <f t="shared" ref="AP133:AP196" si="77">AN133-AO133</f>
        <v>1.9611263284901161</v>
      </c>
      <c r="AQ133">
        <f t="shared" si="57"/>
        <v>35</v>
      </c>
      <c r="AR133">
        <f t="shared" ref="AR133:AR196" si="78">AN133/($B$14/24)</f>
        <v>1.5257992479894431</v>
      </c>
      <c r="AS133">
        <f t="shared" si="58"/>
        <v>0</v>
      </c>
    </row>
    <row r="134" spans="6:45" ht="18" customHeight="1">
      <c r="F134" s="109">
        <v>44691</v>
      </c>
      <c r="G134">
        <f>B$5*'5 Year Rainfall Simulation'!B135/1000</f>
        <v>0.04</v>
      </c>
      <c r="H134">
        <f t="shared" si="60"/>
        <v>0.04</v>
      </c>
      <c r="I134">
        <f t="shared" si="59"/>
        <v>0.62</v>
      </c>
      <c r="J134">
        <f t="shared" si="61"/>
        <v>-0.57999999999999996</v>
      </c>
      <c r="K134">
        <f t="shared" ref="K134:K197" si="79">IF(M134&gt;0,0,IF((K133+J134)&gt;$B$7,$B$7,(K133+J134)))</f>
        <v>29.240000000000002</v>
      </c>
      <c r="L134">
        <f t="shared" si="62"/>
        <v>2.364547959002055E-2</v>
      </c>
      <c r="M134">
        <f t="shared" ref="M134:M197" si="80">IF(K133+J134&lt;0,1,0)</f>
        <v>0</v>
      </c>
      <c r="O134">
        <f>$B$5*'5 Year Rainfall Simulation'!C135/1000</f>
        <v>0.08</v>
      </c>
      <c r="P134">
        <f t="shared" si="63"/>
        <v>0.08</v>
      </c>
      <c r="Q134">
        <f t="shared" si="64"/>
        <v>0.62</v>
      </c>
      <c r="R134">
        <f t="shared" si="65"/>
        <v>-0.54</v>
      </c>
      <c r="S134">
        <f t="shared" ref="S134:S197" si="81">IF(U134&gt;0,P134,IF((S133+R134)&gt;$B$7,$B$7,(S133+R134)))</f>
        <v>31.440000000000008</v>
      </c>
      <c r="T134">
        <f t="shared" si="66"/>
        <v>4.7290959180041101E-2</v>
      </c>
      <c r="U134">
        <f t="shared" ref="U134:U197" si="82">IF(S133-Q134&lt;0,1,0)</f>
        <v>0</v>
      </c>
      <c r="W134">
        <f>$B$5*'5 Year Rainfall Simulation'!D135/1000</f>
        <v>1.6974428090681162</v>
      </c>
      <c r="X134">
        <f t="shared" si="67"/>
        <v>1.6974428090681162</v>
      </c>
      <c r="Y134">
        <f t="shared" si="68"/>
        <v>0.62</v>
      </c>
      <c r="Z134">
        <f t="shared" si="69"/>
        <v>1.0774428090681161</v>
      </c>
      <c r="AA134">
        <f t="shared" ref="AA134:AA197" si="83">IF(AC134&gt;0,0,IF((AA133+Z134)&gt;$B$7,$B$7,(AA133+Z134)))</f>
        <v>35</v>
      </c>
      <c r="AB134">
        <f t="shared" si="70"/>
        <v>1.0034212324261822</v>
      </c>
      <c r="AC134">
        <f t="shared" ref="AC134:AC197" si="84">IF(AA133+Z134&lt;0,1,0)</f>
        <v>0</v>
      </c>
      <c r="AE134">
        <f>$B$5*'5 Year Rainfall Simulation'!E135/1000</f>
        <v>1.3361844554718016</v>
      </c>
      <c r="AF134">
        <f t="shared" si="71"/>
        <v>1.3361844554718016</v>
      </c>
      <c r="AG134">
        <f t="shared" si="72"/>
        <v>0.62</v>
      </c>
      <c r="AH134">
        <f t="shared" si="73"/>
        <v>0.71618445547180165</v>
      </c>
      <c r="AI134">
        <f t="shared" ref="AI134:AI197" si="85">IF(AK134&gt;0,0,IF((AI133+AH134)&gt;$B$7,$B$7,(AI133+AH134)))</f>
        <v>32.61618445547181</v>
      </c>
      <c r="AJ134">
        <f t="shared" si="74"/>
        <v>0.78986805675903027</v>
      </c>
      <c r="AK134">
        <f t="shared" ref="AK134:AK197" si="86">IF(AI133+AH134&lt;0,1,0)</f>
        <v>0</v>
      </c>
      <c r="AM134">
        <f>$B$5*'5 Year Rainfall Simulation'!F135/1000</f>
        <v>1.4172257116378952</v>
      </c>
      <c r="AN134">
        <f t="shared" si="75"/>
        <v>1.4172257116378952</v>
      </c>
      <c r="AO134">
        <f t="shared" si="76"/>
        <v>0.62</v>
      </c>
      <c r="AP134">
        <f t="shared" si="77"/>
        <v>0.79722571163789524</v>
      </c>
      <c r="AQ134">
        <f t="shared" ref="AQ134:AQ197" si="87">IF(AS134&gt;0,0,IF((AQ133+AP134)&gt;$B$7,$B$7,(AQ133+AP134)))</f>
        <v>35</v>
      </c>
      <c r="AR134">
        <f t="shared" si="78"/>
        <v>0.83777454097465509</v>
      </c>
      <c r="AS134">
        <f t="shared" ref="AS134:AS197" si="88">IF(AQ133+AP134&lt;0,1,0)</f>
        <v>0</v>
      </c>
    </row>
    <row r="135" spans="6:45" ht="18" customHeight="1">
      <c r="F135" s="109">
        <v>44692</v>
      </c>
      <c r="G135">
        <f>B$5*'5 Year Rainfall Simulation'!B136/1000</f>
        <v>0</v>
      </c>
      <c r="H135">
        <f t="shared" si="60"/>
        <v>0</v>
      </c>
      <c r="I135">
        <f t="shared" si="59"/>
        <v>0.62</v>
      </c>
      <c r="J135">
        <f t="shared" si="61"/>
        <v>-0.62</v>
      </c>
      <c r="K135">
        <f t="shared" si="79"/>
        <v>28.62</v>
      </c>
      <c r="L135">
        <f t="shared" si="62"/>
        <v>0</v>
      </c>
      <c r="M135">
        <f t="shared" si="80"/>
        <v>0</v>
      </c>
      <c r="O135">
        <f>$B$5*'5 Year Rainfall Simulation'!C136/1000</f>
        <v>0</v>
      </c>
      <c r="P135">
        <f t="shared" si="63"/>
        <v>0</v>
      </c>
      <c r="Q135">
        <f t="shared" si="64"/>
        <v>0.62</v>
      </c>
      <c r="R135">
        <f t="shared" si="65"/>
        <v>-0.62</v>
      </c>
      <c r="S135">
        <f t="shared" si="81"/>
        <v>30.820000000000007</v>
      </c>
      <c r="T135">
        <f t="shared" si="66"/>
        <v>0</v>
      </c>
      <c r="U135">
        <f t="shared" si="82"/>
        <v>0</v>
      </c>
      <c r="W135">
        <f>$B$5*'5 Year Rainfall Simulation'!D136/1000</f>
        <v>0.983016909682773</v>
      </c>
      <c r="X135">
        <f t="shared" si="67"/>
        <v>0.983016909682773</v>
      </c>
      <c r="Y135">
        <f t="shared" si="68"/>
        <v>0.62</v>
      </c>
      <c r="Z135">
        <f t="shared" si="69"/>
        <v>0.363016909682773</v>
      </c>
      <c r="AA135">
        <f t="shared" si="83"/>
        <v>35</v>
      </c>
      <c r="AB135">
        <f t="shared" si="70"/>
        <v>0.58109765686372705</v>
      </c>
      <c r="AC135">
        <f t="shared" si="84"/>
        <v>0</v>
      </c>
      <c r="AE135">
        <f>$B$5*'5 Year Rainfall Simulation'!E136/1000</f>
        <v>0</v>
      </c>
      <c r="AF135">
        <f t="shared" si="71"/>
        <v>0</v>
      </c>
      <c r="AG135">
        <f t="shared" si="72"/>
        <v>0.62</v>
      </c>
      <c r="AH135">
        <f t="shared" si="73"/>
        <v>-0.62</v>
      </c>
      <c r="AI135">
        <f t="shared" si="85"/>
        <v>31.996184455471809</v>
      </c>
      <c r="AJ135">
        <f t="shared" si="74"/>
        <v>0</v>
      </c>
      <c r="AK135">
        <f t="shared" si="86"/>
        <v>0</v>
      </c>
      <c r="AM135">
        <f>$B$5*'5 Year Rainfall Simulation'!F136/1000</f>
        <v>0</v>
      </c>
      <c r="AN135">
        <f t="shared" si="75"/>
        <v>0</v>
      </c>
      <c r="AO135">
        <f t="shared" si="76"/>
        <v>0.62</v>
      </c>
      <c r="AP135">
        <f t="shared" si="77"/>
        <v>-0.62</v>
      </c>
      <c r="AQ135">
        <f t="shared" si="87"/>
        <v>34.380000000000003</v>
      </c>
      <c r="AR135">
        <f t="shared" si="78"/>
        <v>0</v>
      </c>
      <c r="AS135">
        <f t="shared" si="88"/>
        <v>0</v>
      </c>
    </row>
    <row r="136" spans="6:45" ht="18" customHeight="1">
      <c r="F136" s="109">
        <v>44693</v>
      </c>
      <c r="G136">
        <f>B$5*'5 Year Rainfall Simulation'!B137/1000</f>
        <v>0.04</v>
      </c>
      <c r="H136">
        <f t="shared" si="60"/>
        <v>0.04</v>
      </c>
      <c r="I136">
        <f t="shared" si="59"/>
        <v>0.62</v>
      </c>
      <c r="J136">
        <f t="shared" si="61"/>
        <v>-0.57999999999999996</v>
      </c>
      <c r="K136">
        <f t="shared" si="79"/>
        <v>28.040000000000003</v>
      </c>
      <c r="L136">
        <f t="shared" si="62"/>
        <v>2.364547959002055E-2</v>
      </c>
      <c r="M136">
        <f t="shared" si="80"/>
        <v>0</v>
      </c>
      <c r="O136">
        <f>$B$5*'5 Year Rainfall Simulation'!C137/1000</f>
        <v>0</v>
      </c>
      <c r="P136">
        <f t="shared" si="63"/>
        <v>0</v>
      </c>
      <c r="Q136">
        <f t="shared" si="64"/>
        <v>0.62</v>
      </c>
      <c r="R136">
        <f t="shared" si="65"/>
        <v>-0.62</v>
      </c>
      <c r="S136">
        <f t="shared" si="81"/>
        <v>30.200000000000006</v>
      </c>
      <c r="T136">
        <f t="shared" si="66"/>
        <v>0</v>
      </c>
      <c r="U136">
        <f t="shared" si="82"/>
        <v>0</v>
      </c>
      <c r="W136">
        <f>$B$5*'5 Year Rainfall Simulation'!D137/1000</f>
        <v>0</v>
      </c>
      <c r="X136">
        <f t="shared" si="67"/>
        <v>0</v>
      </c>
      <c r="Y136">
        <f t="shared" si="68"/>
        <v>0.62</v>
      </c>
      <c r="Z136">
        <f t="shared" si="69"/>
        <v>-0.62</v>
      </c>
      <c r="AA136">
        <f t="shared" si="83"/>
        <v>34.380000000000003</v>
      </c>
      <c r="AB136">
        <f t="shared" si="70"/>
        <v>0</v>
      </c>
      <c r="AC136">
        <f t="shared" si="84"/>
        <v>0</v>
      </c>
      <c r="AE136">
        <f>$B$5*'5 Year Rainfall Simulation'!E137/1000</f>
        <v>0</v>
      </c>
      <c r="AF136">
        <f t="shared" si="71"/>
        <v>0</v>
      </c>
      <c r="AG136">
        <f t="shared" si="72"/>
        <v>0.62</v>
      </c>
      <c r="AH136">
        <f t="shared" si="73"/>
        <v>-0.62</v>
      </c>
      <c r="AI136">
        <f t="shared" si="85"/>
        <v>31.376184455471808</v>
      </c>
      <c r="AJ136">
        <f t="shared" si="74"/>
        <v>0</v>
      </c>
      <c r="AK136">
        <f t="shared" si="86"/>
        <v>0</v>
      </c>
      <c r="AM136">
        <f>$B$5*'5 Year Rainfall Simulation'!F137/1000</f>
        <v>0</v>
      </c>
      <c r="AN136">
        <f t="shared" si="75"/>
        <v>0</v>
      </c>
      <c r="AO136">
        <f t="shared" si="76"/>
        <v>0.62</v>
      </c>
      <c r="AP136">
        <f t="shared" si="77"/>
        <v>-0.62</v>
      </c>
      <c r="AQ136">
        <f t="shared" si="87"/>
        <v>33.760000000000005</v>
      </c>
      <c r="AR136">
        <f t="shared" si="78"/>
        <v>0</v>
      </c>
      <c r="AS136">
        <f t="shared" si="88"/>
        <v>0</v>
      </c>
    </row>
    <row r="137" spans="6:45" ht="18" customHeight="1">
      <c r="F137" s="109">
        <v>44694</v>
      </c>
      <c r="G137">
        <f>B$5*'5 Year Rainfall Simulation'!B138/1000</f>
        <v>0</v>
      </c>
      <c r="H137">
        <f t="shared" si="60"/>
        <v>0</v>
      </c>
      <c r="I137">
        <f t="shared" si="59"/>
        <v>0.62</v>
      </c>
      <c r="J137">
        <f t="shared" si="61"/>
        <v>-0.62</v>
      </c>
      <c r="K137">
        <f t="shared" si="79"/>
        <v>27.42</v>
      </c>
      <c r="L137">
        <f t="shared" si="62"/>
        <v>0</v>
      </c>
      <c r="M137">
        <f t="shared" si="80"/>
        <v>0</v>
      </c>
      <c r="O137">
        <f>$B$5*'5 Year Rainfall Simulation'!C138/1000</f>
        <v>0</v>
      </c>
      <c r="P137">
        <f t="shared" si="63"/>
        <v>0</v>
      </c>
      <c r="Q137">
        <f t="shared" si="64"/>
        <v>0.62</v>
      </c>
      <c r="R137">
        <f t="shared" si="65"/>
        <v>-0.62</v>
      </c>
      <c r="S137">
        <f t="shared" si="81"/>
        <v>29.580000000000005</v>
      </c>
      <c r="T137">
        <f t="shared" si="66"/>
        <v>0</v>
      </c>
      <c r="U137">
        <f t="shared" si="82"/>
        <v>0</v>
      </c>
      <c r="W137">
        <f>$B$5*'5 Year Rainfall Simulation'!D138/1000</f>
        <v>1.3132563916554367</v>
      </c>
      <c r="X137">
        <f t="shared" si="67"/>
        <v>1.3132563916554367</v>
      </c>
      <c r="Y137">
        <f t="shared" si="68"/>
        <v>0.62</v>
      </c>
      <c r="Z137">
        <f t="shared" si="69"/>
        <v>0.69325639165543673</v>
      </c>
      <c r="AA137">
        <f t="shared" si="83"/>
        <v>35</v>
      </c>
      <c r="AB137">
        <f t="shared" si="70"/>
        <v>0.77631443013381662</v>
      </c>
      <c r="AC137">
        <f t="shared" si="84"/>
        <v>0</v>
      </c>
      <c r="AE137">
        <f>$B$5*'5 Year Rainfall Simulation'!E138/1000</f>
        <v>0</v>
      </c>
      <c r="AF137">
        <f t="shared" si="71"/>
        <v>0</v>
      </c>
      <c r="AG137">
        <f t="shared" si="72"/>
        <v>0.62</v>
      </c>
      <c r="AH137">
        <f t="shared" si="73"/>
        <v>-0.62</v>
      </c>
      <c r="AI137">
        <f t="shared" si="85"/>
        <v>30.756184455471807</v>
      </c>
      <c r="AJ137">
        <f t="shared" si="74"/>
        <v>0</v>
      </c>
      <c r="AK137">
        <f t="shared" si="86"/>
        <v>0</v>
      </c>
      <c r="AM137">
        <f>$B$5*'5 Year Rainfall Simulation'!F138/1000</f>
        <v>2.1370334140167095</v>
      </c>
      <c r="AN137">
        <f t="shared" si="75"/>
        <v>2.1370334140167095</v>
      </c>
      <c r="AO137">
        <f t="shared" si="76"/>
        <v>0.62</v>
      </c>
      <c r="AP137">
        <f t="shared" si="77"/>
        <v>1.5170334140167094</v>
      </c>
      <c r="AQ137">
        <f t="shared" si="87"/>
        <v>35</v>
      </c>
      <c r="AR137">
        <f t="shared" si="78"/>
        <v>1.2632794993581011</v>
      </c>
      <c r="AS137">
        <f t="shared" si="88"/>
        <v>0</v>
      </c>
    </row>
    <row r="138" spans="6:45" ht="18" customHeight="1">
      <c r="F138" s="109">
        <v>44695</v>
      </c>
      <c r="G138">
        <f>B$5*'5 Year Rainfall Simulation'!B139/1000</f>
        <v>0</v>
      </c>
      <c r="H138">
        <f t="shared" si="60"/>
        <v>0</v>
      </c>
      <c r="I138">
        <f t="shared" si="59"/>
        <v>0.62</v>
      </c>
      <c r="J138">
        <f t="shared" si="61"/>
        <v>-0.62</v>
      </c>
      <c r="K138">
        <f t="shared" si="79"/>
        <v>26.8</v>
      </c>
      <c r="L138">
        <f t="shared" si="62"/>
        <v>0</v>
      </c>
      <c r="M138">
        <f t="shared" si="80"/>
        <v>0</v>
      </c>
      <c r="O138">
        <f>$B$5*'5 Year Rainfall Simulation'!C139/1000</f>
        <v>0</v>
      </c>
      <c r="P138">
        <f t="shared" si="63"/>
        <v>0</v>
      </c>
      <c r="Q138">
        <f t="shared" si="64"/>
        <v>0.62</v>
      </c>
      <c r="R138">
        <f t="shared" si="65"/>
        <v>-0.62</v>
      </c>
      <c r="S138">
        <f t="shared" si="81"/>
        <v>28.960000000000004</v>
      </c>
      <c r="T138">
        <f t="shared" si="66"/>
        <v>0</v>
      </c>
      <c r="U138">
        <f t="shared" si="82"/>
        <v>0</v>
      </c>
      <c r="W138">
        <f>$B$5*'5 Year Rainfall Simulation'!D139/1000</f>
        <v>0</v>
      </c>
      <c r="X138">
        <f t="shared" si="67"/>
        <v>0</v>
      </c>
      <c r="Y138">
        <f t="shared" si="68"/>
        <v>0.62</v>
      </c>
      <c r="Z138">
        <f t="shared" si="69"/>
        <v>-0.62</v>
      </c>
      <c r="AA138">
        <f t="shared" si="83"/>
        <v>34.380000000000003</v>
      </c>
      <c r="AB138">
        <f t="shared" si="70"/>
        <v>0</v>
      </c>
      <c r="AC138">
        <f t="shared" si="84"/>
        <v>0</v>
      </c>
      <c r="AE138">
        <f>$B$5*'5 Year Rainfall Simulation'!E139/1000</f>
        <v>1.5912616075788821</v>
      </c>
      <c r="AF138">
        <f t="shared" si="71"/>
        <v>1.5912616075788821</v>
      </c>
      <c r="AG138">
        <f t="shared" si="72"/>
        <v>0.62</v>
      </c>
      <c r="AH138">
        <f t="shared" si="73"/>
        <v>0.97126160757888214</v>
      </c>
      <c r="AI138">
        <f t="shared" si="85"/>
        <v>31.727446063050689</v>
      </c>
      <c r="AJ138">
        <f t="shared" si="74"/>
        <v>0.94065359660974368</v>
      </c>
      <c r="AK138">
        <f t="shared" si="86"/>
        <v>0</v>
      </c>
      <c r="AM138">
        <f>$B$5*'5 Year Rainfall Simulation'!F139/1000</f>
        <v>0</v>
      </c>
      <c r="AN138">
        <f t="shared" si="75"/>
        <v>0</v>
      </c>
      <c r="AO138">
        <f t="shared" si="76"/>
        <v>0.62</v>
      </c>
      <c r="AP138">
        <f t="shared" si="77"/>
        <v>-0.62</v>
      </c>
      <c r="AQ138">
        <f t="shared" si="87"/>
        <v>34.380000000000003</v>
      </c>
      <c r="AR138">
        <f t="shared" si="78"/>
        <v>0</v>
      </c>
      <c r="AS138">
        <f t="shared" si="88"/>
        <v>0</v>
      </c>
    </row>
    <row r="139" spans="6:45" ht="18" customHeight="1">
      <c r="F139" s="109">
        <v>44696</v>
      </c>
      <c r="G139">
        <f>B$5*'5 Year Rainfall Simulation'!B140/1000</f>
        <v>0</v>
      </c>
      <c r="H139">
        <f t="shared" si="60"/>
        <v>0</v>
      </c>
      <c r="I139">
        <f t="shared" si="59"/>
        <v>0.62</v>
      </c>
      <c r="J139">
        <f t="shared" si="61"/>
        <v>-0.62</v>
      </c>
      <c r="K139">
        <f t="shared" si="79"/>
        <v>26.18</v>
      </c>
      <c r="L139">
        <f t="shared" si="62"/>
        <v>0</v>
      </c>
      <c r="M139">
        <f t="shared" si="80"/>
        <v>0</v>
      </c>
      <c r="O139">
        <f>$B$5*'5 Year Rainfall Simulation'!C140/1000</f>
        <v>0</v>
      </c>
      <c r="P139">
        <f t="shared" si="63"/>
        <v>0</v>
      </c>
      <c r="Q139">
        <f t="shared" si="64"/>
        <v>0.62</v>
      </c>
      <c r="R139">
        <f t="shared" si="65"/>
        <v>-0.62</v>
      </c>
      <c r="S139">
        <f t="shared" si="81"/>
        <v>28.340000000000003</v>
      </c>
      <c r="T139">
        <f t="shared" si="66"/>
        <v>0</v>
      </c>
      <c r="U139">
        <f t="shared" si="82"/>
        <v>0</v>
      </c>
      <c r="W139">
        <f>$B$5*'5 Year Rainfall Simulation'!D140/1000</f>
        <v>0</v>
      </c>
      <c r="X139">
        <f t="shared" si="67"/>
        <v>0</v>
      </c>
      <c r="Y139">
        <f t="shared" si="68"/>
        <v>0.62</v>
      </c>
      <c r="Z139">
        <f t="shared" si="69"/>
        <v>-0.62</v>
      </c>
      <c r="AA139">
        <f t="shared" si="83"/>
        <v>33.760000000000005</v>
      </c>
      <c r="AB139">
        <f t="shared" si="70"/>
        <v>0</v>
      </c>
      <c r="AC139">
        <f t="shared" si="84"/>
        <v>0</v>
      </c>
      <c r="AE139">
        <f>$B$5*'5 Year Rainfall Simulation'!E140/1000</f>
        <v>0</v>
      </c>
      <c r="AF139">
        <f t="shared" si="71"/>
        <v>0</v>
      </c>
      <c r="AG139">
        <f t="shared" si="72"/>
        <v>0.62</v>
      </c>
      <c r="AH139">
        <f t="shared" si="73"/>
        <v>-0.62</v>
      </c>
      <c r="AI139">
        <f t="shared" si="85"/>
        <v>31.107446063050688</v>
      </c>
      <c r="AJ139">
        <f t="shared" si="74"/>
        <v>0</v>
      </c>
      <c r="AK139">
        <f t="shared" si="86"/>
        <v>0</v>
      </c>
      <c r="AM139">
        <f>$B$5*'5 Year Rainfall Simulation'!F140/1000</f>
        <v>0</v>
      </c>
      <c r="AN139">
        <f t="shared" si="75"/>
        <v>0</v>
      </c>
      <c r="AO139">
        <f t="shared" si="76"/>
        <v>0.62</v>
      </c>
      <c r="AP139">
        <f t="shared" si="77"/>
        <v>-0.62</v>
      </c>
      <c r="AQ139">
        <f t="shared" si="87"/>
        <v>33.760000000000005</v>
      </c>
      <c r="AR139">
        <f t="shared" si="78"/>
        <v>0</v>
      </c>
      <c r="AS139">
        <f t="shared" si="88"/>
        <v>0</v>
      </c>
    </row>
    <row r="140" spans="6:45" ht="18" customHeight="1">
      <c r="F140" s="109">
        <v>44697</v>
      </c>
      <c r="G140">
        <f>B$5*'5 Year Rainfall Simulation'!B141/1000</f>
        <v>0.56000000000000005</v>
      </c>
      <c r="H140">
        <f t="shared" si="60"/>
        <v>0.56000000000000005</v>
      </c>
      <c r="I140">
        <f t="shared" si="59"/>
        <v>0.62</v>
      </c>
      <c r="J140">
        <f t="shared" si="61"/>
        <v>-5.9999999999999942E-2</v>
      </c>
      <c r="K140">
        <f t="shared" si="79"/>
        <v>26.12</v>
      </c>
      <c r="L140">
        <f t="shared" si="62"/>
        <v>0.33103671426028775</v>
      </c>
      <c r="M140">
        <f t="shared" si="80"/>
        <v>0</v>
      </c>
      <c r="O140">
        <f>$B$5*'5 Year Rainfall Simulation'!C141/1000</f>
        <v>0.04</v>
      </c>
      <c r="P140">
        <f t="shared" si="63"/>
        <v>0.04</v>
      </c>
      <c r="Q140">
        <f t="shared" si="64"/>
        <v>0.62</v>
      </c>
      <c r="R140">
        <f t="shared" si="65"/>
        <v>-0.57999999999999996</v>
      </c>
      <c r="S140">
        <f t="shared" si="81"/>
        <v>27.760000000000005</v>
      </c>
      <c r="T140">
        <f t="shared" si="66"/>
        <v>2.364547959002055E-2</v>
      </c>
      <c r="U140">
        <f t="shared" si="82"/>
        <v>0</v>
      </c>
      <c r="W140">
        <f>$B$5*'5 Year Rainfall Simulation'!D141/1000</f>
        <v>0.49615866747127324</v>
      </c>
      <c r="X140">
        <f t="shared" si="67"/>
        <v>0.49615866747127324</v>
      </c>
      <c r="Y140">
        <f t="shared" si="68"/>
        <v>0.62</v>
      </c>
      <c r="Z140">
        <f t="shared" si="69"/>
        <v>-0.12384133252872676</v>
      </c>
      <c r="AA140">
        <f t="shared" si="83"/>
        <v>33.636158667471278</v>
      </c>
      <c r="AB140">
        <f t="shared" si="70"/>
        <v>0.2932977411275946</v>
      </c>
      <c r="AC140">
        <f t="shared" si="84"/>
        <v>0</v>
      </c>
      <c r="AE140">
        <f>$B$5*'5 Year Rainfall Simulation'!E141/1000</f>
        <v>0</v>
      </c>
      <c r="AF140">
        <f t="shared" si="71"/>
        <v>0</v>
      </c>
      <c r="AG140">
        <f t="shared" si="72"/>
        <v>0.62</v>
      </c>
      <c r="AH140">
        <f t="shared" si="73"/>
        <v>-0.62</v>
      </c>
      <c r="AI140">
        <f t="shared" si="85"/>
        <v>30.487446063050687</v>
      </c>
      <c r="AJ140">
        <f t="shared" si="74"/>
        <v>0</v>
      </c>
      <c r="AK140">
        <f t="shared" si="86"/>
        <v>0</v>
      </c>
      <c r="AM140">
        <f>$B$5*'5 Year Rainfall Simulation'!F141/1000</f>
        <v>0</v>
      </c>
      <c r="AN140">
        <f t="shared" si="75"/>
        <v>0</v>
      </c>
      <c r="AO140">
        <f t="shared" si="76"/>
        <v>0.62</v>
      </c>
      <c r="AP140">
        <f t="shared" si="77"/>
        <v>-0.62</v>
      </c>
      <c r="AQ140">
        <f t="shared" si="87"/>
        <v>33.140000000000008</v>
      </c>
      <c r="AR140">
        <f t="shared" si="78"/>
        <v>0</v>
      </c>
      <c r="AS140">
        <f t="shared" si="88"/>
        <v>0</v>
      </c>
    </row>
    <row r="141" spans="6:45" ht="18" customHeight="1">
      <c r="F141" s="109">
        <v>44698</v>
      </c>
      <c r="G141">
        <f>B$5*'5 Year Rainfall Simulation'!B142/1000</f>
        <v>0</v>
      </c>
      <c r="H141">
        <f t="shared" si="60"/>
        <v>0</v>
      </c>
      <c r="I141">
        <f t="shared" si="59"/>
        <v>0.62</v>
      </c>
      <c r="J141">
        <f t="shared" si="61"/>
        <v>-0.62</v>
      </c>
      <c r="K141">
        <f t="shared" si="79"/>
        <v>25.5</v>
      </c>
      <c r="L141">
        <f t="shared" si="62"/>
        <v>0</v>
      </c>
      <c r="M141">
        <f t="shared" si="80"/>
        <v>0</v>
      </c>
      <c r="O141">
        <f>$B$5*'5 Year Rainfall Simulation'!C142/1000</f>
        <v>0</v>
      </c>
      <c r="P141">
        <f t="shared" si="63"/>
        <v>0</v>
      </c>
      <c r="Q141">
        <f t="shared" si="64"/>
        <v>0.62</v>
      </c>
      <c r="R141">
        <f t="shared" si="65"/>
        <v>-0.62</v>
      </c>
      <c r="S141">
        <f t="shared" si="81"/>
        <v>27.140000000000004</v>
      </c>
      <c r="T141">
        <f t="shared" si="66"/>
        <v>0</v>
      </c>
      <c r="U141">
        <f t="shared" si="82"/>
        <v>0</v>
      </c>
      <c r="W141">
        <f>$B$5*'5 Year Rainfall Simulation'!D142/1000</f>
        <v>0</v>
      </c>
      <c r="X141">
        <f t="shared" si="67"/>
        <v>0</v>
      </c>
      <c r="Y141">
        <f t="shared" si="68"/>
        <v>0.62</v>
      </c>
      <c r="Z141">
        <f t="shared" si="69"/>
        <v>-0.62</v>
      </c>
      <c r="AA141">
        <f t="shared" si="83"/>
        <v>33.016158667471281</v>
      </c>
      <c r="AB141">
        <f t="shared" si="70"/>
        <v>0</v>
      </c>
      <c r="AC141">
        <f t="shared" si="84"/>
        <v>0</v>
      </c>
      <c r="AE141">
        <f>$B$5*'5 Year Rainfall Simulation'!E142/1000</f>
        <v>0</v>
      </c>
      <c r="AF141">
        <f t="shared" si="71"/>
        <v>0</v>
      </c>
      <c r="AG141">
        <f t="shared" si="72"/>
        <v>0.62</v>
      </c>
      <c r="AH141">
        <f t="shared" si="73"/>
        <v>-0.62</v>
      </c>
      <c r="AI141">
        <f t="shared" si="85"/>
        <v>29.867446063050686</v>
      </c>
      <c r="AJ141">
        <f t="shared" si="74"/>
        <v>0</v>
      </c>
      <c r="AK141">
        <f t="shared" si="86"/>
        <v>0</v>
      </c>
      <c r="AM141">
        <f>$B$5*'5 Year Rainfall Simulation'!F142/1000</f>
        <v>0</v>
      </c>
      <c r="AN141">
        <f t="shared" si="75"/>
        <v>0</v>
      </c>
      <c r="AO141">
        <f t="shared" si="76"/>
        <v>0.62</v>
      </c>
      <c r="AP141">
        <f t="shared" si="77"/>
        <v>-0.62</v>
      </c>
      <c r="AQ141">
        <f t="shared" si="87"/>
        <v>32.52000000000001</v>
      </c>
      <c r="AR141">
        <f t="shared" si="78"/>
        <v>0</v>
      </c>
      <c r="AS141">
        <f t="shared" si="88"/>
        <v>0</v>
      </c>
    </row>
    <row r="142" spans="6:45" ht="18" customHeight="1">
      <c r="F142" s="109">
        <v>44699</v>
      </c>
      <c r="G142">
        <f>B$5*'5 Year Rainfall Simulation'!B143/1000</f>
        <v>0</v>
      </c>
      <c r="H142">
        <f t="shared" si="60"/>
        <v>0</v>
      </c>
      <c r="I142">
        <f t="shared" si="59"/>
        <v>0.62</v>
      </c>
      <c r="J142">
        <f t="shared" si="61"/>
        <v>-0.62</v>
      </c>
      <c r="K142">
        <f t="shared" si="79"/>
        <v>24.88</v>
      </c>
      <c r="L142">
        <f t="shared" si="62"/>
        <v>0</v>
      </c>
      <c r="M142">
        <f t="shared" si="80"/>
        <v>0</v>
      </c>
      <c r="O142">
        <f>$B$5*'5 Year Rainfall Simulation'!C143/1000</f>
        <v>0</v>
      </c>
      <c r="P142">
        <f t="shared" si="63"/>
        <v>0</v>
      </c>
      <c r="Q142">
        <f t="shared" si="64"/>
        <v>0.62</v>
      </c>
      <c r="R142">
        <f t="shared" si="65"/>
        <v>-0.62</v>
      </c>
      <c r="S142">
        <f t="shared" si="81"/>
        <v>26.520000000000003</v>
      </c>
      <c r="T142">
        <f t="shared" si="66"/>
        <v>0</v>
      </c>
      <c r="U142">
        <f t="shared" si="82"/>
        <v>0</v>
      </c>
      <c r="W142">
        <f>$B$5*'5 Year Rainfall Simulation'!D143/1000</f>
        <v>1.2696184190782389</v>
      </c>
      <c r="X142">
        <f t="shared" si="67"/>
        <v>1.2696184190782389</v>
      </c>
      <c r="Y142">
        <f t="shared" si="68"/>
        <v>0.62</v>
      </c>
      <c r="Z142">
        <f t="shared" si="69"/>
        <v>0.64961841907823892</v>
      </c>
      <c r="AA142">
        <f t="shared" si="83"/>
        <v>33.665777086549518</v>
      </c>
      <c r="AB142">
        <f t="shared" si="70"/>
        <v>0.75051841038571643</v>
      </c>
      <c r="AC142">
        <f t="shared" si="84"/>
        <v>0</v>
      </c>
      <c r="AE142">
        <f>$B$5*'5 Year Rainfall Simulation'!E143/1000</f>
        <v>0</v>
      </c>
      <c r="AF142">
        <f t="shared" si="71"/>
        <v>0</v>
      </c>
      <c r="AG142">
        <f t="shared" si="72"/>
        <v>0.62</v>
      </c>
      <c r="AH142">
        <f t="shared" si="73"/>
        <v>-0.62</v>
      </c>
      <c r="AI142">
        <f t="shared" si="85"/>
        <v>29.247446063050685</v>
      </c>
      <c r="AJ142">
        <f t="shared" si="74"/>
        <v>0</v>
      </c>
      <c r="AK142">
        <f t="shared" si="86"/>
        <v>0</v>
      </c>
      <c r="AM142">
        <f>$B$5*'5 Year Rainfall Simulation'!F143/1000</f>
        <v>1.2756470699668483</v>
      </c>
      <c r="AN142">
        <f t="shared" si="75"/>
        <v>1.2756470699668483</v>
      </c>
      <c r="AO142">
        <f t="shared" si="76"/>
        <v>0.62</v>
      </c>
      <c r="AP142">
        <f t="shared" si="77"/>
        <v>0.65564706996684829</v>
      </c>
      <c r="AQ142">
        <f t="shared" si="87"/>
        <v>33.175647069966857</v>
      </c>
      <c r="AR142">
        <f t="shared" si="78"/>
        <v>0.75408216892426572</v>
      </c>
      <c r="AS142">
        <f t="shared" si="88"/>
        <v>0</v>
      </c>
    </row>
    <row r="143" spans="6:45" ht="18" customHeight="1">
      <c r="F143" s="109">
        <v>44700</v>
      </c>
      <c r="G143">
        <f>B$5*'5 Year Rainfall Simulation'!B144/1000</f>
        <v>0</v>
      </c>
      <c r="H143">
        <f t="shared" si="60"/>
        <v>0</v>
      </c>
      <c r="I143">
        <f t="shared" si="59"/>
        <v>0.62</v>
      </c>
      <c r="J143">
        <f t="shared" si="61"/>
        <v>-0.62</v>
      </c>
      <c r="K143">
        <f t="shared" si="79"/>
        <v>24.259999999999998</v>
      </c>
      <c r="L143">
        <f t="shared" si="62"/>
        <v>0</v>
      </c>
      <c r="M143">
        <f t="shared" si="80"/>
        <v>0</v>
      </c>
      <c r="O143">
        <f>$B$5*'5 Year Rainfall Simulation'!C144/1000</f>
        <v>0</v>
      </c>
      <c r="P143">
        <f t="shared" si="63"/>
        <v>0</v>
      </c>
      <c r="Q143">
        <f t="shared" si="64"/>
        <v>0.62</v>
      </c>
      <c r="R143">
        <f t="shared" si="65"/>
        <v>-0.62</v>
      </c>
      <c r="S143">
        <f t="shared" si="81"/>
        <v>25.900000000000002</v>
      </c>
      <c r="T143">
        <f t="shared" si="66"/>
        <v>0</v>
      </c>
      <c r="U143">
        <f t="shared" si="82"/>
        <v>0</v>
      </c>
      <c r="W143">
        <f>$B$5*'5 Year Rainfall Simulation'!D144/1000</f>
        <v>1.7718017351385442</v>
      </c>
      <c r="X143">
        <f t="shared" si="67"/>
        <v>1.7718017351385442</v>
      </c>
      <c r="Y143">
        <f t="shared" si="68"/>
        <v>0.62</v>
      </c>
      <c r="Z143">
        <f t="shared" si="69"/>
        <v>1.1518017351385441</v>
      </c>
      <c r="AA143">
        <f t="shared" si="83"/>
        <v>34.817578821688059</v>
      </c>
      <c r="AB143">
        <f t="shared" si="70"/>
        <v>1.0473775441445361</v>
      </c>
      <c r="AC143">
        <f t="shared" si="84"/>
        <v>0</v>
      </c>
      <c r="AE143">
        <f>$B$5*'5 Year Rainfall Simulation'!E144/1000</f>
        <v>1.0052059189729368</v>
      </c>
      <c r="AF143">
        <f t="shared" si="71"/>
        <v>1.0052059189729368</v>
      </c>
      <c r="AG143">
        <f t="shared" si="72"/>
        <v>0.62</v>
      </c>
      <c r="AH143">
        <f t="shared" si="73"/>
        <v>0.38520591897293677</v>
      </c>
      <c r="AI143">
        <f t="shared" si="85"/>
        <v>29.632651982023621</v>
      </c>
      <c r="AJ143">
        <f t="shared" si="74"/>
        <v>0.59421440102106071</v>
      </c>
      <c r="AK143">
        <f t="shared" si="86"/>
        <v>0</v>
      </c>
      <c r="AM143">
        <f>$B$5*'5 Year Rainfall Simulation'!F144/1000</f>
        <v>0.97390718902437856</v>
      </c>
      <c r="AN143">
        <f t="shared" si="75"/>
        <v>0.97390718902437856</v>
      </c>
      <c r="AO143">
        <f t="shared" si="76"/>
        <v>0.62</v>
      </c>
      <c r="AP143">
        <f t="shared" si="77"/>
        <v>0.35390718902437857</v>
      </c>
      <c r="AQ143">
        <f t="shared" si="87"/>
        <v>33.529554258991233</v>
      </c>
      <c r="AR143">
        <f t="shared" si="78"/>
        <v>0.5757125640162557</v>
      </c>
      <c r="AS143">
        <f t="shared" si="88"/>
        <v>0</v>
      </c>
    </row>
    <row r="144" spans="6:45" ht="18" customHeight="1">
      <c r="F144" s="109">
        <v>44701</v>
      </c>
      <c r="G144">
        <f>B$5*'5 Year Rainfall Simulation'!B145/1000</f>
        <v>0</v>
      </c>
      <c r="H144">
        <f t="shared" si="60"/>
        <v>0</v>
      </c>
      <c r="I144">
        <f t="shared" si="59"/>
        <v>0.62</v>
      </c>
      <c r="J144">
        <f t="shared" si="61"/>
        <v>-0.62</v>
      </c>
      <c r="K144">
        <f t="shared" si="79"/>
        <v>23.639999999999997</v>
      </c>
      <c r="L144">
        <f t="shared" si="62"/>
        <v>0</v>
      </c>
      <c r="M144">
        <f t="shared" si="80"/>
        <v>0</v>
      </c>
      <c r="O144">
        <f>$B$5*'5 Year Rainfall Simulation'!C145/1000</f>
        <v>0</v>
      </c>
      <c r="P144">
        <f t="shared" si="63"/>
        <v>0</v>
      </c>
      <c r="Q144">
        <f t="shared" si="64"/>
        <v>0.62</v>
      </c>
      <c r="R144">
        <f t="shared" si="65"/>
        <v>-0.62</v>
      </c>
      <c r="S144">
        <f t="shared" si="81"/>
        <v>25.28</v>
      </c>
      <c r="T144">
        <f t="shared" si="66"/>
        <v>0</v>
      </c>
      <c r="U144">
        <f t="shared" si="82"/>
        <v>0</v>
      </c>
      <c r="W144">
        <f>$B$5*'5 Year Rainfall Simulation'!D145/1000</f>
        <v>0.43819046797469019</v>
      </c>
      <c r="X144">
        <f t="shared" si="67"/>
        <v>0.43819046797469019</v>
      </c>
      <c r="Y144">
        <f t="shared" si="68"/>
        <v>0.62</v>
      </c>
      <c r="Z144">
        <f t="shared" si="69"/>
        <v>-0.18180953202530981</v>
      </c>
      <c r="AA144">
        <f t="shared" si="83"/>
        <v>34.635769289662747</v>
      </c>
      <c r="AB144">
        <f t="shared" si="70"/>
        <v>0.25903059417592728</v>
      </c>
      <c r="AC144">
        <f t="shared" si="84"/>
        <v>0</v>
      </c>
      <c r="AE144">
        <f>$B$5*'5 Year Rainfall Simulation'!E145/1000</f>
        <v>0</v>
      </c>
      <c r="AF144">
        <f t="shared" si="71"/>
        <v>0</v>
      </c>
      <c r="AG144">
        <f t="shared" si="72"/>
        <v>0.62</v>
      </c>
      <c r="AH144">
        <f t="shared" si="73"/>
        <v>-0.62</v>
      </c>
      <c r="AI144">
        <f t="shared" si="85"/>
        <v>29.01265198202362</v>
      </c>
      <c r="AJ144">
        <f t="shared" si="74"/>
        <v>0</v>
      </c>
      <c r="AK144">
        <f t="shared" si="86"/>
        <v>0</v>
      </c>
      <c r="AM144">
        <f>$B$5*'5 Year Rainfall Simulation'!F145/1000</f>
        <v>1.2583743523476403</v>
      </c>
      <c r="AN144">
        <f t="shared" si="75"/>
        <v>1.2583743523476403</v>
      </c>
      <c r="AO144">
        <f t="shared" si="76"/>
        <v>0.62</v>
      </c>
      <c r="AP144">
        <f t="shared" si="77"/>
        <v>0.63837435234764028</v>
      </c>
      <c r="AQ144">
        <f t="shared" si="87"/>
        <v>34.167928611338873</v>
      </c>
      <c r="AR144">
        <f t="shared" si="78"/>
        <v>0.74387162662603645</v>
      </c>
      <c r="AS144">
        <f t="shared" si="88"/>
        <v>0</v>
      </c>
    </row>
    <row r="145" spans="6:45" ht="18" customHeight="1">
      <c r="F145" s="109">
        <v>44702</v>
      </c>
      <c r="G145">
        <f>B$5*'5 Year Rainfall Simulation'!B146/1000</f>
        <v>1.6399999999999997</v>
      </c>
      <c r="H145">
        <f t="shared" si="60"/>
        <v>1.6399999999999997</v>
      </c>
      <c r="I145">
        <f t="shared" si="59"/>
        <v>0.62</v>
      </c>
      <c r="J145">
        <f t="shared" si="61"/>
        <v>1.0199999999999996</v>
      </c>
      <c r="K145">
        <f t="shared" si="79"/>
        <v>24.659999999999997</v>
      </c>
      <c r="L145">
        <f t="shared" si="62"/>
        <v>0.96946466319084246</v>
      </c>
      <c r="M145">
        <f t="shared" si="80"/>
        <v>0</v>
      </c>
      <c r="O145">
        <f>$B$5*'5 Year Rainfall Simulation'!C146/1000</f>
        <v>0</v>
      </c>
      <c r="P145">
        <f t="shared" si="63"/>
        <v>0</v>
      </c>
      <c r="Q145">
        <f t="shared" si="64"/>
        <v>0.62</v>
      </c>
      <c r="R145">
        <f t="shared" si="65"/>
        <v>-0.62</v>
      </c>
      <c r="S145">
        <f t="shared" si="81"/>
        <v>24.66</v>
      </c>
      <c r="T145">
        <f t="shared" si="66"/>
        <v>0</v>
      </c>
      <c r="U145">
        <f t="shared" si="82"/>
        <v>0</v>
      </c>
      <c r="W145">
        <f>$B$5*'5 Year Rainfall Simulation'!D146/1000</f>
        <v>2.2216589762759358</v>
      </c>
      <c r="X145">
        <f t="shared" si="67"/>
        <v>2.2216589762759358</v>
      </c>
      <c r="Y145">
        <f t="shared" si="68"/>
        <v>0.62</v>
      </c>
      <c r="Z145">
        <f t="shared" si="69"/>
        <v>1.6016589762759357</v>
      </c>
      <c r="AA145">
        <f t="shared" si="83"/>
        <v>35</v>
      </c>
      <c r="AB145">
        <f t="shared" si="70"/>
        <v>1.3133047994879647</v>
      </c>
      <c r="AC145">
        <f t="shared" si="84"/>
        <v>0</v>
      </c>
      <c r="AE145">
        <f>$B$5*'5 Year Rainfall Simulation'!E146/1000</f>
        <v>0</v>
      </c>
      <c r="AF145">
        <f t="shared" si="71"/>
        <v>0</v>
      </c>
      <c r="AG145">
        <f t="shared" si="72"/>
        <v>0.62</v>
      </c>
      <c r="AH145">
        <f t="shared" si="73"/>
        <v>-0.62</v>
      </c>
      <c r="AI145">
        <f t="shared" si="85"/>
        <v>28.392651982023619</v>
      </c>
      <c r="AJ145">
        <f t="shared" si="74"/>
        <v>0</v>
      </c>
      <c r="AK145">
        <f t="shared" si="86"/>
        <v>0</v>
      </c>
      <c r="AM145">
        <f>$B$5*'5 Year Rainfall Simulation'!F146/1000</f>
        <v>2.3115429893930841</v>
      </c>
      <c r="AN145">
        <f t="shared" si="75"/>
        <v>2.3115429893930841</v>
      </c>
      <c r="AO145">
        <f t="shared" si="76"/>
        <v>0.62</v>
      </c>
      <c r="AP145">
        <f t="shared" si="77"/>
        <v>1.691542989393084</v>
      </c>
      <c r="AQ145">
        <f t="shared" si="87"/>
        <v>35</v>
      </c>
      <c r="AR145">
        <f t="shared" si="78"/>
        <v>1.3664385644287316</v>
      </c>
      <c r="AS145">
        <f t="shared" si="88"/>
        <v>0</v>
      </c>
    </row>
    <row r="146" spans="6:45" ht="18" customHeight="1">
      <c r="F146" s="109">
        <v>44703</v>
      </c>
      <c r="G146">
        <f>B$5*'5 Year Rainfall Simulation'!B147/1000</f>
        <v>5.92</v>
      </c>
      <c r="H146">
        <f t="shared" si="60"/>
        <v>5.92</v>
      </c>
      <c r="I146">
        <f t="shared" si="59"/>
        <v>0.62</v>
      </c>
      <c r="J146">
        <f t="shared" si="61"/>
        <v>5.3</v>
      </c>
      <c r="K146">
        <f t="shared" si="79"/>
        <v>29.959999999999997</v>
      </c>
      <c r="L146">
        <f t="shared" si="62"/>
        <v>3.4995309793230414</v>
      </c>
      <c r="M146">
        <f t="shared" si="80"/>
        <v>0</v>
      </c>
      <c r="O146">
        <f>$B$5*'5 Year Rainfall Simulation'!C147/1000</f>
        <v>0.04</v>
      </c>
      <c r="P146">
        <f t="shared" si="63"/>
        <v>0.04</v>
      </c>
      <c r="Q146">
        <f t="shared" si="64"/>
        <v>0.62</v>
      </c>
      <c r="R146">
        <f t="shared" si="65"/>
        <v>-0.57999999999999996</v>
      </c>
      <c r="S146">
        <f t="shared" si="81"/>
        <v>24.080000000000002</v>
      </c>
      <c r="T146">
        <f t="shared" si="66"/>
        <v>2.364547959002055E-2</v>
      </c>
      <c r="U146">
        <f t="shared" si="82"/>
        <v>0</v>
      </c>
      <c r="W146">
        <f>$B$5*'5 Year Rainfall Simulation'!D147/1000</f>
        <v>5.8794732873726341</v>
      </c>
      <c r="X146">
        <f t="shared" si="67"/>
        <v>5.8794732873726341</v>
      </c>
      <c r="Y146">
        <f t="shared" si="68"/>
        <v>0.62</v>
      </c>
      <c r="Z146">
        <f t="shared" si="69"/>
        <v>5.259473287372634</v>
      </c>
      <c r="AA146">
        <f t="shared" si="83"/>
        <v>35</v>
      </c>
      <c r="AB146">
        <f t="shared" si="70"/>
        <v>3.4755741404160165</v>
      </c>
      <c r="AC146">
        <f t="shared" si="84"/>
        <v>0</v>
      </c>
      <c r="AE146">
        <f>$B$5*'5 Year Rainfall Simulation'!E147/1000</f>
        <v>0</v>
      </c>
      <c r="AF146">
        <f t="shared" si="71"/>
        <v>0</v>
      </c>
      <c r="AG146">
        <f t="shared" si="72"/>
        <v>0.62</v>
      </c>
      <c r="AH146">
        <f t="shared" si="73"/>
        <v>-0.62</v>
      </c>
      <c r="AI146">
        <f t="shared" si="85"/>
        <v>27.772651982023618</v>
      </c>
      <c r="AJ146">
        <f t="shared" si="74"/>
        <v>0</v>
      </c>
      <c r="AK146">
        <f t="shared" si="86"/>
        <v>0</v>
      </c>
      <c r="AM146">
        <f>$B$5*'5 Year Rainfall Simulation'!F147/1000</f>
        <v>6.6468951780022918</v>
      </c>
      <c r="AN146">
        <f t="shared" si="75"/>
        <v>6.6468951780022918</v>
      </c>
      <c r="AO146">
        <f t="shared" si="76"/>
        <v>0.62</v>
      </c>
      <c r="AP146">
        <f t="shared" si="77"/>
        <v>6.0268951780022917</v>
      </c>
      <c r="AQ146">
        <f t="shared" si="87"/>
        <v>35</v>
      </c>
      <c r="AR146">
        <f t="shared" si="78"/>
        <v>3.9292256067114804</v>
      </c>
      <c r="AS146">
        <f t="shared" si="88"/>
        <v>0</v>
      </c>
    </row>
    <row r="147" spans="6:45" ht="18" customHeight="1">
      <c r="F147" s="109">
        <v>44704</v>
      </c>
      <c r="G147">
        <f>B$5*'5 Year Rainfall Simulation'!B148/1000</f>
        <v>0.16</v>
      </c>
      <c r="H147">
        <f t="shared" si="60"/>
        <v>0.16</v>
      </c>
      <c r="I147">
        <f t="shared" si="59"/>
        <v>0.62</v>
      </c>
      <c r="J147">
        <f t="shared" si="61"/>
        <v>-0.45999999999999996</v>
      </c>
      <c r="K147">
        <f t="shared" si="79"/>
        <v>29.499999999999996</v>
      </c>
      <c r="L147">
        <f t="shared" si="62"/>
        <v>9.4581918360082201E-2</v>
      </c>
      <c r="M147">
        <f t="shared" si="80"/>
        <v>0</v>
      </c>
      <c r="O147">
        <f>$B$5*'5 Year Rainfall Simulation'!C148/1000</f>
        <v>0.04</v>
      </c>
      <c r="P147">
        <f t="shared" si="63"/>
        <v>0.04</v>
      </c>
      <c r="Q147">
        <f t="shared" si="64"/>
        <v>0.62</v>
      </c>
      <c r="R147">
        <f t="shared" si="65"/>
        <v>-0.57999999999999996</v>
      </c>
      <c r="S147">
        <f t="shared" si="81"/>
        <v>23.500000000000004</v>
      </c>
      <c r="T147">
        <f t="shared" si="66"/>
        <v>2.364547959002055E-2</v>
      </c>
      <c r="U147">
        <f t="shared" si="82"/>
        <v>0</v>
      </c>
      <c r="W147">
        <f>$B$5*'5 Year Rainfall Simulation'!D148/1000</f>
        <v>1.1527130861391797</v>
      </c>
      <c r="X147">
        <f t="shared" si="67"/>
        <v>1.1527130861391797</v>
      </c>
      <c r="Y147">
        <f t="shared" si="68"/>
        <v>0.62</v>
      </c>
      <c r="Z147">
        <f t="shared" si="69"/>
        <v>0.53271308613917967</v>
      </c>
      <c r="AA147">
        <f t="shared" si="83"/>
        <v>35</v>
      </c>
      <c r="AB147">
        <f t="shared" si="70"/>
        <v>0.68141134378633939</v>
      </c>
      <c r="AC147">
        <f t="shared" si="84"/>
        <v>0</v>
      </c>
      <c r="AE147">
        <f>$B$5*'5 Year Rainfall Simulation'!E148/1000</f>
        <v>0.3321192534335764</v>
      </c>
      <c r="AF147">
        <f t="shared" si="71"/>
        <v>0.3321192534335764</v>
      </c>
      <c r="AG147">
        <f t="shared" si="72"/>
        <v>0.62</v>
      </c>
      <c r="AH147">
        <f t="shared" si="73"/>
        <v>-0.2878807465664236</v>
      </c>
      <c r="AI147">
        <f t="shared" si="85"/>
        <v>27.484771235457195</v>
      </c>
      <c r="AJ147">
        <f t="shared" si="74"/>
        <v>0.19632797571291233</v>
      </c>
      <c r="AK147">
        <f t="shared" si="86"/>
        <v>0</v>
      </c>
      <c r="AM147">
        <f>$B$5*'5 Year Rainfall Simulation'!F148/1000</f>
        <v>0</v>
      </c>
      <c r="AN147">
        <f t="shared" si="75"/>
        <v>0</v>
      </c>
      <c r="AO147">
        <f t="shared" si="76"/>
        <v>0.62</v>
      </c>
      <c r="AP147">
        <f t="shared" si="77"/>
        <v>-0.62</v>
      </c>
      <c r="AQ147">
        <f t="shared" si="87"/>
        <v>34.380000000000003</v>
      </c>
      <c r="AR147">
        <f t="shared" si="78"/>
        <v>0</v>
      </c>
      <c r="AS147">
        <f t="shared" si="88"/>
        <v>0</v>
      </c>
    </row>
    <row r="148" spans="6:45" ht="18" customHeight="1">
      <c r="F148" s="109">
        <v>44705</v>
      </c>
      <c r="G148">
        <f>B$5*'5 Year Rainfall Simulation'!B149/1000</f>
        <v>1.04</v>
      </c>
      <c r="H148">
        <f t="shared" si="60"/>
        <v>1.04</v>
      </c>
      <c r="I148">
        <f t="shared" si="59"/>
        <v>0.62</v>
      </c>
      <c r="J148">
        <f t="shared" si="61"/>
        <v>0.42000000000000004</v>
      </c>
      <c r="K148">
        <f t="shared" si="79"/>
        <v>29.919999999999998</v>
      </c>
      <c r="L148">
        <f t="shared" si="62"/>
        <v>0.61478246934053438</v>
      </c>
      <c r="M148">
        <f t="shared" si="80"/>
        <v>0</v>
      </c>
      <c r="O148">
        <f>$B$5*'5 Year Rainfall Simulation'!C149/1000</f>
        <v>0</v>
      </c>
      <c r="P148">
        <f t="shared" si="63"/>
        <v>0</v>
      </c>
      <c r="Q148">
        <f t="shared" si="64"/>
        <v>0.62</v>
      </c>
      <c r="R148">
        <f t="shared" si="65"/>
        <v>-0.62</v>
      </c>
      <c r="S148">
        <f t="shared" si="81"/>
        <v>22.880000000000003</v>
      </c>
      <c r="T148">
        <f t="shared" si="66"/>
        <v>0</v>
      </c>
      <c r="U148">
        <f t="shared" si="82"/>
        <v>0</v>
      </c>
      <c r="W148">
        <f>$B$5*'5 Year Rainfall Simulation'!D149/1000</f>
        <v>0</v>
      </c>
      <c r="X148">
        <f t="shared" si="67"/>
        <v>0</v>
      </c>
      <c r="Y148">
        <f t="shared" si="68"/>
        <v>0.62</v>
      </c>
      <c r="Z148">
        <f t="shared" si="69"/>
        <v>-0.62</v>
      </c>
      <c r="AA148">
        <f t="shared" si="83"/>
        <v>34.380000000000003</v>
      </c>
      <c r="AB148">
        <f t="shared" si="70"/>
        <v>0</v>
      </c>
      <c r="AC148">
        <f t="shared" si="84"/>
        <v>0</v>
      </c>
      <c r="AE148">
        <f>$B$5*'5 Year Rainfall Simulation'!E149/1000</f>
        <v>0</v>
      </c>
      <c r="AF148">
        <f t="shared" si="71"/>
        <v>0</v>
      </c>
      <c r="AG148">
        <f t="shared" si="72"/>
        <v>0.62</v>
      </c>
      <c r="AH148">
        <f t="shared" si="73"/>
        <v>-0.62</v>
      </c>
      <c r="AI148">
        <f t="shared" si="85"/>
        <v>26.864771235457194</v>
      </c>
      <c r="AJ148">
        <f t="shared" si="74"/>
        <v>0</v>
      </c>
      <c r="AK148">
        <f t="shared" si="86"/>
        <v>0</v>
      </c>
      <c r="AM148">
        <f>$B$5*'5 Year Rainfall Simulation'!F149/1000</f>
        <v>0</v>
      </c>
      <c r="AN148">
        <f t="shared" si="75"/>
        <v>0</v>
      </c>
      <c r="AO148">
        <f t="shared" si="76"/>
        <v>0.62</v>
      </c>
      <c r="AP148">
        <f t="shared" si="77"/>
        <v>-0.62</v>
      </c>
      <c r="AQ148">
        <f t="shared" si="87"/>
        <v>33.760000000000005</v>
      </c>
      <c r="AR148">
        <f t="shared" si="78"/>
        <v>0</v>
      </c>
      <c r="AS148">
        <f t="shared" si="88"/>
        <v>0</v>
      </c>
    </row>
    <row r="149" spans="6:45" ht="18" customHeight="1">
      <c r="F149" s="109">
        <v>44706</v>
      </c>
      <c r="G149">
        <f>B$5*'5 Year Rainfall Simulation'!B150/1000</f>
        <v>4.68</v>
      </c>
      <c r="H149">
        <f t="shared" si="60"/>
        <v>4.68</v>
      </c>
      <c r="I149">
        <f t="shared" si="59"/>
        <v>0.62</v>
      </c>
      <c r="J149">
        <f t="shared" si="61"/>
        <v>4.0599999999999996</v>
      </c>
      <c r="K149">
        <f t="shared" si="79"/>
        <v>33.979999999999997</v>
      </c>
      <c r="L149">
        <f t="shared" si="62"/>
        <v>2.7665211120324043</v>
      </c>
      <c r="M149">
        <f t="shared" si="80"/>
        <v>0</v>
      </c>
      <c r="O149">
        <f>$B$5*'5 Year Rainfall Simulation'!C150/1000</f>
        <v>0</v>
      </c>
      <c r="P149">
        <f t="shared" si="63"/>
        <v>0</v>
      </c>
      <c r="Q149">
        <f t="shared" si="64"/>
        <v>0.62</v>
      </c>
      <c r="R149">
        <f t="shared" si="65"/>
        <v>-0.62</v>
      </c>
      <c r="S149">
        <f t="shared" si="81"/>
        <v>22.26</v>
      </c>
      <c r="T149">
        <f t="shared" si="66"/>
        <v>0</v>
      </c>
      <c r="U149">
        <f t="shared" si="82"/>
        <v>0</v>
      </c>
      <c r="W149">
        <f>$B$5*'5 Year Rainfall Simulation'!D150/1000</f>
        <v>3.1119440766379221</v>
      </c>
      <c r="X149">
        <f t="shared" si="67"/>
        <v>3.1119440766379221</v>
      </c>
      <c r="Y149">
        <f t="shared" si="68"/>
        <v>0.62</v>
      </c>
      <c r="Z149">
        <f t="shared" si="69"/>
        <v>2.4919440766379219</v>
      </c>
      <c r="AA149">
        <f t="shared" si="83"/>
        <v>35</v>
      </c>
      <c r="AB149">
        <f t="shared" si="70"/>
        <v>1.8395852537356834</v>
      </c>
      <c r="AC149">
        <f t="shared" si="84"/>
        <v>0</v>
      </c>
      <c r="AE149">
        <f>$B$5*'5 Year Rainfall Simulation'!E150/1000</f>
        <v>0</v>
      </c>
      <c r="AF149">
        <f t="shared" si="71"/>
        <v>0</v>
      </c>
      <c r="AG149">
        <f t="shared" si="72"/>
        <v>0.62</v>
      </c>
      <c r="AH149">
        <f t="shared" si="73"/>
        <v>-0.62</v>
      </c>
      <c r="AI149">
        <f t="shared" si="85"/>
        <v>26.244771235457193</v>
      </c>
      <c r="AJ149">
        <f t="shared" si="74"/>
        <v>0</v>
      </c>
      <c r="AK149">
        <f t="shared" si="86"/>
        <v>0</v>
      </c>
      <c r="AM149">
        <f>$B$5*'5 Year Rainfall Simulation'!F150/1000</f>
        <v>2.1043466103388417</v>
      </c>
      <c r="AN149">
        <f t="shared" si="75"/>
        <v>2.1043466103388417</v>
      </c>
      <c r="AO149">
        <f t="shared" si="76"/>
        <v>0.62</v>
      </c>
      <c r="AP149">
        <f t="shared" si="77"/>
        <v>1.4843466103388416</v>
      </c>
      <c r="AQ149">
        <f t="shared" si="87"/>
        <v>35</v>
      </c>
      <c r="AR149">
        <f t="shared" si="78"/>
        <v>1.2439571206274003</v>
      </c>
      <c r="AS149">
        <f t="shared" si="88"/>
        <v>0</v>
      </c>
    </row>
    <row r="150" spans="6:45" ht="18" customHeight="1">
      <c r="F150" s="109">
        <v>44707</v>
      </c>
      <c r="G150">
        <f>B$5*'5 Year Rainfall Simulation'!B151/1000</f>
        <v>0</v>
      </c>
      <c r="H150">
        <f t="shared" si="60"/>
        <v>0</v>
      </c>
      <c r="I150">
        <f t="shared" si="59"/>
        <v>0.62</v>
      </c>
      <c r="J150">
        <f t="shared" si="61"/>
        <v>-0.62</v>
      </c>
      <c r="K150">
        <f t="shared" si="79"/>
        <v>33.36</v>
      </c>
      <c r="L150">
        <f t="shared" si="62"/>
        <v>0</v>
      </c>
      <c r="M150">
        <f t="shared" si="80"/>
        <v>0</v>
      </c>
      <c r="O150">
        <f>$B$5*'5 Year Rainfall Simulation'!C151/1000</f>
        <v>0</v>
      </c>
      <c r="P150">
        <f t="shared" si="63"/>
        <v>0</v>
      </c>
      <c r="Q150">
        <f t="shared" si="64"/>
        <v>0.62</v>
      </c>
      <c r="R150">
        <f t="shared" si="65"/>
        <v>-0.62</v>
      </c>
      <c r="S150">
        <f t="shared" si="81"/>
        <v>21.64</v>
      </c>
      <c r="T150">
        <f t="shared" si="66"/>
        <v>0</v>
      </c>
      <c r="U150">
        <f t="shared" si="82"/>
        <v>0</v>
      </c>
      <c r="W150">
        <f>$B$5*'5 Year Rainfall Simulation'!D151/1000</f>
        <v>0</v>
      </c>
      <c r="X150">
        <f t="shared" si="67"/>
        <v>0</v>
      </c>
      <c r="Y150">
        <f t="shared" si="68"/>
        <v>0.62</v>
      </c>
      <c r="Z150">
        <f t="shared" si="69"/>
        <v>-0.62</v>
      </c>
      <c r="AA150">
        <f t="shared" si="83"/>
        <v>34.380000000000003</v>
      </c>
      <c r="AB150">
        <f t="shared" si="70"/>
        <v>0</v>
      </c>
      <c r="AC150">
        <f t="shared" si="84"/>
        <v>0</v>
      </c>
      <c r="AE150">
        <f>$B$5*'5 Year Rainfall Simulation'!E151/1000</f>
        <v>0</v>
      </c>
      <c r="AF150">
        <f t="shared" si="71"/>
        <v>0</v>
      </c>
      <c r="AG150">
        <f t="shared" si="72"/>
        <v>0.62</v>
      </c>
      <c r="AH150">
        <f t="shared" si="73"/>
        <v>-0.62</v>
      </c>
      <c r="AI150">
        <f t="shared" si="85"/>
        <v>25.624771235457192</v>
      </c>
      <c r="AJ150">
        <f t="shared" si="74"/>
        <v>0</v>
      </c>
      <c r="AK150">
        <f t="shared" si="86"/>
        <v>0</v>
      </c>
      <c r="AM150">
        <f>$B$5*'5 Year Rainfall Simulation'!F151/1000</f>
        <v>0.56505746179591698</v>
      </c>
      <c r="AN150">
        <f t="shared" si="75"/>
        <v>0.56505746179591698</v>
      </c>
      <c r="AO150">
        <f t="shared" si="76"/>
        <v>0.62</v>
      </c>
      <c r="AP150">
        <f t="shared" si="77"/>
        <v>-5.4942538204083013E-2</v>
      </c>
      <c r="AQ150">
        <f t="shared" si="87"/>
        <v>34.945057461795919</v>
      </c>
      <c r="AR150">
        <f t="shared" si="78"/>
        <v>0.33402636700210431</v>
      </c>
      <c r="AS150">
        <f t="shared" si="88"/>
        <v>0</v>
      </c>
    </row>
    <row r="151" spans="6:45" ht="18" customHeight="1">
      <c r="F151" s="109">
        <v>44708</v>
      </c>
      <c r="G151">
        <f>B$5*'5 Year Rainfall Simulation'!B152/1000</f>
        <v>0.88000000000000012</v>
      </c>
      <c r="H151">
        <f t="shared" si="60"/>
        <v>0.88000000000000012</v>
      </c>
      <c r="I151">
        <f t="shared" si="59"/>
        <v>0.62</v>
      </c>
      <c r="J151">
        <f t="shared" si="61"/>
        <v>0.26000000000000012</v>
      </c>
      <c r="K151">
        <f t="shared" si="79"/>
        <v>33.619999999999997</v>
      </c>
      <c r="L151">
        <f t="shared" si="62"/>
        <v>0.52020055098045215</v>
      </c>
      <c r="M151">
        <f t="shared" si="80"/>
        <v>0</v>
      </c>
      <c r="O151">
        <f>$B$5*'5 Year Rainfall Simulation'!C152/1000</f>
        <v>0</v>
      </c>
      <c r="P151">
        <f t="shared" si="63"/>
        <v>0</v>
      </c>
      <c r="Q151">
        <f t="shared" si="64"/>
        <v>0.62</v>
      </c>
      <c r="R151">
        <f t="shared" si="65"/>
        <v>-0.62</v>
      </c>
      <c r="S151">
        <f t="shared" si="81"/>
        <v>21.02</v>
      </c>
      <c r="T151">
        <f t="shared" si="66"/>
        <v>0</v>
      </c>
      <c r="U151">
        <f t="shared" si="82"/>
        <v>0</v>
      </c>
      <c r="W151">
        <f>$B$5*'5 Year Rainfall Simulation'!D152/1000</f>
        <v>2.198485871316096</v>
      </c>
      <c r="X151">
        <f t="shared" si="67"/>
        <v>2.198485871316096</v>
      </c>
      <c r="Y151">
        <f t="shared" si="68"/>
        <v>0.62</v>
      </c>
      <c r="Z151">
        <f t="shared" si="69"/>
        <v>1.5784858713160959</v>
      </c>
      <c r="AA151">
        <f t="shared" si="83"/>
        <v>35</v>
      </c>
      <c r="AB151">
        <f t="shared" si="70"/>
        <v>1.2996063199788324</v>
      </c>
      <c r="AC151">
        <f t="shared" si="84"/>
        <v>0</v>
      </c>
      <c r="AE151">
        <f>$B$5*'5 Year Rainfall Simulation'!E152/1000</f>
        <v>0.60176225408940243</v>
      </c>
      <c r="AF151">
        <f t="shared" si="71"/>
        <v>0.60176225408940243</v>
      </c>
      <c r="AG151">
        <f t="shared" si="72"/>
        <v>0.62</v>
      </c>
      <c r="AH151">
        <f t="shared" si="73"/>
        <v>-1.8237745910597569E-2</v>
      </c>
      <c r="AI151">
        <f t="shared" si="85"/>
        <v>25.606533489546596</v>
      </c>
      <c r="AJ151">
        <f t="shared" si="74"/>
        <v>0.35572392742789316</v>
      </c>
      <c r="AK151">
        <f t="shared" si="86"/>
        <v>0</v>
      </c>
      <c r="AM151">
        <f>$B$5*'5 Year Rainfall Simulation'!F152/1000</f>
        <v>0.8695020202869973</v>
      </c>
      <c r="AN151">
        <f t="shared" si="75"/>
        <v>0.8695020202869973</v>
      </c>
      <c r="AO151">
        <f t="shared" si="76"/>
        <v>0.62</v>
      </c>
      <c r="AP151">
        <f t="shared" si="77"/>
        <v>0.24950202028699731</v>
      </c>
      <c r="AQ151">
        <f t="shared" si="87"/>
        <v>35</v>
      </c>
      <c r="AR151">
        <f t="shared" si="78"/>
        <v>0.51399480685444576</v>
      </c>
      <c r="AS151">
        <f t="shared" si="88"/>
        <v>0</v>
      </c>
    </row>
    <row r="152" spans="6:45" ht="18" customHeight="1">
      <c r="F152" s="109">
        <v>44709</v>
      </c>
      <c r="G152">
        <f>B$5*'5 Year Rainfall Simulation'!B153/1000</f>
        <v>0</v>
      </c>
      <c r="H152">
        <f t="shared" si="60"/>
        <v>0</v>
      </c>
      <c r="I152">
        <f t="shared" si="59"/>
        <v>0.62</v>
      </c>
      <c r="J152">
        <f t="shared" si="61"/>
        <v>-0.62</v>
      </c>
      <c r="K152">
        <f t="shared" si="79"/>
        <v>33</v>
      </c>
      <c r="L152">
        <f t="shared" si="62"/>
        <v>0</v>
      </c>
      <c r="M152">
        <f t="shared" si="80"/>
        <v>0</v>
      </c>
      <c r="O152">
        <f>$B$5*'5 Year Rainfall Simulation'!C153/1000</f>
        <v>0</v>
      </c>
      <c r="P152">
        <f t="shared" si="63"/>
        <v>0</v>
      </c>
      <c r="Q152">
        <f t="shared" si="64"/>
        <v>0.62</v>
      </c>
      <c r="R152">
        <f t="shared" si="65"/>
        <v>-0.62</v>
      </c>
      <c r="S152">
        <f t="shared" si="81"/>
        <v>20.399999999999999</v>
      </c>
      <c r="T152">
        <f t="shared" si="66"/>
        <v>0</v>
      </c>
      <c r="U152">
        <f t="shared" si="82"/>
        <v>0</v>
      </c>
      <c r="W152">
        <f>$B$5*'5 Year Rainfall Simulation'!D153/1000</f>
        <v>0</v>
      </c>
      <c r="X152">
        <f t="shared" si="67"/>
        <v>0</v>
      </c>
      <c r="Y152">
        <f t="shared" si="68"/>
        <v>0.62</v>
      </c>
      <c r="Z152">
        <f t="shared" si="69"/>
        <v>-0.62</v>
      </c>
      <c r="AA152">
        <f t="shared" si="83"/>
        <v>34.380000000000003</v>
      </c>
      <c r="AB152">
        <f t="shared" si="70"/>
        <v>0</v>
      </c>
      <c r="AC152">
        <f t="shared" si="84"/>
        <v>0</v>
      </c>
      <c r="AE152">
        <f>$B$5*'5 Year Rainfall Simulation'!E153/1000</f>
        <v>0.28190542364593502</v>
      </c>
      <c r="AF152">
        <f t="shared" si="71"/>
        <v>0.28190542364593502</v>
      </c>
      <c r="AG152">
        <f t="shared" si="72"/>
        <v>0.62</v>
      </c>
      <c r="AH152">
        <f t="shared" si="73"/>
        <v>-0.33809457635406498</v>
      </c>
      <c r="AI152">
        <f t="shared" si="85"/>
        <v>25.268438913192529</v>
      </c>
      <c r="AJ152">
        <f t="shared" si="74"/>
        <v>0.16664472352840132</v>
      </c>
      <c r="AK152">
        <f t="shared" si="86"/>
        <v>0</v>
      </c>
      <c r="AM152">
        <f>$B$5*'5 Year Rainfall Simulation'!F153/1000</f>
        <v>0</v>
      </c>
      <c r="AN152">
        <f t="shared" si="75"/>
        <v>0</v>
      </c>
      <c r="AO152">
        <f t="shared" si="76"/>
        <v>0.62</v>
      </c>
      <c r="AP152">
        <f t="shared" si="77"/>
        <v>-0.62</v>
      </c>
      <c r="AQ152">
        <f t="shared" si="87"/>
        <v>34.380000000000003</v>
      </c>
      <c r="AR152">
        <f t="shared" si="78"/>
        <v>0</v>
      </c>
      <c r="AS152">
        <f t="shared" si="88"/>
        <v>0</v>
      </c>
    </row>
    <row r="153" spans="6:45" ht="18" customHeight="1">
      <c r="F153" s="109">
        <v>44710</v>
      </c>
      <c r="G153">
        <f>B$5*'5 Year Rainfall Simulation'!B154/1000</f>
        <v>0</v>
      </c>
      <c r="H153">
        <f t="shared" si="60"/>
        <v>0</v>
      </c>
      <c r="I153">
        <f t="shared" si="59"/>
        <v>0.62</v>
      </c>
      <c r="J153">
        <f t="shared" si="61"/>
        <v>-0.62</v>
      </c>
      <c r="K153">
        <f t="shared" si="79"/>
        <v>32.380000000000003</v>
      </c>
      <c r="L153">
        <f t="shared" si="62"/>
        <v>0</v>
      </c>
      <c r="M153">
        <f t="shared" si="80"/>
        <v>0</v>
      </c>
      <c r="O153">
        <f>$B$5*'5 Year Rainfall Simulation'!C154/1000</f>
        <v>0</v>
      </c>
      <c r="P153">
        <f t="shared" si="63"/>
        <v>0</v>
      </c>
      <c r="Q153">
        <f t="shared" si="64"/>
        <v>0.62</v>
      </c>
      <c r="R153">
        <f t="shared" si="65"/>
        <v>-0.62</v>
      </c>
      <c r="S153">
        <f t="shared" si="81"/>
        <v>19.779999999999998</v>
      </c>
      <c r="T153">
        <f t="shared" si="66"/>
        <v>0</v>
      </c>
      <c r="U153">
        <f t="shared" si="82"/>
        <v>0</v>
      </c>
      <c r="W153">
        <f>$B$5*'5 Year Rainfall Simulation'!D154/1000</f>
        <v>0</v>
      </c>
      <c r="X153">
        <f t="shared" si="67"/>
        <v>0</v>
      </c>
      <c r="Y153">
        <f t="shared" si="68"/>
        <v>0.62</v>
      </c>
      <c r="Z153">
        <f t="shared" si="69"/>
        <v>-0.62</v>
      </c>
      <c r="AA153">
        <f t="shared" si="83"/>
        <v>33.760000000000005</v>
      </c>
      <c r="AB153">
        <f t="shared" si="70"/>
        <v>0</v>
      </c>
      <c r="AC153">
        <f t="shared" si="84"/>
        <v>0</v>
      </c>
      <c r="AE153">
        <f>$B$5*'5 Year Rainfall Simulation'!E154/1000</f>
        <v>0.84864042434746378</v>
      </c>
      <c r="AF153">
        <f t="shared" si="71"/>
        <v>0.84864042434746378</v>
      </c>
      <c r="AG153">
        <f t="shared" si="72"/>
        <v>0.62</v>
      </c>
      <c r="AH153">
        <f t="shared" si="73"/>
        <v>0.22864042434746379</v>
      </c>
      <c r="AI153">
        <f t="shared" si="85"/>
        <v>25.497079337539994</v>
      </c>
      <c r="AJ153">
        <f t="shared" si="74"/>
        <v>0.50166274582935833</v>
      </c>
      <c r="AK153">
        <f t="shared" si="86"/>
        <v>0</v>
      </c>
      <c r="AM153">
        <f>$B$5*'5 Year Rainfall Simulation'!F154/1000</f>
        <v>0</v>
      </c>
      <c r="AN153">
        <f t="shared" si="75"/>
        <v>0</v>
      </c>
      <c r="AO153">
        <f t="shared" si="76"/>
        <v>0.62</v>
      </c>
      <c r="AP153">
        <f t="shared" si="77"/>
        <v>-0.62</v>
      </c>
      <c r="AQ153">
        <f t="shared" si="87"/>
        <v>33.760000000000005</v>
      </c>
      <c r="AR153">
        <f t="shared" si="78"/>
        <v>0</v>
      </c>
      <c r="AS153">
        <f t="shared" si="88"/>
        <v>0</v>
      </c>
    </row>
    <row r="154" spans="6:45" ht="18" customHeight="1">
      <c r="F154" s="109">
        <v>44711</v>
      </c>
      <c r="G154">
        <f>B$5*'5 Year Rainfall Simulation'!B155/1000</f>
        <v>0</v>
      </c>
      <c r="H154">
        <f t="shared" si="60"/>
        <v>0</v>
      </c>
      <c r="I154">
        <f t="shared" si="59"/>
        <v>0.62</v>
      </c>
      <c r="J154">
        <f t="shared" si="61"/>
        <v>-0.62</v>
      </c>
      <c r="K154">
        <f t="shared" si="79"/>
        <v>31.76</v>
      </c>
      <c r="L154">
        <f t="shared" si="62"/>
        <v>0</v>
      </c>
      <c r="M154">
        <f t="shared" si="80"/>
        <v>0</v>
      </c>
      <c r="O154">
        <f>$B$5*'5 Year Rainfall Simulation'!C155/1000</f>
        <v>0</v>
      </c>
      <c r="P154">
        <f t="shared" si="63"/>
        <v>0</v>
      </c>
      <c r="Q154">
        <f t="shared" si="64"/>
        <v>0.62</v>
      </c>
      <c r="R154">
        <f t="shared" si="65"/>
        <v>-0.62</v>
      </c>
      <c r="S154">
        <f t="shared" si="81"/>
        <v>19.159999999999997</v>
      </c>
      <c r="T154">
        <f t="shared" si="66"/>
        <v>0</v>
      </c>
      <c r="U154">
        <f t="shared" si="82"/>
        <v>0</v>
      </c>
      <c r="W154">
        <f>$B$5*'5 Year Rainfall Simulation'!D155/1000</f>
        <v>0</v>
      </c>
      <c r="X154">
        <f t="shared" si="67"/>
        <v>0</v>
      </c>
      <c r="Y154">
        <f t="shared" si="68"/>
        <v>0.62</v>
      </c>
      <c r="Z154">
        <f t="shared" si="69"/>
        <v>-0.62</v>
      </c>
      <c r="AA154">
        <f t="shared" si="83"/>
        <v>33.140000000000008</v>
      </c>
      <c r="AB154">
        <f t="shared" si="70"/>
        <v>0</v>
      </c>
      <c r="AC154">
        <f t="shared" si="84"/>
        <v>0</v>
      </c>
      <c r="AE154">
        <f>$B$5*'5 Year Rainfall Simulation'!E155/1000</f>
        <v>1.5436179799794667</v>
      </c>
      <c r="AF154">
        <f t="shared" si="71"/>
        <v>1.5436179799794667</v>
      </c>
      <c r="AG154">
        <f t="shared" si="72"/>
        <v>0.62</v>
      </c>
      <c r="AH154">
        <f t="shared" si="73"/>
        <v>0.92361797997946671</v>
      </c>
      <c r="AI154">
        <f t="shared" si="85"/>
        <v>26.420697317519462</v>
      </c>
      <c r="AJ154">
        <f t="shared" si="74"/>
        <v>0.91248968600983082</v>
      </c>
      <c r="AK154">
        <f t="shared" si="86"/>
        <v>0</v>
      </c>
      <c r="AM154">
        <f>$B$5*'5 Year Rainfall Simulation'!F155/1000</f>
        <v>0</v>
      </c>
      <c r="AN154">
        <f t="shared" si="75"/>
        <v>0</v>
      </c>
      <c r="AO154">
        <f t="shared" si="76"/>
        <v>0.62</v>
      </c>
      <c r="AP154">
        <f t="shared" si="77"/>
        <v>-0.62</v>
      </c>
      <c r="AQ154">
        <f t="shared" si="87"/>
        <v>33.140000000000008</v>
      </c>
      <c r="AR154">
        <f t="shared" si="78"/>
        <v>0</v>
      </c>
      <c r="AS154">
        <f t="shared" si="88"/>
        <v>0</v>
      </c>
    </row>
    <row r="155" spans="6:45" ht="18" customHeight="1">
      <c r="F155" s="109">
        <v>44712</v>
      </c>
      <c r="G155">
        <f>B$5*'5 Year Rainfall Simulation'!B156/1000</f>
        <v>0</v>
      </c>
      <c r="H155">
        <f t="shared" si="60"/>
        <v>0</v>
      </c>
      <c r="I155">
        <f t="shared" si="59"/>
        <v>0.62</v>
      </c>
      <c r="J155">
        <f t="shared" si="61"/>
        <v>-0.62</v>
      </c>
      <c r="K155">
        <f t="shared" si="79"/>
        <v>31.14</v>
      </c>
      <c r="L155">
        <f t="shared" si="62"/>
        <v>0</v>
      </c>
      <c r="M155">
        <f t="shared" si="80"/>
        <v>0</v>
      </c>
      <c r="O155">
        <f>$B$5*'5 Year Rainfall Simulation'!C156/1000</f>
        <v>0</v>
      </c>
      <c r="P155">
        <f t="shared" si="63"/>
        <v>0</v>
      </c>
      <c r="Q155">
        <f t="shared" si="64"/>
        <v>0.62</v>
      </c>
      <c r="R155">
        <f t="shared" si="65"/>
        <v>-0.62</v>
      </c>
      <c r="S155">
        <f t="shared" si="81"/>
        <v>18.539999999999996</v>
      </c>
      <c r="T155">
        <f t="shared" si="66"/>
        <v>0</v>
      </c>
      <c r="U155">
        <f t="shared" si="82"/>
        <v>0</v>
      </c>
      <c r="W155">
        <f>$B$5*'5 Year Rainfall Simulation'!D156/1000</f>
        <v>0.21199333931967657</v>
      </c>
      <c r="X155">
        <f t="shared" si="67"/>
        <v>0.21199333931967657</v>
      </c>
      <c r="Y155">
        <f t="shared" si="68"/>
        <v>0.62</v>
      </c>
      <c r="Z155">
        <f t="shared" si="69"/>
        <v>-0.40800666068032343</v>
      </c>
      <c r="AA155">
        <f t="shared" si="83"/>
        <v>32.731993339319686</v>
      </c>
      <c r="AB155">
        <f t="shared" si="70"/>
        <v>0.12531710445259284</v>
      </c>
      <c r="AC155">
        <f t="shared" si="84"/>
        <v>0</v>
      </c>
      <c r="AE155">
        <f>$B$5*'5 Year Rainfall Simulation'!E156/1000</f>
        <v>0</v>
      </c>
      <c r="AF155">
        <f t="shared" si="71"/>
        <v>0</v>
      </c>
      <c r="AG155">
        <f t="shared" si="72"/>
        <v>0.62</v>
      </c>
      <c r="AH155">
        <f t="shared" si="73"/>
        <v>-0.62</v>
      </c>
      <c r="AI155">
        <f t="shared" si="85"/>
        <v>25.800697317519461</v>
      </c>
      <c r="AJ155">
        <f t="shared" si="74"/>
        <v>0</v>
      </c>
      <c r="AK155">
        <f t="shared" si="86"/>
        <v>0</v>
      </c>
      <c r="AM155">
        <f>$B$5*'5 Year Rainfall Simulation'!F156/1000</f>
        <v>0.446962461734633</v>
      </c>
      <c r="AN155">
        <f t="shared" si="75"/>
        <v>0.446962461734633</v>
      </c>
      <c r="AO155">
        <f t="shared" si="76"/>
        <v>0.62</v>
      </c>
      <c r="AP155">
        <f t="shared" si="77"/>
        <v>-0.173037538265367</v>
      </c>
      <c r="AQ155">
        <f t="shared" si="87"/>
        <v>32.966962461734639</v>
      </c>
      <c r="AR155">
        <f t="shared" si="78"/>
        <v>0.26421604416129013</v>
      </c>
      <c r="AS155">
        <f t="shared" si="88"/>
        <v>0</v>
      </c>
    </row>
    <row r="156" spans="6:45" ht="18" customHeight="1">
      <c r="F156" s="109">
        <v>44713</v>
      </c>
      <c r="G156">
        <f>B$5*'5 Year Rainfall Simulation'!B157/1000</f>
        <v>0</v>
      </c>
      <c r="H156">
        <f t="shared" si="60"/>
        <v>0</v>
      </c>
      <c r="I156">
        <f t="shared" si="59"/>
        <v>0.62</v>
      </c>
      <c r="J156">
        <f t="shared" si="61"/>
        <v>-0.62</v>
      </c>
      <c r="K156">
        <f t="shared" si="79"/>
        <v>30.52</v>
      </c>
      <c r="L156">
        <f t="shared" si="62"/>
        <v>0</v>
      </c>
      <c r="M156">
        <f t="shared" si="80"/>
        <v>0</v>
      </c>
      <c r="O156">
        <f>$B$5*'5 Year Rainfall Simulation'!C157/1000</f>
        <v>1.48</v>
      </c>
      <c r="P156">
        <f t="shared" si="63"/>
        <v>1.48</v>
      </c>
      <c r="Q156">
        <f t="shared" si="64"/>
        <v>0.62</v>
      </c>
      <c r="R156">
        <f t="shared" si="65"/>
        <v>0.86</v>
      </c>
      <c r="S156">
        <f t="shared" si="81"/>
        <v>19.399999999999995</v>
      </c>
      <c r="T156">
        <f t="shared" si="66"/>
        <v>0.87488274483076034</v>
      </c>
      <c r="U156">
        <f t="shared" si="82"/>
        <v>0</v>
      </c>
      <c r="W156">
        <f>$B$5*'5 Year Rainfall Simulation'!D157/1000</f>
        <v>1.5162873345358385</v>
      </c>
      <c r="X156">
        <f t="shared" si="67"/>
        <v>1.5162873345358385</v>
      </c>
      <c r="Y156">
        <f t="shared" si="68"/>
        <v>0.62</v>
      </c>
      <c r="Z156">
        <f t="shared" si="69"/>
        <v>0.89628733453583853</v>
      </c>
      <c r="AA156">
        <f t="shared" si="83"/>
        <v>33.628280673855528</v>
      </c>
      <c r="AB156">
        <f t="shared" si="70"/>
        <v>0.89633353053434583</v>
      </c>
      <c r="AC156">
        <f t="shared" si="84"/>
        <v>0</v>
      </c>
      <c r="AE156">
        <f>$B$5*'5 Year Rainfall Simulation'!E157/1000</f>
        <v>2.9362958827011045</v>
      </c>
      <c r="AF156">
        <f t="shared" si="71"/>
        <v>2.9362958827011045</v>
      </c>
      <c r="AG156">
        <f t="shared" si="72"/>
        <v>0.62</v>
      </c>
      <c r="AH156">
        <f t="shared" si="73"/>
        <v>2.3162958827011044</v>
      </c>
      <c r="AI156">
        <f t="shared" si="85"/>
        <v>28.116993200220566</v>
      </c>
      <c r="AJ156">
        <f t="shared" si="74"/>
        <v>1.7357531091167586</v>
      </c>
      <c r="AK156">
        <f t="shared" si="86"/>
        <v>0</v>
      </c>
      <c r="AM156">
        <f>$B$5*'5 Year Rainfall Simulation'!F157/1000</f>
        <v>2.799328052713316</v>
      </c>
      <c r="AN156">
        <f t="shared" si="75"/>
        <v>2.799328052713316</v>
      </c>
      <c r="AO156">
        <f t="shared" si="76"/>
        <v>0.62</v>
      </c>
      <c r="AP156">
        <f t="shared" si="77"/>
        <v>2.1793280527133159</v>
      </c>
      <c r="AQ156">
        <f t="shared" si="87"/>
        <v>35</v>
      </c>
      <c r="AR156">
        <f t="shared" si="78"/>
        <v>1.6547863584051172</v>
      </c>
      <c r="AS156">
        <f t="shared" si="88"/>
        <v>0</v>
      </c>
    </row>
    <row r="157" spans="6:45" ht="18" customHeight="1">
      <c r="F157" s="109">
        <v>44714</v>
      </c>
      <c r="G157">
        <f>B$5*'5 Year Rainfall Simulation'!B158/1000</f>
        <v>0</v>
      </c>
      <c r="H157">
        <f t="shared" si="60"/>
        <v>0</v>
      </c>
      <c r="I157">
        <f t="shared" si="59"/>
        <v>0.62</v>
      </c>
      <c r="J157">
        <f t="shared" si="61"/>
        <v>-0.62</v>
      </c>
      <c r="K157">
        <f t="shared" si="79"/>
        <v>29.9</v>
      </c>
      <c r="L157">
        <f t="shared" si="62"/>
        <v>0</v>
      </c>
      <c r="M157">
        <f t="shared" si="80"/>
        <v>0</v>
      </c>
      <c r="O157">
        <f>$B$5*'5 Year Rainfall Simulation'!C158/1000</f>
        <v>0.56000000000000005</v>
      </c>
      <c r="P157">
        <f t="shared" si="63"/>
        <v>0.56000000000000005</v>
      </c>
      <c r="Q157">
        <f t="shared" si="64"/>
        <v>0.62</v>
      </c>
      <c r="R157">
        <f t="shared" si="65"/>
        <v>-5.9999999999999942E-2</v>
      </c>
      <c r="S157">
        <f t="shared" si="81"/>
        <v>19.339999999999996</v>
      </c>
      <c r="T157">
        <f t="shared" si="66"/>
        <v>0.33103671426028775</v>
      </c>
      <c r="U157">
        <f t="shared" si="82"/>
        <v>0</v>
      </c>
      <c r="W157">
        <f>$B$5*'5 Year Rainfall Simulation'!D158/1000</f>
        <v>0.71279091446137766</v>
      </c>
      <c r="X157">
        <f t="shared" si="67"/>
        <v>0.71279091446137766</v>
      </c>
      <c r="Y157">
        <f t="shared" si="68"/>
        <v>0.62</v>
      </c>
      <c r="Z157">
        <f t="shared" si="69"/>
        <v>9.279091446137766E-2</v>
      </c>
      <c r="AA157">
        <f t="shared" si="83"/>
        <v>33.721071588316903</v>
      </c>
      <c r="AB157">
        <f t="shared" si="70"/>
        <v>0.42135707549621476</v>
      </c>
      <c r="AC157">
        <f t="shared" si="84"/>
        <v>0</v>
      </c>
      <c r="AE157">
        <f>$B$5*'5 Year Rainfall Simulation'!E158/1000</f>
        <v>0</v>
      </c>
      <c r="AF157">
        <f t="shared" si="71"/>
        <v>0</v>
      </c>
      <c r="AG157">
        <f t="shared" si="72"/>
        <v>0.62</v>
      </c>
      <c r="AH157">
        <f t="shared" si="73"/>
        <v>-0.62</v>
      </c>
      <c r="AI157">
        <f t="shared" si="85"/>
        <v>27.496993200220565</v>
      </c>
      <c r="AJ157">
        <f t="shared" si="74"/>
        <v>0</v>
      </c>
      <c r="AK157">
        <f t="shared" si="86"/>
        <v>0</v>
      </c>
      <c r="AM157">
        <f>$B$5*'5 Year Rainfall Simulation'!F158/1000</f>
        <v>0.79892056127550515</v>
      </c>
      <c r="AN157">
        <f t="shared" si="75"/>
        <v>0.79892056127550515</v>
      </c>
      <c r="AO157">
        <f t="shared" si="76"/>
        <v>0.62</v>
      </c>
      <c r="AP157">
        <f t="shared" si="77"/>
        <v>0.17892056127550515</v>
      </c>
      <c r="AQ157">
        <f t="shared" si="87"/>
        <v>35</v>
      </c>
      <c r="AR157">
        <f t="shared" si="78"/>
        <v>0.47227149564219301</v>
      </c>
      <c r="AS157">
        <f t="shared" si="88"/>
        <v>0</v>
      </c>
    </row>
    <row r="158" spans="6:45" ht="18" customHeight="1">
      <c r="F158" s="109">
        <v>44715</v>
      </c>
      <c r="G158">
        <f>B$5*'5 Year Rainfall Simulation'!B159/1000</f>
        <v>0</v>
      </c>
      <c r="H158">
        <f t="shared" si="60"/>
        <v>0</v>
      </c>
      <c r="I158">
        <f t="shared" si="59"/>
        <v>0.62</v>
      </c>
      <c r="J158">
        <f t="shared" si="61"/>
        <v>-0.62</v>
      </c>
      <c r="K158">
        <f t="shared" si="79"/>
        <v>29.279999999999998</v>
      </c>
      <c r="L158">
        <f t="shared" si="62"/>
        <v>0</v>
      </c>
      <c r="M158">
        <f t="shared" si="80"/>
        <v>0</v>
      </c>
      <c r="O158">
        <f>$B$5*'5 Year Rainfall Simulation'!C159/1000</f>
        <v>0</v>
      </c>
      <c r="P158">
        <f t="shared" si="63"/>
        <v>0</v>
      </c>
      <c r="Q158">
        <f t="shared" si="64"/>
        <v>0.62</v>
      </c>
      <c r="R158">
        <f t="shared" si="65"/>
        <v>-0.62</v>
      </c>
      <c r="S158">
        <f t="shared" si="81"/>
        <v>18.719999999999995</v>
      </c>
      <c r="T158">
        <f t="shared" si="66"/>
        <v>0</v>
      </c>
      <c r="U158">
        <f t="shared" si="82"/>
        <v>0</v>
      </c>
      <c r="W158">
        <f>$B$5*'5 Year Rainfall Simulation'!D159/1000</f>
        <v>0</v>
      </c>
      <c r="X158">
        <f t="shared" si="67"/>
        <v>0</v>
      </c>
      <c r="Y158">
        <f t="shared" si="68"/>
        <v>0.62</v>
      </c>
      <c r="Z158">
        <f t="shared" si="69"/>
        <v>-0.62</v>
      </c>
      <c r="AA158">
        <f t="shared" si="83"/>
        <v>33.101071588316906</v>
      </c>
      <c r="AB158">
        <f t="shared" si="70"/>
        <v>0</v>
      </c>
      <c r="AC158">
        <f t="shared" si="84"/>
        <v>0</v>
      </c>
      <c r="AE158">
        <f>$B$5*'5 Year Rainfall Simulation'!E159/1000</f>
        <v>0</v>
      </c>
      <c r="AF158">
        <f t="shared" si="71"/>
        <v>0</v>
      </c>
      <c r="AG158">
        <f t="shared" si="72"/>
        <v>0.62</v>
      </c>
      <c r="AH158">
        <f t="shared" si="73"/>
        <v>-0.62</v>
      </c>
      <c r="AI158">
        <f t="shared" si="85"/>
        <v>26.876993200220564</v>
      </c>
      <c r="AJ158">
        <f t="shared" si="74"/>
        <v>0</v>
      </c>
      <c r="AK158">
        <f t="shared" si="86"/>
        <v>0</v>
      </c>
      <c r="AM158">
        <f>$B$5*'5 Year Rainfall Simulation'!F159/1000</f>
        <v>0</v>
      </c>
      <c r="AN158">
        <f t="shared" si="75"/>
        <v>0</v>
      </c>
      <c r="AO158">
        <f t="shared" si="76"/>
        <v>0.62</v>
      </c>
      <c r="AP158">
        <f t="shared" si="77"/>
        <v>-0.62</v>
      </c>
      <c r="AQ158">
        <f t="shared" si="87"/>
        <v>34.380000000000003</v>
      </c>
      <c r="AR158">
        <f t="shared" si="78"/>
        <v>0</v>
      </c>
      <c r="AS158">
        <f t="shared" si="88"/>
        <v>0</v>
      </c>
    </row>
    <row r="159" spans="6:45" ht="18" customHeight="1">
      <c r="F159" s="109">
        <v>44716</v>
      </c>
      <c r="G159">
        <f>B$5*'5 Year Rainfall Simulation'!B160/1000</f>
        <v>0</v>
      </c>
      <c r="H159">
        <f t="shared" si="60"/>
        <v>0</v>
      </c>
      <c r="I159">
        <f t="shared" si="59"/>
        <v>0.62</v>
      </c>
      <c r="J159">
        <f t="shared" si="61"/>
        <v>-0.62</v>
      </c>
      <c r="K159">
        <f t="shared" si="79"/>
        <v>28.659999999999997</v>
      </c>
      <c r="L159">
        <f t="shared" si="62"/>
        <v>0</v>
      </c>
      <c r="M159">
        <f t="shared" si="80"/>
        <v>0</v>
      </c>
      <c r="O159">
        <f>$B$5*'5 Year Rainfall Simulation'!C160/1000</f>
        <v>0</v>
      </c>
      <c r="P159">
        <f t="shared" si="63"/>
        <v>0</v>
      </c>
      <c r="Q159">
        <f t="shared" si="64"/>
        <v>0.62</v>
      </c>
      <c r="R159">
        <f t="shared" si="65"/>
        <v>-0.62</v>
      </c>
      <c r="S159">
        <f t="shared" si="81"/>
        <v>18.099999999999994</v>
      </c>
      <c r="T159">
        <f t="shared" si="66"/>
        <v>0</v>
      </c>
      <c r="U159">
        <f t="shared" si="82"/>
        <v>0</v>
      </c>
      <c r="W159">
        <f>$B$5*'5 Year Rainfall Simulation'!D160/1000</f>
        <v>0</v>
      </c>
      <c r="X159">
        <f t="shared" si="67"/>
        <v>0</v>
      </c>
      <c r="Y159">
        <f t="shared" si="68"/>
        <v>0.62</v>
      </c>
      <c r="Z159">
        <f t="shared" si="69"/>
        <v>-0.62</v>
      </c>
      <c r="AA159">
        <f t="shared" si="83"/>
        <v>32.481071588316908</v>
      </c>
      <c r="AB159">
        <f t="shared" si="70"/>
        <v>0</v>
      </c>
      <c r="AC159">
        <f t="shared" si="84"/>
        <v>0</v>
      </c>
      <c r="AE159">
        <f>$B$5*'5 Year Rainfall Simulation'!E160/1000</f>
        <v>1.1958888449752403</v>
      </c>
      <c r="AF159">
        <f t="shared" si="71"/>
        <v>1.1958888449752403</v>
      </c>
      <c r="AG159">
        <f t="shared" si="72"/>
        <v>0.62</v>
      </c>
      <c r="AH159">
        <f t="shared" si="73"/>
        <v>0.57588884497524029</v>
      </c>
      <c r="AI159">
        <f t="shared" si="85"/>
        <v>27.452882045195803</v>
      </c>
      <c r="AJ159">
        <f t="shared" si="74"/>
        <v>0.70693413189488241</v>
      </c>
      <c r="AK159">
        <f t="shared" si="86"/>
        <v>0</v>
      </c>
      <c r="AM159">
        <f>$B$5*'5 Year Rainfall Simulation'!F160/1000</f>
        <v>0.36059615545426704</v>
      </c>
      <c r="AN159">
        <f t="shared" si="75"/>
        <v>0.36059615545426704</v>
      </c>
      <c r="AO159">
        <f t="shared" si="76"/>
        <v>0.62</v>
      </c>
      <c r="AP159">
        <f t="shared" si="77"/>
        <v>-0.25940384454573295</v>
      </c>
      <c r="AQ159">
        <f t="shared" si="87"/>
        <v>34.120596155454272</v>
      </c>
      <c r="AR159">
        <f t="shared" si="78"/>
        <v>0.21316172585084373</v>
      </c>
      <c r="AS159">
        <f t="shared" si="88"/>
        <v>0</v>
      </c>
    </row>
    <row r="160" spans="6:45" ht="18" customHeight="1">
      <c r="F160" s="109">
        <v>44717</v>
      </c>
      <c r="G160">
        <f>B$5*'5 Year Rainfall Simulation'!B161/1000</f>
        <v>0</v>
      </c>
      <c r="H160">
        <f t="shared" si="60"/>
        <v>0</v>
      </c>
      <c r="I160">
        <f t="shared" si="59"/>
        <v>0.62</v>
      </c>
      <c r="J160">
        <f t="shared" si="61"/>
        <v>-0.62</v>
      </c>
      <c r="K160">
        <f t="shared" si="79"/>
        <v>28.039999999999996</v>
      </c>
      <c r="L160">
        <f t="shared" si="62"/>
        <v>0</v>
      </c>
      <c r="M160">
        <f t="shared" si="80"/>
        <v>0</v>
      </c>
      <c r="O160">
        <f>$B$5*'5 Year Rainfall Simulation'!C161/1000</f>
        <v>0</v>
      </c>
      <c r="P160">
        <f t="shared" si="63"/>
        <v>0</v>
      </c>
      <c r="Q160">
        <f t="shared" si="64"/>
        <v>0.62</v>
      </c>
      <c r="R160">
        <f t="shared" si="65"/>
        <v>-0.62</v>
      </c>
      <c r="S160">
        <f t="shared" si="81"/>
        <v>17.479999999999993</v>
      </c>
      <c r="T160">
        <f t="shared" si="66"/>
        <v>0</v>
      </c>
      <c r="U160">
        <f t="shared" si="82"/>
        <v>0</v>
      </c>
      <c r="W160">
        <f>$B$5*'5 Year Rainfall Simulation'!D161/1000</f>
        <v>0</v>
      </c>
      <c r="X160">
        <f t="shared" si="67"/>
        <v>0</v>
      </c>
      <c r="Y160">
        <f t="shared" si="68"/>
        <v>0.62</v>
      </c>
      <c r="Z160">
        <f t="shared" si="69"/>
        <v>-0.62</v>
      </c>
      <c r="AA160">
        <f t="shared" si="83"/>
        <v>31.861071588316907</v>
      </c>
      <c r="AB160">
        <f t="shared" si="70"/>
        <v>0</v>
      </c>
      <c r="AC160">
        <f t="shared" si="84"/>
        <v>0</v>
      </c>
      <c r="AE160">
        <f>$B$5*'5 Year Rainfall Simulation'!E161/1000</f>
        <v>0</v>
      </c>
      <c r="AF160">
        <f t="shared" si="71"/>
        <v>0</v>
      </c>
      <c r="AG160">
        <f t="shared" si="72"/>
        <v>0.62</v>
      </c>
      <c r="AH160">
        <f t="shared" si="73"/>
        <v>-0.62</v>
      </c>
      <c r="AI160">
        <f t="shared" si="85"/>
        <v>26.832882045195802</v>
      </c>
      <c r="AJ160">
        <f t="shared" si="74"/>
        <v>0</v>
      </c>
      <c r="AK160">
        <f t="shared" si="86"/>
        <v>0</v>
      </c>
      <c r="AM160">
        <f>$B$5*'5 Year Rainfall Simulation'!F161/1000</f>
        <v>0</v>
      </c>
      <c r="AN160">
        <f t="shared" si="75"/>
        <v>0</v>
      </c>
      <c r="AO160">
        <f t="shared" si="76"/>
        <v>0.62</v>
      </c>
      <c r="AP160">
        <f t="shared" si="77"/>
        <v>-0.62</v>
      </c>
      <c r="AQ160">
        <f t="shared" si="87"/>
        <v>33.500596155454275</v>
      </c>
      <c r="AR160">
        <f t="shared" si="78"/>
        <v>0</v>
      </c>
      <c r="AS160">
        <f t="shared" si="88"/>
        <v>0</v>
      </c>
    </row>
    <row r="161" spans="6:45" ht="18" customHeight="1">
      <c r="F161" s="109">
        <v>44718</v>
      </c>
      <c r="G161">
        <f>B$5*'5 Year Rainfall Simulation'!B162/1000</f>
        <v>0</v>
      </c>
      <c r="H161">
        <f t="shared" si="60"/>
        <v>0</v>
      </c>
      <c r="I161">
        <f t="shared" si="59"/>
        <v>0.62</v>
      </c>
      <c r="J161">
        <f t="shared" si="61"/>
        <v>-0.62</v>
      </c>
      <c r="K161">
        <f t="shared" si="79"/>
        <v>27.419999999999995</v>
      </c>
      <c r="L161">
        <f t="shared" si="62"/>
        <v>0</v>
      </c>
      <c r="M161">
        <f t="shared" si="80"/>
        <v>0</v>
      </c>
      <c r="O161">
        <f>$B$5*'5 Year Rainfall Simulation'!C162/1000</f>
        <v>0</v>
      </c>
      <c r="P161">
        <f t="shared" si="63"/>
        <v>0</v>
      </c>
      <c r="Q161">
        <f t="shared" si="64"/>
        <v>0.62</v>
      </c>
      <c r="R161">
        <f t="shared" si="65"/>
        <v>-0.62</v>
      </c>
      <c r="S161">
        <f t="shared" si="81"/>
        <v>16.859999999999992</v>
      </c>
      <c r="T161">
        <f t="shared" si="66"/>
        <v>0</v>
      </c>
      <c r="U161">
        <f t="shared" si="82"/>
        <v>0</v>
      </c>
      <c r="W161">
        <f>$B$5*'5 Year Rainfall Simulation'!D162/1000</f>
        <v>0</v>
      </c>
      <c r="X161">
        <f t="shared" si="67"/>
        <v>0</v>
      </c>
      <c r="Y161">
        <f t="shared" si="68"/>
        <v>0.62</v>
      </c>
      <c r="Z161">
        <f t="shared" si="69"/>
        <v>-0.62</v>
      </c>
      <c r="AA161">
        <f t="shared" si="83"/>
        <v>31.241071588316906</v>
      </c>
      <c r="AB161">
        <f t="shared" si="70"/>
        <v>0</v>
      </c>
      <c r="AC161">
        <f t="shared" si="84"/>
        <v>0</v>
      </c>
      <c r="AE161">
        <f>$B$5*'5 Year Rainfall Simulation'!E162/1000</f>
        <v>0</v>
      </c>
      <c r="AF161">
        <f t="shared" si="71"/>
        <v>0</v>
      </c>
      <c r="AG161">
        <f t="shared" si="72"/>
        <v>0.62</v>
      </c>
      <c r="AH161">
        <f t="shared" si="73"/>
        <v>-0.62</v>
      </c>
      <c r="AI161">
        <f t="shared" si="85"/>
        <v>26.212882045195801</v>
      </c>
      <c r="AJ161">
        <f t="shared" si="74"/>
        <v>0</v>
      </c>
      <c r="AK161">
        <f t="shared" si="86"/>
        <v>0</v>
      </c>
      <c r="AM161">
        <f>$B$5*'5 Year Rainfall Simulation'!F162/1000</f>
        <v>0</v>
      </c>
      <c r="AN161">
        <f t="shared" si="75"/>
        <v>0</v>
      </c>
      <c r="AO161">
        <f t="shared" si="76"/>
        <v>0.62</v>
      </c>
      <c r="AP161">
        <f t="shared" si="77"/>
        <v>-0.62</v>
      </c>
      <c r="AQ161">
        <f t="shared" si="87"/>
        <v>32.880596155454278</v>
      </c>
      <c r="AR161">
        <f t="shared" si="78"/>
        <v>0</v>
      </c>
      <c r="AS161">
        <f t="shared" si="88"/>
        <v>0</v>
      </c>
    </row>
    <row r="162" spans="6:45" ht="18" customHeight="1">
      <c r="F162" s="109">
        <v>44719</v>
      </c>
      <c r="G162">
        <f>B$5*'5 Year Rainfall Simulation'!B163/1000</f>
        <v>0</v>
      </c>
      <c r="H162">
        <f t="shared" si="60"/>
        <v>0</v>
      </c>
      <c r="I162">
        <f t="shared" si="59"/>
        <v>0.62</v>
      </c>
      <c r="J162">
        <f t="shared" si="61"/>
        <v>-0.62</v>
      </c>
      <c r="K162">
        <f t="shared" si="79"/>
        <v>26.799999999999994</v>
      </c>
      <c r="L162">
        <f t="shared" si="62"/>
        <v>0</v>
      </c>
      <c r="M162">
        <f t="shared" si="80"/>
        <v>0</v>
      </c>
      <c r="O162">
        <f>$B$5*'5 Year Rainfall Simulation'!C163/1000</f>
        <v>0</v>
      </c>
      <c r="P162">
        <f t="shared" si="63"/>
        <v>0</v>
      </c>
      <c r="Q162">
        <f t="shared" si="64"/>
        <v>0.62</v>
      </c>
      <c r="R162">
        <f t="shared" si="65"/>
        <v>-0.62</v>
      </c>
      <c r="S162">
        <f t="shared" si="81"/>
        <v>16.239999999999991</v>
      </c>
      <c r="T162">
        <f t="shared" si="66"/>
        <v>0</v>
      </c>
      <c r="U162">
        <f t="shared" si="82"/>
        <v>0</v>
      </c>
      <c r="W162">
        <f>$B$5*'5 Year Rainfall Simulation'!D163/1000</f>
        <v>0</v>
      </c>
      <c r="X162">
        <f t="shared" si="67"/>
        <v>0</v>
      </c>
      <c r="Y162">
        <f t="shared" si="68"/>
        <v>0.62</v>
      </c>
      <c r="Z162">
        <f t="shared" si="69"/>
        <v>-0.62</v>
      </c>
      <c r="AA162">
        <f t="shared" si="83"/>
        <v>30.621071588316905</v>
      </c>
      <c r="AB162">
        <f t="shared" si="70"/>
        <v>0</v>
      </c>
      <c r="AC162">
        <f t="shared" si="84"/>
        <v>0</v>
      </c>
      <c r="AE162">
        <f>$B$5*'5 Year Rainfall Simulation'!E163/1000</f>
        <v>0.91882953970395753</v>
      </c>
      <c r="AF162">
        <f t="shared" si="71"/>
        <v>0.91882953970395753</v>
      </c>
      <c r="AG162">
        <f t="shared" si="72"/>
        <v>0.62</v>
      </c>
      <c r="AH162">
        <f t="shared" si="73"/>
        <v>0.29882953970395754</v>
      </c>
      <c r="AI162">
        <f t="shared" si="85"/>
        <v>26.511711584899757</v>
      </c>
      <c r="AJ162">
        <f t="shared" si="74"/>
        <v>0.54315412819444764</v>
      </c>
      <c r="AK162">
        <f t="shared" si="86"/>
        <v>0</v>
      </c>
      <c r="AM162">
        <f>$B$5*'5 Year Rainfall Simulation'!F163/1000</f>
        <v>0</v>
      </c>
      <c r="AN162">
        <f t="shared" si="75"/>
        <v>0</v>
      </c>
      <c r="AO162">
        <f t="shared" si="76"/>
        <v>0.62</v>
      </c>
      <c r="AP162">
        <f t="shared" si="77"/>
        <v>-0.62</v>
      </c>
      <c r="AQ162">
        <f t="shared" si="87"/>
        <v>32.26059615545428</v>
      </c>
      <c r="AR162">
        <f t="shared" si="78"/>
        <v>0</v>
      </c>
      <c r="AS162">
        <f t="shared" si="88"/>
        <v>0</v>
      </c>
    </row>
    <row r="163" spans="6:45" ht="18" customHeight="1">
      <c r="F163" s="109">
        <v>44720</v>
      </c>
      <c r="G163">
        <f>B$5*'5 Year Rainfall Simulation'!B164/1000</f>
        <v>0.04</v>
      </c>
      <c r="H163">
        <f t="shared" si="60"/>
        <v>0.04</v>
      </c>
      <c r="I163">
        <f t="shared" si="59"/>
        <v>0.62</v>
      </c>
      <c r="J163">
        <f t="shared" si="61"/>
        <v>-0.57999999999999996</v>
      </c>
      <c r="K163">
        <f t="shared" si="79"/>
        <v>26.219999999999995</v>
      </c>
      <c r="L163">
        <f t="shared" si="62"/>
        <v>2.364547959002055E-2</v>
      </c>
      <c r="M163">
        <f t="shared" si="80"/>
        <v>0</v>
      </c>
      <c r="O163">
        <f>$B$5*'5 Year Rainfall Simulation'!C164/1000</f>
        <v>0</v>
      </c>
      <c r="P163">
        <f t="shared" si="63"/>
        <v>0</v>
      </c>
      <c r="Q163">
        <f t="shared" si="64"/>
        <v>0.62</v>
      </c>
      <c r="R163">
        <f t="shared" si="65"/>
        <v>-0.62</v>
      </c>
      <c r="S163">
        <f t="shared" si="81"/>
        <v>15.619999999999992</v>
      </c>
      <c r="T163">
        <f t="shared" si="66"/>
        <v>0</v>
      </c>
      <c r="U163">
        <f t="shared" si="82"/>
        <v>0</v>
      </c>
      <c r="W163">
        <f>$B$5*'5 Year Rainfall Simulation'!D164/1000</f>
        <v>0</v>
      </c>
      <c r="X163">
        <f t="shared" si="67"/>
        <v>0</v>
      </c>
      <c r="Y163">
        <f t="shared" si="68"/>
        <v>0.62</v>
      </c>
      <c r="Z163">
        <f t="shared" si="69"/>
        <v>-0.62</v>
      </c>
      <c r="AA163">
        <f t="shared" si="83"/>
        <v>30.001071588316904</v>
      </c>
      <c r="AB163">
        <f t="shared" si="70"/>
        <v>0</v>
      </c>
      <c r="AC163">
        <f t="shared" si="84"/>
        <v>0</v>
      </c>
      <c r="AE163">
        <f>$B$5*'5 Year Rainfall Simulation'!E164/1000</f>
        <v>0</v>
      </c>
      <c r="AF163">
        <f t="shared" si="71"/>
        <v>0</v>
      </c>
      <c r="AG163">
        <f t="shared" si="72"/>
        <v>0.62</v>
      </c>
      <c r="AH163">
        <f t="shared" si="73"/>
        <v>-0.62</v>
      </c>
      <c r="AI163">
        <f t="shared" si="85"/>
        <v>25.891711584899756</v>
      </c>
      <c r="AJ163">
        <f t="shared" si="74"/>
        <v>0</v>
      </c>
      <c r="AK163">
        <f t="shared" si="86"/>
        <v>0</v>
      </c>
      <c r="AM163">
        <f>$B$5*'5 Year Rainfall Simulation'!F164/1000</f>
        <v>0</v>
      </c>
      <c r="AN163">
        <f t="shared" si="75"/>
        <v>0</v>
      </c>
      <c r="AO163">
        <f t="shared" si="76"/>
        <v>0.62</v>
      </c>
      <c r="AP163">
        <f t="shared" si="77"/>
        <v>-0.62</v>
      </c>
      <c r="AQ163">
        <f t="shared" si="87"/>
        <v>31.640596155454279</v>
      </c>
      <c r="AR163">
        <f t="shared" si="78"/>
        <v>0</v>
      </c>
      <c r="AS163">
        <f t="shared" si="88"/>
        <v>0</v>
      </c>
    </row>
    <row r="164" spans="6:45" ht="18" customHeight="1">
      <c r="F164" s="109">
        <v>44721</v>
      </c>
      <c r="G164">
        <f>B$5*'5 Year Rainfall Simulation'!B165/1000</f>
        <v>0</v>
      </c>
      <c r="H164">
        <f t="shared" si="60"/>
        <v>0</v>
      </c>
      <c r="I164">
        <f t="shared" ref="I164:I227" si="89">$B$4</f>
        <v>0.62</v>
      </c>
      <c r="J164">
        <f t="shared" si="61"/>
        <v>-0.62</v>
      </c>
      <c r="K164">
        <f t="shared" si="79"/>
        <v>25.599999999999994</v>
      </c>
      <c r="L164">
        <f t="shared" si="62"/>
        <v>0</v>
      </c>
      <c r="M164">
        <f t="shared" si="80"/>
        <v>0</v>
      </c>
      <c r="O164">
        <f>$B$5*'5 Year Rainfall Simulation'!C165/1000</f>
        <v>0</v>
      </c>
      <c r="P164">
        <f t="shared" si="63"/>
        <v>0</v>
      </c>
      <c r="Q164">
        <f t="shared" si="64"/>
        <v>0.62</v>
      </c>
      <c r="R164">
        <f t="shared" si="65"/>
        <v>-0.62</v>
      </c>
      <c r="S164">
        <f t="shared" si="81"/>
        <v>14.999999999999993</v>
      </c>
      <c r="T164">
        <f t="shared" si="66"/>
        <v>0</v>
      </c>
      <c r="U164">
        <f t="shared" si="82"/>
        <v>0</v>
      </c>
      <c r="W164">
        <f>$B$5*'5 Year Rainfall Simulation'!D165/1000</f>
        <v>0</v>
      </c>
      <c r="X164">
        <f t="shared" si="67"/>
        <v>0</v>
      </c>
      <c r="Y164">
        <f t="shared" si="68"/>
        <v>0.62</v>
      </c>
      <c r="Z164">
        <f t="shared" si="69"/>
        <v>-0.62</v>
      </c>
      <c r="AA164">
        <f t="shared" si="83"/>
        <v>29.381071588316903</v>
      </c>
      <c r="AB164">
        <f t="shared" si="70"/>
        <v>0</v>
      </c>
      <c r="AC164">
        <f t="shared" si="84"/>
        <v>0</v>
      </c>
      <c r="AE164">
        <f>$B$5*'5 Year Rainfall Simulation'!E165/1000</f>
        <v>1.5411007198971989</v>
      </c>
      <c r="AF164">
        <f t="shared" si="71"/>
        <v>1.5411007198971989</v>
      </c>
      <c r="AG164">
        <f t="shared" si="72"/>
        <v>0.62</v>
      </c>
      <c r="AH164">
        <f t="shared" si="73"/>
        <v>0.92110071989719888</v>
      </c>
      <c r="AI164">
        <f t="shared" si="85"/>
        <v>26.812812304796957</v>
      </c>
      <c r="AJ164">
        <f t="shared" si="74"/>
        <v>0.91100164046237986</v>
      </c>
      <c r="AK164">
        <f t="shared" si="86"/>
        <v>0</v>
      </c>
      <c r="AM164">
        <f>$B$5*'5 Year Rainfall Simulation'!F165/1000</f>
        <v>0</v>
      </c>
      <c r="AN164">
        <f t="shared" si="75"/>
        <v>0</v>
      </c>
      <c r="AO164">
        <f t="shared" si="76"/>
        <v>0.62</v>
      </c>
      <c r="AP164">
        <f t="shared" si="77"/>
        <v>-0.62</v>
      </c>
      <c r="AQ164">
        <f t="shared" si="87"/>
        <v>31.020596155454278</v>
      </c>
      <c r="AR164">
        <f t="shared" si="78"/>
        <v>0</v>
      </c>
      <c r="AS164">
        <f t="shared" si="88"/>
        <v>0</v>
      </c>
    </row>
    <row r="165" spans="6:45" ht="18" customHeight="1">
      <c r="F165" s="109">
        <v>44722</v>
      </c>
      <c r="G165">
        <f>B$5*'5 Year Rainfall Simulation'!B166/1000</f>
        <v>0</v>
      </c>
      <c r="H165">
        <f t="shared" si="60"/>
        <v>0</v>
      </c>
      <c r="I165">
        <f t="shared" si="89"/>
        <v>0.62</v>
      </c>
      <c r="J165">
        <f t="shared" si="61"/>
        <v>-0.62</v>
      </c>
      <c r="K165">
        <f t="shared" si="79"/>
        <v>24.979999999999993</v>
      </c>
      <c r="L165">
        <f t="shared" si="62"/>
        <v>0</v>
      </c>
      <c r="M165">
        <f t="shared" si="80"/>
        <v>0</v>
      </c>
      <c r="O165">
        <f>$B$5*'5 Year Rainfall Simulation'!C166/1000</f>
        <v>0</v>
      </c>
      <c r="P165">
        <f t="shared" si="63"/>
        <v>0</v>
      </c>
      <c r="Q165">
        <f t="shared" si="64"/>
        <v>0.62</v>
      </c>
      <c r="R165">
        <f t="shared" si="65"/>
        <v>-0.62</v>
      </c>
      <c r="S165">
        <f t="shared" si="81"/>
        <v>14.379999999999994</v>
      </c>
      <c r="T165">
        <f t="shared" si="66"/>
        <v>0</v>
      </c>
      <c r="U165">
        <f t="shared" si="82"/>
        <v>0</v>
      </c>
      <c r="W165">
        <f>$B$5*'5 Year Rainfall Simulation'!D166/1000</f>
        <v>0</v>
      </c>
      <c r="X165">
        <f t="shared" si="67"/>
        <v>0</v>
      </c>
      <c r="Y165">
        <f t="shared" si="68"/>
        <v>0.62</v>
      </c>
      <c r="Z165">
        <f t="shared" si="69"/>
        <v>-0.62</v>
      </c>
      <c r="AA165">
        <f t="shared" si="83"/>
        <v>28.761071588316902</v>
      </c>
      <c r="AB165">
        <f t="shared" si="70"/>
        <v>0</v>
      </c>
      <c r="AC165">
        <f t="shared" si="84"/>
        <v>0</v>
      </c>
      <c r="AE165">
        <f>$B$5*'5 Year Rainfall Simulation'!E166/1000</f>
        <v>0</v>
      </c>
      <c r="AF165">
        <f t="shared" si="71"/>
        <v>0</v>
      </c>
      <c r="AG165">
        <f t="shared" si="72"/>
        <v>0.62</v>
      </c>
      <c r="AH165">
        <f t="shared" si="73"/>
        <v>-0.62</v>
      </c>
      <c r="AI165">
        <f t="shared" si="85"/>
        <v>26.192812304796956</v>
      </c>
      <c r="AJ165">
        <f t="shared" si="74"/>
        <v>0</v>
      </c>
      <c r="AK165">
        <f t="shared" si="86"/>
        <v>0</v>
      </c>
      <c r="AM165">
        <f>$B$5*'5 Year Rainfall Simulation'!F166/1000</f>
        <v>1.7512864659405676</v>
      </c>
      <c r="AN165">
        <f t="shared" si="75"/>
        <v>1.7512864659405676</v>
      </c>
      <c r="AO165">
        <f t="shared" si="76"/>
        <v>0.62</v>
      </c>
      <c r="AP165">
        <f t="shared" si="77"/>
        <v>1.1312864659405677</v>
      </c>
      <c r="AQ165">
        <f t="shared" si="87"/>
        <v>32.151882621394847</v>
      </c>
      <c r="AR165">
        <f t="shared" si="78"/>
        <v>1.0352502096669227</v>
      </c>
      <c r="AS165">
        <f t="shared" si="88"/>
        <v>0</v>
      </c>
    </row>
    <row r="166" spans="6:45" ht="18" customHeight="1">
      <c r="F166" s="109">
        <v>44723</v>
      </c>
      <c r="G166">
        <f>B$5*'5 Year Rainfall Simulation'!B167/1000</f>
        <v>0</v>
      </c>
      <c r="H166">
        <f t="shared" si="60"/>
        <v>0</v>
      </c>
      <c r="I166">
        <f t="shared" si="89"/>
        <v>0.62</v>
      </c>
      <c r="J166">
        <f t="shared" si="61"/>
        <v>-0.62</v>
      </c>
      <c r="K166">
        <f t="shared" si="79"/>
        <v>24.359999999999992</v>
      </c>
      <c r="L166">
        <f t="shared" si="62"/>
        <v>0</v>
      </c>
      <c r="M166">
        <f t="shared" si="80"/>
        <v>0</v>
      </c>
      <c r="O166">
        <f>$B$5*'5 Year Rainfall Simulation'!C167/1000</f>
        <v>0</v>
      </c>
      <c r="P166">
        <f t="shared" si="63"/>
        <v>0</v>
      </c>
      <c r="Q166">
        <f t="shared" si="64"/>
        <v>0.62</v>
      </c>
      <c r="R166">
        <f t="shared" si="65"/>
        <v>-0.62</v>
      </c>
      <c r="S166">
        <f t="shared" si="81"/>
        <v>13.759999999999994</v>
      </c>
      <c r="T166">
        <f t="shared" si="66"/>
        <v>0</v>
      </c>
      <c r="U166">
        <f t="shared" si="82"/>
        <v>0</v>
      </c>
      <c r="W166">
        <f>$B$5*'5 Year Rainfall Simulation'!D167/1000</f>
        <v>0</v>
      </c>
      <c r="X166">
        <f t="shared" si="67"/>
        <v>0</v>
      </c>
      <c r="Y166">
        <f t="shared" si="68"/>
        <v>0.62</v>
      </c>
      <c r="Z166">
        <f t="shared" si="69"/>
        <v>-0.62</v>
      </c>
      <c r="AA166">
        <f t="shared" si="83"/>
        <v>28.141071588316901</v>
      </c>
      <c r="AB166">
        <f t="shared" si="70"/>
        <v>0</v>
      </c>
      <c r="AC166">
        <f t="shared" si="84"/>
        <v>0</v>
      </c>
      <c r="AE166">
        <f>$B$5*'5 Year Rainfall Simulation'!E167/1000</f>
        <v>0.71516756079530497</v>
      </c>
      <c r="AF166">
        <f t="shared" si="71"/>
        <v>0.71516756079530497</v>
      </c>
      <c r="AG166">
        <f t="shared" si="72"/>
        <v>0.62</v>
      </c>
      <c r="AH166">
        <f t="shared" si="73"/>
        <v>9.5167560795304973E-2</v>
      </c>
      <c r="AI166">
        <f t="shared" si="85"/>
        <v>26.287979865592259</v>
      </c>
      <c r="AJ166">
        <f t="shared" si="74"/>
        <v>0.42276199905575412</v>
      </c>
      <c r="AK166">
        <f t="shared" si="86"/>
        <v>0</v>
      </c>
      <c r="AM166">
        <f>$B$5*'5 Year Rainfall Simulation'!F167/1000</f>
        <v>0</v>
      </c>
      <c r="AN166">
        <f t="shared" si="75"/>
        <v>0</v>
      </c>
      <c r="AO166">
        <f t="shared" si="76"/>
        <v>0.62</v>
      </c>
      <c r="AP166">
        <f t="shared" si="77"/>
        <v>-0.62</v>
      </c>
      <c r="AQ166">
        <f t="shared" si="87"/>
        <v>31.531882621394846</v>
      </c>
      <c r="AR166">
        <f t="shared" si="78"/>
        <v>0</v>
      </c>
      <c r="AS166">
        <f t="shared" si="88"/>
        <v>0</v>
      </c>
    </row>
    <row r="167" spans="6:45" ht="18" customHeight="1">
      <c r="F167" s="109">
        <v>44724</v>
      </c>
      <c r="G167">
        <f>B$5*'5 Year Rainfall Simulation'!B168/1000</f>
        <v>0</v>
      </c>
      <c r="H167">
        <f t="shared" si="60"/>
        <v>0</v>
      </c>
      <c r="I167">
        <f t="shared" si="89"/>
        <v>0.62</v>
      </c>
      <c r="J167">
        <f t="shared" si="61"/>
        <v>-0.62</v>
      </c>
      <c r="K167">
        <f t="shared" si="79"/>
        <v>23.739999999999991</v>
      </c>
      <c r="L167">
        <f t="shared" si="62"/>
        <v>0</v>
      </c>
      <c r="M167">
        <f t="shared" si="80"/>
        <v>0</v>
      </c>
      <c r="O167">
        <f>$B$5*'5 Year Rainfall Simulation'!C168/1000</f>
        <v>0</v>
      </c>
      <c r="P167">
        <f t="shared" si="63"/>
        <v>0</v>
      </c>
      <c r="Q167">
        <f t="shared" si="64"/>
        <v>0.62</v>
      </c>
      <c r="R167">
        <f t="shared" si="65"/>
        <v>-0.62</v>
      </c>
      <c r="S167">
        <f t="shared" si="81"/>
        <v>13.139999999999995</v>
      </c>
      <c r="T167">
        <f t="shared" si="66"/>
        <v>0</v>
      </c>
      <c r="U167">
        <f t="shared" si="82"/>
        <v>0</v>
      </c>
      <c r="W167">
        <f>$B$5*'5 Year Rainfall Simulation'!D168/1000</f>
        <v>1.7418762281936671</v>
      </c>
      <c r="X167">
        <f t="shared" si="67"/>
        <v>1.7418762281936671</v>
      </c>
      <c r="Y167">
        <f t="shared" si="68"/>
        <v>0.62</v>
      </c>
      <c r="Z167">
        <f t="shared" si="69"/>
        <v>1.1218762281936669</v>
      </c>
      <c r="AA167">
        <f t="shared" si="83"/>
        <v>29.262947816510568</v>
      </c>
      <c r="AB167">
        <f t="shared" si="70"/>
        <v>1.0296874700523833</v>
      </c>
      <c r="AC167">
        <f t="shared" si="84"/>
        <v>0</v>
      </c>
      <c r="AE167">
        <f>$B$5*'5 Year Rainfall Simulation'!E168/1000</f>
        <v>0</v>
      </c>
      <c r="AF167">
        <f t="shared" si="71"/>
        <v>0</v>
      </c>
      <c r="AG167">
        <f t="shared" si="72"/>
        <v>0.62</v>
      </c>
      <c r="AH167">
        <f t="shared" si="73"/>
        <v>-0.62</v>
      </c>
      <c r="AI167">
        <f t="shared" si="85"/>
        <v>25.667979865592258</v>
      </c>
      <c r="AJ167">
        <f t="shared" si="74"/>
        <v>0</v>
      </c>
      <c r="AK167">
        <f t="shared" si="86"/>
        <v>0</v>
      </c>
      <c r="AM167">
        <f>$B$5*'5 Year Rainfall Simulation'!F168/1000</f>
        <v>1.6259372157985488</v>
      </c>
      <c r="AN167">
        <f t="shared" si="75"/>
        <v>1.6259372157985488</v>
      </c>
      <c r="AO167">
        <f t="shared" si="76"/>
        <v>0.62</v>
      </c>
      <c r="AP167">
        <f t="shared" si="77"/>
        <v>1.0059372157985487</v>
      </c>
      <c r="AQ167">
        <f t="shared" si="87"/>
        <v>32.537819837193396</v>
      </c>
      <c r="AR167">
        <f t="shared" si="78"/>
        <v>0.96115163127048564</v>
      </c>
      <c r="AS167">
        <f t="shared" si="88"/>
        <v>0</v>
      </c>
    </row>
    <row r="168" spans="6:45" ht="18" customHeight="1">
      <c r="F168" s="109">
        <v>44725</v>
      </c>
      <c r="G168">
        <f>B$5*'5 Year Rainfall Simulation'!B169/1000</f>
        <v>0</v>
      </c>
      <c r="H168">
        <f t="shared" si="60"/>
        <v>0</v>
      </c>
      <c r="I168">
        <f t="shared" si="89"/>
        <v>0.62</v>
      </c>
      <c r="J168">
        <f t="shared" si="61"/>
        <v>-0.62</v>
      </c>
      <c r="K168">
        <f t="shared" si="79"/>
        <v>23.11999999999999</v>
      </c>
      <c r="L168">
        <f t="shared" si="62"/>
        <v>0</v>
      </c>
      <c r="M168">
        <f t="shared" si="80"/>
        <v>0</v>
      </c>
      <c r="O168">
        <f>$B$5*'5 Year Rainfall Simulation'!C169/1000</f>
        <v>0</v>
      </c>
      <c r="P168">
        <f t="shared" si="63"/>
        <v>0</v>
      </c>
      <c r="Q168">
        <f t="shared" si="64"/>
        <v>0.62</v>
      </c>
      <c r="R168">
        <f t="shared" si="65"/>
        <v>-0.62</v>
      </c>
      <c r="S168">
        <f t="shared" si="81"/>
        <v>12.519999999999996</v>
      </c>
      <c r="T168">
        <f t="shared" si="66"/>
        <v>0</v>
      </c>
      <c r="U168">
        <f t="shared" si="82"/>
        <v>0</v>
      </c>
      <c r="W168">
        <f>$B$5*'5 Year Rainfall Simulation'!D169/1000</f>
        <v>0</v>
      </c>
      <c r="X168">
        <f t="shared" si="67"/>
        <v>0</v>
      </c>
      <c r="Y168">
        <f t="shared" si="68"/>
        <v>0.62</v>
      </c>
      <c r="Z168">
        <f t="shared" si="69"/>
        <v>-0.62</v>
      </c>
      <c r="AA168">
        <f t="shared" si="83"/>
        <v>28.642947816510567</v>
      </c>
      <c r="AB168">
        <f t="shared" si="70"/>
        <v>0</v>
      </c>
      <c r="AC168">
        <f t="shared" si="84"/>
        <v>0</v>
      </c>
      <c r="AE168">
        <f>$B$5*'5 Year Rainfall Simulation'!E169/1000</f>
        <v>1.0111864996758979</v>
      </c>
      <c r="AF168">
        <f t="shared" si="71"/>
        <v>1.0111864996758979</v>
      </c>
      <c r="AG168">
        <f t="shared" si="72"/>
        <v>0.62</v>
      </c>
      <c r="AH168">
        <f t="shared" si="73"/>
        <v>0.39118649967589791</v>
      </c>
      <c r="AI168">
        <f t="shared" si="85"/>
        <v>26.059166365268155</v>
      </c>
      <c r="AJ168">
        <f t="shared" si="74"/>
        <v>0.59774974349476917</v>
      </c>
      <c r="AK168">
        <f t="shared" si="86"/>
        <v>0</v>
      </c>
      <c r="AM168">
        <f>$B$5*'5 Year Rainfall Simulation'!F169/1000</f>
        <v>0</v>
      </c>
      <c r="AN168">
        <f t="shared" si="75"/>
        <v>0</v>
      </c>
      <c r="AO168">
        <f t="shared" si="76"/>
        <v>0.62</v>
      </c>
      <c r="AP168">
        <f t="shared" si="77"/>
        <v>-0.62</v>
      </c>
      <c r="AQ168">
        <f t="shared" si="87"/>
        <v>31.917819837193395</v>
      </c>
      <c r="AR168">
        <f t="shared" si="78"/>
        <v>0</v>
      </c>
      <c r="AS168">
        <f t="shared" si="88"/>
        <v>0</v>
      </c>
    </row>
    <row r="169" spans="6:45" ht="18" customHeight="1">
      <c r="F169" s="109">
        <v>44726</v>
      </c>
      <c r="G169">
        <f>B$5*'5 Year Rainfall Simulation'!B170/1000</f>
        <v>0.72</v>
      </c>
      <c r="H169">
        <f t="shared" si="60"/>
        <v>0.72</v>
      </c>
      <c r="I169">
        <f t="shared" si="89"/>
        <v>0.62</v>
      </c>
      <c r="J169">
        <f t="shared" si="61"/>
        <v>9.9999999999999978E-2</v>
      </c>
      <c r="K169">
        <f t="shared" si="79"/>
        <v>23.219999999999992</v>
      </c>
      <c r="L169">
        <f t="shared" si="62"/>
        <v>0.42561863262036992</v>
      </c>
      <c r="M169">
        <f t="shared" si="80"/>
        <v>0</v>
      </c>
      <c r="O169">
        <f>$B$5*'5 Year Rainfall Simulation'!C170/1000</f>
        <v>0</v>
      </c>
      <c r="P169">
        <f t="shared" si="63"/>
        <v>0</v>
      </c>
      <c r="Q169">
        <f t="shared" si="64"/>
        <v>0.62</v>
      </c>
      <c r="R169">
        <f t="shared" si="65"/>
        <v>-0.62</v>
      </c>
      <c r="S169">
        <f t="shared" si="81"/>
        <v>11.899999999999997</v>
      </c>
      <c r="T169">
        <f t="shared" si="66"/>
        <v>0</v>
      </c>
      <c r="U169">
        <f t="shared" si="82"/>
        <v>0</v>
      </c>
      <c r="W169">
        <f>$B$5*'5 Year Rainfall Simulation'!D170/1000</f>
        <v>0</v>
      </c>
      <c r="X169">
        <f t="shared" si="67"/>
        <v>0</v>
      </c>
      <c r="Y169">
        <f t="shared" si="68"/>
        <v>0.62</v>
      </c>
      <c r="Z169">
        <f t="shared" si="69"/>
        <v>-0.62</v>
      </c>
      <c r="AA169">
        <f t="shared" si="83"/>
        <v>28.022947816510566</v>
      </c>
      <c r="AB169">
        <f t="shared" si="70"/>
        <v>0</v>
      </c>
      <c r="AC169">
        <f t="shared" si="84"/>
        <v>0</v>
      </c>
      <c r="AE169">
        <f>$B$5*'5 Year Rainfall Simulation'!E170/1000</f>
        <v>0</v>
      </c>
      <c r="AF169">
        <f t="shared" si="71"/>
        <v>0</v>
      </c>
      <c r="AG169">
        <f t="shared" si="72"/>
        <v>0.62</v>
      </c>
      <c r="AH169">
        <f t="shared" si="73"/>
        <v>-0.62</v>
      </c>
      <c r="AI169">
        <f t="shared" si="85"/>
        <v>25.439166365268154</v>
      </c>
      <c r="AJ169">
        <f t="shared" si="74"/>
        <v>0</v>
      </c>
      <c r="AK169">
        <f t="shared" si="86"/>
        <v>0</v>
      </c>
      <c r="AM169">
        <f>$B$5*'5 Year Rainfall Simulation'!F170/1000</f>
        <v>0.94690528460136314</v>
      </c>
      <c r="AN169">
        <f t="shared" si="75"/>
        <v>0.94690528460136314</v>
      </c>
      <c r="AO169">
        <f t="shared" si="76"/>
        <v>0.62</v>
      </c>
      <c r="AP169">
        <f t="shared" si="77"/>
        <v>0.32690528460136314</v>
      </c>
      <c r="AQ169">
        <f t="shared" si="87"/>
        <v>32.244725121794758</v>
      </c>
      <c r="AR169">
        <f t="shared" si="78"/>
        <v>0.55975073951810328</v>
      </c>
      <c r="AS169">
        <f t="shared" si="88"/>
        <v>0</v>
      </c>
    </row>
    <row r="170" spans="6:45" ht="18" customHeight="1">
      <c r="F170" s="109">
        <v>44727</v>
      </c>
      <c r="G170">
        <f>B$5*'5 Year Rainfall Simulation'!B171/1000</f>
        <v>0</v>
      </c>
      <c r="H170">
        <f t="shared" si="60"/>
        <v>0</v>
      </c>
      <c r="I170">
        <f t="shared" si="89"/>
        <v>0.62</v>
      </c>
      <c r="J170">
        <f t="shared" si="61"/>
        <v>-0.62</v>
      </c>
      <c r="K170">
        <f t="shared" si="79"/>
        <v>22.599999999999991</v>
      </c>
      <c r="L170">
        <f t="shared" si="62"/>
        <v>0</v>
      </c>
      <c r="M170">
        <f t="shared" si="80"/>
        <v>0</v>
      </c>
      <c r="O170">
        <f>$B$5*'5 Year Rainfall Simulation'!C171/1000</f>
        <v>0</v>
      </c>
      <c r="P170">
        <f t="shared" si="63"/>
        <v>0</v>
      </c>
      <c r="Q170">
        <f t="shared" si="64"/>
        <v>0.62</v>
      </c>
      <c r="R170">
        <f t="shared" si="65"/>
        <v>-0.62</v>
      </c>
      <c r="S170">
        <f t="shared" si="81"/>
        <v>11.279999999999998</v>
      </c>
      <c r="T170">
        <f t="shared" si="66"/>
        <v>0</v>
      </c>
      <c r="U170">
        <f t="shared" si="82"/>
        <v>0</v>
      </c>
      <c r="W170">
        <f>$B$5*'5 Year Rainfall Simulation'!D171/1000</f>
        <v>0</v>
      </c>
      <c r="X170">
        <f t="shared" si="67"/>
        <v>0</v>
      </c>
      <c r="Y170">
        <f t="shared" si="68"/>
        <v>0.62</v>
      </c>
      <c r="Z170">
        <f t="shared" si="69"/>
        <v>-0.62</v>
      </c>
      <c r="AA170">
        <f t="shared" si="83"/>
        <v>27.402947816510565</v>
      </c>
      <c r="AB170">
        <f t="shared" si="70"/>
        <v>0</v>
      </c>
      <c r="AC170">
        <f t="shared" si="84"/>
        <v>0</v>
      </c>
      <c r="AE170">
        <f>$B$5*'5 Year Rainfall Simulation'!E171/1000</f>
        <v>0</v>
      </c>
      <c r="AF170">
        <f t="shared" si="71"/>
        <v>0</v>
      </c>
      <c r="AG170">
        <f t="shared" si="72"/>
        <v>0.62</v>
      </c>
      <c r="AH170">
        <f t="shared" si="73"/>
        <v>-0.62</v>
      </c>
      <c r="AI170">
        <f t="shared" si="85"/>
        <v>24.819166365268153</v>
      </c>
      <c r="AJ170">
        <f t="shared" si="74"/>
        <v>0</v>
      </c>
      <c r="AK170">
        <f t="shared" si="86"/>
        <v>0</v>
      </c>
      <c r="AM170">
        <f>$B$5*'5 Year Rainfall Simulation'!F171/1000</f>
        <v>0</v>
      </c>
      <c r="AN170">
        <f t="shared" si="75"/>
        <v>0</v>
      </c>
      <c r="AO170">
        <f t="shared" si="76"/>
        <v>0.62</v>
      </c>
      <c r="AP170">
        <f t="shared" si="77"/>
        <v>-0.62</v>
      </c>
      <c r="AQ170">
        <f t="shared" si="87"/>
        <v>31.624725121794757</v>
      </c>
      <c r="AR170">
        <f t="shared" si="78"/>
        <v>0</v>
      </c>
      <c r="AS170">
        <f t="shared" si="88"/>
        <v>0</v>
      </c>
    </row>
    <row r="171" spans="6:45" ht="18" customHeight="1">
      <c r="F171" s="109">
        <v>44728</v>
      </c>
      <c r="G171">
        <f>B$5*'5 Year Rainfall Simulation'!B172/1000</f>
        <v>0</v>
      </c>
      <c r="H171">
        <f t="shared" si="60"/>
        <v>0</v>
      </c>
      <c r="I171">
        <f t="shared" si="89"/>
        <v>0.62</v>
      </c>
      <c r="J171">
        <f t="shared" si="61"/>
        <v>-0.62</v>
      </c>
      <c r="K171">
        <f t="shared" si="79"/>
        <v>21.97999999999999</v>
      </c>
      <c r="L171">
        <f t="shared" si="62"/>
        <v>0</v>
      </c>
      <c r="M171">
        <f t="shared" si="80"/>
        <v>0</v>
      </c>
      <c r="O171">
        <f>$B$5*'5 Year Rainfall Simulation'!C172/1000</f>
        <v>0</v>
      </c>
      <c r="P171">
        <f t="shared" si="63"/>
        <v>0</v>
      </c>
      <c r="Q171">
        <f t="shared" si="64"/>
        <v>0.62</v>
      </c>
      <c r="R171">
        <f t="shared" si="65"/>
        <v>-0.62</v>
      </c>
      <c r="S171">
        <f t="shared" si="81"/>
        <v>10.659999999999998</v>
      </c>
      <c r="T171">
        <f t="shared" si="66"/>
        <v>0</v>
      </c>
      <c r="U171">
        <f t="shared" si="82"/>
        <v>0</v>
      </c>
      <c r="W171">
        <f>$B$5*'5 Year Rainfall Simulation'!D172/1000</f>
        <v>0</v>
      </c>
      <c r="X171">
        <f t="shared" si="67"/>
        <v>0</v>
      </c>
      <c r="Y171">
        <f t="shared" si="68"/>
        <v>0.62</v>
      </c>
      <c r="Z171">
        <f t="shared" si="69"/>
        <v>-0.62</v>
      </c>
      <c r="AA171">
        <f t="shared" si="83"/>
        <v>26.782947816510564</v>
      </c>
      <c r="AB171">
        <f t="shared" si="70"/>
        <v>0</v>
      </c>
      <c r="AC171">
        <f t="shared" si="84"/>
        <v>0</v>
      </c>
      <c r="AE171">
        <f>$B$5*'5 Year Rainfall Simulation'!E172/1000</f>
        <v>0.7230584697643776</v>
      </c>
      <c r="AF171">
        <f t="shared" si="71"/>
        <v>0.7230584697643776</v>
      </c>
      <c r="AG171">
        <f t="shared" si="72"/>
        <v>0.62</v>
      </c>
      <c r="AH171">
        <f t="shared" si="73"/>
        <v>0.1030584697643776</v>
      </c>
      <c r="AI171">
        <f t="shared" si="85"/>
        <v>24.92222483503253</v>
      </c>
      <c r="AJ171">
        <f t="shared" si="74"/>
        <v>0.42742660723012704</v>
      </c>
      <c r="AK171">
        <f t="shared" si="86"/>
        <v>0</v>
      </c>
      <c r="AM171">
        <f>$B$5*'5 Year Rainfall Simulation'!F172/1000</f>
        <v>0</v>
      </c>
      <c r="AN171">
        <f t="shared" si="75"/>
        <v>0</v>
      </c>
      <c r="AO171">
        <f t="shared" si="76"/>
        <v>0.62</v>
      </c>
      <c r="AP171">
        <f t="shared" si="77"/>
        <v>-0.62</v>
      </c>
      <c r="AQ171">
        <f t="shared" si="87"/>
        <v>31.004725121794756</v>
      </c>
      <c r="AR171">
        <f t="shared" si="78"/>
        <v>0</v>
      </c>
      <c r="AS171">
        <f t="shared" si="88"/>
        <v>0</v>
      </c>
    </row>
    <row r="172" spans="6:45" ht="18" customHeight="1">
      <c r="F172" s="109">
        <v>44729</v>
      </c>
      <c r="G172">
        <f>B$5*'5 Year Rainfall Simulation'!B173/1000</f>
        <v>0</v>
      </c>
      <c r="H172">
        <f t="shared" si="60"/>
        <v>0</v>
      </c>
      <c r="I172">
        <f t="shared" si="89"/>
        <v>0.62</v>
      </c>
      <c r="J172">
        <f t="shared" si="61"/>
        <v>-0.62</v>
      </c>
      <c r="K172">
        <f t="shared" si="79"/>
        <v>21.359999999999989</v>
      </c>
      <c r="L172">
        <f t="shared" si="62"/>
        <v>0</v>
      </c>
      <c r="M172">
        <f t="shared" si="80"/>
        <v>0</v>
      </c>
      <c r="O172">
        <f>$B$5*'5 Year Rainfall Simulation'!C173/1000</f>
        <v>0</v>
      </c>
      <c r="P172">
        <f t="shared" si="63"/>
        <v>0</v>
      </c>
      <c r="Q172">
        <f t="shared" si="64"/>
        <v>0.62</v>
      </c>
      <c r="R172">
        <f t="shared" si="65"/>
        <v>-0.62</v>
      </c>
      <c r="S172">
        <f t="shared" si="81"/>
        <v>10.039999999999999</v>
      </c>
      <c r="T172">
        <f t="shared" si="66"/>
        <v>0</v>
      </c>
      <c r="U172">
        <f t="shared" si="82"/>
        <v>0</v>
      </c>
      <c r="W172">
        <f>$B$5*'5 Year Rainfall Simulation'!D173/1000</f>
        <v>0</v>
      </c>
      <c r="X172">
        <f t="shared" si="67"/>
        <v>0</v>
      </c>
      <c r="Y172">
        <f t="shared" si="68"/>
        <v>0.62</v>
      </c>
      <c r="Z172">
        <f t="shared" si="69"/>
        <v>-0.62</v>
      </c>
      <c r="AA172">
        <f t="shared" si="83"/>
        <v>26.162947816510563</v>
      </c>
      <c r="AB172">
        <f t="shared" si="70"/>
        <v>0</v>
      </c>
      <c r="AC172">
        <f t="shared" si="84"/>
        <v>0</v>
      </c>
      <c r="AE172">
        <f>$B$5*'5 Year Rainfall Simulation'!E173/1000</f>
        <v>0.35456671219117997</v>
      </c>
      <c r="AF172">
        <f t="shared" si="71"/>
        <v>0.35456671219117997</v>
      </c>
      <c r="AG172">
        <f t="shared" si="72"/>
        <v>0.62</v>
      </c>
      <c r="AH172">
        <f t="shared" si="73"/>
        <v>-0.26543328780882003</v>
      </c>
      <c r="AI172">
        <f t="shared" si="85"/>
        <v>24.656791547223712</v>
      </c>
      <c r="AJ172">
        <f t="shared" si="74"/>
        <v>0.20959749891043092</v>
      </c>
      <c r="AK172">
        <f t="shared" si="86"/>
        <v>0</v>
      </c>
      <c r="AM172">
        <f>$B$5*'5 Year Rainfall Simulation'!F173/1000</f>
        <v>0</v>
      </c>
      <c r="AN172">
        <f t="shared" si="75"/>
        <v>0</v>
      </c>
      <c r="AO172">
        <f t="shared" si="76"/>
        <v>0.62</v>
      </c>
      <c r="AP172">
        <f t="shared" si="77"/>
        <v>-0.62</v>
      </c>
      <c r="AQ172">
        <f t="shared" si="87"/>
        <v>30.384725121794755</v>
      </c>
      <c r="AR172">
        <f t="shared" si="78"/>
        <v>0</v>
      </c>
      <c r="AS172">
        <f t="shared" si="88"/>
        <v>0</v>
      </c>
    </row>
    <row r="173" spans="6:45" ht="18" customHeight="1">
      <c r="F173" s="109">
        <v>44730</v>
      </c>
      <c r="G173">
        <f>B$5*'5 Year Rainfall Simulation'!B174/1000</f>
        <v>0.32</v>
      </c>
      <c r="H173">
        <f t="shared" si="60"/>
        <v>0.32</v>
      </c>
      <c r="I173">
        <f t="shared" si="89"/>
        <v>0.62</v>
      </c>
      <c r="J173">
        <f t="shared" si="61"/>
        <v>-0.3</v>
      </c>
      <c r="K173">
        <f t="shared" si="79"/>
        <v>21.059999999999988</v>
      </c>
      <c r="L173">
        <f t="shared" si="62"/>
        <v>0.1891638367201644</v>
      </c>
      <c r="M173">
        <f t="shared" si="80"/>
        <v>0</v>
      </c>
      <c r="O173">
        <f>$B$5*'5 Year Rainfall Simulation'!C174/1000</f>
        <v>1.4</v>
      </c>
      <c r="P173">
        <f t="shared" si="63"/>
        <v>1.4</v>
      </c>
      <c r="Q173">
        <f t="shared" si="64"/>
        <v>0.62</v>
      </c>
      <c r="R173">
        <f t="shared" si="65"/>
        <v>0.77999999999999992</v>
      </c>
      <c r="S173">
        <f t="shared" si="81"/>
        <v>10.819999999999999</v>
      </c>
      <c r="T173">
        <f t="shared" si="66"/>
        <v>0.82759178565071922</v>
      </c>
      <c r="U173">
        <f t="shared" si="82"/>
        <v>0</v>
      </c>
      <c r="W173">
        <f>$B$5*'5 Year Rainfall Simulation'!D174/1000</f>
        <v>0</v>
      </c>
      <c r="X173">
        <f t="shared" si="67"/>
        <v>0</v>
      </c>
      <c r="Y173">
        <f t="shared" si="68"/>
        <v>0.62</v>
      </c>
      <c r="Z173">
        <f t="shared" si="69"/>
        <v>-0.62</v>
      </c>
      <c r="AA173">
        <f t="shared" si="83"/>
        <v>25.542947816510562</v>
      </c>
      <c r="AB173">
        <f t="shared" si="70"/>
        <v>0</v>
      </c>
      <c r="AC173">
        <f t="shared" si="84"/>
        <v>0</v>
      </c>
      <c r="AE173">
        <f>$B$5*'5 Year Rainfall Simulation'!E174/1000</f>
        <v>0.22350090257843622</v>
      </c>
      <c r="AF173">
        <f t="shared" si="71"/>
        <v>0.22350090257843622</v>
      </c>
      <c r="AG173">
        <f t="shared" si="72"/>
        <v>0.62</v>
      </c>
      <c r="AH173">
        <f t="shared" si="73"/>
        <v>-0.39649909742156375</v>
      </c>
      <c r="AI173">
        <f t="shared" si="85"/>
        <v>24.260292449802147</v>
      </c>
      <c r="AJ173">
        <f t="shared" si="74"/>
        <v>0.13211965075673962</v>
      </c>
      <c r="AK173">
        <f t="shared" si="86"/>
        <v>0</v>
      </c>
      <c r="AM173">
        <f>$B$5*'5 Year Rainfall Simulation'!F174/1000</f>
        <v>0</v>
      </c>
      <c r="AN173">
        <f t="shared" si="75"/>
        <v>0</v>
      </c>
      <c r="AO173">
        <f t="shared" si="76"/>
        <v>0.62</v>
      </c>
      <c r="AP173">
        <f t="shared" si="77"/>
        <v>-0.62</v>
      </c>
      <c r="AQ173">
        <f t="shared" si="87"/>
        <v>29.764725121794754</v>
      </c>
      <c r="AR173">
        <f t="shared" si="78"/>
        <v>0</v>
      </c>
      <c r="AS173">
        <f t="shared" si="88"/>
        <v>0</v>
      </c>
    </row>
    <row r="174" spans="6:45" ht="18" customHeight="1">
      <c r="F174" s="109">
        <v>44731</v>
      </c>
      <c r="G174">
        <f>B$5*'5 Year Rainfall Simulation'!B175/1000</f>
        <v>4.16</v>
      </c>
      <c r="H174">
        <f t="shared" si="60"/>
        <v>4.16</v>
      </c>
      <c r="I174">
        <f t="shared" si="89"/>
        <v>0.62</v>
      </c>
      <c r="J174">
        <f t="shared" si="61"/>
        <v>3.54</v>
      </c>
      <c r="K174">
        <f t="shared" si="79"/>
        <v>24.599999999999987</v>
      </c>
      <c r="L174">
        <f t="shared" si="62"/>
        <v>2.4591298773621375</v>
      </c>
      <c r="M174">
        <f t="shared" si="80"/>
        <v>0</v>
      </c>
      <c r="O174">
        <f>$B$5*'5 Year Rainfall Simulation'!C175/1000</f>
        <v>0</v>
      </c>
      <c r="P174">
        <f t="shared" si="63"/>
        <v>0</v>
      </c>
      <c r="Q174">
        <f t="shared" si="64"/>
        <v>0.62</v>
      </c>
      <c r="R174">
        <f t="shared" si="65"/>
        <v>-0.62</v>
      </c>
      <c r="S174">
        <f t="shared" si="81"/>
        <v>10.199999999999999</v>
      </c>
      <c r="T174">
        <f t="shared" si="66"/>
        <v>0</v>
      </c>
      <c r="U174">
        <f t="shared" si="82"/>
        <v>0</v>
      </c>
      <c r="W174">
        <f>$B$5*'5 Year Rainfall Simulation'!D175/1000</f>
        <v>4.2910828271410004</v>
      </c>
      <c r="X174">
        <f t="shared" si="67"/>
        <v>4.2910828271410004</v>
      </c>
      <c r="Y174">
        <f t="shared" si="68"/>
        <v>0.62</v>
      </c>
      <c r="Z174">
        <f t="shared" si="69"/>
        <v>3.6710828271410003</v>
      </c>
      <c r="AA174">
        <f t="shared" si="83"/>
        <v>29.214030643651562</v>
      </c>
      <c r="AB174">
        <f t="shared" si="70"/>
        <v>2.5366177852062552</v>
      </c>
      <c r="AC174">
        <f t="shared" si="84"/>
        <v>0</v>
      </c>
      <c r="AE174">
        <f>$B$5*'5 Year Rainfall Simulation'!E175/1000</f>
        <v>1.2104320765783649</v>
      </c>
      <c r="AF174">
        <f t="shared" si="71"/>
        <v>1.2104320765783649</v>
      </c>
      <c r="AG174">
        <f t="shared" si="72"/>
        <v>0.62</v>
      </c>
      <c r="AH174">
        <f t="shared" si="73"/>
        <v>0.59043207657836494</v>
      </c>
      <c r="AI174">
        <f t="shared" si="85"/>
        <v>24.850724526380514</v>
      </c>
      <c r="AJ174">
        <f t="shared" si="74"/>
        <v>0.71553117404599798</v>
      </c>
      <c r="AK174">
        <f t="shared" si="86"/>
        <v>0</v>
      </c>
      <c r="AM174">
        <f>$B$5*'5 Year Rainfall Simulation'!F175/1000</f>
        <v>4.0093137968897405</v>
      </c>
      <c r="AN174">
        <f t="shared" si="75"/>
        <v>4.0093137968897405</v>
      </c>
      <c r="AO174">
        <f t="shared" si="76"/>
        <v>0.62</v>
      </c>
      <c r="AP174">
        <f t="shared" si="77"/>
        <v>3.3893137968897404</v>
      </c>
      <c r="AQ174">
        <f t="shared" si="87"/>
        <v>33.154038918684492</v>
      </c>
      <c r="AR174">
        <f t="shared" si="78"/>
        <v>2.3700536888586039</v>
      </c>
      <c r="AS174">
        <f t="shared" si="88"/>
        <v>0</v>
      </c>
    </row>
    <row r="175" spans="6:45" ht="18" customHeight="1">
      <c r="F175" s="109">
        <v>44732</v>
      </c>
      <c r="G175">
        <f>B$5*'5 Year Rainfall Simulation'!B176/1000</f>
        <v>0.64</v>
      </c>
      <c r="H175">
        <f t="shared" si="60"/>
        <v>0.64</v>
      </c>
      <c r="I175">
        <f t="shared" si="89"/>
        <v>0.62</v>
      </c>
      <c r="J175">
        <f t="shared" si="61"/>
        <v>2.0000000000000018E-2</v>
      </c>
      <c r="K175">
        <f t="shared" si="79"/>
        <v>24.619999999999987</v>
      </c>
      <c r="L175">
        <f t="shared" si="62"/>
        <v>0.3783276734403288</v>
      </c>
      <c r="M175">
        <f t="shared" si="80"/>
        <v>0</v>
      </c>
      <c r="O175">
        <f>$B$5*'5 Year Rainfall Simulation'!C176/1000</f>
        <v>0</v>
      </c>
      <c r="P175">
        <f t="shared" si="63"/>
        <v>0</v>
      </c>
      <c r="Q175">
        <f t="shared" si="64"/>
        <v>0.62</v>
      </c>
      <c r="R175">
        <f t="shared" si="65"/>
        <v>-0.62</v>
      </c>
      <c r="S175">
        <f t="shared" si="81"/>
        <v>9.58</v>
      </c>
      <c r="T175">
        <f t="shared" si="66"/>
        <v>0</v>
      </c>
      <c r="U175">
        <f t="shared" si="82"/>
        <v>0</v>
      </c>
      <c r="W175">
        <f>$B$5*'5 Year Rainfall Simulation'!D176/1000</f>
        <v>1.9079440755183308</v>
      </c>
      <c r="X175">
        <f t="shared" si="67"/>
        <v>1.9079440755183308</v>
      </c>
      <c r="Y175">
        <f t="shared" si="68"/>
        <v>0.62</v>
      </c>
      <c r="Z175">
        <f t="shared" si="69"/>
        <v>1.2879440755183307</v>
      </c>
      <c r="AA175">
        <f t="shared" si="83"/>
        <v>30.501974719169894</v>
      </c>
      <c r="AB175">
        <f t="shared" si="70"/>
        <v>1.1278563174142331</v>
      </c>
      <c r="AC175">
        <f t="shared" si="84"/>
        <v>0</v>
      </c>
      <c r="AE175">
        <f>$B$5*'5 Year Rainfall Simulation'!E176/1000</f>
        <v>0.20634145656246039</v>
      </c>
      <c r="AF175">
        <f t="shared" si="71"/>
        <v>0.20634145656246039</v>
      </c>
      <c r="AG175">
        <f t="shared" si="72"/>
        <v>0.62</v>
      </c>
      <c r="AH175">
        <f t="shared" si="73"/>
        <v>-0.41365854343753961</v>
      </c>
      <c r="AI175">
        <f t="shared" si="85"/>
        <v>24.437065982942975</v>
      </c>
      <c r="AJ175">
        <f t="shared" si="74"/>
        <v>0.12197606749306923</v>
      </c>
      <c r="AK175">
        <f t="shared" si="86"/>
        <v>0</v>
      </c>
      <c r="AM175">
        <f>$B$5*'5 Year Rainfall Simulation'!F176/1000</f>
        <v>2.9133326357995277</v>
      </c>
      <c r="AN175">
        <f t="shared" si="75"/>
        <v>2.9133326357995277</v>
      </c>
      <c r="AO175">
        <f t="shared" si="76"/>
        <v>0.62</v>
      </c>
      <c r="AP175">
        <f t="shared" si="77"/>
        <v>2.2933326357995276</v>
      </c>
      <c r="AQ175">
        <f t="shared" si="87"/>
        <v>35</v>
      </c>
      <c r="AR175">
        <f t="shared" si="78"/>
        <v>1.7221786844684628</v>
      </c>
      <c r="AS175">
        <f t="shared" si="88"/>
        <v>0</v>
      </c>
    </row>
    <row r="176" spans="6:45" ht="18" customHeight="1">
      <c r="F176" s="109">
        <v>44733</v>
      </c>
      <c r="G176">
        <f>B$5*'5 Year Rainfall Simulation'!B177/1000</f>
        <v>0.24</v>
      </c>
      <c r="H176">
        <f t="shared" si="60"/>
        <v>0.24</v>
      </c>
      <c r="I176">
        <f t="shared" si="89"/>
        <v>0.62</v>
      </c>
      <c r="J176">
        <f t="shared" si="61"/>
        <v>-0.38</v>
      </c>
      <c r="K176">
        <f t="shared" si="79"/>
        <v>24.239999999999988</v>
      </c>
      <c r="L176">
        <f t="shared" si="62"/>
        <v>0.14187287754012329</v>
      </c>
      <c r="M176">
        <f t="shared" si="80"/>
        <v>0</v>
      </c>
      <c r="O176">
        <f>$B$5*'5 Year Rainfall Simulation'!C177/1000</f>
        <v>0</v>
      </c>
      <c r="P176">
        <f t="shared" si="63"/>
        <v>0</v>
      </c>
      <c r="Q176">
        <f t="shared" si="64"/>
        <v>0.62</v>
      </c>
      <c r="R176">
        <f t="shared" si="65"/>
        <v>-0.62</v>
      </c>
      <c r="S176">
        <f t="shared" si="81"/>
        <v>8.9600000000000009</v>
      </c>
      <c r="T176">
        <f t="shared" si="66"/>
        <v>0</v>
      </c>
      <c r="U176">
        <f t="shared" si="82"/>
        <v>0</v>
      </c>
      <c r="W176">
        <f>$B$5*'5 Year Rainfall Simulation'!D177/1000</f>
        <v>0</v>
      </c>
      <c r="X176">
        <f t="shared" si="67"/>
        <v>0</v>
      </c>
      <c r="Y176">
        <f t="shared" si="68"/>
        <v>0.62</v>
      </c>
      <c r="Z176">
        <f t="shared" si="69"/>
        <v>-0.62</v>
      </c>
      <c r="AA176">
        <f t="shared" si="83"/>
        <v>29.881974719169893</v>
      </c>
      <c r="AB176">
        <f t="shared" si="70"/>
        <v>0</v>
      </c>
      <c r="AC176">
        <f t="shared" si="84"/>
        <v>0</v>
      </c>
      <c r="AE176">
        <f>$B$5*'5 Year Rainfall Simulation'!E177/1000</f>
        <v>0</v>
      </c>
      <c r="AF176">
        <f t="shared" si="71"/>
        <v>0</v>
      </c>
      <c r="AG176">
        <f t="shared" si="72"/>
        <v>0.62</v>
      </c>
      <c r="AH176">
        <f t="shared" si="73"/>
        <v>-0.62</v>
      </c>
      <c r="AI176">
        <f t="shared" si="85"/>
        <v>23.817065982942975</v>
      </c>
      <c r="AJ176">
        <f t="shared" si="74"/>
        <v>0</v>
      </c>
      <c r="AK176">
        <f t="shared" si="86"/>
        <v>0</v>
      </c>
      <c r="AM176">
        <f>$B$5*'5 Year Rainfall Simulation'!F177/1000</f>
        <v>1.7610904447399081</v>
      </c>
      <c r="AN176">
        <f t="shared" si="75"/>
        <v>1.7610904447399081</v>
      </c>
      <c r="AO176">
        <f t="shared" si="76"/>
        <v>0.62</v>
      </c>
      <c r="AP176">
        <f t="shared" si="77"/>
        <v>1.1410904447399082</v>
      </c>
      <c r="AQ176">
        <f t="shared" si="87"/>
        <v>35</v>
      </c>
      <c r="AR176">
        <f t="shared" si="78"/>
        <v>1.0410457041819428</v>
      </c>
      <c r="AS176">
        <f t="shared" si="88"/>
        <v>0</v>
      </c>
    </row>
    <row r="177" spans="6:45" ht="18" customHeight="1">
      <c r="F177" s="109">
        <v>44734</v>
      </c>
      <c r="G177">
        <f>B$5*'5 Year Rainfall Simulation'!B178/1000</f>
        <v>0</v>
      </c>
      <c r="H177">
        <f t="shared" si="60"/>
        <v>0</v>
      </c>
      <c r="I177">
        <f t="shared" si="89"/>
        <v>0.62</v>
      </c>
      <c r="J177">
        <f t="shared" si="61"/>
        <v>-0.62</v>
      </c>
      <c r="K177">
        <f t="shared" si="79"/>
        <v>23.619999999999987</v>
      </c>
      <c r="L177">
        <f t="shared" si="62"/>
        <v>0</v>
      </c>
      <c r="M177">
        <f t="shared" si="80"/>
        <v>0</v>
      </c>
      <c r="O177">
        <f>$B$5*'5 Year Rainfall Simulation'!C178/1000</f>
        <v>0</v>
      </c>
      <c r="P177">
        <f t="shared" si="63"/>
        <v>0</v>
      </c>
      <c r="Q177">
        <f t="shared" si="64"/>
        <v>0.62</v>
      </c>
      <c r="R177">
        <f t="shared" si="65"/>
        <v>-0.62</v>
      </c>
      <c r="S177">
        <f t="shared" si="81"/>
        <v>8.3400000000000016</v>
      </c>
      <c r="T177">
        <f t="shared" si="66"/>
        <v>0</v>
      </c>
      <c r="U177">
        <f t="shared" si="82"/>
        <v>0</v>
      </c>
      <c r="W177">
        <f>$B$5*'5 Year Rainfall Simulation'!D178/1000</f>
        <v>0</v>
      </c>
      <c r="X177">
        <f t="shared" si="67"/>
        <v>0</v>
      </c>
      <c r="Y177">
        <f t="shared" si="68"/>
        <v>0.62</v>
      </c>
      <c r="Z177">
        <f t="shared" si="69"/>
        <v>-0.62</v>
      </c>
      <c r="AA177">
        <f t="shared" si="83"/>
        <v>29.261974719169892</v>
      </c>
      <c r="AB177">
        <f t="shared" si="70"/>
        <v>0</v>
      </c>
      <c r="AC177">
        <f t="shared" si="84"/>
        <v>0</v>
      </c>
      <c r="AE177">
        <f>$B$5*'5 Year Rainfall Simulation'!E178/1000</f>
        <v>0.320446549564744</v>
      </c>
      <c r="AF177">
        <f t="shared" si="71"/>
        <v>0.320446549564744</v>
      </c>
      <c r="AG177">
        <f t="shared" si="72"/>
        <v>0.62</v>
      </c>
      <c r="AH177">
        <f t="shared" si="73"/>
        <v>-0.299553450435256</v>
      </c>
      <c r="AI177">
        <f t="shared" si="85"/>
        <v>23.51751253250772</v>
      </c>
      <c r="AJ177">
        <f t="shared" si="74"/>
        <v>0.18942780868564157</v>
      </c>
      <c r="AK177">
        <f t="shared" si="86"/>
        <v>0</v>
      </c>
      <c r="AM177">
        <f>$B$5*'5 Year Rainfall Simulation'!F178/1000</f>
        <v>0</v>
      </c>
      <c r="AN177">
        <f t="shared" si="75"/>
        <v>0</v>
      </c>
      <c r="AO177">
        <f t="shared" si="76"/>
        <v>0.62</v>
      </c>
      <c r="AP177">
        <f t="shared" si="77"/>
        <v>-0.62</v>
      </c>
      <c r="AQ177">
        <f t="shared" si="87"/>
        <v>34.380000000000003</v>
      </c>
      <c r="AR177">
        <f t="shared" si="78"/>
        <v>0</v>
      </c>
      <c r="AS177">
        <f t="shared" si="88"/>
        <v>0</v>
      </c>
    </row>
    <row r="178" spans="6:45" ht="18" customHeight="1">
      <c r="F178" s="109">
        <v>44735</v>
      </c>
      <c r="G178">
        <f>B$5*'5 Year Rainfall Simulation'!B179/1000</f>
        <v>3.08</v>
      </c>
      <c r="H178">
        <f t="shared" si="60"/>
        <v>3.08</v>
      </c>
      <c r="I178">
        <f t="shared" si="89"/>
        <v>0.62</v>
      </c>
      <c r="J178">
        <f t="shared" si="61"/>
        <v>2.46</v>
      </c>
      <c r="K178">
        <f t="shared" si="79"/>
        <v>26.079999999999988</v>
      </c>
      <c r="L178">
        <f t="shared" si="62"/>
        <v>1.8207019284315824</v>
      </c>
      <c r="M178">
        <f t="shared" si="80"/>
        <v>0</v>
      </c>
      <c r="O178">
        <f>$B$5*'5 Year Rainfall Simulation'!C179/1000</f>
        <v>0.28000000000000003</v>
      </c>
      <c r="P178">
        <f t="shared" si="63"/>
        <v>0.28000000000000003</v>
      </c>
      <c r="Q178">
        <f t="shared" si="64"/>
        <v>0.62</v>
      </c>
      <c r="R178">
        <f t="shared" si="65"/>
        <v>-0.33999999999999997</v>
      </c>
      <c r="S178">
        <f t="shared" si="81"/>
        <v>8.0000000000000018</v>
      </c>
      <c r="T178">
        <f t="shared" si="66"/>
        <v>0.16551835713014387</v>
      </c>
      <c r="U178">
        <f t="shared" si="82"/>
        <v>0</v>
      </c>
      <c r="W178">
        <f>$B$5*'5 Year Rainfall Simulation'!D179/1000</f>
        <v>1.0282740215289277</v>
      </c>
      <c r="X178">
        <f t="shared" si="67"/>
        <v>1.0282740215289277</v>
      </c>
      <c r="Y178">
        <f t="shared" si="68"/>
        <v>0.62</v>
      </c>
      <c r="Z178">
        <f t="shared" si="69"/>
        <v>0.40827402152892767</v>
      </c>
      <c r="AA178">
        <f t="shared" si="83"/>
        <v>29.67024874069882</v>
      </c>
      <c r="AB178">
        <f t="shared" si="70"/>
        <v>0.60785080972526528</v>
      </c>
      <c r="AC178">
        <f t="shared" si="84"/>
        <v>0</v>
      </c>
      <c r="AE178">
        <f>$B$5*'5 Year Rainfall Simulation'!E179/1000</f>
        <v>0</v>
      </c>
      <c r="AF178">
        <f t="shared" si="71"/>
        <v>0</v>
      </c>
      <c r="AG178">
        <f t="shared" si="72"/>
        <v>0.62</v>
      </c>
      <c r="AH178">
        <f t="shared" si="73"/>
        <v>-0.62</v>
      </c>
      <c r="AI178">
        <f t="shared" si="85"/>
        <v>22.897512532507719</v>
      </c>
      <c r="AJ178">
        <f t="shared" si="74"/>
        <v>0</v>
      </c>
      <c r="AK178">
        <f t="shared" si="86"/>
        <v>0</v>
      </c>
      <c r="AM178">
        <f>$B$5*'5 Year Rainfall Simulation'!F179/1000</f>
        <v>0</v>
      </c>
      <c r="AN178">
        <f t="shared" si="75"/>
        <v>0</v>
      </c>
      <c r="AO178">
        <f t="shared" si="76"/>
        <v>0.62</v>
      </c>
      <c r="AP178">
        <f t="shared" si="77"/>
        <v>-0.62</v>
      </c>
      <c r="AQ178">
        <f t="shared" si="87"/>
        <v>33.760000000000005</v>
      </c>
      <c r="AR178">
        <f t="shared" si="78"/>
        <v>0</v>
      </c>
      <c r="AS178">
        <f t="shared" si="88"/>
        <v>0</v>
      </c>
    </row>
    <row r="179" spans="6:45" ht="18" customHeight="1">
      <c r="F179" s="109">
        <v>44736</v>
      </c>
      <c r="G179">
        <f>B$5*'5 Year Rainfall Simulation'!B180/1000</f>
        <v>0.24</v>
      </c>
      <c r="H179">
        <f t="shared" si="60"/>
        <v>0.24</v>
      </c>
      <c r="I179">
        <f t="shared" si="89"/>
        <v>0.62</v>
      </c>
      <c r="J179">
        <f t="shared" si="61"/>
        <v>-0.38</v>
      </c>
      <c r="K179">
        <f t="shared" si="79"/>
        <v>25.699999999999989</v>
      </c>
      <c r="L179">
        <f t="shared" si="62"/>
        <v>0.14187287754012329</v>
      </c>
      <c r="M179">
        <f t="shared" si="80"/>
        <v>0</v>
      </c>
      <c r="O179">
        <f>$B$5*'5 Year Rainfall Simulation'!C180/1000</f>
        <v>2.68</v>
      </c>
      <c r="P179">
        <f t="shared" si="63"/>
        <v>2.68</v>
      </c>
      <c r="Q179">
        <f t="shared" si="64"/>
        <v>0.62</v>
      </c>
      <c r="R179">
        <f t="shared" si="65"/>
        <v>2.06</v>
      </c>
      <c r="S179">
        <f t="shared" si="81"/>
        <v>10.060000000000002</v>
      </c>
      <c r="T179">
        <f t="shared" si="66"/>
        <v>1.5842471325313769</v>
      </c>
      <c r="U179">
        <f t="shared" si="82"/>
        <v>0</v>
      </c>
      <c r="W179">
        <f>$B$5*'5 Year Rainfall Simulation'!D180/1000</f>
        <v>1.7847650918504729</v>
      </c>
      <c r="X179">
        <f t="shared" si="67"/>
        <v>1.7847650918504729</v>
      </c>
      <c r="Y179">
        <f t="shared" si="68"/>
        <v>0.62</v>
      </c>
      <c r="Z179">
        <f t="shared" si="69"/>
        <v>1.1647650918504731</v>
      </c>
      <c r="AA179">
        <f t="shared" si="83"/>
        <v>30.835013832549294</v>
      </c>
      <c r="AB179">
        <f t="shared" si="70"/>
        <v>1.0550406638082879</v>
      </c>
      <c r="AC179">
        <f t="shared" si="84"/>
        <v>0</v>
      </c>
      <c r="AE179">
        <f>$B$5*'5 Year Rainfall Simulation'!E180/1000</f>
        <v>1.3221903844427507</v>
      </c>
      <c r="AF179">
        <f t="shared" si="71"/>
        <v>1.3221903844427507</v>
      </c>
      <c r="AG179">
        <f t="shared" si="72"/>
        <v>0.62</v>
      </c>
      <c r="AH179">
        <f t="shared" si="73"/>
        <v>0.70219038444275073</v>
      </c>
      <c r="AI179">
        <f t="shared" si="85"/>
        <v>23.59970291695047</v>
      </c>
      <c r="AJ179">
        <f t="shared" si="74"/>
        <v>0.78159564373656221</v>
      </c>
      <c r="AK179">
        <f t="shared" si="86"/>
        <v>0</v>
      </c>
      <c r="AM179">
        <f>$B$5*'5 Year Rainfall Simulation'!F180/1000</f>
        <v>1.2617703093461234</v>
      </c>
      <c r="AN179">
        <f t="shared" si="75"/>
        <v>1.2617703093461234</v>
      </c>
      <c r="AO179">
        <f t="shared" si="76"/>
        <v>0.62</v>
      </c>
      <c r="AP179">
        <f t="shared" si="77"/>
        <v>0.64177030934612345</v>
      </c>
      <c r="AQ179">
        <f t="shared" si="87"/>
        <v>34.401770309346126</v>
      </c>
      <c r="AR179">
        <f t="shared" si="78"/>
        <v>0.74587910242344202</v>
      </c>
      <c r="AS179">
        <f t="shared" si="88"/>
        <v>0</v>
      </c>
    </row>
    <row r="180" spans="6:45" ht="18" customHeight="1">
      <c r="F180" s="109">
        <v>44737</v>
      </c>
      <c r="G180">
        <f>B$5*'5 Year Rainfall Simulation'!B181/1000</f>
        <v>0</v>
      </c>
      <c r="H180">
        <f t="shared" si="60"/>
        <v>0</v>
      </c>
      <c r="I180">
        <f t="shared" si="89"/>
        <v>0.62</v>
      </c>
      <c r="J180">
        <f t="shared" si="61"/>
        <v>-0.62</v>
      </c>
      <c r="K180">
        <f t="shared" si="79"/>
        <v>25.079999999999988</v>
      </c>
      <c r="L180">
        <f t="shared" si="62"/>
        <v>0</v>
      </c>
      <c r="M180">
        <f t="shared" si="80"/>
        <v>0</v>
      </c>
      <c r="O180">
        <f>$B$5*'5 Year Rainfall Simulation'!C181/1000</f>
        <v>0.8</v>
      </c>
      <c r="P180">
        <f t="shared" si="63"/>
        <v>0.8</v>
      </c>
      <c r="Q180">
        <f t="shared" si="64"/>
        <v>0.62</v>
      </c>
      <c r="R180">
        <f t="shared" si="65"/>
        <v>0.18000000000000005</v>
      </c>
      <c r="S180">
        <f t="shared" si="81"/>
        <v>10.240000000000002</v>
      </c>
      <c r="T180">
        <f t="shared" si="66"/>
        <v>0.47290959180041103</v>
      </c>
      <c r="U180">
        <f t="shared" si="82"/>
        <v>0</v>
      </c>
      <c r="W180">
        <f>$B$5*'5 Year Rainfall Simulation'!D181/1000</f>
        <v>0</v>
      </c>
      <c r="X180">
        <f t="shared" si="67"/>
        <v>0</v>
      </c>
      <c r="Y180">
        <f t="shared" si="68"/>
        <v>0.62</v>
      </c>
      <c r="Z180">
        <f t="shared" si="69"/>
        <v>-0.62</v>
      </c>
      <c r="AA180">
        <f t="shared" si="83"/>
        <v>30.215013832549293</v>
      </c>
      <c r="AB180">
        <f t="shared" si="70"/>
        <v>0</v>
      </c>
      <c r="AC180">
        <f t="shared" si="84"/>
        <v>0</v>
      </c>
      <c r="AE180">
        <f>$B$5*'5 Year Rainfall Simulation'!E181/1000</f>
        <v>2.5699897517980861</v>
      </c>
      <c r="AF180">
        <f t="shared" si="71"/>
        <v>2.5699897517980861</v>
      </c>
      <c r="AG180">
        <f t="shared" si="72"/>
        <v>0.62</v>
      </c>
      <c r="AH180">
        <f t="shared" si="73"/>
        <v>1.949989751798086</v>
      </c>
      <c r="AI180">
        <f t="shared" si="85"/>
        <v>25.549692668748555</v>
      </c>
      <c r="AJ180">
        <f t="shared" si="74"/>
        <v>1.5192160055675907</v>
      </c>
      <c r="AK180">
        <f t="shared" si="86"/>
        <v>0</v>
      </c>
      <c r="AM180">
        <f>$B$5*'5 Year Rainfall Simulation'!F181/1000</f>
        <v>0</v>
      </c>
      <c r="AN180">
        <f t="shared" si="75"/>
        <v>0</v>
      </c>
      <c r="AO180">
        <f t="shared" si="76"/>
        <v>0.62</v>
      </c>
      <c r="AP180">
        <f t="shared" si="77"/>
        <v>-0.62</v>
      </c>
      <c r="AQ180">
        <f t="shared" si="87"/>
        <v>33.781770309346129</v>
      </c>
      <c r="AR180">
        <f t="shared" si="78"/>
        <v>0</v>
      </c>
      <c r="AS180">
        <f t="shared" si="88"/>
        <v>0</v>
      </c>
    </row>
    <row r="181" spans="6:45" ht="18" customHeight="1">
      <c r="F181" s="109">
        <v>44738</v>
      </c>
      <c r="G181">
        <f>B$5*'5 Year Rainfall Simulation'!B182/1000</f>
        <v>1.1599999999999999</v>
      </c>
      <c r="H181">
        <f t="shared" si="60"/>
        <v>1.1599999999999999</v>
      </c>
      <c r="I181">
        <f t="shared" si="89"/>
        <v>0.62</v>
      </c>
      <c r="J181">
        <f t="shared" si="61"/>
        <v>0.53999999999999992</v>
      </c>
      <c r="K181">
        <f t="shared" si="79"/>
        <v>25.619999999999987</v>
      </c>
      <c r="L181">
        <f t="shared" si="62"/>
        <v>0.68571890811059588</v>
      </c>
      <c r="M181">
        <f t="shared" si="80"/>
        <v>0</v>
      </c>
      <c r="O181">
        <f>$B$5*'5 Year Rainfall Simulation'!C182/1000</f>
        <v>0</v>
      </c>
      <c r="P181">
        <f t="shared" si="63"/>
        <v>0</v>
      </c>
      <c r="Q181">
        <f t="shared" si="64"/>
        <v>0.62</v>
      </c>
      <c r="R181">
        <f t="shared" si="65"/>
        <v>-0.62</v>
      </c>
      <c r="S181">
        <f t="shared" si="81"/>
        <v>9.6200000000000028</v>
      </c>
      <c r="T181">
        <f t="shared" si="66"/>
        <v>0</v>
      </c>
      <c r="U181">
        <f t="shared" si="82"/>
        <v>0</v>
      </c>
      <c r="W181">
        <f>$B$5*'5 Year Rainfall Simulation'!D182/1000</f>
        <v>0</v>
      </c>
      <c r="X181">
        <f t="shared" si="67"/>
        <v>0</v>
      </c>
      <c r="Y181">
        <f t="shared" si="68"/>
        <v>0.62</v>
      </c>
      <c r="Z181">
        <f t="shared" si="69"/>
        <v>-0.62</v>
      </c>
      <c r="AA181">
        <f t="shared" si="83"/>
        <v>29.595013832549292</v>
      </c>
      <c r="AB181">
        <f t="shared" si="70"/>
        <v>0</v>
      </c>
      <c r="AC181">
        <f t="shared" si="84"/>
        <v>0</v>
      </c>
      <c r="AE181">
        <f>$B$5*'5 Year Rainfall Simulation'!E182/1000</f>
        <v>0</v>
      </c>
      <c r="AF181">
        <f t="shared" si="71"/>
        <v>0</v>
      </c>
      <c r="AG181">
        <f t="shared" si="72"/>
        <v>0.62</v>
      </c>
      <c r="AH181">
        <f t="shared" si="73"/>
        <v>-0.62</v>
      </c>
      <c r="AI181">
        <f t="shared" si="85"/>
        <v>24.929692668748554</v>
      </c>
      <c r="AJ181">
        <f t="shared" si="74"/>
        <v>0</v>
      </c>
      <c r="AK181">
        <f t="shared" si="86"/>
        <v>0</v>
      </c>
      <c r="AM181">
        <f>$B$5*'5 Year Rainfall Simulation'!F182/1000</f>
        <v>0</v>
      </c>
      <c r="AN181">
        <f t="shared" si="75"/>
        <v>0</v>
      </c>
      <c r="AO181">
        <f t="shared" si="76"/>
        <v>0.62</v>
      </c>
      <c r="AP181">
        <f t="shared" si="77"/>
        <v>-0.62</v>
      </c>
      <c r="AQ181">
        <f t="shared" si="87"/>
        <v>33.161770309346132</v>
      </c>
      <c r="AR181">
        <f t="shared" si="78"/>
        <v>0</v>
      </c>
      <c r="AS181">
        <f t="shared" si="88"/>
        <v>0</v>
      </c>
    </row>
    <row r="182" spans="6:45" ht="18" customHeight="1">
      <c r="F182" s="109">
        <v>44739</v>
      </c>
      <c r="G182">
        <f>B$5*'5 Year Rainfall Simulation'!B183/1000</f>
        <v>4.0799999999999992</v>
      </c>
      <c r="H182">
        <f t="shared" si="60"/>
        <v>4.0799999999999992</v>
      </c>
      <c r="I182">
        <f t="shared" si="89"/>
        <v>0.62</v>
      </c>
      <c r="J182">
        <f t="shared" si="61"/>
        <v>3.4599999999999991</v>
      </c>
      <c r="K182">
        <f t="shared" si="79"/>
        <v>29.079999999999984</v>
      </c>
      <c r="L182">
        <f t="shared" si="62"/>
        <v>2.4118389181820956</v>
      </c>
      <c r="M182">
        <f t="shared" si="80"/>
        <v>0</v>
      </c>
      <c r="O182">
        <f>$B$5*'5 Year Rainfall Simulation'!C183/1000</f>
        <v>0</v>
      </c>
      <c r="P182">
        <f t="shared" si="63"/>
        <v>0</v>
      </c>
      <c r="Q182">
        <f t="shared" si="64"/>
        <v>0.62</v>
      </c>
      <c r="R182">
        <f t="shared" si="65"/>
        <v>-0.62</v>
      </c>
      <c r="S182">
        <f t="shared" si="81"/>
        <v>9.0000000000000036</v>
      </c>
      <c r="T182">
        <f t="shared" si="66"/>
        <v>0</v>
      </c>
      <c r="U182">
        <f t="shared" si="82"/>
        <v>0</v>
      </c>
      <c r="W182">
        <f>$B$5*'5 Year Rainfall Simulation'!D183/1000</f>
        <v>0.92463806877505728</v>
      </c>
      <c r="X182">
        <f t="shared" si="67"/>
        <v>0.92463806877505728</v>
      </c>
      <c r="Y182">
        <f t="shared" si="68"/>
        <v>0.62</v>
      </c>
      <c r="Z182">
        <f t="shared" si="69"/>
        <v>0.30463806877505728</v>
      </c>
      <c r="AA182">
        <f t="shared" si="83"/>
        <v>29.899651901324347</v>
      </c>
      <c r="AB182">
        <f t="shared" si="70"/>
        <v>0.54658776458441594</v>
      </c>
      <c r="AC182">
        <f t="shared" si="84"/>
        <v>0</v>
      </c>
      <c r="AE182">
        <f>$B$5*'5 Year Rainfall Simulation'!E183/1000</f>
        <v>0</v>
      </c>
      <c r="AF182">
        <f t="shared" si="71"/>
        <v>0</v>
      </c>
      <c r="AG182">
        <f t="shared" si="72"/>
        <v>0.62</v>
      </c>
      <c r="AH182">
        <f t="shared" si="73"/>
        <v>-0.62</v>
      </c>
      <c r="AI182">
        <f t="shared" si="85"/>
        <v>24.309692668748554</v>
      </c>
      <c r="AJ182">
        <f t="shared" si="74"/>
        <v>0</v>
      </c>
      <c r="AK182">
        <f t="shared" si="86"/>
        <v>0</v>
      </c>
      <c r="AM182">
        <f>$B$5*'5 Year Rainfall Simulation'!F183/1000</f>
        <v>1.7950072836478668</v>
      </c>
      <c r="AN182">
        <f t="shared" si="75"/>
        <v>1.7950072836478668</v>
      </c>
      <c r="AO182">
        <f t="shared" si="76"/>
        <v>0.62</v>
      </c>
      <c r="AP182">
        <f t="shared" si="77"/>
        <v>1.1750072836478669</v>
      </c>
      <c r="AQ182">
        <f t="shared" si="87"/>
        <v>34.336777592993997</v>
      </c>
      <c r="AR182">
        <f t="shared" si="78"/>
        <v>1.0610952022358466</v>
      </c>
      <c r="AS182">
        <f t="shared" si="88"/>
        <v>0</v>
      </c>
    </row>
    <row r="183" spans="6:45" ht="18" customHeight="1">
      <c r="F183" s="109">
        <v>44740</v>
      </c>
      <c r="G183">
        <f>B$5*'5 Year Rainfall Simulation'!B184/1000</f>
        <v>4.0799999999999992</v>
      </c>
      <c r="H183">
        <f t="shared" si="60"/>
        <v>4.0799999999999992</v>
      </c>
      <c r="I183">
        <f t="shared" si="89"/>
        <v>0.62</v>
      </c>
      <c r="J183">
        <f t="shared" si="61"/>
        <v>3.4599999999999991</v>
      </c>
      <c r="K183">
        <f t="shared" si="79"/>
        <v>32.539999999999985</v>
      </c>
      <c r="L183">
        <f t="shared" si="62"/>
        <v>2.4118389181820956</v>
      </c>
      <c r="M183">
        <f t="shared" si="80"/>
        <v>0</v>
      </c>
      <c r="O183">
        <f>$B$5*'5 Year Rainfall Simulation'!C184/1000</f>
        <v>0</v>
      </c>
      <c r="P183">
        <f t="shared" si="63"/>
        <v>0</v>
      </c>
      <c r="Q183">
        <f t="shared" si="64"/>
        <v>0.62</v>
      </c>
      <c r="R183">
        <f t="shared" si="65"/>
        <v>-0.62</v>
      </c>
      <c r="S183">
        <f t="shared" si="81"/>
        <v>8.3800000000000043</v>
      </c>
      <c r="T183">
        <f t="shared" si="66"/>
        <v>0</v>
      </c>
      <c r="U183">
        <f t="shared" si="82"/>
        <v>0</v>
      </c>
      <c r="W183">
        <f>$B$5*'5 Year Rainfall Simulation'!D184/1000</f>
        <v>4.0999646154098199</v>
      </c>
      <c r="X183">
        <f t="shared" si="67"/>
        <v>4.0999646154098199</v>
      </c>
      <c r="Y183">
        <f t="shared" si="68"/>
        <v>0.62</v>
      </c>
      <c r="Z183">
        <f t="shared" si="69"/>
        <v>3.4799646154098198</v>
      </c>
      <c r="AA183">
        <f t="shared" si="83"/>
        <v>33.379616516734167</v>
      </c>
      <c r="AB183">
        <f t="shared" si="70"/>
        <v>2.423640740836984</v>
      </c>
      <c r="AC183">
        <f t="shared" si="84"/>
        <v>0</v>
      </c>
      <c r="AE183">
        <f>$B$5*'5 Year Rainfall Simulation'!E184/1000</f>
        <v>0</v>
      </c>
      <c r="AF183">
        <f t="shared" si="71"/>
        <v>0</v>
      </c>
      <c r="AG183">
        <f t="shared" si="72"/>
        <v>0.62</v>
      </c>
      <c r="AH183">
        <f t="shared" si="73"/>
        <v>-0.62</v>
      </c>
      <c r="AI183">
        <f t="shared" si="85"/>
        <v>23.689692668748553</v>
      </c>
      <c r="AJ183">
        <f t="shared" si="74"/>
        <v>0</v>
      </c>
      <c r="AK183">
        <f t="shared" si="86"/>
        <v>0</v>
      </c>
      <c r="AM183">
        <f>$B$5*'5 Year Rainfall Simulation'!F184/1000</f>
        <v>1.3820917549908849</v>
      </c>
      <c r="AN183">
        <f t="shared" si="75"/>
        <v>1.3820917549908849</v>
      </c>
      <c r="AO183">
        <f t="shared" si="76"/>
        <v>0.62</v>
      </c>
      <c r="AP183">
        <f t="shared" si="77"/>
        <v>0.76209175499088488</v>
      </c>
      <c r="AQ183">
        <f t="shared" si="87"/>
        <v>35</v>
      </c>
      <c r="AR183">
        <f t="shared" si="78"/>
        <v>0.81700555960431631</v>
      </c>
      <c r="AS183">
        <f t="shared" si="88"/>
        <v>0</v>
      </c>
    </row>
    <row r="184" spans="6:45" ht="18" customHeight="1">
      <c r="F184" s="109">
        <v>44741</v>
      </c>
      <c r="G184">
        <f>B$5*'5 Year Rainfall Simulation'!B185/1000</f>
        <v>0.12</v>
      </c>
      <c r="H184">
        <f t="shared" si="60"/>
        <v>0.12</v>
      </c>
      <c r="I184">
        <f t="shared" si="89"/>
        <v>0.62</v>
      </c>
      <c r="J184">
        <f t="shared" si="61"/>
        <v>-0.5</v>
      </c>
      <c r="K184">
        <f t="shared" si="79"/>
        <v>32.039999999999985</v>
      </c>
      <c r="L184">
        <f t="shared" si="62"/>
        <v>7.0936438770061644E-2</v>
      </c>
      <c r="M184">
        <f t="shared" si="80"/>
        <v>0</v>
      </c>
      <c r="O184">
        <f>$B$5*'5 Year Rainfall Simulation'!C185/1000</f>
        <v>0</v>
      </c>
      <c r="P184">
        <f t="shared" si="63"/>
        <v>0</v>
      </c>
      <c r="Q184">
        <f t="shared" si="64"/>
        <v>0.62</v>
      </c>
      <c r="R184">
        <f t="shared" si="65"/>
        <v>-0.62</v>
      </c>
      <c r="S184">
        <f t="shared" si="81"/>
        <v>7.7600000000000042</v>
      </c>
      <c r="T184">
        <f t="shared" si="66"/>
        <v>0</v>
      </c>
      <c r="U184">
        <f t="shared" si="82"/>
        <v>0</v>
      </c>
      <c r="W184">
        <f>$B$5*'5 Year Rainfall Simulation'!D185/1000</f>
        <v>0.42380081600092695</v>
      </c>
      <c r="X184">
        <f t="shared" si="67"/>
        <v>0.42380081600092695</v>
      </c>
      <c r="Y184">
        <f t="shared" si="68"/>
        <v>0.62</v>
      </c>
      <c r="Z184">
        <f t="shared" si="69"/>
        <v>-0.19619918399907305</v>
      </c>
      <c r="AA184">
        <f t="shared" si="83"/>
        <v>33.183417332735097</v>
      </c>
      <c r="AB184">
        <f t="shared" si="70"/>
        <v>0.25052433862459933</v>
      </c>
      <c r="AC184">
        <f t="shared" si="84"/>
        <v>0</v>
      </c>
      <c r="AE184">
        <f>$B$5*'5 Year Rainfall Simulation'!E185/1000</f>
        <v>0</v>
      </c>
      <c r="AF184">
        <f t="shared" si="71"/>
        <v>0</v>
      </c>
      <c r="AG184">
        <f t="shared" si="72"/>
        <v>0.62</v>
      </c>
      <c r="AH184">
        <f t="shared" si="73"/>
        <v>-0.62</v>
      </c>
      <c r="AI184">
        <f t="shared" si="85"/>
        <v>23.069692668748552</v>
      </c>
      <c r="AJ184">
        <f t="shared" si="74"/>
        <v>0</v>
      </c>
      <c r="AK184">
        <f t="shared" si="86"/>
        <v>0</v>
      </c>
      <c r="AM184">
        <f>$B$5*'5 Year Rainfall Simulation'!F185/1000</f>
        <v>0</v>
      </c>
      <c r="AN184">
        <f t="shared" si="75"/>
        <v>0</v>
      </c>
      <c r="AO184">
        <f t="shared" si="76"/>
        <v>0.62</v>
      </c>
      <c r="AP184">
        <f t="shared" si="77"/>
        <v>-0.62</v>
      </c>
      <c r="AQ184">
        <f t="shared" si="87"/>
        <v>34.380000000000003</v>
      </c>
      <c r="AR184">
        <f t="shared" si="78"/>
        <v>0</v>
      </c>
      <c r="AS184">
        <f t="shared" si="88"/>
        <v>0</v>
      </c>
    </row>
    <row r="185" spans="6:45" ht="18" customHeight="1">
      <c r="F185" s="109">
        <v>44742</v>
      </c>
      <c r="G185">
        <f>B$5*'5 Year Rainfall Simulation'!B186/1000</f>
        <v>0</v>
      </c>
      <c r="H185">
        <f t="shared" si="60"/>
        <v>0</v>
      </c>
      <c r="I185">
        <f t="shared" si="89"/>
        <v>0.62</v>
      </c>
      <c r="J185">
        <f t="shared" si="61"/>
        <v>-0.62</v>
      </c>
      <c r="K185">
        <f t="shared" si="79"/>
        <v>31.419999999999984</v>
      </c>
      <c r="L185">
        <f t="shared" si="62"/>
        <v>0</v>
      </c>
      <c r="M185">
        <f t="shared" si="80"/>
        <v>0</v>
      </c>
      <c r="O185">
        <f>$B$5*'5 Year Rainfall Simulation'!C186/1000</f>
        <v>0</v>
      </c>
      <c r="P185">
        <f t="shared" si="63"/>
        <v>0</v>
      </c>
      <c r="Q185">
        <f t="shared" si="64"/>
        <v>0.62</v>
      </c>
      <c r="R185">
        <f t="shared" si="65"/>
        <v>-0.62</v>
      </c>
      <c r="S185">
        <f t="shared" si="81"/>
        <v>7.1400000000000041</v>
      </c>
      <c r="T185">
        <f t="shared" si="66"/>
        <v>0</v>
      </c>
      <c r="U185">
        <f t="shared" si="82"/>
        <v>0</v>
      </c>
      <c r="W185">
        <f>$B$5*'5 Year Rainfall Simulation'!D186/1000</f>
        <v>1.6899257637858018</v>
      </c>
      <c r="X185">
        <f t="shared" si="67"/>
        <v>1.6899257637858018</v>
      </c>
      <c r="Y185">
        <f t="shared" si="68"/>
        <v>0.62</v>
      </c>
      <c r="Z185">
        <f t="shared" si="69"/>
        <v>1.0699257637858017</v>
      </c>
      <c r="AA185">
        <f t="shared" si="83"/>
        <v>34.253343096520901</v>
      </c>
      <c r="AB185">
        <f t="shared" si="70"/>
        <v>0.9989776289061767</v>
      </c>
      <c r="AC185">
        <f t="shared" si="84"/>
        <v>0</v>
      </c>
      <c r="AE185">
        <f>$B$5*'5 Year Rainfall Simulation'!E186/1000</f>
        <v>0</v>
      </c>
      <c r="AF185">
        <f t="shared" si="71"/>
        <v>0</v>
      </c>
      <c r="AG185">
        <f t="shared" si="72"/>
        <v>0.62</v>
      </c>
      <c r="AH185">
        <f t="shared" si="73"/>
        <v>-0.62</v>
      </c>
      <c r="AI185">
        <f t="shared" si="85"/>
        <v>22.449692668748551</v>
      </c>
      <c r="AJ185">
        <f t="shared" si="74"/>
        <v>0</v>
      </c>
      <c r="AK185">
        <f t="shared" si="86"/>
        <v>0</v>
      </c>
      <c r="AM185">
        <f>$B$5*'5 Year Rainfall Simulation'!F186/1000</f>
        <v>1.3431222876871143</v>
      </c>
      <c r="AN185">
        <f t="shared" si="75"/>
        <v>1.3431222876871143</v>
      </c>
      <c r="AO185">
        <f t="shared" si="76"/>
        <v>0.62</v>
      </c>
      <c r="AP185">
        <f t="shared" si="77"/>
        <v>0.72312228768711428</v>
      </c>
      <c r="AQ185">
        <f t="shared" si="87"/>
        <v>35</v>
      </c>
      <c r="AR185">
        <f t="shared" si="78"/>
        <v>0.79396926601018425</v>
      </c>
      <c r="AS185">
        <f t="shared" si="88"/>
        <v>0</v>
      </c>
    </row>
    <row r="186" spans="6:45" ht="18" customHeight="1">
      <c r="F186" s="109">
        <v>44743</v>
      </c>
      <c r="G186">
        <f>B$5*'5 Year Rainfall Simulation'!B187/1000</f>
        <v>0</v>
      </c>
      <c r="H186">
        <f t="shared" si="60"/>
        <v>0</v>
      </c>
      <c r="I186">
        <f t="shared" si="89"/>
        <v>0.62</v>
      </c>
      <c r="J186">
        <f t="shared" si="61"/>
        <v>-0.62</v>
      </c>
      <c r="K186">
        <f t="shared" si="79"/>
        <v>30.799999999999983</v>
      </c>
      <c r="L186">
        <f t="shared" si="62"/>
        <v>0</v>
      </c>
      <c r="M186">
        <f t="shared" si="80"/>
        <v>0</v>
      </c>
      <c r="O186">
        <f>$B$5*'5 Year Rainfall Simulation'!C187/1000</f>
        <v>0</v>
      </c>
      <c r="P186">
        <f t="shared" si="63"/>
        <v>0</v>
      </c>
      <c r="Q186">
        <f t="shared" si="64"/>
        <v>0.62</v>
      </c>
      <c r="R186">
        <f t="shared" si="65"/>
        <v>-0.62</v>
      </c>
      <c r="S186">
        <f t="shared" si="81"/>
        <v>6.520000000000004</v>
      </c>
      <c r="T186">
        <f t="shared" si="66"/>
        <v>0</v>
      </c>
      <c r="U186">
        <f t="shared" si="82"/>
        <v>0</v>
      </c>
      <c r="W186">
        <f>$B$5*'5 Year Rainfall Simulation'!D187/1000</f>
        <v>0</v>
      </c>
      <c r="X186">
        <f t="shared" si="67"/>
        <v>0</v>
      </c>
      <c r="Y186">
        <f t="shared" si="68"/>
        <v>0.62</v>
      </c>
      <c r="Z186">
        <f t="shared" si="69"/>
        <v>-0.62</v>
      </c>
      <c r="AA186">
        <f t="shared" si="83"/>
        <v>33.633343096520903</v>
      </c>
      <c r="AB186">
        <f t="shared" si="70"/>
        <v>0</v>
      </c>
      <c r="AC186">
        <f t="shared" si="84"/>
        <v>0</v>
      </c>
      <c r="AE186">
        <f>$B$5*'5 Year Rainfall Simulation'!E187/1000</f>
        <v>0.29587997408683997</v>
      </c>
      <c r="AF186">
        <f t="shared" si="71"/>
        <v>0.29587997408683997</v>
      </c>
      <c r="AG186">
        <f t="shared" si="72"/>
        <v>0.62</v>
      </c>
      <c r="AH186">
        <f t="shared" si="73"/>
        <v>-0.32412002591316003</v>
      </c>
      <c r="AI186">
        <f t="shared" si="85"/>
        <v>22.12557264283539</v>
      </c>
      <c r="AJ186">
        <f t="shared" si="74"/>
        <v>0.17490559720915461</v>
      </c>
      <c r="AK186">
        <f t="shared" si="86"/>
        <v>0</v>
      </c>
      <c r="AM186">
        <f>$B$5*'5 Year Rainfall Simulation'!F187/1000</f>
        <v>0</v>
      </c>
      <c r="AN186">
        <f t="shared" si="75"/>
        <v>0</v>
      </c>
      <c r="AO186">
        <f t="shared" si="76"/>
        <v>0.62</v>
      </c>
      <c r="AP186">
        <f t="shared" si="77"/>
        <v>-0.62</v>
      </c>
      <c r="AQ186">
        <f t="shared" si="87"/>
        <v>34.380000000000003</v>
      </c>
      <c r="AR186">
        <f t="shared" si="78"/>
        <v>0</v>
      </c>
      <c r="AS186">
        <f t="shared" si="88"/>
        <v>0</v>
      </c>
    </row>
    <row r="187" spans="6:45" ht="18" customHeight="1">
      <c r="F187" s="109">
        <v>44744</v>
      </c>
      <c r="G187">
        <f>B$5*'5 Year Rainfall Simulation'!B188/1000</f>
        <v>0.36</v>
      </c>
      <c r="H187">
        <f t="shared" si="60"/>
        <v>0.36</v>
      </c>
      <c r="I187">
        <f t="shared" si="89"/>
        <v>0.62</v>
      </c>
      <c r="J187">
        <f t="shared" si="61"/>
        <v>-0.26</v>
      </c>
      <c r="K187">
        <f t="shared" si="79"/>
        <v>30.539999999999981</v>
      </c>
      <c r="L187">
        <f t="shared" si="62"/>
        <v>0.21280931631018496</v>
      </c>
      <c r="M187">
        <f t="shared" si="80"/>
        <v>0</v>
      </c>
      <c r="O187">
        <f>$B$5*'5 Year Rainfall Simulation'!C188/1000</f>
        <v>0</v>
      </c>
      <c r="P187">
        <f t="shared" si="63"/>
        <v>0</v>
      </c>
      <c r="Q187">
        <f t="shared" si="64"/>
        <v>0.62</v>
      </c>
      <c r="R187">
        <f t="shared" si="65"/>
        <v>-0.62</v>
      </c>
      <c r="S187">
        <f t="shared" si="81"/>
        <v>5.9000000000000039</v>
      </c>
      <c r="T187">
        <f t="shared" si="66"/>
        <v>0</v>
      </c>
      <c r="U187">
        <f t="shared" si="82"/>
        <v>0</v>
      </c>
      <c r="W187">
        <f>$B$5*'5 Year Rainfall Simulation'!D188/1000</f>
        <v>0</v>
      </c>
      <c r="X187">
        <f t="shared" si="67"/>
        <v>0</v>
      </c>
      <c r="Y187">
        <f t="shared" si="68"/>
        <v>0.62</v>
      </c>
      <c r="Z187">
        <f t="shared" si="69"/>
        <v>-0.62</v>
      </c>
      <c r="AA187">
        <f t="shared" si="83"/>
        <v>33.013343096520906</v>
      </c>
      <c r="AB187">
        <f t="shared" si="70"/>
        <v>0</v>
      </c>
      <c r="AC187">
        <f t="shared" si="84"/>
        <v>0</v>
      </c>
      <c r="AE187">
        <f>$B$5*'5 Year Rainfall Simulation'!E188/1000</f>
        <v>0</v>
      </c>
      <c r="AF187">
        <f t="shared" si="71"/>
        <v>0</v>
      </c>
      <c r="AG187">
        <f t="shared" si="72"/>
        <v>0.62</v>
      </c>
      <c r="AH187">
        <f t="shared" si="73"/>
        <v>-0.62</v>
      </c>
      <c r="AI187">
        <f t="shared" si="85"/>
        <v>21.505572642835389</v>
      </c>
      <c r="AJ187">
        <f t="shared" si="74"/>
        <v>0</v>
      </c>
      <c r="AK187">
        <f t="shared" si="86"/>
        <v>0</v>
      </c>
      <c r="AM187">
        <f>$B$5*'5 Year Rainfall Simulation'!F188/1000</f>
        <v>0</v>
      </c>
      <c r="AN187">
        <f t="shared" si="75"/>
        <v>0</v>
      </c>
      <c r="AO187">
        <f t="shared" si="76"/>
        <v>0.62</v>
      </c>
      <c r="AP187">
        <f t="shared" si="77"/>
        <v>-0.62</v>
      </c>
      <c r="AQ187">
        <f t="shared" si="87"/>
        <v>33.760000000000005</v>
      </c>
      <c r="AR187">
        <f t="shared" si="78"/>
        <v>0</v>
      </c>
      <c r="AS187">
        <f t="shared" si="88"/>
        <v>0</v>
      </c>
    </row>
    <row r="188" spans="6:45" ht="18" customHeight="1">
      <c r="F188" s="109">
        <v>44745</v>
      </c>
      <c r="G188">
        <f>B$5*'5 Year Rainfall Simulation'!B189/1000</f>
        <v>1.24</v>
      </c>
      <c r="H188">
        <f t="shared" si="60"/>
        <v>1.24</v>
      </c>
      <c r="I188">
        <f t="shared" si="89"/>
        <v>0.62</v>
      </c>
      <c r="J188">
        <f t="shared" si="61"/>
        <v>0.62</v>
      </c>
      <c r="K188">
        <f t="shared" si="79"/>
        <v>31.159999999999982</v>
      </c>
      <c r="L188">
        <f t="shared" si="62"/>
        <v>0.73300986729063711</v>
      </c>
      <c r="M188">
        <f t="shared" si="80"/>
        <v>0</v>
      </c>
      <c r="O188">
        <f>$B$5*'5 Year Rainfall Simulation'!C189/1000</f>
        <v>0</v>
      </c>
      <c r="P188">
        <f t="shared" si="63"/>
        <v>0</v>
      </c>
      <c r="Q188">
        <f t="shared" si="64"/>
        <v>0.62</v>
      </c>
      <c r="R188">
        <f t="shared" si="65"/>
        <v>-0.62</v>
      </c>
      <c r="S188">
        <f t="shared" si="81"/>
        <v>5.2800000000000038</v>
      </c>
      <c r="T188">
        <f t="shared" si="66"/>
        <v>0</v>
      </c>
      <c r="U188">
        <f t="shared" si="82"/>
        <v>0</v>
      </c>
      <c r="W188">
        <f>$B$5*'5 Year Rainfall Simulation'!D189/1000</f>
        <v>0</v>
      </c>
      <c r="X188">
        <f t="shared" si="67"/>
        <v>0</v>
      </c>
      <c r="Y188">
        <f t="shared" si="68"/>
        <v>0.62</v>
      </c>
      <c r="Z188">
        <f t="shared" si="69"/>
        <v>-0.62</v>
      </c>
      <c r="AA188">
        <f t="shared" si="83"/>
        <v>32.393343096520908</v>
      </c>
      <c r="AB188">
        <f t="shared" si="70"/>
        <v>0</v>
      </c>
      <c r="AC188">
        <f t="shared" si="84"/>
        <v>0</v>
      </c>
      <c r="AE188">
        <f>$B$5*'5 Year Rainfall Simulation'!E189/1000</f>
        <v>0</v>
      </c>
      <c r="AF188">
        <f t="shared" si="71"/>
        <v>0</v>
      </c>
      <c r="AG188">
        <f t="shared" si="72"/>
        <v>0.62</v>
      </c>
      <c r="AH188">
        <f t="shared" si="73"/>
        <v>-0.62</v>
      </c>
      <c r="AI188">
        <f t="shared" si="85"/>
        <v>20.885572642835388</v>
      </c>
      <c r="AJ188">
        <f t="shared" si="74"/>
        <v>0</v>
      </c>
      <c r="AK188">
        <f t="shared" si="86"/>
        <v>0</v>
      </c>
      <c r="AM188">
        <f>$B$5*'5 Year Rainfall Simulation'!F189/1000</f>
        <v>0</v>
      </c>
      <c r="AN188">
        <f t="shared" si="75"/>
        <v>0</v>
      </c>
      <c r="AO188">
        <f t="shared" si="76"/>
        <v>0.62</v>
      </c>
      <c r="AP188">
        <f t="shared" si="77"/>
        <v>-0.62</v>
      </c>
      <c r="AQ188">
        <f t="shared" si="87"/>
        <v>33.140000000000008</v>
      </c>
      <c r="AR188">
        <f t="shared" si="78"/>
        <v>0</v>
      </c>
      <c r="AS188">
        <f t="shared" si="88"/>
        <v>0</v>
      </c>
    </row>
    <row r="189" spans="6:45" ht="18" customHeight="1">
      <c r="F189" s="109">
        <v>44746</v>
      </c>
      <c r="G189">
        <f>B$5*'5 Year Rainfall Simulation'!B190/1000</f>
        <v>1.88</v>
      </c>
      <c r="H189">
        <f t="shared" si="60"/>
        <v>1.88</v>
      </c>
      <c r="I189">
        <f t="shared" si="89"/>
        <v>0.62</v>
      </c>
      <c r="J189">
        <f t="shared" si="61"/>
        <v>1.2599999999999998</v>
      </c>
      <c r="K189">
        <f t="shared" si="79"/>
        <v>32.41999999999998</v>
      </c>
      <c r="L189">
        <f t="shared" si="62"/>
        <v>1.1113375407309658</v>
      </c>
      <c r="M189">
        <f t="shared" si="80"/>
        <v>0</v>
      </c>
      <c r="O189">
        <f>$B$5*'5 Year Rainfall Simulation'!C190/1000</f>
        <v>0</v>
      </c>
      <c r="P189">
        <f t="shared" si="63"/>
        <v>0</v>
      </c>
      <c r="Q189">
        <f t="shared" si="64"/>
        <v>0.62</v>
      </c>
      <c r="R189">
        <f t="shared" si="65"/>
        <v>-0.62</v>
      </c>
      <c r="S189">
        <f t="shared" si="81"/>
        <v>4.6600000000000037</v>
      </c>
      <c r="T189">
        <f t="shared" si="66"/>
        <v>0</v>
      </c>
      <c r="U189">
        <f t="shared" si="82"/>
        <v>0</v>
      </c>
      <c r="W189">
        <f>$B$5*'5 Year Rainfall Simulation'!D190/1000</f>
        <v>0</v>
      </c>
      <c r="X189">
        <f t="shared" si="67"/>
        <v>0</v>
      </c>
      <c r="Y189">
        <f t="shared" si="68"/>
        <v>0.62</v>
      </c>
      <c r="Z189">
        <f t="shared" si="69"/>
        <v>-0.62</v>
      </c>
      <c r="AA189">
        <f t="shared" si="83"/>
        <v>31.773343096520907</v>
      </c>
      <c r="AB189">
        <f t="shared" si="70"/>
        <v>0</v>
      </c>
      <c r="AC189">
        <f t="shared" si="84"/>
        <v>0</v>
      </c>
      <c r="AE189">
        <f>$B$5*'5 Year Rainfall Simulation'!E190/1000</f>
        <v>0</v>
      </c>
      <c r="AF189">
        <f t="shared" si="71"/>
        <v>0</v>
      </c>
      <c r="AG189">
        <f t="shared" si="72"/>
        <v>0.62</v>
      </c>
      <c r="AH189">
        <f t="shared" si="73"/>
        <v>-0.62</v>
      </c>
      <c r="AI189">
        <f t="shared" si="85"/>
        <v>20.265572642835387</v>
      </c>
      <c r="AJ189">
        <f t="shared" si="74"/>
        <v>0</v>
      </c>
      <c r="AK189">
        <f t="shared" si="86"/>
        <v>0</v>
      </c>
      <c r="AM189">
        <f>$B$5*'5 Year Rainfall Simulation'!F190/1000</f>
        <v>1.0598195170073015</v>
      </c>
      <c r="AN189">
        <f t="shared" si="75"/>
        <v>1.0598195170073015</v>
      </c>
      <c r="AO189">
        <f t="shared" si="76"/>
        <v>0.62</v>
      </c>
      <c r="AP189">
        <f t="shared" si="77"/>
        <v>0.43981951700730149</v>
      </c>
      <c r="AQ189">
        <f t="shared" si="87"/>
        <v>33.579819517007309</v>
      </c>
      <c r="AR189">
        <f t="shared" si="78"/>
        <v>0.62649851896253961</v>
      </c>
      <c r="AS189">
        <f t="shared" si="88"/>
        <v>0</v>
      </c>
    </row>
    <row r="190" spans="6:45" ht="18" customHeight="1">
      <c r="F190" s="109">
        <v>44747</v>
      </c>
      <c r="G190">
        <f>B$5*'5 Year Rainfall Simulation'!B191/1000</f>
        <v>5.32</v>
      </c>
      <c r="H190">
        <f t="shared" si="60"/>
        <v>5.32</v>
      </c>
      <c r="I190">
        <f t="shared" si="89"/>
        <v>0.62</v>
      </c>
      <c r="J190">
        <f t="shared" si="61"/>
        <v>4.7</v>
      </c>
      <c r="K190">
        <f t="shared" si="79"/>
        <v>35</v>
      </c>
      <c r="L190">
        <f t="shared" si="62"/>
        <v>3.1448487854727336</v>
      </c>
      <c r="M190">
        <f t="shared" si="80"/>
        <v>0</v>
      </c>
      <c r="O190">
        <f>$B$5*'5 Year Rainfall Simulation'!C191/1000</f>
        <v>0</v>
      </c>
      <c r="P190">
        <f t="shared" si="63"/>
        <v>0</v>
      </c>
      <c r="Q190">
        <f t="shared" si="64"/>
        <v>0.62</v>
      </c>
      <c r="R190">
        <f t="shared" si="65"/>
        <v>-0.62</v>
      </c>
      <c r="S190">
        <f t="shared" si="81"/>
        <v>4.0400000000000036</v>
      </c>
      <c r="T190">
        <f t="shared" si="66"/>
        <v>0</v>
      </c>
      <c r="U190">
        <f t="shared" si="82"/>
        <v>0</v>
      </c>
      <c r="W190">
        <f>$B$5*'5 Year Rainfall Simulation'!D191/1000</f>
        <v>3.8277975851979242</v>
      </c>
      <c r="X190">
        <f t="shared" si="67"/>
        <v>3.8277975851979242</v>
      </c>
      <c r="Y190">
        <f t="shared" si="68"/>
        <v>0.62</v>
      </c>
      <c r="Z190">
        <f t="shared" si="69"/>
        <v>3.2077975851979241</v>
      </c>
      <c r="AA190">
        <f t="shared" si="83"/>
        <v>34.981140681718834</v>
      </c>
      <c r="AB190">
        <f t="shared" si="70"/>
        <v>2.2627527418881868</v>
      </c>
      <c r="AC190">
        <f t="shared" si="84"/>
        <v>0</v>
      </c>
      <c r="AE190">
        <f>$B$5*'5 Year Rainfall Simulation'!E191/1000</f>
        <v>1.7291176196606797</v>
      </c>
      <c r="AF190">
        <f t="shared" si="71"/>
        <v>1.7291176196606797</v>
      </c>
      <c r="AG190">
        <f t="shared" si="72"/>
        <v>0.62</v>
      </c>
      <c r="AH190">
        <f t="shared" si="73"/>
        <v>1.1091176196606796</v>
      </c>
      <c r="AI190">
        <f t="shared" si="85"/>
        <v>21.374690262496067</v>
      </c>
      <c r="AJ190">
        <f t="shared" si="74"/>
        <v>1.022145384610788</v>
      </c>
      <c r="AK190">
        <f t="shared" si="86"/>
        <v>0</v>
      </c>
      <c r="AM190">
        <f>$B$5*'5 Year Rainfall Simulation'!F191/1000</f>
        <v>2.1662684233786598</v>
      </c>
      <c r="AN190">
        <f t="shared" si="75"/>
        <v>2.1662684233786598</v>
      </c>
      <c r="AO190">
        <f t="shared" si="76"/>
        <v>0.62</v>
      </c>
      <c r="AP190">
        <f t="shared" si="77"/>
        <v>1.5462684233786597</v>
      </c>
      <c r="AQ190">
        <f t="shared" si="87"/>
        <v>35</v>
      </c>
      <c r="AR190">
        <f t="shared" si="78"/>
        <v>1.2805613947876524</v>
      </c>
      <c r="AS190">
        <f t="shared" si="88"/>
        <v>0</v>
      </c>
    </row>
    <row r="191" spans="6:45" ht="18" customHeight="1">
      <c r="F191" s="109">
        <v>44748</v>
      </c>
      <c r="G191">
        <f>B$5*'5 Year Rainfall Simulation'!B192/1000</f>
        <v>2.72</v>
      </c>
      <c r="H191">
        <f t="shared" si="60"/>
        <v>2.72</v>
      </c>
      <c r="I191">
        <f t="shared" si="89"/>
        <v>0.62</v>
      </c>
      <c r="J191">
        <f t="shared" si="61"/>
        <v>2.1</v>
      </c>
      <c r="K191">
        <f t="shared" si="79"/>
        <v>35</v>
      </c>
      <c r="L191">
        <f t="shared" si="62"/>
        <v>1.6078926121213977</v>
      </c>
      <c r="M191">
        <f t="shared" si="80"/>
        <v>0</v>
      </c>
      <c r="O191">
        <f>$B$5*'5 Year Rainfall Simulation'!C192/1000</f>
        <v>0</v>
      </c>
      <c r="P191">
        <f t="shared" si="63"/>
        <v>0</v>
      </c>
      <c r="Q191">
        <f t="shared" si="64"/>
        <v>0.62</v>
      </c>
      <c r="R191">
        <f t="shared" si="65"/>
        <v>-0.62</v>
      </c>
      <c r="S191">
        <f t="shared" si="81"/>
        <v>3.4200000000000035</v>
      </c>
      <c r="T191">
        <f t="shared" si="66"/>
        <v>0</v>
      </c>
      <c r="U191">
        <f t="shared" si="82"/>
        <v>0</v>
      </c>
      <c r="W191">
        <f>$B$5*'5 Year Rainfall Simulation'!D192/1000</f>
        <v>3.5975906650932963</v>
      </c>
      <c r="X191">
        <f t="shared" si="67"/>
        <v>3.5975906650932963</v>
      </c>
      <c r="Y191">
        <f t="shared" si="68"/>
        <v>0.62</v>
      </c>
      <c r="Z191">
        <f t="shared" si="69"/>
        <v>2.9775906650932962</v>
      </c>
      <c r="AA191">
        <f t="shared" si="83"/>
        <v>35</v>
      </c>
      <c r="AB191">
        <f t="shared" si="70"/>
        <v>2.1266689161177998</v>
      </c>
      <c r="AC191">
        <f t="shared" si="84"/>
        <v>0</v>
      </c>
      <c r="AE191">
        <f>$B$5*'5 Year Rainfall Simulation'!E192/1000</f>
        <v>0</v>
      </c>
      <c r="AF191">
        <f t="shared" si="71"/>
        <v>0</v>
      </c>
      <c r="AG191">
        <f t="shared" si="72"/>
        <v>0.62</v>
      </c>
      <c r="AH191">
        <f t="shared" si="73"/>
        <v>-0.62</v>
      </c>
      <c r="AI191">
        <f t="shared" si="85"/>
        <v>20.754690262496066</v>
      </c>
      <c r="AJ191">
        <f t="shared" si="74"/>
        <v>0</v>
      </c>
      <c r="AK191">
        <f t="shared" si="86"/>
        <v>0</v>
      </c>
      <c r="AM191">
        <f>$B$5*'5 Year Rainfall Simulation'!F192/1000</f>
        <v>3.5363359750084022</v>
      </c>
      <c r="AN191">
        <f t="shared" si="75"/>
        <v>3.5363359750084022</v>
      </c>
      <c r="AO191">
        <f t="shared" si="76"/>
        <v>0.62</v>
      </c>
      <c r="AP191">
        <f t="shared" si="77"/>
        <v>2.9163359750084021</v>
      </c>
      <c r="AQ191">
        <f t="shared" si="87"/>
        <v>35</v>
      </c>
      <c r="AR191">
        <f t="shared" si="78"/>
        <v>2.0904590030129149</v>
      </c>
      <c r="AS191">
        <f t="shared" si="88"/>
        <v>0</v>
      </c>
    </row>
    <row r="192" spans="6:45" ht="18" customHeight="1">
      <c r="F192" s="109">
        <v>44749</v>
      </c>
      <c r="G192">
        <f>B$5*'5 Year Rainfall Simulation'!B193/1000</f>
        <v>0</v>
      </c>
      <c r="H192">
        <f t="shared" si="60"/>
        <v>0</v>
      </c>
      <c r="I192">
        <f t="shared" si="89"/>
        <v>0.62</v>
      </c>
      <c r="J192">
        <f t="shared" si="61"/>
        <v>-0.62</v>
      </c>
      <c r="K192">
        <f t="shared" si="79"/>
        <v>34.380000000000003</v>
      </c>
      <c r="L192">
        <f t="shared" si="62"/>
        <v>0</v>
      </c>
      <c r="M192">
        <f t="shared" si="80"/>
        <v>0</v>
      </c>
      <c r="O192">
        <f>$B$5*'5 Year Rainfall Simulation'!C193/1000</f>
        <v>0.04</v>
      </c>
      <c r="P192">
        <f t="shared" si="63"/>
        <v>0.04</v>
      </c>
      <c r="Q192">
        <f t="shared" si="64"/>
        <v>0.62</v>
      </c>
      <c r="R192">
        <f t="shared" si="65"/>
        <v>-0.57999999999999996</v>
      </c>
      <c r="S192">
        <f t="shared" si="81"/>
        <v>2.8400000000000034</v>
      </c>
      <c r="T192">
        <f t="shared" si="66"/>
        <v>2.364547959002055E-2</v>
      </c>
      <c r="U192">
        <f t="shared" si="82"/>
        <v>0</v>
      </c>
      <c r="W192">
        <f>$B$5*'5 Year Rainfall Simulation'!D193/1000</f>
        <v>0.10302354511999012</v>
      </c>
      <c r="X192">
        <f t="shared" si="67"/>
        <v>0.10302354511999012</v>
      </c>
      <c r="Y192">
        <f t="shared" si="68"/>
        <v>0.62</v>
      </c>
      <c r="Z192">
        <f t="shared" si="69"/>
        <v>-0.51697645488000987</v>
      </c>
      <c r="AA192">
        <f t="shared" si="83"/>
        <v>34.483023545119991</v>
      </c>
      <c r="AB192">
        <f t="shared" si="70"/>
        <v>6.0901028335657192E-2</v>
      </c>
      <c r="AC192">
        <f t="shared" si="84"/>
        <v>0</v>
      </c>
      <c r="AE192">
        <f>$B$5*'5 Year Rainfall Simulation'!E193/1000</f>
        <v>0.94060001046085639</v>
      </c>
      <c r="AF192">
        <f t="shared" si="71"/>
        <v>0.94060001046085639</v>
      </c>
      <c r="AG192">
        <f t="shared" si="72"/>
        <v>0.62</v>
      </c>
      <c r="AH192">
        <f t="shared" si="73"/>
        <v>0.3206000104608564</v>
      </c>
      <c r="AI192">
        <f t="shared" si="85"/>
        <v>21.075290272956924</v>
      </c>
      <c r="AJ192">
        <f t="shared" si="74"/>
        <v>0.55602345874313241</v>
      </c>
      <c r="AK192">
        <f t="shared" si="86"/>
        <v>0</v>
      </c>
      <c r="AM192">
        <f>$B$5*'5 Year Rainfall Simulation'!F193/1000</f>
        <v>0.81794535440160421</v>
      </c>
      <c r="AN192">
        <f t="shared" si="75"/>
        <v>0.81794535440160421</v>
      </c>
      <c r="AO192">
        <f t="shared" si="76"/>
        <v>0.62</v>
      </c>
      <c r="AP192">
        <f t="shared" si="77"/>
        <v>0.19794535440160421</v>
      </c>
      <c r="AQ192">
        <f t="shared" si="87"/>
        <v>35</v>
      </c>
      <c r="AR192">
        <f t="shared" si="78"/>
        <v>0.48351775458138146</v>
      </c>
      <c r="AS192">
        <f t="shared" si="88"/>
        <v>0</v>
      </c>
    </row>
    <row r="193" spans="6:45" ht="18" customHeight="1">
      <c r="F193" s="109">
        <v>44750</v>
      </c>
      <c r="G193">
        <f>B$5*'5 Year Rainfall Simulation'!B194/1000</f>
        <v>0</v>
      </c>
      <c r="H193">
        <f t="shared" si="60"/>
        <v>0</v>
      </c>
      <c r="I193">
        <f t="shared" si="89"/>
        <v>0.62</v>
      </c>
      <c r="J193">
        <f t="shared" si="61"/>
        <v>-0.62</v>
      </c>
      <c r="K193">
        <f t="shared" si="79"/>
        <v>33.760000000000005</v>
      </c>
      <c r="L193">
        <f t="shared" si="62"/>
        <v>0</v>
      </c>
      <c r="M193">
        <f t="shared" si="80"/>
        <v>0</v>
      </c>
      <c r="O193">
        <f>$B$5*'5 Year Rainfall Simulation'!C194/1000</f>
        <v>0</v>
      </c>
      <c r="P193">
        <f t="shared" si="63"/>
        <v>0</v>
      </c>
      <c r="Q193">
        <f t="shared" si="64"/>
        <v>0.62</v>
      </c>
      <c r="R193">
        <f t="shared" si="65"/>
        <v>-0.62</v>
      </c>
      <c r="S193">
        <f t="shared" si="81"/>
        <v>2.2200000000000033</v>
      </c>
      <c r="T193">
        <f t="shared" si="66"/>
        <v>0</v>
      </c>
      <c r="U193">
        <f t="shared" si="82"/>
        <v>0</v>
      </c>
      <c r="W193">
        <f>$B$5*'5 Year Rainfall Simulation'!D194/1000</f>
        <v>0</v>
      </c>
      <c r="X193">
        <f t="shared" si="67"/>
        <v>0</v>
      </c>
      <c r="Y193">
        <f t="shared" si="68"/>
        <v>0.62</v>
      </c>
      <c r="Z193">
        <f t="shared" si="69"/>
        <v>-0.62</v>
      </c>
      <c r="AA193">
        <f t="shared" si="83"/>
        <v>33.863023545119994</v>
      </c>
      <c r="AB193">
        <f t="shared" si="70"/>
        <v>0</v>
      </c>
      <c r="AC193">
        <f t="shared" si="84"/>
        <v>0</v>
      </c>
      <c r="AE193">
        <f>$B$5*'5 Year Rainfall Simulation'!E194/1000</f>
        <v>0</v>
      </c>
      <c r="AF193">
        <f t="shared" si="71"/>
        <v>0</v>
      </c>
      <c r="AG193">
        <f t="shared" si="72"/>
        <v>0.62</v>
      </c>
      <c r="AH193">
        <f t="shared" si="73"/>
        <v>-0.62</v>
      </c>
      <c r="AI193">
        <f t="shared" si="85"/>
        <v>20.455290272956923</v>
      </c>
      <c r="AJ193">
        <f t="shared" si="74"/>
        <v>0</v>
      </c>
      <c r="AK193">
        <f t="shared" si="86"/>
        <v>0</v>
      </c>
      <c r="AM193">
        <f>$B$5*'5 Year Rainfall Simulation'!F194/1000</f>
        <v>0.9453450618780368</v>
      </c>
      <c r="AN193">
        <f t="shared" si="75"/>
        <v>0.9453450618780368</v>
      </c>
      <c r="AO193">
        <f t="shared" si="76"/>
        <v>0.62</v>
      </c>
      <c r="AP193">
        <f t="shared" si="77"/>
        <v>0.3253450618780368</v>
      </c>
      <c r="AQ193">
        <f t="shared" si="87"/>
        <v>35</v>
      </c>
      <c r="AR193">
        <f t="shared" si="78"/>
        <v>0.55882843415409589</v>
      </c>
      <c r="AS193">
        <f t="shared" si="88"/>
        <v>0</v>
      </c>
    </row>
    <row r="194" spans="6:45" ht="18" customHeight="1">
      <c r="F194" s="109">
        <v>44751</v>
      </c>
      <c r="G194">
        <f>B$5*'5 Year Rainfall Simulation'!B195/1000</f>
        <v>0</v>
      </c>
      <c r="H194">
        <f t="shared" si="60"/>
        <v>0</v>
      </c>
      <c r="I194">
        <f t="shared" si="89"/>
        <v>0.62</v>
      </c>
      <c r="J194">
        <f t="shared" si="61"/>
        <v>-0.62</v>
      </c>
      <c r="K194">
        <f t="shared" si="79"/>
        <v>33.140000000000008</v>
      </c>
      <c r="L194">
        <f t="shared" si="62"/>
        <v>0</v>
      </c>
      <c r="M194">
        <f t="shared" si="80"/>
        <v>0</v>
      </c>
      <c r="O194">
        <f>$B$5*'5 Year Rainfall Simulation'!C195/1000</f>
        <v>0.2</v>
      </c>
      <c r="P194">
        <f t="shared" si="63"/>
        <v>0.2</v>
      </c>
      <c r="Q194">
        <f t="shared" si="64"/>
        <v>0.62</v>
      </c>
      <c r="R194">
        <f t="shared" si="65"/>
        <v>-0.42</v>
      </c>
      <c r="S194">
        <f t="shared" si="81"/>
        <v>1.8000000000000034</v>
      </c>
      <c r="T194">
        <f t="shared" si="66"/>
        <v>0.11822739795010276</v>
      </c>
      <c r="U194">
        <f t="shared" si="82"/>
        <v>0</v>
      </c>
      <c r="W194">
        <f>$B$5*'5 Year Rainfall Simulation'!D195/1000</f>
        <v>1.6055275824350632</v>
      </c>
      <c r="X194">
        <f t="shared" si="67"/>
        <v>1.6055275824350632</v>
      </c>
      <c r="Y194">
        <f t="shared" si="68"/>
        <v>0.62</v>
      </c>
      <c r="Z194">
        <f t="shared" si="69"/>
        <v>0.98552758243506322</v>
      </c>
      <c r="AA194">
        <f t="shared" si="83"/>
        <v>34.848551127555055</v>
      </c>
      <c r="AB194">
        <f t="shared" si="70"/>
        <v>0.9490867420420831</v>
      </c>
      <c r="AC194">
        <f t="shared" si="84"/>
        <v>0</v>
      </c>
      <c r="AE194">
        <f>$B$5*'5 Year Rainfall Simulation'!E195/1000</f>
        <v>1.4275425905737564</v>
      </c>
      <c r="AF194">
        <f t="shared" si="71"/>
        <v>1.4275425905737564</v>
      </c>
      <c r="AG194">
        <f t="shared" si="72"/>
        <v>0.62</v>
      </c>
      <c r="AH194">
        <f t="shared" si="73"/>
        <v>0.80754259057375644</v>
      </c>
      <c r="AI194">
        <f t="shared" si="85"/>
        <v>21.262832863530679</v>
      </c>
      <c r="AJ194">
        <f t="shared" si="74"/>
        <v>0.84387322973242052</v>
      </c>
      <c r="AK194">
        <f t="shared" si="86"/>
        <v>0</v>
      </c>
      <c r="AM194">
        <f>$B$5*'5 Year Rainfall Simulation'!F195/1000</f>
        <v>0.78148327056258249</v>
      </c>
      <c r="AN194">
        <f t="shared" si="75"/>
        <v>0.78148327056258249</v>
      </c>
      <c r="AO194">
        <f t="shared" si="76"/>
        <v>0.62</v>
      </c>
      <c r="AP194">
        <f t="shared" si="77"/>
        <v>0.16148327056258249</v>
      </c>
      <c r="AQ194">
        <f t="shared" si="87"/>
        <v>35</v>
      </c>
      <c r="AR194">
        <f t="shared" si="78"/>
        <v>0.46196366810075129</v>
      </c>
      <c r="AS194">
        <f t="shared" si="88"/>
        <v>0</v>
      </c>
    </row>
    <row r="195" spans="6:45" ht="18" customHeight="1">
      <c r="F195" s="109">
        <v>44752</v>
      </c>
      <c r="G195">
        <f>B$5*'5 Year Rainfall Simulation'!B196/1000</f>
        <v>0</v>
      </c>
      <c r="H195">
        <f t="shared" si="60"/>
        <v>0</v>
      </c>
      <c r="I195">
        <f t="shared" si="89"/>
        <v>0.62</v>
      </c>
      <c r="J195">
        <f t="shared" si="61"/>
        <v>-0.62</v>
      </c>
      <c r="K195">
        <f t="shared" si="79"/>
        <v>32.52000000000001</v>
      </c>
      <c r="L195">
        <f t="shared" si="62"/>
        <v>0</v>
      </c>
      <c r="M195">
        <f t="shared" si="80"/>
        <v>0</v>
      </c>
      <c r="O195">
        <f>$B$5*'5 Year Rainfall Simulation'!C196/1000</f>
        <v>0.24</v>
      </c>
      <c r="P195">
        <f t="shared" si="63"/>
        <v>0.24</v>
      </c>
      <c r="Q195">
        <f t="shared" si="64"/>
        <v>0.62</v>
      </c>
      <c r="R195">
        <f t="shared" si="65"/>
        <v>-0.38</v>
      </c>
      <c r="S195">
        <f t="shared" si="81"/>
        <v>1.4200000000000035</v>
      </c>
      <c r="T195">
        <f t="shared" si="66"/>
        <v>0.14187287754012329</v>
      </c>
      <c r="U195">
        <f t="shared" si="82"/>
        <v>0</v>
      </c>
      <c r="W195">
        <f>$B$5*'5 Year Rainfall Simulation'!D196/1000</f>
        <v>1.7293498697531013</v>
      </c>
      <c r="X195">
        <f t="shared" si="67"/>
        <v>1.7293498697531013</v>
      </c>
      <c r="Y195">
        <f t="shared" si="68"/>
        <v>0.62</v>
      </c>
      <c r="Z195">
        <f t="shared" si="69"/>
        <v>1.1093498697531015</v>
      </c>
      <c r="AA195">
        <f t="shared" si="83"/>
        <v>35</v>
      </c>
      <c r="AB195">
        <f t="shared" si="70"/>
        <v>1.0222826762312913</v>
      </c>
      <c r="AC195">
        <f t="shared" si="84"/>
        <v>0</v>
      </c>
      <c r="AE195">
        <f>$B$5*'5 Year Rainfall Simulation'!E196/1000</f>
        <v>0</v>
      </c>
      <c r="AF195">
        <f t="shared" si="71"/>
        <v>0</v>
      </c>
      <c r="AG195">
        <f t="shared" si="72"/>
        <v>0.62</v>
      </c>
      <c r="AH195">
        <f t="shared" si="73"/>
        <v>-0.62</v>
      </c>
      <c r="AI195">
        <f t="shared" si="85"/>
        <v>20.642832863530678</v>
      </c>
      <c r="AJ195">
        <f t="shared" si="74"/>
        <v>0</v>
      </c>
      <c r="AK195">
        <f t="shared" si="86"/>
        <v>0</v>
      </c>
      <c r="AM195">
        <f>$B$5*'5 Year Rainfall Simulation'!F196/1000</f>
        <v>0.73122723025001457</v>
      </c>
      <c r="AN195">
        <f t="shared" si="75"/>
        <v>0.73122723025001457</v>
      </c>
      <c r="AO195">
        <f t="shared" si="76"/>
        <v>0.62</v>
      </c>
      <c r="AP195">
        <f t="shared" si="77"/>
        <v>0.11122723025001457</v>
      </c>
      <c r="AQ195">
        <f t="shared" si="87"/>
        <v>35</v>
      </c>
      <c r="AR195">
        <f t="shared" si="78"/>
        <v>0.43225546371359946</v>
      </c>
      <c r="AS195">
        <f t="shared" si="88"/>
        <v>0</v>
      </c>
    </row>
    <row r="196" spans="6:45" ht="18" customHeight="1">
      <c r="F196" s="109">
        <v>44753</v>
      </c>
      <c r="G196">
        <f>B$5*'5 Year Rainfall Simulation'!B197/1000</f>
        <v>0</v>
      </c>
      <c r="H196">
        <f t="shared" si="60"/>
        <v>0</v>
      </c>
      <c r="I196">
        <f t="shared" si="89"/>
        <v>0.62</v>
      </c>
      <c r="J196">
        <f t="shared" si="61"/>
        <v>-0.62</v>
      </c>
      <c r="K196">
        <f t="shared" si="79"/>
        <v>31.900000000000009</v>
      </c>
      <c r="L196">
        <f t="shared" si="62"/>
        <v>0</v>
      </c>
      <c r="M196">
        <f t="shared" si="80"/>
        <v>0</v>
      </c>
      <c r="O196">
        <f>$B$5*'5 Year Rainfall Simulation'!C197/1000</f>
        <v>0.48</v>
      </c>
      <c r="P196">
        <f t="shared" si="63"/>
        <v>0.48</v>
      </c>
      <c r="Q196">
        <f t="shared" si="64"/>
        <v>0.62</v>
      </c>
      <c r="R196">
        <f t="shared" si="65"/>
        <v>-0.14000000000000001</v>
      </c>
      <c r="S196">
        <f t="shared" si="81"/>
        <v>1.2800000000000034</v>
      </c>
      <c r="T196">
        <f t="shared" si="66"/>
        <v>0.28374575508024658</v>
      </c>
      <c r="U196">
        <f t="shared" si="82"/>
        <v>0</v>
      </c>
      <c r="W196">
        <f>$B$5*'5 Year Rainfall Simulation'!D197/1000</f>
        <v>0.88006086295204111</v>
      </c>
      <c r="X196">
        <f t="shared" si="67"/>
        <v>0.88006086295204111</v>
      </c>
      <c r="Y196">
        <f t="shared" si="68"/>
        <v>0.62</v>
      </c>
      <c r="Z196">
        <f t="shared" si="69"/>
        <v>0.26006086295204112</v>
      </c>
      <c r="AA196">
        <f t="shared" si="83"/>
        <v>35</v>
      </c>
      <c r="AB196">
        <f t="shared" si="70"/>
        <v>0.52023652932270903</v>
      </c>
      <c r="AC196">
        <f t="shared" si="84"/>
        <v>0</v>
      </c>
      <c r="AE196">
        <f>$B$5*'5 Year Rainfall Simulation'!E197/1000</f>
        <v>2.0610817922401337</v>
      </c>
      <c r="AF196">
        <f t="shared" si="71"/>
        <v>2.0610817922401337</v>
      </c>
      <c r="AG196">
        <f t="shared" si="72"/>
        <v>0.62</v>
      </c>
      <c r="AH196">
        <f t="shared" si="73"/>
        <v>1.4410817922401336</v>
      </c>
      <c r="AI196">
        <f t="shared" si="85"/>
        <v>22.083914655770812</v>
      </c>
      <c r="AJ196">
        <f t="shared" si="74"/>
        <v>1.2183816862944266</v>
      </c>
      <c r="AK196">
        <f t="shared" si="86"/>
        <v>0</v>
      </c>
      <c r="AM196">
        <f>$B$5*'5 Year Rainfall Simulation'!F197/1000</f>
        <v>0</v>
      </c>
      <c r="AN196">
        <f t="shared" si="75"/>
        <v>0</v>
      </c>
      <c r="AO196">
        <f t="shared" si="76"/>
        <v>0.62</v>
      </c>
      <c r="AP196">
        <f t="shared" si="77"/>
        <v>-0.62</v>
      </c>
      <c r="AQ196">
        <f t="shared" si="87"/>
        <v>34.380000000000003</v>
      </c>
      <c r="AR196">
        <f t="shared" si="78"/>
        <v>0</v>
      </c>
      <c r="AS196">
        <f t="shared" si="88"/>
        <v>0</v>
      </c>
    </row>
    <row r="197" spans="6:45" ht="18" customHeight="1">
      <c r="F197" s="109">
        <v>44754</v>
      </c>
      <c r="G197">
        <f>B$5*'5 Year Rainfall Simulation'!B198/1000</f>
        <v>0</v>
      </c>
      <c r="H197">
        <f t="shared" ref="H197:H260" si="90">IF($C$16="y",IF(G197&lt;$B$6,G197,$B$6),IF(G197&lt;$B$14,G197,$B$14))</f>
        <v>0</v>
      </c>
      <c r="I197">
        <f t="shared" si="89"/>
        <v>0.62</v>
      </c>
      <c r="J197">
        <f t="shared" ref="J197:J260" si="91">H197-I197</f>
        <v>-0.62</v>
      </c>
      <c r="K197">
        <f t="shared" si="79"/>
        <v>31.280000000000008</v>
      </c>
      <c r="L197">
        <f t="shared" ref="L197:L260" si="92">H197/($B$14/24)</f>
        <v>0</v>
      </c>
      <c r="M197">
        <f t="shared" si="80"/>
        <v>0</v>
      </c>
      <c r="O197">
        <f>$B$5*'5 Year Rainfall Simulation'!C198/1000</f>
        <v>0.8</v>
      </c>
      <c r="P197">
        <f t="shared" ref="P197:P260" si="93">IF($C$16="y",IF(O197&lt;$B$6,O197,$B$6),IF(O197&lt;$B$14,O197,$B$14))</f>
        <v>0.8</v>
      </c>
      <c r="Q197">
        <f t="shared" ref="Q197:Q260" si="94">$B$4</f>
        <v>0.62</v>
      </c>
      <c r="R197">
        <f t="shared" ref="R197:R260" si="95">P197-Q197</f>
        <v>0.18000000000000005</v>
      </c>
      <c r="S197">
        <f t="shared" si="81"/>
        <v>1.4600000000000035</v>
      </c>
      <c r="T197">
        <f t="shared" ref="T197:T260" si="96">P197/($B$14/24)</f>
        <v>0.47290959180041103</v>
      </c>
      <c r="U197">
        <f t="shared" si="82"/>
        <v>0</v>
      </c>
      <c r="W197">
        <f>$B$5*'5 Year Rainfall Simulation'!D198/1000</f>
        <v>0</v>
      </c>
      <c r="X197">
        <f t="shared" ref="X197:X260" si="97">IF($C$16="y",IF(W197&lt;$B$6,W197,$B$6),IF(W197&lt;$B$14,W197,$B$14))</f>
        <v>0</v>
      </c>
      <c r="Y197">
        <f t="shared" ref="Y197:Y260" si="98">$B$4</f>
        <v>0.62</v>
      </c>
      <c r="Z197">
        <f t="shared" ref="Z197:Z260" si="99">X197-Y197</f>
        <v>-0.62</v>
      </c>
      <c r="AA197">
        <f t="shared" si="83"/>
        <v>34.380000000000003</v>
      </c>
      <c r="AB197">
        <f t="shared" ref="AB197:AB260" si="100">X197/($B$14/24)</f>
        <v>0</v>
      </c>
      <c r="AC197">
        <f t="shared" si="84"/>
        <v>0</v>
      </c>
      <c r="AE197">
        <f>$B$5*'5 Year Rainfall Simulation'!E198/1000</f>
        <v>0.84783213750171382</v>
      </c>
      <c r="AF197">
        <f t="shared" ref="AF197:AF260" si="101">IF($C$16="y",IF(AE197&lt;$B$6,AE197,$B$6),IF(AE197&lt;$B$14,AE197,$B$14))</f>
        <v>0.84783213750171382</v>
      </c>
      <c r="AG197">
        <f t="shared" ref="AG197:AG260" si="102">$B$4</f>
        <v>0.62</v>
      </c>
      <c r="AH197">
        <f t="shared" ref="AH197:AH260" si="103">AF197-AG197</f>
        <v>0.22783213750171383</v>
      </c>
      <c r="AI197">
        <f t="shared" si="85"/>
        <v>22.311746793272526</v>
      </c>
      <c r="AJ197">
        <f t="shared" ref="AJ197:AJ260" si="104">AF197/($B$14/24)</f>
        <v>0.50118493757650684</v>
      </c>
      <c r="AK197">
        <f t="shared" si="86"/>
        <v>0</v>
      </c>
      <c r="AM197">
        <f>$B$5*'5 Year Rainfall Simulation'!F198/1000</f>
        <v>0</v>
      </c>
      <c r="AN197">
        <f t="shared" ref="AN197:AN260" si="105">IF($C$16="y",IF(AM197&lt;$B$6,AM197,$B$6),IF(AM197&lt;$B$14,AM197,$B$14))</f>
        <v>0</v>
      </c>
      <c r="AO197">
        <f t="shared" ref="AO197:AO260" si="106">$B$4</f>
        <v>0.62</v>
      </c>
      <c r="AP197">
        <f t="shared" ref="AP197:AP260" si="107">AN197-AO197</f>
        <v>-0.62</v>
      </c>
      <c r="AQ197">
        <f t="shared" si="87"/>
        <v>33.760000000000005</v>
      </c>
      <c r="AR197">
        <f t="shared" ref="AR197:AR260" si="108">AN197/($B$14/24)</f>
        <v>0</v>
      </c>
      <c r="AS197">
        <f t="shared" si="88"/>
        <v>0</v>
      </c>
    </row>
    <row r="198" spans="6:45" ht="18" customHeight="1">
      <c r="F198" s="109">
        <v>44755</v>
      </c>
      <c r="G198">
        <f>B$5*'5 Year Rainfall Simulation'!B199/1000</f>
        <v>0</v>
      </c>
      <c r="H198">
        <f t="shared" si="90"/>
        <v>0</v>
      </c>
      <c r="I198">
        <f t="shared" si="89"/>
        <v>0.62</v>
      </c>
      <c r="J198">
        <f t="shared" si="91"/>
        <v>-0.62</v>
      </c>
      <c r="K198">
        <f t="shared" ref="K198:K261" si="109">IF(M198&gt;0,0,IF((K197+J198)&gt;$B$7,$B$7,(K197+J198)))</f>
        <v>30.660000000000007</v>
      </c>
      <c r="L198">
        <f t="shared" si="92"/>
        <v>0</v>
      </c>
      <c r="M198">
        <f t="shared" ref="M198:M261" si="110">IF(K197+J198&lt;0,1,0)</f>
        <v>0</v>
      </c>
      <c r="O198">
        <f>$B$5*'5 Year Rainfall Simulation'!C199/1000</f>
        <v>0</v>
      </c>
      <c r="P198">
        <f t="shared" si="93"/>
        <v>0</v>
      </c>
      <c r="Q198">
        <f t="shared" si="94"/>
        <v>0.62</v>
      </c>
      <c r="R198">
        <f t="shared" si="95"/>
        <v>-0.62</v>
      </c>
      <c r="S198">
        <f t="shared" ref="S198:S261" si="111">IF(U198&gt;0,P198,IF((S197+R198)&gt;$B$7,$B$7,(S197+R198)))</f>
        <v>0.84000000000000352</v>
      </c>
      <c r="T198">
        <f t="shared" si="96"/>
        <v>0</v>
      </c>
      <c r="U198">
        <f t="shared" ref="U198:U261" si="112">IF(S197-Q198&lt;0,1,0)</f>
        <v>0</v>
      </c>
      <c r="W198">
        <f>$B$5*'5 Year Rainfall Simulation'!D199/1000</f>
        <v>0</v>
      </c>
      <c r="X198">
        <f t="shared" si="97"/>
        <v>0</v>
      </c>
      <c r="Y198">
        <f t="shared" si="98"/>
        <v>0.62</v>
      </c>
      <c r="Z198">
        <f t="shared" si="99"/>
        <v>-0.62</v>
      </c>
      <c r="AA198">
        <f t="shared" ref="AA198:AA261" si="113">IF(AC198&gt;0,0,IF((AA197+Z198)&gt;$B$7,$B$7,(AA197+Z198)))</f>
        <v>33.760000000000005</v>
      </c>
      <c r="AB198">
        <f t="shared" si="100"/>
        <v>0</v>
      </c>
      <c r="AC198">
        <f t="shared" ref="AC198:AC261" si="114">IF(AA197+Z198&lt;0,1,0)</f>
        <v>0</v>
      </c>
      <c r="AE198">
        <f>$B$5*'5 Year Rainfall Simulation'!E199/1000</f>
        <v>0.38912752287831476</v>
      </c>
      <c r="AF198">
        <f t="shared" si="101"/>
        <v>0.38912752287831476</v>
      </c>
      <c r="AG198">
        <f t="shared" si="102"/>
        <v>0.62</v>
      </c>
      <c r="AH198">
        <f t="shared" si="103"/>
        <v>-0.23087247712168524</v>
      </c>
      <c r="AI198">
        <f t="shared" ref="AI198:AI261" si="115">IF(AK198&gt;0,0,IF((AI197+AH198)&gt;$B$7,$B$7,(AI197+AH198)))</f>
        <v>22.08087431615084</v>
      </c>
      <c r="AJ198">
        <f t="shared" si="104"/>
        <v>0.23002767250336117</v>
      </c>
      <c r="AK198">
        <f t="shared" ref="AK198:AK261" si="116">IF(AI197+AH198&lt;0,1,0)</f>
        <v>0</v>
      </c>
      <c r="AM198">
        <f>$B$5*'5 Year Rainfall Simulation'!F199/1000</f>
        <v>0</v>
      </c>
      <c r="AN198">
        <f t="shared" si="105"/>
        <v>0</v>
      </c>
      <c r="AO198">
        <f t="shared" si="106"/>
        <v>0.62</v>
      </c>
      <c r="AP198">
        <f t="shared" si="107"/>
        <v>-0.62</v>
      </c>
      <c r="AQ198">
        <f t="shared" ref="AQ198:AQ261" si="117">IF(AS198&gt;0,0,IF((AQ197+AP198)&gt;$B$7,$B$7,(AQ197+AP198)))</f>
        <v>33.140000000000008</v>
      </c>
      <c r="AR198">
        <f t="shared" si="108"/>
        <v>0</v>
      </c>
      <c r="AS198">
        <f t="shared" ref="AS198:AS261" si="118">IF(AQ197+AP198&lt;0,1,0)</f>
        <v>0</v>
      </c>
    </row>
    <row r="199" spans="6:45" ht="18" customHeight="1">
      <c r="F199" s="109">
        <v>44756</v>
      </c>
      <c r="G199">
        <f>B$5*'5 Year Rainfall Simulation'!B200/1000</f>
        <v>0</v>
      </c>
      <c r="H199">
        <f t="shared" si="90"/>
        <v>0</v>
      </c>
      <c r="I199">
        <f t="shared" si="89"/>
        <v>0.62</v>
      </c>
      <c r="J199">
        <f t="shared" si="91"/>
        <v>-0.62</v>
      </c>
      <c r="K199">
        <f t="shared" si="109"/>
        <v>30.040000000000006</v>
      </c>
      <c r="L199">
        <f t="shared" si="92"/>
        <v>0</v>
      </c>
      <c r="M199">
        <f t="shared" si="110"/>
        <v>0</v>
      </c>
      <c r="O199">
        <f>$B$5*'5 Year Rainfall Simulation'!C200/1000</f>
        <v>0</v>
      </c>
      <c r="P199">
        <f t="shared" si="93"/>
        <v>0</v>
      </c>
      <c r="Q199">
        <f t="shared" si="94"/>
        <v>0.62</v>
      </c>
      <c r="R199">
        <f t="shared" si="95"/>
        <v>-0.62</v>
      </c>
      <c r="S199">
        <f t="shared" si="111"/>
        <v>0.22000000000000353</v>
      </c>
      <c r="T199">
        <f t="shared" si="96"/>
        <v>0</v>
      </c>
      <c r="U199">
        <f t="shared" si="112"/>
        <v>0</v>
      </c>
      <c r="W199">
        <f>$B$5*'5 Year Rainfall Simulation'!D200/1000</f>
        <v>1.0552770318937683</v>
      </c>
      <c r="X199">
        <f t="shared" si="97"/>
        <v>1.0552770318937683</v>
      </c>
      <c r="Y199">
        <f t="shared" si="98"/>
        <v>0.62</v>
      </c>
      <c r="Z199">
        <f t="shared" si="99"/>
        <v>0.43527703189376832</v>
      </c>
      <c r="AA199">
        <f t="shared" si="113"/>
        <v>34.195277031893774</v>
      </c>
      <c r="AB199">
        <f t="shared" si="100"/>
        <v>0.62381328798653912</v>
      </c>
      <c r="AC199">
        <f t="shared" si="114"/>
        <v>0</v>
      </c>
      <c r="AE199">
        <f>$B$5*'5 Year Rainfall Simulation'!E200/1000</f>
        <v>0</v>
      </c>
      <c r="AF199">
        <f t="shared" si="101"/>
        <v>0</v>
      </c>
      <c r="AG199">
        <f t="shared" si="102"/>
        <v>0.62</v>
      </c>
      <c r="AH199">
        <f t="shared" si="103"/>
        <v>-0.62</v>
      </c>
      <c r="AI199">
        <f t="shared" si="115"/>
        <v>21.460874316150839</v>
      </c>
      <c r="AJ199">
        <f t="shared" si="104"/>
        <v>0</v>
      </c>
      <c r="AK199">
        <f t="shared" si="116"/>
        <v>0</v>
      </c>
      <c r="AM199">
        <f>$B$5*'5 Year Rainfall Simulation'!F200/1000</f>
        <v>1.4713529429601779</v>
      </c>
      <c r="AN199">
        <f t="shared" si="105"/>
        <v>1.4713529429601779</v>
      </c>
      <c r="AO199">
        <f t="shared" si="106"/>
        <v>0.62</v>
      </c>
      <c r="AP199">
        <f t="shared" si="107"/>
        <v>0.85135294296017794</v>
      </c>
      <c r="AQ199">
        <f t="shared" si="117"/>
        <v>33.991352942960184</v>
      </c>
      <c r="AR199">
        <f t="shared" si="108"/>
        <v>0.86977114956203894</v>
      </c>
      <c r="AS199">
        <f t="shared" si="118"/>
        <v>0</v>
      </c>
    </row>
    <row r="200" spans="6:45" ht="18" customHeight="1">
      <c r="F200" s="109">
        <v>44757</v>
      </c>
      <c r="G200">
        <f>B$5*'5 Year Rainfall Simulation'!B201/1000</f>
        <v>0</v>
      </c>
      <c r="H200">
        <f t="shared" si="90"/>
        <v>0</v>
      </c>
      <c r="I200">
        <f t="shared" si="89"/>
        <v>0.62</v>
      </c>
      <c r="J200">
        <f t="shared" si="91"/>
        <v>-0.62</v>
      </c>
      <c r="K200">
        <f t="shared" si="109"/>
        <v>29.420000000000005</v>
      </c>
      <c r="L200">
        <f t="shared" si="92"/>
        <v>0</v>
      </c>
      <c r="M200">
        <f t="shared" si="110"/>
        <v>0</v>
      </c>
      <c r="O200">
        <f>$B$5*'5 Year Rainfall Simulation'!C201/1000</f>
        <v>0</v>
      </c>
      <c r="P200">
        <f t="shared" si="93"/>
        <v>0</v>
      </c>
      <c r="Q200">
        <f t="shared" si="94"/>
        <v>0.62</v>
      </c>
      <c r="R200">
        <f t="shared" si="95"/>
        <v>-0.62</v>
      </c>
      <c r="S200">
        <f t="shared" si="111"/>
        <v>0</v>
      </c>
      <c r="T200">
        <f t="shared" si="96"/>
        <v>0</v>
      </c>
      <c r="U200">
        <f t="shared" si="112"/>
        <v>1</v>
      </c>
      <c r="W200">
        <f>$B$5*'5 Year Rainfall Simulation'!D201/1000</f>
        <v>0</v>
      </c>
      <c r="X200">
        <f t="shared" si="97"/>
        <v>0</v>
      </c>
      <c r="Y200">
        <f t="shared" si="98"/>
        <v>0.62</v>
      </c>
      <c r="Z200">
        <f t="shared" si="99"/>
        <v>-0.62</v>
      </c>
      <c r="AA200">
        <f t="shared" si="113"/>
        <v>33.575277031893776</v>
      </c>
      <c r="AB200">
        <f t="shared" si="100"/>
        <v>0</v>
      </c>
      <c r="AC200">
        <f t="shared" si="114"/>
        <v>0</v>
      </c>
      <c r="AE200">
        <f>$B$5*'5 Year Rainfall Simulation'!E201/1000</f>
        <v>0</v>
      </c>
      <c r="AF200">
        <f t="shared" si="101"/>
        <v>0</v>
      </c>
      <c r="AG200">
        <f t="shared" si="102"/>
        <v>0.62</v>
      </c>
      <c r="AH200">
        <f t="shared" si="103"/>
        <v>-0.62</v>
      </c>
      <c r="AI200">
        <f t="shared" si="115"/>
        <v>20.840874316150838</v>
      </c>
      <c r="AJ200">
        <f t="shared" si="104"/>
        <v>0</v>
      </c>
      <c r="AK200">
        <f t="shared" si="116"/>
        <v>0</v>
      </c>
      <c r="AM200">
        <f>$B$5*'5 Year Rainfall Simulation'!F201/1000</f>
        <v>0.6174799812620736</v>
      </c>
      <c r="AN200">
        <f t="shared" si="105"/>
        <v>0.6174799812620736</v>
      </c>
      <c r="AO200">
        <f t="shared" si="106"/>
        <v>0.62</v>
      </c>
      <c r="AP200">
        <f t="shared" si="107"/>
        <v>-2.5200187379263994E-3</v>
      </c>
      <c r="AQ200">
        <f t="shared" si="117"/>
        <v>33.988832924222258</v>
      </c>
      <c r="AR200">
        <f t="shared" si="108"/>
        <v>0.36501525735446583</v>
      </c>
      <c r="AS200">
        <f t="shared" si="118"/>
        <v>0</v>
      </c>
    </row>
    <row r="201" spans="6:45" ht="18" customHeight="1">
      <c r="F201" s="109">
        <v>44758</v>
      </c>
      <c r="G201">
        <f>B$5*'5 Year Rainfall Simulation'!B202/1000</f>
        <v>0</v>
      </c>
      <c r="H201">
        <f t="shared" si="90"/>
        <v>0</v>
      </c>
      <c r="I201">
        <f t="shared" si="89"/>
        <v>0.62</v>
      </c>
      <c r="J201">
        <f t="shared" si="91"/>
        <v>-0.62</v>
      </c>
      <c r="K201">
        <f t="shared" si="109"/>
        <v>28.800000000000004</v>
      </c>
      <c r="L201">
        <f t="shared" si="92"/>
        <v>0</v>
      </c>
      <c r="M201">
        <f t="shared" si="110"/>
        <v>0</v>
      </c>
      <c r="O201">
        <f>$B$5*'5 Year Rainfall Simulation'!C202/1000</f>
        <v>0</v>
      </c>
      <c r="P201">
        <f t="shared" si="93"/>
        <v>0</v>
      </c>
      <c r="Q201">
        <f t="shared" si="94"/>
        <v>0.62</v>
      </c>
      <c r="R201">
        <f t="shared" si="95"/>
        <v>-0.62</v>
      </c>
      <c r="S201">
        <f t="shared" si="111"/>
        <v>0</v>
      </c>
      <c r="T201">
        <f t="shared" si="96"/>
        <v>0</v>
      </c>
      <c r="U201">
        <f t="shared" si="112"/>
        <v>1</v>
      </c>
      <c r="W201">
        <f>$B$5*'5 Year Rainfall Simulation'!D202/1000</f>
        <v>1.5772899106285734</v>
      </c>
      <c r="X201">
        <f t="shared" si="97"/>
        <v>1.5772899106285734</v>
      </c>
      <c r="Y201">
        <f t="shared" si="98"/>
        <v>0.62</v>
      </c>
      <c r="Z201">
        <f t="shared" si="99"/>
        <v>0.95728991062857338</v>
      </c>
      <c r="AA201">
        <f t="shared" si="113"/>
        <v>34.532566942522351</v>
      </c>
      <c r="AB201">
        <f t="shared" si="100"/>
        <v>0.93239440973283172</v>
      </c>
      <c r="AC201">
        <f t="shared" si="114"/>
        <v>0</v>
      </c>
      <c r="AE201">
        <f>$B$5*'5 Year Rainfall Simulation'!E202/1000</f>
        <v>0</v>
      </c>
      <c r="AF201">
        <f t="shared" si="101"/>
        <v>0</v>
      </c>
      <c r="AG201">
        <f t="shared" si="102"/>
        <v>0.62</v>
      </c>
      <c r="AH201">
        <f t="shared" si="103"/>
        <v>-0.62</v>
      </c>
      <c r="AI201">
        <f t="shared" si="115"/>
        <v>20.220874316150837</v>
      </c>
      <c r="AJ201">
        <f t="shared" si="104"/>
        <v>0</v>
      </c>
      <c r="AK201">
        <f t="shared" si="116"/>
        <v>0</v>
      </c>
      <c r="AM201">
        <f>$B$5*'5 Year Rainfall Simulation'!F202/1000</f>
        <v>3.0946655871030879</v>
      </c>
      <c r="AN201">
        <f t="shared" si="105"/>
        <v>3.0946655871030879</v>
      </c>
      <c r="AO201">
        <f t="shared" si="106"/>
        <v>0.62</v>
      </c>
      <c r="AP201">
        <f t="shared" si="107"/>
        <v>2.4746655871030878</v>
      </c>
      <c r="AQ201">
        <f t="shared" si="117"/>
        <v>35</v>
      </c>
      <c r="AR201">
        <f t="shared" si="108"/>
        <v>1.8293712994446258</v>
      </c>
      <c r="AS201">
        <f t="shared" si="118"/>
        <v>0</v>
      </c>
    </row>
    <row r="202" spans="6:45" ht="18" customHeight="1">
      <c r="F202" s="109">
        <v>44759</v>
      </c>
      <c r="G202">
        <f>B$5*'5 Year Rainfall Simulation'!B203/1000</f>
        <v>0</v>
      </c>
      <c r="H202">
        <f t="shared" si="90"/>
        <v>0</v>
      </c>
      <c r="I202">
        <f t="shared" si="89"/>
        <v>0.62</v>
      </c>
      <c r="J202">
        <f t="shared" si="91"/>
        <v>-0.62</v>
      </c>
      <c r="K202">
        <f t="shared" si="109"/>
        <v>28.180000000000003</v>
      </c>
      <c r="L202">
        <f t="shared" si="92"/>
        <v>0</v>
      </c>
      <c r="M202">
        <f t="shared" si="110"/>
        <v>0</v>
      </c>
      <c r="O202">
        <f>$B$5*'5 Year Rainfall Simulation'!C203/1000</f>
        <v>0</v>
      </c>
      <c r="P202">
        <f t="shared" si="93"/>
        <v>0</v>
      </c>
      <c r="Q202">
        <f t="shared" si="94"/>
        <v>0.62</v>
      </c>
      <c r="R202">
        <f t="shared" si="95"/>
        <v>-0.62</v>
      </c>
      <c r="S202">
        <f t="shared" si="111"/>
        <v>0</v>
      </c>
      <c r="T202">
        <f t="shared" si="96"/>
        <v>0</v>
      </c>
      <c r="U202">
        <f t="shared" si="112"/>
        <v>1</v>
      </c>
      <c r="W202">
        <f>$B$5*'5 Year Rainfall Simulation'!D203/1000</f>
        <v>0</v>
      </c>
      <c r="X202">
        <f t="shared" si="97"/>
        <v>0</v>
      </c>
      <c r="Y202">
        <f t="shared" si="98"/>
        <v>0.62</v>
      </c>
      <c r="Z202">
        <f t="shared" si="99"/>
        <v>-0.62</v>
      </c>
      <c r="AA202">
        <f t="shared" si="113"/>
        <v>33.912566942522353</v>
      </c>
      <c r="AB202">
        <f t="shared" si="100"/>
        <v>0</v>
      </c>
      <c r="AC202">
        <f t="shared" si="114"/>
        <v>0</v>
      </c>
      <c r="AE202">
        <f>$B$5*'5 Year Rainfall Simulation'!E203/1000</f>
        <v>0</v>
      </c>
      <c r="AF202">
        <f t="shared" si="101"/>
        <v>0</v>
      </c>
      <c r="AG202">
        <f t="shared" si="102"/>
        <v>0.62</v>
      </c>
      <c r="AH202">
        <f t="shared" si="103"/>
        <v>-0.62</v>
      </c>
      <c r="AI202">
        <f t="shared" si="115"/>
        <v>19.600874316150836</v>
      </c>
      <c r="AJ202">
        <f t="shared" si="104"/>
        <v>0</v>
      </c>
      <c r="AK202">
        <f t="shared" si="116"/>
        <v>0</v>
      </c>
      <c r="AM202">
        <f>$B$5*'5 Year Rainfall Simulation'!F203/1000</f>
        <v>0</v>
      </c>
      <c r="AN202">
        <f t="shared" si="105"/>
        <v>0</v>
      </c>
      <c r="AO202">
        <f t="shared" si="106"/>
        <v>0.62</v>
      </c>
      <c r="AP202">
        <f t="shared" si="107"/>
        <v>-0.62</v>
      </c>
      <c r="AQ202">
        <f t="shared" si="117"/>
        <v>34.380000000000003</v>
      </c>
      <c r="AR202">
        <f t="shared" si="108"/>
        <v>0</v>
      </c>
      <c r="AS202">
        <f t="shared" si="118"/>
        <v>0</v>
      </c>
    </row>
    <row r="203" spans="6:45" ht="18" customHeight="1">
      <c r="F203" s="109">
        <v>44760</v>
      </c>
      <c r="G203">
        <f>B$5*'5 Year Rainfall Simulation'!B204/1000</f>
        <v>7.4</v>
      </c>
      <c r="H203">
        <f t="shared" si="90"/>
        <v>7.4</v>
      </c>
      <c r="I203">
        <f t="shared" si="89"/>
        <v>0.62</v>
      </c>
      <c r="J203">
        <f t="shared" si="91"/>
        <v>6.78</v>
      </c>
      <c r="K203">
        <f t="shared" si="109"/>
        <v>34.96</v>
      </c>
      <c r="L203">
        <f t="shared" si="92"/>
        <v>4.3744137241538024</v>
      </c>
      <c r="M203">
        <f t="shared" si="110"/>
        <v>0</v>
      </c>
      <c r="O203">
        <f>$B$5*'5 Year Rainfall Simulation'!C204/1000</f>
        <v>0</v>
      </c>
      <c r="P203">
        <f t="shared" si="93"/>
        <v>0</v>
      </c>
      <c r="Q203">
        <f t="shared" si="94"/>
        <v>0.62</v>
      </c>
      <c r="R203">
        <f t="shared" si="95"/>
        <v>-0.62</v>
      </c>
      <c r="S203">
        <f t="shared" si="111"/>
        <v>0</v>
      </c>
      <c r="T203">
        <f t="shared" si="96"/>
        <v>0</v>
      </c>
      <c r="U203">
        <f t="shared" si="112"/>
        <v>1</v>
      </c>
      <c r="W203">
        <f>$B$5*'5 Year Rainfall Simulation'!D204/1000</f>
        <v>6.7568285372371877</v>
      </c>
      <c r="X203">
        <f t="shared" si="97"/>
        <v>6.7568285372371877</v>
      </c>
      <c r="Y203">
        <f t="shared" si="98"/>
        <v>0.62</v>
      </c>
      <c r="Z203">
        <f t="shared" si="99"/>
        <v>6.1368285372371876</v>
      </c>
      <c r="AA203">
        <f t="shared" si="113"/>
        <v>35</v>
      </c>
      <c r="AB203">
        <f t="shared" si="100"/>
        <v>3.9942112817627584</v>
      </c>
      <c r="AC203">
        <f t="shared" si="114"/>
        <v>0</v>
      </c>
      <c r="AE203">
        <f>$B$5*'5 Year Rainfall Simulation'!E204/1000</f>
        <v>1.2863610185123846</v>
      </c>
      <c r="AF203">
        <f t="shared" si="101"/>
        <v>1.2863610185123846</v>
      </c>
      <c r="AG203">
        <f t="shared" si="102"/>
        <v>0.62</v>
      </c>
      <c r="AH203">
        <f t="shared" si="103"/>
        <v>0.66636101851238461</v>
      </c>
      <c r="AI203">
        <f t="shared" si="115"/>
        <v>20.267235334663219</v>
      </c>
      <c r="AJ203">
        <f t="shared" si="104"/>
        <v>0.76041558021581601</v>
      </c>
      <c r="AK203">
        <f t="shared" si="116"/>
        <v>0</v>
      </c>
      <c r="AM203">
        <f>$B$5*'5 Year Rainfall Simulation'!F204/1000</f>
        <v>7.7728642640675183</v>
      </c>
      <c r="AN203">
        <f t="shared" si="105"/>
        <v>7.7728642640675183</v>
      </c>
      <c r="AO203">
        <f t="shared" si="106"/>
        <v>0.62</v>
      </c>
      <c r="AP203">
        <f t="shared" si="107"/>
        <v>7.1528642640675182</v>
      </c>
      <c r="AQ203">
        <f t="shared" si="117"/>
        <v>35</v>
      </c>
      <c r="AR203">
        <f t="shared" si="108"/>
        <v>4.5948275828002156</v>
      </c>
      <c r="AS203">
        <f t="shared" si="118"/>
        <v>0</v>
      </c>
    </row>
    <row r="204" spans="6:45" ht="18" customHeight="1">
      <c r="F204" s="109">
        <v>44761</v>
      </c>
      <c r="G204">
        <f>B$5*'5 Year Rainfall Simulation'!B205/1000</f>
        <v>0.36</v>
      </c>
      <c r="H204">
        <f t="shared" si="90"/>
        <v>0.36</v>
      </c>
      <c r="I204">
        <f t="shared" si="89"/>
        <v>0.62</v>
      </c>
      <c r="J204">
        <f t="shared" si="91"/>
        <v>-0.26</v>
      </c>
      <c r="K204">
        <f t="shared" si="109"/>
        <v>34.700000000000003</v>
      </c>
      <c r="L204">
        <f t="shared" si="92"/>
        <v>0.21280931631018496</v>
      </c>
      <c r="M204">
        <f t="shared" si="110"/>
        <v>0</v>
      </c>
      <c r="O204">
        <f>$B$5*'5 Year Rainfall Simulation'!C205/1000</f>
        <v>0</v>
      </c>
      <c r="P204">
        <f t="shared" si="93"/>
        <v>0</v>
      </c>
      <c r="Q204">
        <f t="shared" si="94"/>
        <v>0.62</v>
      </c>
      <c r="R204">
        <f t="shared" si="95"/>
        <v>-0.62</v>
      </c>
      <c r="S204">
        <f t="shared" si="111"/>
        <v>0</v>
      </c>
      <c r="T204">
        <f t="shared" si="96"/>
        <v>0</v>
      </c>
      <c r="U204">
        <f t="shared" si="112"/>
        <v>1</v>
      </c>
      <c r="W204">
        <f>$B$5*'5 Year Rainfall Simulation'!D205/1000</f>
        <v>0</v>
      </c>
      <c r="X204">
        <f t="shared" si="97"/>
        <v>0</v>
      </c>
      <c r="Y204">
        <f t="shared" si="98"/>
        <v>0.62</v>
      </c>
      <c r="Z204">
        <f t="shared" si="99"/>
        <v>-0.62</v>
      </c>
      <c r="AA204">
        <f t="shared" si="113"/>
        <v>34.380000000000003</v>
      </c>
      <c r="AB204">
        <f t="shared" si="100"/>
        <v>0</v>
      </c>
      <c r="AC204">
        <f t="shared" si="114"/>
        <v>0</v>
      </c>
      <c r="AE204">
        <f>$B$5*'5 Year Rainfall Simulation'!E205/1000</f>
        <v>1.0475987952699415</v>
      </c>
      <c r="AF204">
        <f t="shared" si="101"/>
        <v>1.0475987952699415</v>
      </c>
      <c r="AG204">
        <f t="shared" si="102"/>
        <v>0.62</v>
      </c>
      <c r="AH204">
        <f t="shared" si="103"/>
        <v>0.42759879526994149</v>
      </c>
      <c r="AI204">
        <f t="shared" si="115"/>
        <v>20.69483412993316</v>
      </c>
      <c r="AJ204">
        <f t="shared" si="104"/>
        <v>0.61927439830213793</v>
      </c>
      <c r="AK204">
        <f t="shared" si="116"/>
        <v>0</v>
      </c>
      <c r="AM204">
        <f>$B$5*'5 Year Rainfall Simulation'!F205/1000</f>
        <v>0</v>
      </c>
      <c r="AN204">
        <f t="shared" si="105"/>
        <v>0</v>
      </c>
      <c r="AO204">
        <f t="shared" si="106"/>
        <v>0.62</v>
      </c>
      <c r="AP204">
        <f t="shared" si="107"/>
        <v>-0.62</v>
      </c>
      <c r="AQ204">
        <f t="shared" si="117"/>
        <v>34.380000000000003</v>
      </c>
      <c r="AR204">
        <f t="shared" si="108"/>
        <v>0</v>
      </c>
      <c r="AS204">
        <f t="shared" si="118"/>
        <v>0</v>
      </c>
    </row>
    <row r="205" spans="6:45" ht="18" customHeight="1">
      <c r="F205" s="109">
        <v>44762</v>
      </c>
      <c r="G205">
        <f>B$5*'5 Year Rainfall Simulation'!B206/1000</f>
        <v>0</v>
      </c>
      <c r="H205">
        <f t="shared" si="90"/>
        <v>0</v>
      </c>
      <c r="I205">
        <f t="shared" si="89"/>
        <v>0.62</v>
      </c>
      <c r="J205">
        <f t="shared" si="91"/>
        <v>-0.62</v>
      </c>
      <c r="K205">
        <f t="shared" si="109"/>
        <v>34.080000000000005</v>
      </c>
      <c r="L205">
        <f t="shared" si="92"/>
        <v>0</v>
      </c>
      <c r="M205">
        <f t="shared" si="110"/>
        <v>0</v>
      </c>
      <c r="O205">
        <f>$B$5*'5 Year Rainfall Simulation'!C206/1000</f>
        <v>0.12</v>
      </c>
      <c r="P205">
        <f t="shared" si="93"/>
        <v>0.12</v>
      </c>
      <c r="Q205">
        <f t="shared" si="94"/>
        <v>0.62</v>
      </c>
      <c r="R205">
        <f t="shared" si="95"/>
        <v>-0.5</v>
      </c>
      <c r="S205">
        <f t="shared" si="111"/>
        <v>0.12</v>
      </c>
      <c r="T205">
        <f t="shared" si="96"/>
        <v>7.0936438770061644E-2</v>
      </c>
      <c r="U205">
        <f t="shared" si="112"/>
        <v>1</v>
      </c>
      <c r="W205">
        <f>$B$5*'5 Year Rainfall Simulation'!D206/1000</f>
        <v>0</v>
      </c>
      <c r="X205">
        <f t="shared" si="97"/>
        <v>0</v>
      </c>
      <c r="Y205">
        <f t="shared" si="98"/>
        <v>0.62</v>
      </c>
      <c r="Z205">
        <f t="shared" si="99"/>
        <v>-0.62</v>
      </c>
      <c r="AA205">
        <f t="shared" si="113"/>
        <v>33.760000000000005</v>
      </c>
      <c r="AB205">
        <f t="shared" si="100"/>
        <v>0</v>
      </c>
      <c r="AC205">
        <f t="shared" si="114"/>
        <v>0</v>
      </c>
      <c r="AE205">
        <f>$B$5*'5 Year Rainfall Simulation'!E206/1000</f>
        <v>1.0802630709974308</v>
      </c>
      <c r="AF205">
        <f t="shared" si="101"/>
        <v>1.0802630709974308</v>
      </c>
      <c r="AG205">
        <f t="shared" si="102"/>
        <v>0.62</v>
      </c>
      <c r="AH205">
        <f t="shared" si="103"/>
        <v>0.4602630709974308</v>
      </c>
      <c r="AI205">
        <f t="shared" si="115"/>
        <v>21.155097200930591</v>
      </c>
      <c r="AJ205">
        <f t="shared" si="104"/>
        <v>0.63858345992806675</v>
      </c>
      <c r="AK205">
        <f t="shared" si="116"/>
        <v>0</v>
      </c>
      <c r="AM205">
        <f>$B$5*'5 Year Rainfall Simulation'!F206/1000</f>
        <v>1.1684171748882886</v>
      </c>
      <c r="AN205">
        <f t="shared" si="105"/>
        <v>1.1684171748882886</v>
      </c>
      <c r="AO205">
        <f t="shared" si="106"/>
        <v>0.62</v>
      </c>
      <c r="AP205">
        <f t="shared" si="107"/>
        <v>0.54841717488828856</v>
      </c>
      <c r="AQ205">
        <f t="shared" si="117"/>
        <v>34.928417174888288</v>
      </c>
      <c r="AR205">
        <f t="shared" si="108"/>
        <v>0.69069461153626255</v>
      </c>
      <c r="AS205">
        <f t="shared" si="118"/>
        <v>0</v>
      </c>
    </row>
    <row r="206" spans="6:45" ht="18" customHeight="1">
      <c r="F206" s="109">
        <v>44763</v>
      </c>
      <c r="G206">
        <f>B$5*'5 Year Rainfall Simulation'!B207/1000</f>
        <v>0</v>
      </c>
      <c r="H206">
        <f t="shared" si="90"/>
        <v>0</v>
      </c>
      <c r="I206">
        <f t="shared" si="89"/>
        <v>0.62</v>
      </c>
      <c r="J206">
        <f t="shared" si="91"/>
        <v>-0.62</v>
      </c>
      <c r="K206">
        <f t="shared" si="109"/>
        <v>33.460000000000008</v>
      </c>
      <c r="L206">
        <f t="shared" si="92"/>
        <v>0</v>
      </c>
      <c r="M206">
        <f t="shared" si="110"/>
        <v>0</v>
      </c>
      <c r="O206">
        <f>$B$5*'5 Year Rainfall Simulation'!C207/1000</f>
        <v>0</v>
      </c>
      <c r="P206">
        <f t="shared" si="93"/>
        <v>0</v>
      </c>
      <c r="Q206">
        <f t="shared" si="94"/>
        <v>0.62</v>
      </c>
      <c r="R206">
        <f t="shared" si="95"/>
        <v>-0.62</v>
      </c>
      <c r="S206">
        <f t="shared" si="111"/>
        <v>0</v>
      </c>
      <c r="T206">
        <f t="shared" si="96"/>
        <v>0</v>
      </c>
      <c r="U206">
        <f t="shared" si="112"/>
        <v>1</v>
      </c>
      <c r="W206">
        <f>$B$5*'5 Year Rainfall Simulation'!D207/1000</f>
        <v>0</v>
      </c>
      <c r="X206">
        <f t="shared" si="97"/>
        <v>0</v>
      </c>
      <c r="Y206">
        <f t="shared" si="98"/>
        <v>0.62</v>
      </c>
      <c r="Z206">
        <f t="shared" si="99"/>
        <v>-0.62</v>
      </c>
      <c r="AA206">
        <f t="shared" si="113"/>
        <v>33.140000000000008</v>
      </c>
      <c r="AB206">
        <f t="shared" si="100"/>
        <v>0</v>
      </c>
      <c r="AC206">
        <f t="shared" si="114"/>
        <v>0</v>
      </c>
      <c r="AE206">
        <f>$B$5*'5 Year Rainfall Simulation'!E207/1000</f>
        <v>0</v>
      </c>
      <c r="AF206">
        <f t="shared" si="101"/>
        <v>0</v>
      </c>
      <c r="AG206">
        <f t="shared" si="102"/>
        <v>0.62</v>
      </c>
      <c r="AH206">
        <f t="shared" si="103"/>
        <v>-0.62</v>
      </c>
      <c r="AI206">
        <f t="shared" si="115"/>
        <v>20.53509720093059</v>
      </c>
      <c r="AJ206">
        <f t="shared" si="104"/>
        <v>0</v>
      </c>
      <c r="AK206">
        <f t="shared" si="116"/>
        <v>0</v>
      </c>
      <c r="AM206">
        <f>$B$5*'5 Year Rainfall Simulation'!F207/1000</f>
        <v>0</v>
      </c>
      <c r="AN206">
        <f t="shared" si="105"/>
        <v>0</v>
      </c>
      <c r="AO206">
        <f t="shared" si="106"/>
        <v>0.62</v>
      </c>
      <c r="AP206">
        <f t="shared" si="107"/>
        <v>-0.62</v>
      </c>
      <c r="AQ206">
        <f t="shared" si="117"/>
        <v>34.308417174888291</v>
      </c>
      <c r="AR206">
        <f t="shared" si="108"/>
        <v>0</v>
      </c>
      <c r="AS206">
        <f t="shared" si="118"/>
        <v>0</v>
      </c>
    </row>
    <row r="207" spans="6:45" ht="18" customHeight="1">
      <c r="F207" s="109">
        <v>44764</v>
      </c>
      <c r="G207">
        <f>B$5*'5 Year Rainfall Simulation'!B208/1000</f>
        <v>1.6</v>
      </c>
      <c r="H207">
        <f t="shared" si="90"/>
        <v>1.6</v>
      </c>
      <c r="I207">
        <f t="shared" si="89"/>
        <v>0.62</v>
      </c>
      <c r="J207">
        <f t="shared" si="91"/>
        <v>0.98000000000000009</v>
      </c>
      <c r="K207">
        <f t="shared" si="109"/>
        <v>34.440000000000005</v>
      </c>
      <c r="L207">
        <f t="shared" si="92"/>
        <v>0.94581918360082207</v>
      </c>
      <c r="M207">
        <f t="shared" si="110"/>
        <v>0</v>
      </c>
      <c r="O207">
        <f>$B$5*'5 Year Rainfall Simulation'!C208/1000</f>
        <v>0</v>
      </c>
      <c r="P207">
        <f t="shared" si="93"/>
        <v>0</v>
      </c>
      <c r="Q207">
        <f t="shared" si="94"/>
        <v>0.62</v>
      </c>
      <c r="R207">
        <f t="shared" si="95"/>
        <v>-0.62</v>
      </c>
      <c r="S207">
        <f t="shared" si="111"/>
        <v>0</v>
      </c>
      <c r="T207">
        <f t="shared" si="96"/>
        <v>0</v>
      </c>
      <c r="U207">
        <f t="shared" si="112"/>
        <v>1</v>
      </c>
      <c r="W207">
        <f>$B$5*'5 Year Rainfall Simulation'!D208/1000</f>
        <v>1.8623556662305543</v>
      </c>
      <c r="X207">
        <f t="shared" si="97"/>
        <v>1.8623556662305543</v>
      </c>
      <c r="Y207">
        <f t="shared" si="98"/>
        <v>0.62</v>
      </c>
      <c r="Z207">
        <f t="shared" si="99"/>
        <v>1.2423556662305542</v>
      </c>
      <c r="AA207">
        <f t="shared" si="113"/>
        <v>34.382355666230559</v>
      </c>
      <c r="AB207">
        <f t="shared" si="100"/>
        <v>1.1009073223803425</v>
      </c>
      <c r="AC207">
        <f t="shared" si="114"/>
        <v>0</v>
      </c>
      <c r="AE207">
        <f>$B$5*'5 Year Rainfall Simulation'!E208/1000</f>
        <v>0.91756538672556653</v>
      </c>
      <c r="AF207">
        <f t="shared" si="101"/>
        <v>0.91756538672556653</v>
      </c>
      <c r="AG207">
        <f t="shared" si="102"/>
        <v>0.62</v>
      </c>
      <c r="AH207">
        <f t="shared" si="103"/>
        <v>0.29756538672556654</v>
      </c>
      <c r="AI207">
        <f t="shared" si="115"/>
        <v>20.832662587656156</v>
      </c>
      <c r="AJ207">
        <f t="shared" si="104"/>
        <v>0.54240684060821742</v>
      </c>
      <c r="AK207">
        <f t="shared" si="116"/>
        <v>0</v>
      </c>
      <c r="AM207">
        <f>$B$5*'5 Year Rainfall Simulation'!F208/1000</f>
        <v>3.5122999660955578</v>
      </c>
      <c r="AN207">
        <f t="shared" si="105"/>
        <v>3.5122999660955578</v>
      </c>
      <c r="AO207">
        <f t="shared" si="106"/>
        <v>0.62</v>
      </c>
      <c r="AP207">
        <f t="shared" si="107"/>
        <v>2.8922999660955577</v>
      </c>
      <c r="AQ207">
        <f t="shared" si="117"/>
        <v>35</v>
      </c>
      <c r="AR207">
        <f t="shared" si="108"/>
        <v>2.0762504290585597</v>
      </c>
      <c r="AS207">
        <f t="shared" si="118"/>
        <v>0</v>
      </c>
    </row>
    <row r="208" spans="6:45" ht="18" customHeight="1">
      <c r="F208" s="109">
        <v>44765</v>
      </c>
      <c r="G208">
        <f>B$5*'5 Year Rainfall Simulation'!B209/1000</f>
        <v>3.64</v>
      </c>
      <c r="H208">
        <f t="shared" si="90"/>
        <v>3.64</v>
      </c>
      <c r="I208">
        <f t="shared" si="89"/>
        <v>0.62</v>
      </c>
      <c r="J208">
        <f t="shared" si="91"/>
        <v>3.02</v>
      </c>
      <c r="K208">
        <f t="shared" si="109"/>
        <v>35</v>
      </c>
      <c r="L208">
        <f t="shared" si="92"/>
        <v>2.1517386426918703</v>
      </c>
      <c r="M208">
        <f t="shared" si="110"/>
        <v>0</v>
      </c>
      <c r="O208">
        <f>$B$5*'5 Year Rainfall Simulation'!C209/1000</f>
        <v>1.68</v>
      </c>
      <c r="P208">
        <f t="shared" si="93"/>
        <v>1.68</v>
      </c>
      <c r="Q208">
        <f t="shared" si="94"/>
        <v>0.62</v>
      </c>
      <c r="R208">
        <f t="shared" si="95"/>
        <v>1.06</v>
      </c>
      <c r="S208">
        <f t="shared" si="111"/>
        <v>1.68</v>
      </c>
      <c r="T208">
        <f t="shared" si="96"/>
        <v>0.99311014278086307</v>
      </c>
      <c r="U208">
        <f t="shared" si="112"/>
        <v>1</v>
      </c>
      <c r="W208">
        <f>$B$5*'5 Year Rainfall Simulation'!D209/1000</f>
        <v>3.6174556850467363</v>
      </c>
      <c r="X208">
        <f t="shared" si="97"/>
        <v>3.6174556850467363</v>
      </c>
      <c r="Y208">
        <f t="shared" si="98"/>
        <v>0.62</v>
      </c>
      <c r="Z208">
        <f t="shared" si="99"/>
        <v>2.9974556850467362</v>
      </c>
      <c r="AA208">
        <f t="shared" si="113"/>
        <v>35</v>
      </c>
      <c r="AB208">
        <f t="shared" si="100"/>
        <v>2.1384118642144103</v>
      </c>
      <c r="AC208">
        <f t="shared" si="114"/>
        <v>0</v>
      </c>
      <c r="AE208">
        <f>$B$5*'5 Year Rainfall Simulation'!E209/1000</f>
        <v>0</v>
      </c>
      <c r="AF208">
        <f t="shared" si="101"/>
        <v>0</v>
      </c>
      <c r="AG208">
        <f t="shared" si="102"/>
        <v>0.62</v>
      </c>
      <c r="AH208">
        <f t="shared" si="103"/>
        <v>-0.62</v>
      </c>
      <c r="AI208">
        <f t="shared" si="115"/>
        <v>20.212662587656155</v>
      </c>
      <c r="AJ208">
        <f t="shared" si="104"/>
        <v>0</v>
      </c>
      <c r="AK208">
        <f t="shared" si="116"/>
        <v>0</v>
      </c>
      <c r="AM208">
        <f>$B$5*'5 Year Rainfall Simulation'!F209/1000</f>
        <v>3.042832014725716</v>
      </c>
      <c r="AN208">
        <f t="shared" si="105"/>
        <v>3.042832014725716</v>
      </c>
      <c r="AO208">
        <f t="shared" si="106"/>
        <v>0.62</v>
      </c>
      <c r="AP208">
        <f t="shared" si="107"/>
        <v>2.4228320147257159</v>
      </c>
      <c r="AQ208">
        <f t="shared" si="117"/>
        <v>35</v>
      </c>
      <c r="AR208">
        <f t="shared" si="108"/>
        <v>1.7987305575014507</v>
      </c>
      <c r="AS208">
        <f t="shared" si="118"/>
        <v>0</v>
      </c>
    </row>
    <row r="209" spans="6:45" ht="18" customHeight="1">
      <c r="F209" s="109">
        <v>44766</v>
      </c>
      <c r="G209">
        <f>B$5*'5 Year Rainfall Simulation'!B210/1000</f>
        <v>0.12</v>
      </c>
      <c r="H209">
        <f t="shared" si="90"/>
        <v>0.12</v>
      </c>
      <c r="I209">
        <f t="shared" si="89"/>
        <v>0.62</v>
      </c>
      <c r="J209">
        <f t="shared" si="91"/>
        <v>-0.5</v>
      </c>
      <c r="K209">
        <f t="shared" si="109"/>
        <v>34.5</v>
      </c>
      <c r="L209">
        <f t="shared" si="92"/>
        <v>7.0936438770061644E-2</v>
      </c>
      <c r="M209">
        <f t="shared" si="110"/>
        <v>0</v>
      </c>
      <c r="O209">
        <f>$B$5*'5 Year Rainfall Simulation'!C210/1000</f>
        <v>0.8</v>
      </c>
      <c r="P209">
        <f t="shared" si="93"/>
        <v>0.8</v>
      </c>
      <c r="Q209">
        <f t="shared" si="94"/>
        <v>0.62</v>
      </c>
      <c r="R209">
        <f t="shared" si="95"/>
        <v>0.18000000000000005</v>
      </c>
      <c r="S209">
        <f t="shared" si="111"/>
        <v>1.8599999999999999</v>
      </c>
      <c r="T209">
        <f t="shared" si="96"/>
        <v>0.47290959180041103</v>
      </c>
      <c r="U209">
        <f t="shared" si="112"/>
        <v>0</v>
      </c>
      <c r="W209">
        <f>$B$5*'5 Year Rainfall Simulation'!D210/1000</f>
        <v>5.6796420193763075E-2</v>
      </c>
      <c r="X209">
        <f t="shared" si="97"/>
        <v>5.6796420193763075E-2</v>
      </c>
      <c r="Y209">
        <f t="shared" si="98"/>
        <v>0.62</v>
      </c>
      <c r="Z209">
        <f t="shared" si="99"/>
        <v>-0.56320357980623692</v>
      </c>
      <c r="AA209">
        <f t="shared" si="113"/>
        <v>34.436796420193765</v>
      </c>
      <c r="AB209">
        <f t="shared" si="100"/>
        <v>3.3574464861946395E-2</v>
      </c>
      <c r="AC209">
        <f t="shared" si="114"/>
        <v>0</v>
      </c>
      <c r="AE209">
        <f>$B$5*'5 Year Rainfall Simulation'!E210/1000</f>
        <v>0</v>
      </c>
      <c r="AF209">
        <f t="shared" si="101"/>
        <v>0</v>
      </c>
      <c r="AG209">
        <f t="shared" si="102"/>
        <v>0.62</v>
      </c>
      <c r="AH209">
        <f t="shared" si="103"/>
        <v>-0.62</v>
      </c>
      <c r="AI209">
        <f t="shared" si="115"/>
        <v>19.592662587656154</v>
      </c>
      <c r="AJ209">
        <f t="shared" si="104"/>
        <v>0</v>
      </c>
      <c r="AK209">
        <f t="shared" si="116"/>
        <v>0</v>
      </c>
      <c r="AM209">
        <f>$B$5*'5 Year Rainfall Simulation'!F210/1000</f>
        <v>0</v>
      </c>
      <c r="AN209">
        <f t="shared" si="105"/>
        <v>0</v>
      </c>
      <c r="AO209">
        <f t="shared" si="106"/>
        <v>0.62</v>
      </c>
      <c r="AP209">
        <f t="shared" si="107"/>
        <v>-0.62</v>
      </c>
      <c r="AQ209">
        <f t="shared" si="117"/>
        <v>34.380000000000003</v>
      </c>
      <c r="AR209">
        <f t="shared" si="108"/>
        <v>0</v>
      </c>
      <c r="AS209">
        <f t="shared" si="118"/>
        <v>0</v>
      </c>
    </row>
    <row r="210" spans="6:45" ht="18" customHeight="1">
      <c r="F210" s="109">
        <v>44767</v>
      </c>
      <c r="G210">
        <f>B$5*'5 Year Rainfall Simulation'!B211/1000</f>
        <v>0</v>
      </c>
      <c r="H210">
        <f t="shared" si="90"/>
        <v>0</v>
      </c>
      <c r="I210">
        <f t="shared" si="89"/>
        <v>0.62</v>
      </c>
      <c r="J210">
        <f t="shared" si="91"/>
        <v>-0.62</v>
      </c>
      <c r="K210">
        <f t="shared" si="109"/>
        <v>33.880000000000003</v>
      </c>
      <c r="L210">
        <f t="shared" si="92"/>
        <v>0</v>
      </c>
      <c r="M210">
        <f t="shared" si="110"/>
        <v>0</v>
      </c>
      <c r="O210">
        <f>$B$5*'5 Year Rainfall Simulation'!C211/1000</f>
        <v>0.84</v>
      </c>
      <c r="P210">
        <f t="shared" si="93"/>
        <v>0.84</v>
      </c>
      <c r="Q210">
        <f t="shared" si="94"/>
        <v>0.62</v>
      </c>
      <c r="R210">
        <f t="shared" si="95"/>
        <v>0.21999999999999997</v>
      </c>
      <c r="S210">
        <f t="shared" si="111"/>
        <v>2.08</v>
      </c>
      <c r="T210">
        <f t="shared" si="96"/>
        <v>0.49655507139043153</v>
      </c>
      <c r="U210">
        <f t="shared" si="112"/>
        <v>0</v>
      </c>
      <c r="W210">
        <f>$B$5*'5 Year Rainfall Simulation'!D211/1000</f>
        <v>0.62643682176073301</v>
      </c>
      <c r="X210">
        <f t="shared" si="97"/>
        <v>0.62643682176073301</v>
      </c>
      <c r="Y210">
        <f t="shared" si="98"/>
        <v>0.62</v>
      </c>
      <c r="Z210">
        <f t="shared" si="99"/>
        <v>6.4368217607330136E-3</v>
      </c>
      <c r="AA210">
        <f t="shared" si="113"/>
        <v>34.443233241954495</v>
      </c>
      <c r="AB210">
        <f t="shared" si="100"/>
        <v>0.37030997708451885</v>
      </c>
      <c r="AC210">
        <f t="shared" si="114"/>
        <v>0</v>
      </c>
      <c r="AE210">
        <f>$B$5*'5 Year Rainfall Simulation'!E211/1000</f>
        <v>2.318763605283602</v>
      </c>
      <c r="AF210">
        <f t="shared" si="101"/>
        <v>2.318763605283602</v>
      </c>
      <c r="AG210">
        <f t="shared" si="102"/>
        <v>0.62</v>
      </c>
      <c r="AH210">
        <f t="shared" si="103"/>
        <v>1.6987636052836019</v>
      </c>
      <c r="AI210">
        <f t="shared" si="115"/>
        <v>21.291426192939756</v>
      </c>
      <c r="AJ210">
        <f t="shared" si="104"/>
        <v>1.3707069375703971</v>
      </c>
      <c r="AK210">
        <f t="shared" si="116"/>
        <v>0</v>
      </c>
      <c r="AM210">
        <f>$B$5*'5 Year Rainfall Simulation'!F211/1000</f>
        <v>0</v>
      </c>
      <c r="AN210">
        <f t="shared" si="105"/>
        <v>0</v>
      </c>
      <c r="AO210">
        <f t="shared" si="106"/>
        <v>0.62</v>
      </c>
      <c r="AP210">
        <f t="shared" si="107"/>
        <v>-0.62</v>
      </c>
      <c r="AQ210">
        <f t="shared" si="117"/>
        <v>33.760000000000005</v>
      </c>
      <c r="AR210">
        <f t="shared" si="108"/>
        <v>0</v>
      </c>
      <c r="AS210">
        <f t="shared" si="118"/>
        <v>0</v>
      </c>
    </row>
    <row r="211" spans="6:45" ht="18" customHeight="1">
      <c r="F211" s="109">
        <v>44768</v>
      </c>
      <c r="G211">
        <f>B$5*'5 Year Rainfall Simulation'!B212/1000</f>
        <v>0</v>
      </c>
      <c r="H211">
        <f t="shared" si="90"/>
        <v>0</v>
      </c>
      <c r="I211">
        <f t="shared" si="89"/>
        <v>0.62</v>
      </c>
      <c r="J211">
        <f t="shared" si="91"/>
        <v>-0.62</v>
      </c>
      <c r="K211">
        <f t="shared" si="109"/>
        <v>33.260000000000005</v>
      </c>
      <c r="L211">
        <f t="shared" si="92"/>
        <v>0</v>
      </c>
      <c r="M211">
        <f t="shared" si="110"/>
        <v>0</v>
      </c>
      <c r="O211">
        <f>$B$5*'5 Year Rainfall Simulation'!C212/1000</f>
        <v>0</v>
      </c>
      <c r="P211">
        <f t="shared" si="93"/>
        <v>0</v>
      </c>
      <c r="Q211">
        <f t="shared" si="94"/>
        <v>0.62</v>
      </c>
      <c r="R211">
        <f t="shared" si="95"/>
        <v>-0.62</v>
      </c>
      <c r="S211">
        <f t="shared" si="111"/>
        <v>1.46</v>
      </c>
      <c r="T211">
        <f t="shared" si="96"/>
        <v>0</v>
      </c>
      <c r="U211">
        <f t="shared" si="112"/>
        <v>0</v>
      </c>
      <c r="W211">
        <f>$B$5*'5 Year Rainfall Simulation'!D212/1000</f>
        <v>0.94294899662030596</v>
      </c>
      <c r="X211">
        <f t="shared" si="97"/>
        <v>0.94294899662030596</v>
      </c>
      <c r="Y211">
        <f t="shared" si="98"/>
        <v>0.62</v>
      </c>
      <c r="Z211">
        <f t="shared" si="99"/>
        <v>0.32294899662030596</v>
      </c>
      <c r="AA211">
        <f t="shared" si="113"/>
        <v>34.7661822385748</v>
      </c>
      <c r="AB211">
        <f t="shared" si="100"/>
        <v>0.55741203135039508</v>
      </c>
      <c r="AC211">
        <f t="shared" si="114"/>
        <v>0</v>
      </c>
      <c r="AE211">
        <f>$B$5*'5 Year Rainfall Simulation'!E212/1000</f>
        <v>0</v>
      </c>
      <c r="AF211">
        <f t="shared" si="101"/>
        <v>0</v>
      </c>
      <c r="AG211">
        <f t="shared" si="102"/>
        <v>0.62</v>
      </c>
      <c r="AH211">
        <f t="shared" si="103"/>
        <v>-0.62</v>
      </c>
      <c r="AI211">
        <f t="shared" si="115"/>
        <v>20.671426192939755</v>
      </c>
      <c r="AJ211">
        <f t="shared" si="104"/>
        <v>0</v>
      </c>
      <c r="AK211">
        <f t="shared" si="116"/>
        <v>0</v>
      </c>
      <c r="AM211">
        <f>$B$5*'5 Year Rainfall Simulation'!F212/1000</f>
        <v>0</v>
      </c>
      <c r="AN211">
        <f t="shared" si="105"/>
        <v>0</v>
      </c>
      <c r="AO211">
        <f t="shared" si="106"/>
        <v>0.62</v>
      </c>
      <c r="AP211">
        <f t="shared" si="107"/>
        <v>-0.62</v>
      </c>
      <c r="AQ211">
        <f t="shared" si="117"/>
        <v>33.140000000000008</v>
      </c>
      <c r="AR211">
        <f t="shared" si="108"/>
        <v>0</v>
      </c>
      <c r="AS211">
        <f t="shared" si="118"/>
        <v>0</v>
      </c>
    </row>
    <row r="212" spans="6:45" ht="18" customHeight="1">
      <c r="F212" s="109">
        <v>44769</v>
      </c>
      <c r="G212">
        <f>B$5*'5 Year Rainfall Simulation'!B213/1000</f>
        <v>0</v>
      </c>
      <c r="H212">
        <f t="shared" si="90"/>
        <v>0</v>
      </c>
      <c r="I212">
        <f t="shared" si="89"/>
        <v>0.62</v>
      </c>
      <c r="J212">
        <f t="shared" si="91"/>
        <v>-0.62</v>
      </c>
      <c r="K212">
        <f t="shared" si="109"/>
        <v>32.640000000000008</v>
      </c>
      <c r="L212">
        <f t="shared" si="92"/>
        <v>0</v>
      </c>
      <c r="M212">
        <f t="shared" si="110"/>
        <v>0</v>
      </c>
      <c r="O212">
        <f>$B$5*'5 Year Rainfall Simulation'!C213/1000</f>
        <v>0</v>
      </c>
      <c r="P212">
        <f t="shared" si="93"/>
        <v>0</v>
      </c>
      <c r="Q212">
        <f t="shared" si="94"/>
        <v>0.62</v>
      </c>
      <c r="R212">
        <f t="shared" si="95"/>
        <v>-0.62</v>
      </c>
      <c r="S212">
        <f t="shared" si="111"/>
        <v>0.84</v>
      </c>
      <c r="T212">
        <f t="shared" si="96"/>
        <v>0</v>
      </c>
      <c r="U212">
        <f t="shared" si="112"/>
        <v>0</v>
      </c>
      <c r="W212">
        <f>$B$5*'5 Year Rainfall Simulation'!D213/1000</f>
        <v>0</v>
      </c>
      <c r="X212">
        <f t="shared" si="97"/>
        <v>0</v>
      </c>
      <c r="Y212">
        <f t="shared" si="98"/>
        <v>0.62</v>
      </c>
      <c r="Z212">
        <f t="shared" si="99"/>
        <v>-0.62</v>
      </c>
      <c r="AA212">
        <f t="shared" si="113"/>
        <v>34.146182238574802</v>
      </c>
      <c r="AB212">
        <f t="shared" si="100"/>
        <v>0</v>
      </c>
      <c r="AC212">
        <f t="shared" si="114"/>
        <v>0</v>
      </c>
      <c r="AE212">
        <f>$B$5*'5 Year Rainfall Simulation'!E213/1000</f>
        <v>0</v>
      </c>
      <c r="AF212">
        <f t="shared" si="101"/>
        <v>0</v>
      </c>
      <c r="AG212">
        <f t="shared" si="102"/>
        <v>0.62</v>
      </c>
      <c r="AH212">
        <f t="shared" si="103"/>
        <v>-0.62</v>
      </c>
      <c r="AI212">
        <f t="shared" si="115"/>
        <v>20.051426192939754</v>
      </c>
      <c r="AJ212">
        <f t="shared" si="104"/>
        <v>0</v>
      </c>
      <c r="AK212">
        <f t="shared" si="116"/>
        <v>0</v>
      </c>
      <c r="AM212">
        <f>$B$5*'5 Year Rainfall Simulation'!F213/1000</f>
        <v>0</v>
      </c>
      <c r="AN212">
        <f t="shared" si="105"/>
        <v>0</v>
      </c>
      <c r="AO212">
        <f t="shared" si="106"/>
        <v>0.62</v>
      </c>
      <c r="AP212">
        <f t="shared" si="107"/>
        <v>-0.62</v>
      </c>
      <c r="AQ212">
        <f t="shared" si="117"/>
        <v>32.52000000000001</v>
      </c>
      <c r="AR212">
        <f t="shared" si="108"/>
        <v>0</v>
      </c>
      <c r="AS212">
        <f t="shared" si="118"/>
        <v>0</v>
      </c>
    </row>
    <row r="213" spans="6:45" ht="18" customHeight="1">
      <c r="F213" s="109">
        <v>44770</v>
      </c>
      <c r="G213">
        <f>B$5*'5 Year Rainfall Simulation'!B214/1000</f>
        <v>0</v>
      </c>
      <c r="H213">
        <f t="shared" si="90"/>
        <v>0</v>
      </c>
      <c r="I213">
        <f t="shared" si="89"/>
        <v>0.62</v>
      </c>
      <c r="J213">
        <f t="shared" si="91"/>
        <v>-0.62</v>
      </c>
      <c r="K213">
        <f t="shared" si="109"/>
        <v>32.02000000000001</v>
      </c>
      <c r="L213">
        <f t="shared" si="92"/>
        <v>0</v>
      </c>
      <c r="M213">
        <f t="shared" si="110"/>
        <v>0</v>
      </c>
      <c r="O213">
        <f>$B$5*'5 Year Rainfall Simulation'!C214/1000</f>
        <v>0</v>
      </c>
      <c r="P213">
        <f t="shared" si="93"/>
        <v>0</v>
      </c>
      <c r="Q213">
        <f t="shared" si="94"/>
        <v>0.62</v>
      </c>
      <c r="R213">
        <f t="shared" si="95"/>
        <v>-0.62</v>
      </c>
      <c r="S213">
        <f t="shared" si="111"/>
        <v>0.21999999999999997</v>
      </c>
      <c r="T213">
        <f t="shared" si="96"/>
        <v>0</v>
      </c>
      <c r="U213">
        <f t="shared" si="112"/>
        <v>0</v>
      </c>
      <c r="W213">
        <f>$B$5*'5 Year Rainfall Simulation'!D214/1000</f>
        <v>0.59372097542725155</v>
      </c>
      <c r="X213">
        <f t="shared" si="97"/>
        <v>0.59372097542725155</v>
      </c>
      <c r="Y213">
        <f t="shared" si="98"/>
        <v>0.62</v>
      </c>
      <c r="Z213">
        <f t="shared" si="99"/>
        <v>-2.6279024572748444E-2</v>
      </c>
      <c r="AA213">
        <f t="shared" si="113"/>
        <v>34.119903214002051</v>
      </c>
      <c r="AB213">
        <f t="shared" si="100"/>
        <v>0.35097043016580426</v>
      </c>
      <c r="AC213">
        <f t="shared" si="114"/>
        <v>0</v>
      </c>
      <c r="AE213">
        <f>$B$5*'5 Year Rainfall Simulation'!E214/1000</f>
        <v>1.1075304446071021</v>
      </c>
      <c r="AF213">
        <f t="shared" si="101"/>
        <v>1.1075304446071021</v>
      </c>
      <c r="AG213">
        <f t="shared" si="102"/>
        <v>0.62</v>
      </c>
      <c r="AH213">
        <f t="shared" si="103"/>
        <v>0.48753044460710215</v>
      </c>
      <c r="AI213">
        <f t="shared" si="115"/>
        <v>20.538956637546857</v>
      </c>
      <c r="AJ213">
        <f t="shared" si="104"/>
        <v>0.65470221308209053</v>
      </c>
      <c r="AK213">
        <f t="shared" si="116"/>
        <v>0</v>
      </c>
      <c r="AM213">
        <f>$B$5*'5 Year Rainfall Simulation'!F214/1000</f>
        <v>1.376135618712937</v>
      </c>
      <c r="AN213">
        <f t="shared" si="105"/>
        <v>1.376135618712937</v>
      </c>
      <c r="AO213">
        <f t="shared" si="106"/>
        <v>0.62</v>
      </c>
      <c r="AP213">
        <f t="shared" si="107"/>
        <v>0.756135618712937</v>
      </c>
      <c r="AQ213">
        <f t="shared" si="117"/>
        <v>33.276135618712949</v>
      </c>
      <c r="AR213">
        <f t="shared" si="108"/>
        <v>0.81348466713442635</v>
      </c>
      <c r="AS213">
        <f t="shared" si="118"/>
        <v>0</v>
      </c>
    </row>
    <row r="214" spans="6:45" ht="18" customHeight="1">
      <c r="F214" s="109">
        <v>44771</v>
      </c>
      <c r="G214">
        <f>B$5*'5 Year Rainfall Simulation'!B215/1000</f>
        <v>0</v>
      </c>
      <c r="H214">
        <f t="shared" si="90"/>
        <v>0</v>
      </c>
      <c r="I214">
        <f t="shared" si="89"/>
        <v>0.62</v>
      </c>
      <c r="J214">
        <f t="shared" si="91"/>
        <v>-0.62</v>
      </c>
      <c r="K214">
        <f t="shared" si="109"/>
        <v>31.400000000000009</v>
      </c>
      <c r="L214">
        <f t="shared" si="92"/>
        <v>0</v>
      </c>
      <c r="M214">
        <f t="shared" si="110"/>
        <v>0</v>
      </c>
      <c r="O214">
        <f>$B$5*'5 Year Rainfall Simulation'!C215/1000</f>
        <v>0</v>
      </c>
      <c r="P214">
        <f t="shared" si="93"/>
        <v>0</v>
      </c>
      <c r="Q214">
        <f t="shared" si="94"/>
        <v>0.62</v>
      </c>
      <c r="R214">
        <f t="shared" si="95"/>
        <v>-0.62</v>
      </c>
      <c r="S214">
        <f t="shared" si="111"/>
        <v>0</v>
      </c>
      <c r="T214">
        <f t="shared" si="96"/>
        <v>0</v>
      </c>
      <c r="U214">
        <f t="shared" si="112"/>
        <v>1</v>
      </c>
      <c r="W214">
        <f>$B$5*'5 Year Rainfall Simulation'!D215/1000</f>
        <v>0.17241246586438164</v>
      </c>
      <c r="X214">
        <f t="shared" si="97"/>
        <v>0.17241246586438164</v>
      </c>
      <c r="Y214">
        <f t="shared" si="98"/>
        <v>0.62</v>
      </c>
      <c r="Z214">
        <f t="shared" si="99"/>
        <v>-0.44758753413561836</v>
      </c>
      <c r="AA214">
        <f t="shared" si="113"/>
        <v>33.672315679866429</v>
      </c>
      <c r="AB214">
        <f t="shared" si="100"/>
        <v>0.10191938606653378</v>
      </c>
      <c r="AC214">
        <f t="shared" si="114"/>
        <v>0</v>
      </c>
      <c r="AE214">
        <f>$B$5*'5 Year Rainfall Simulation'!E215/1000</f>
        <v>0</v>
      </c>
      <c r="AF214">
        <f t="shared" si="101"/>
        <v>0</v>
      </c>
      <c r="AG214">
        <f t="shared" si="102"/>
        <v>0.62</v>
      </c>
      <c r="AH214">
        <f t="shared" si="103"/>
        <v>-0.62</v>
      </c>
      <c r="AI214">
        <f t="shared" si="115"/>
        <v>19.918956637546856</v>
      </c>
      <c r="AJ214">
        <f t="shared" si="104"/>
        <v>0</v>
      </c>
      <c r="AK214">
        <f t="shared" si="116"/>
        <v>0</v>
      </c>
      <c r="AM214">
        <f>$B$5*'5 Year Rainfall Simulation'!F215/1000</f>
        <v>0</v>
      </c>
      <c r="AN214">
        <f t="shared" si="105"/>
        <v>0</v>
      </c>
      <c r="AO214">
        <f t="shared" si="106"/>
        <v>0.62</v>
      </c>
      <c r="AP214">
        <f t="shared" si="107"/>
        <v>-0.62</v>
      </c>
      <c r="AQ214">
        <f t="shared" si="117"/>
        <v>32.656135618712952</v>
      </c>
      <c r="AR214">
        <f t="shared" si="108"/>
        <v>0</v>
      </c>
      <c r="AS214">
        <f t="shared" si="118"/>
        <v>0</v>
      </c>
    </row>
    <row r="215" spans="6:45" ht="18" customHeight="1">
      <c r="F215" s="109">
        <v>44772</v>
      </c>
      <c r="G215">
        <f>B$5*'5 Year Rainfall Simulation'!B216/1000</f>
        <v>0</v>
      </c>
      <c r="H215">
        <f t="shared" si="90"/>
        <v>0</v>
      </c>
      <c r="I215">
        <f t="shared" si="89"/>
        <v>0.62</v>
      </c>
      <c r="J215">
        <f t="shared" si="91"/>
        <v>-0.62</v>
      </c>
      <c r="K215">
        <f t="shared" si="109"/>
        <v>30.780000000000008</v>
      </c>
      <c r="L215">
        <f t="shared" si="92"/>
        <v>0</v>
      </c>
      <c r="M215">
        <f t="shared" si="110"/>
        <v>0</v>
      </c>
      <c r="O215">
        <f>$B$5*'5 Year Rainfall Simulation'!C216/1000</f>
        <v>0</v>
      </c>
      <c r="P215">
        <f t="shared" si="93"/>
        <v>0</v>
      </c>
      <c r="Q215">
        <f t="shared" si="94"/>
        <v>0.62</v>
      </c>
      <c r="R215">
        <f t="shared" si="95"/>
        <v>-0.62</v>
      </c>
      <c r="S215">
        <f t="shared" si="111"/>
        <v>0</v>
      </c>
      <c r="T215">
        <f t="shared" si="96"/>
        <v>0</v>
      </c>
      <c r="U215">
        <f t="shared" si="112"/>
        <v>1</v>
      </c>
      <c r="W215">
        <f>$B$5*'5 Year Rainfall Simulation'!D216/1000</f>
        <v>1.7731948164735272</v>
      </c>
      <c r="X215">
        <f t="shared" si="97"/>
        <v>1.7731948164735272</v>
      </c>
      <c r="Y215">
        <f t="shared" si="98"/>
        <v>0.62</v>
      </c>
      <c r="Z215">
        <f t="shared" si="99"/>
        <v>1.1531948164735271</v>
      </c>
      <c r="AA215">
        <f t="shared" si="113"/>
        <v>34.825510496339959</v>
      </c>
      <c r="AB215">
        <f t="shared" si="100"/>
        <v>1.0482010460513755</v>
      </c>
      <c r="AC215">
        <f t="shared" si="114"/>
        <v>0</v>
      </c>
      <c r="AE215">
        <f>$B$5*'5 Year Rainfall Simulation'!E216/1000</f>
        <v>0</v>
      </c>
      <c r="AF215">
        <f t="shared" si="101"/>
        <v>0</v>
      </c>
      <c r="AG215">
        <f t="shared" si="102"/>
        <v>0.62</v>
      </c>
      <c r="AH215">
        <f t="shared" si="103"/>
        <v>-0.62</v>
      </c>
      <c r="AI215">
        <f t="shared" si="115"/>
        <v>19.298956637546855</v>
      </c>
      <c r="AJ215">
        <f t="shared" si="104"/>
        <v>0</v>
      </c>
      <c r="AK215">
        <f t="shared" si="116"/>
        <v>0</v>
      </c>
      <c r="AM215">
        <f>$B$5*'5 Year Rainfall Simulation'!F216/1000</f>
        <v>0</v>
      </c>
      <c r="AN215">
        <f t="shared" si="105"/>
        <v>0</v>
      </c>
      <c r="AO215">
        <f t="shared" si="106"/>
        <v>0.62</v>
      </c>
      <c r="AP215">
        <f t="shared" si="107"/>
        <v>-0.62</v>
      </c>
      <c r="AQ215">
        <f t="shared" si="117"/>
        <v>32.036135618712954</v>
      </c>
      <c r="AR215">
        <f t="shared" si="108"/>
        <v>0</v>
      </c>
      <c r="AS215">
        <f t="shared" si="118"/>
        <v>0</v>
      </c>
    </row>
    <row r="216" spans="6:45" ht="18" customHeight="1">
      <c r="F216" s="109">
        <v>44773</v>
      </c>
      <c r="G216">
        <f>B$5*'5 Year Rainfall Simulation'!B217/1000</f>
        <v>0</v>
      </c>
      <c r="H216">
        <f t="shared" si="90"/>
        <v>0</v>
      </c>
      <c r="I216">
        <f t="shared" si="89"/>
        <v>0.62</v>
      </c>
      <c r="J216">
        <f t="shared" si="91"/>
        <v>-0.62</v>
      </c>
      <c r="K216">
        <f t="shared" si="109"/>
        <v>30.160000000000007</v>
      </c>
      <c r="L216">
        <f t="shared" si="92"/>
        <v>0</v>
      </c>
      <c r="M216">
        <f t="shared" si="110"/>
        <v>0</v>
      </c>
      <c r="O216">
        <f>$B$5*'5 Year Rainfall Simulation'!C217/1000</f>
        <v>0</v>
      </c>
      <c r="P216">
        <f t="shared" si="93"/>
        <v>0</v>
      </c>
      <c r="Q216">
        <f t="shared" si="94"/>
        <v>0.62</v>
      </c>
      <c r="R216">
        <f t="shared" si="95"/>
        <v>-0.62</v>
      </c>
      <c r="S216">
        <f t="shared" si="111"/>
        <v>0</v>
      </c>
      <c r="T216">
        <f t="shared" si="96"/>
        <v>0</v>
      </c>
      <c r="U216">
        <f t="shared" si="112"/>
        <v>1</v>
      </c>
      <c r="W216">
        <f>$B$5*'5 Year Rainfall Simulation'!D217/1000</f>
        <v>0.65431945230364719</v>
      </c>
      <c r="X216">
        <f t="shared" si="97"/>
        <v>0.65431945230364719</v>
      </c>
      <c r="Y216">
        <f t="shared" si="98"/>
        <v>0.62</v>
      </c>
      <c r="Z216">
        <f t="shared" si="99"/>
        <v>3.4319452303647191E-2</v>
      </c>
      <c r="AA216">
        <f t="shared" si="113"/>
        <v>34.859829948643608</v>
      </c>
      <c r="AB216">
        <f t="shared" si="100"/>
        <v>0.38679243136998287</v>
      </c>
      <c r="AC216">
        <f t="shared" si="114"/>
        <v>0</v>
      </c>
      <c r="AE216">
        <f>$B$5*'5 Year Rainfall Simulation'!E217/1000</f>
        <v>0</v>
      </c>
      <c r="AF216">
        <f t="shared" si="101"/>
        <v>0</v>
      </c>
      <c r="AG216">
        <f t="shared" si="102"/>
        <v>0.62</v>
      </c>
      <c r="AH216">
        <f t="shared" si="103"/>
        <v>-0.62</v>
      </c>
      <c r="AI216">
        <f t="shared" si="115"/>
        <v>18.678956637546854</v>
      </c>
      <c r="AJ216">
        <f t="shared" si="104"/>
        <v>0</v>
      </c>
      <c r="AK216">
        <f t="shared" si="116"/>
        <v>0</v>
      </c>
      <c r="AM216">
        <f>$B$5*'5 Year Rainfall Simulation'!F217/1000</f>
        <v>1.0593133665491938</v>
      </c>
      <c r="AN216">
        <f t="shared" si="105"/>
        <v>1.0593133665491938</v>
      </c>
      <c r="AO216">
        <f t="shared" si="106"/>
        <v>0.62</v>
      </c>
      <c r="AP216">
        <f t="shared" si="107"/>
        <v>0.43931336654919384</v>
      </c>
      <c r="AQ216">
        <f t="shared" si="117"/>
        <v>32.475448985262148</v>
      </c>
      <c r="AR216">
        <f t="shared" si="108"/>
        <v>0.62619931470437307</v>
      </c>
      <c r="AS216">
        <f t="shared" si="118"/>
        <v>0</v>
      </c>
    </row>
    <row r="217" spans="6:45" ht="18" customHeight="1">
      <c r="F217" s="109">
        <v>44774</v>
      </c>
      <c r="G217">
        <f>B$5*'5 Year Rainfall Simulation'!B218/1000</f>
        <v>0</v>
      </c>
      <c r="H217">
        <f t="shared" si="90"/>
        <v>0</v>
      </c>
      <c r="I217">
        <f t="shared" si="89"/>
        <v>0.62</v>
      </c>
      <c r="J217">
        <f t="shared" si="91"/>
        <v>-0.62</v>
      </c>
      <c r="K217">
        <f t="shared" si="109"/>
        <v>29.540000000000006</v>
      </c>
      <c r="L217">
        <f t="shared" si="92"/>
        <v>0</v>
      </c>
      <c r="M217">
        <f t="shared" si="110"/>
        <v>0</v>
      </c>
      <c r="O217">
        <f>$B$5*'5 Year Rainfall Simulation'!C218/1000</f>
        <v>0</v>
      </c>
      <c r="P217">
        <f t="shared" si="93"/>
        <v>0</v>
      </c>
      <c r="Q217">
        <f t="shared" si="94"/>
        <v>0.62</v>
      </c>
      <c r="R217">
        <f t="shared" si="95"/>
        <v>-0.62</v>
      </c>
      <c r="S217">
        <f t="shared" si="111"/>
        <v>0</v>
      </c>
      <c r="T217">
        <f t="shared" si="96"/>
        <v>0</v>
      </c>
      <c r="U217">
        <f t="shared" si="112"/>
        <v>1</v>
      </c>
      <c r="W217">
        <f>$B$5*'5 Year Rainfall Simulation'!D218/1000</f>
        <v>0</v>
      </c>
      <c r="X217">
        <f t="shared" si="97"/>
        <v>0</v>
      </c>
      <c r="Y217">
        <f t="shared" si="98"/>
        <v>0.62</v>
      </c>
      <c r="Z217">
        <f t="shared" si="99"/>
        <v>-0.62</v>
      </c>
      <c r="AA217">
        <f t="shared" si="113"/>
        <v>34.23982994864361</v>
      </c>
      <c r="AB217">
        <f t="shared" si="100"/>
        <v>0</v>
      </c>
      <c r="AC217">
        <f t="shared" si="114"/>
        <v>0</v>
      </c>
      <c r="AE217">
        <f>$B$5*'5 Year Rainfall Simulation'!E218/1000</f>
        <v>0</v>
      </c>
      <c r="AF217">
        <f t="shared" si="101"/>
        <v>0</v>
      </c>
      <c r="AG217">
        <f t="shared" si="102"/>
        <v>0.62</v>
      </c>
      <c r="AH217">
        <f t="shared" si="103"/>
        <v>-0.62</v>
      </c>
      <c r="AI217">
        <f t="shared" si="115"/>
        <v>18.058956637546853</v>
      </c>
      <c r="AJ217">
        <f t="shared" si="104"/>
        <v>0</v>
      </c>
      <c r="AK217">
        <f t="shared" si="116"/>
        <v>0</v>
      </c>
      <c r="AM217">
        <f>$B$5*'5 Year Rainfall Simulation'!F218/1000</f>
        <v>0</v>
      </c>
      <c r="AN217">
        <f t="shared" si="105"/>
        <v>0</v>
      </c>
      <c r="AO217">
        <f t="shared" si="106"/>
        <v>0.62</v>
      </c>
      <c r="AP217">
        <f t="shared" si="107"/>
        <v>-0.62</v>
      </c>
      <c r="AQ217">
        <f t="shared" si="117"/>
        <v>31.855448985262147</v>
      </c>
      <c r="AR217">
        <f t="shared" si="108"/>
        <v>0</v>
      </c>
      <c r="AS217">
        <f t="shared" si="118"/>
        <v>0</v>
      </c>
    </row>
    <row r="218" spans="6:45" ht="18" customHeight="1">
      <c r="F218" s="109">
        <v>44775</v>
      </c>
      <c r="G218">
        <f>B$5*'5 Year Rainfall Simulation'!B219/1000</f>
        <v>0</v>
      </c>
      <c r="H218">
        <f t="shared" si="90"/>
        <v>0</v>
      </c>
      <c r="I218">
        <f t="shared" si="89"/>
        <v>0.62</v>
      </c>
      <c r="J218">
        <f t="shared" si="91"/>
        <v>-0.62</v>
      </c>
      <c r="K218">
        <f t="shared" si="109"/>
        <v>28.920000000000005</v>
      </c>
      <c r="L218">
        <f t="shared" si="92"/>
        <v>0</v>
      </c>
      <c r="M218">
        <f t="shared" si="110"/>
        <v>0</v>
      </c>
      <c r="O218">
        <f>$B$5*'5 Year Rainfall Simulation'!C219/1000</f>
        <v>0</v>
      </c>
      <c r="P218">
        <f t="shared" si="93"/>
        <v>0</v>
      </c>
      <c r="Q218">
        <f t="shared" si="94"/>
        <v>0.62</v>
      </c>
      <c r="R218">
        <f t="shared" si="95"/>
        <v>-0.62</v>
      </c>
      <c r="S218">
        <f t="shared" si="111"/>
        <v>0</v>
      </c>
      <c r="T218">
        <f t="shared" si="96"/>
        <v>0</v>
      </c>
      <c r="U218">
        <f t="shared" si="112"/>
        <v>1</v>
      </c>
      <c r="W218">
        <f>$B$5*'5 Year Rainfall Simulation'!D219/1000</f>
        <v>0.15152700558821064</v>
      </c>
      <c r="X218">
        <f t="shared" si="97"/>
        <v>0.15152700558821064</v>
      </c>
      <c r="Y218">
        <f t="shared" si="98"/>
        <v>0.62</v>
      </c>
      <c r="Z218">
        <f t="shared" si="99"/>
        <v>-0.46847299441178936</v>
      </c>
      <c r="AA218">
        <f t="shared" si="113"/>
        <v>33.77135695423182</v>
      </c>
      <c r="AB218">
        <f t="shared" si="100"/>
        <v>8.9573217949324116E-2</v>
      </c>
      <c r="AC218">
        <f t="shared" si="114"/>
        <v>0</v>
      </c>
      <c r="AE218">
        <f>$B$5*'5 Year Rainfall Simulation'!E219/1000</f>
        <v>0</v>
      </c>
      <c r="AF218">
        <f t="shared" si="101"/>
        <v>0</v>
      </c>
      <c r="AG218">
        <f t="shared" si="102"/>
        <v>0.62</v>
      </c>
      <c r="AH218">
        <f t="shared" si="103"/>
        <v>-0.62</v>
      </c>
      <c r="AI218">
        <f t="shared" si="115"/>
        <v>17.438956637546852</v>
      </c>
      <c r="AJ218">
        <f t="shared" si="104"/>
        <v>0</v>
      </c>
      <c r="AK218">
        <f t="shared" si="116"/>
        <v>0</v>
      </c>
      <c r="AM218">
        <f>$B$5*'5 Year Rainfall Simulation'!F219/1000</f>
        <v>0</v>
      </c>
      <c r="AN218">
        <f t="shared" si="105"/>
        <v>0</v>
      </c>
      <c r="AO218">
        <f t="shared" si="106"/>
        <v>0.62</v>
      </c>
      <c r="AP218">
        <f t="shared" si="107"/>
        <v>-0.62</v>
      </c>
      <c r="AQ218">
        <f t="shared" si="117"/>
        <v>31.235448985262146</v>
      </c>
      <c r="AR218">
        <f t="shared" si="108"/>
        <v>0</v>
      </c>
      <c r="AS218">
        <f t="shared" si="118"/>
        <v>0</v>
      </c>
    </row>
    <row r="219" spans="6:45" ht="18" customHeight="1">
      <c r="F219" s="109">
        <v>44776</v>
      </c>
      <c r="G219">
        <f>B$5*'5 Year Rainfall Simulation'!B220/1000</f>
        <v>0</v>
      </c>
      <c r="H219">
        <f t="shared" si="90"/>
        <v>0</v>
      </c>
      <c r="I219">
        <f t="shared" si="89"/>
        <v>0.62</v>
      </c>
      <c r="J219">
        <f t="shared" si="91"/>
        <v>-0.62</v>
      </c>
      <c r="K219">
        <f t="shared" si="109"/>
        <v>28.300000000000004</v>
      </c>
      <c r="L219">
        <f t="shared" si="92"/>
        <v>0</v>
      </c>
      <c r="M219">
        <f t="shared" si="110"/>
        <v>0</v>
      </c>
      <c r="O219">
        <f>$B$5*'5 Year Rainfall Simulation'!C220/1000</f>
        <v>0</v>
      </c>
      <c r="P219">
        <f t="shared" si="93"/>
        <v>0</v>
      </c>
      <c r="Q219">
        <f t="shared" si="94"/>
        <v>0.62</v>
      </c>
      <c r="R219">
        <f t="shared" si="95"/>
        <v>-0.62</v>
      </c>
      <c r="S219">
        <f t="shared" si="111"/>
        <v>0</v>
      </c>
      <c r="T219">
        <f t="shared" si="96"/>
        <v>0</v>
      </c>
      <c r="U219">
        <f t="shared" si="112"/>
        <v>1</v>
      </c>
      <c r="W219">
        <f>$B$5*'5 Year Rainfall Simulation'!D220/1000</f>
        <v>0</v>
      </c>
      <c r="X219">
        <f t="shared" si="97"/>
        <v>0</v>
      </c>
      <c r="Y219">
        <f t="shared" si="98"/>
        <v>0.62</v>
      </c>
      <c r="Z219">
        <f t="shared" si="99"/>
        <v>-0.62</v>
      </c>
      <c r="AA219">
        <f t="shared" si="113"/>
        <v>33.151356954231822</v>
      </c>
      <c r="AB219">
        <f t="shared" si="100"/>
        <v>0</v>
      </c>
      <c r="AC219">
        <f t="shared" si="114"/>
        <v>0</v>
      </c>
      <c r="AE219">
        <f>$B$5*'5 Year Rainfall Simulation'!E220/1000</f>
        <v>0</v>
      </c>
      <c r="AF219">
        <f t="shared" si="101"/>
        <v>0</v>
      </c>
      <c r="AG219">
        <f t="shared" si="102"/>
        <v>0.62</v>
      </c>
      <c r="AH219">
        <f t="shared" si="103"/>
        <v>-0.62</v>
      </c>
      <c r="AI219">
        <f t="shared" si="115"/>
        <v>16.818956637546851</v>
      </c>
      <c r="AJ219">
        <f t="shared" si="104"/>
        <v>0</v>
      </c>
      <c r="AK219">
        <f t="shared" si="116"/>
        <v>0</v>
      </c>
      <c r="AM219">
        <f>$B$5*'5 Year Rainfall Simulation'!F220/1000</f>
        <v>0</v>
      </c>
      <c r="AN219">
        <f t="shared" si="105"/>
        <v>0</v>
      </c>
      <c r="AO219">
        <f t="shared" si="106"/>
        <v>0.62</v>
      </c>
      <c r="AP219">
        <f t="shared" si="107"/>
        <v>-0.62</v>
      </c>
      <c r="AQ219">
        <f t="shared" si="117"/>
        <v>30.615448985262145</v>
      </c>
      <c r="AR219">
        <f t="shared" si="108"/>
        <v>0</v>
      </c>
      <c r="AS219">
        <f t="shared" si="118"/>
        <v>0</v>
      </c>
    </row>
    <row r="220" spans="6:45" ht="18" customHeight="1">
      <c r="F220" s="109">
        <v>44777</v>
      </c>
      <c r="G220">
        <f>B$5*'5 Year Rainfall Simulation'!B221/1000</f>
        <v>0</v>
      </c>
      <c r="H220">
        <f t="shared" si="90"/>
        <v>0</v>
      </c>
      <c r="I220">
        <f t="shared" si="89"/>
        <v>0.62</v>
      </c>
      <c r="J220">
        <f t="shared" si="91"/>
        <v>-0.62</v>
      </c>
      <c r="K220">
        <f t="shared" si="109"/>
        <v>27.680000000000003</v>
      </c>
      <c r="L220">
        <f t="shared" si="92"/>
        <v>0</v>
      </c>
      <c r="M220">
        <f t="shared" si="110"/>
        <v>0</v>
      </c>
      <c r="O220">
        <f>$B$5*'5 Year Rainfall Simulation'!C221/1000</f>
        <v>0</v>
      </c>
      <c r="P220">
        <f t="shared" si="93"/>
        <v>0</v>
      </c>
      <c r="Q220">
        <f t="shared" si="94"/>
        <v>0.62</v>
      </c>
      <c r="R220">
        <f t="shared" si="95"/>
        <v>-0.62</v>
      </c>
      <c r="S220">
        <f t="shared" si="111"/>
        <v>0</v>
      </c>
      <c r="T220">
        <f t="shared" si="96"/>
        <v>0</v>
      </c>
      <c r="U220">
        <f t="shared" si="112"/>
        <v>1</v>
      </c>
      <c r="W220">
        <f>$B$5*'5 Year Rainfall Simulation'!D221/1000</f>
        <v>0.56716288269093584</v>
      </c>
      <c r="X220">
        <f t="shared" si="97"/>
        <v>0.56716288269093584</v>
      </c>
      <c r="Y220">
        <f t="shared" si="98"/>
        <v>0.62</v>
      </c>
      <c r="Z220">
        <f t="shared" si="99"/>
        <v>-5.2837117309064152E-2</v>
      </c>
      <c r="AA220">
        <f t="shared" si="113"/>
        <v>33.098519836922755</v>
      </c>
      <c r="AB220">
        <f t="shared" si="100"/>
        <v>0.33527095917214361</v>
      </c>
      <c r="AC220">
        <f t="shared" si="114"/>
        <v>0</v>
      </c>
      <c r="AE220">
        <f>$B$5*'5 Year Rainfall Simulation'!E221/1000</f>
        <v>0</v>
      </c>
      <c r="AF220">
        <f t="shared" si="101"/>
        <v>0</v>
      </c>
      <c r="AG220">
        <f t="shared" si="102"/>
        <v>0.62</v>
      </c>
      <c r="AH220">
        <f t="shared" si="103"/>
        <v>-0.62</v>
      </c>
      <c r="AI220">
        <f t="shared" si="115"/>
        <v>16.19895663754685</v>
      </c>
      <c r="AJ220">
        <f t="shared" si="104"/>
        <v>0</v>
      </c>
      <c r="AK220">
        <f t="shared" si="116"/>
        <v>0</v>
      </c>
      <c r="AM220">
        <f>$B$5*'5 Year Rainfall Simulation'!F221/1000</f>
        <v>0</v>
      </c>
      <c r="AN220">
        <f t="shared" si="105"/>
        <v>0</v>
      </c>
      <c r="AO220">
        <f t="shared" si="106"/>
        <v>0.62</v>
      </c>
      <c r="AP220">
        <f t="shared" si="107"/>
        <v>-0.62</v>
      </c>
      <c r="AQ220">
        <f t="shared" si="117"/>
        <v>29.995448985262144</v>
      </c>
      <c r="AR220">
        <f t="shared" si="108"/>
        <v>0</v>
      </c>
      <c r="AS220">
        <f t="shared" si="118"/>
        <v>0</v>
      </c>
    </row>
    <row r="221" spans="6:45" ht="18" customHeight="1">
      <c r="F221" s="109">
        <v>44778</v>
      </c>
      <c r="G221">
        <f>B$5*'5 Year Rainfall Simulation'!B222/1000</f>
        <v>0</v>
      </c>
      <c r="H221">
        <f t="shared" si="90"/>
        <v>0</v>
      </c>
      <c r="I221">
        <f t="shared" si="89"/>
        <v>0.62</v>
      </c>
      <c r="J221">
        <f t="shared" si="91"/>
        <v>-0.62</v>
      </c>
      <c r="K221">
        <f t="shared" si="109"/>
        <v>27.060000000000002</v>
      </c>
      <c r="L221">
        <f t="shared" si="92"/>
        <v>0</v>
      </c>
      <c r="M221">
        <f t="shared" si="110"/>
        <v>0</v>
      </c>
      <c r="O221">
        <f>$B$5*'5 Year Rainfall Simulation'!C222/1000</f>
        <v>0</v>
      </c>
      <c r="P221">
        <f t="shared" si="93"/>
        <v>0</v>
      </c>
      <c r="Q221">
        <f t="shared" si="94"/>
        <v>0.62</v>
      </c>
      <c r="R221">
        <f t="shared" si="95"/>
        <v>-0.62</v>
      </c>
      <c r="S221">
        <f t="shared" si="111"/>
        <v>0</v>
      </c>
      <c r="T221">
        <f t="shared" si="96"/>
        <v>0</v>
      </c>
      <c r="U221">
        <f t="shared" si="112"/>
        <v>1</v>
      </c>
      <c r="W221">
        <f>$B$5*'5 Year Rainfall Simulation'!D222/1000</f>
        <v>0</v>
      </c>
      <c r="X221">
        <f t="shared" si="97"/>
        <v>0</v>
      </c>
      <c r="Y221">
        <f t="shared" si="98"/>
        <v>0.62</v>
      </c>
      <c r="Z221">
        <f t="shared" si="99"/>
        <v>-0.62</v>
      </c>
      <c r="AA221">
        <f t="shared" si="113"/>
        <v>32.478519836922757</v>
      </c>
      <c r="AB221">
        <f t="shared" si="100"/>
        <v>0</v>
      </c>
      <c r="AC221">
        <f t="shared" si="114"/>
        <v>0</v>
      </c>
      <c r="AE221">
        <f>$B$5*'5 Year Rainfall Simulation'!E222/1000</f>
        <v>0.21785162855717641</v>
      </c>
      <c r="AF221">
        <f t="shared" si="101"/>
        <v>0.21785162855717641</v>
      </c>
      <c r="AG221">
        <f t="shared" si="102"/>
        <v>0.62</v>
      </c>
      <c r="AH221">
        <f t="shared" si="103"/>
        <v>-0.40214837144282356</v>
      </c>
      <c r="AI221">
        <f t="shared" si="115"/>
        <v>15.796808266104026</v>
      </c>
      <c r="AJ221">
        <f t="shared" si="104"/>
        <v>0.12878015591753633</v>
      </c>
      <c r="AK221">
        <f t="shared" si="116"/>
        <v>0</v>
      </c>
      <c r="AM221">
        <f>$B$5*'5 Year Rainfall Simulation'!F222/1000</f>
        <v>0</v>
      </c>
      <c r="AN221">
        <f t="shared" si="105"/>
        <v>0</v>
      </c>
      <c r="AO221">
        <f t="shared" si="106"/>
        <v>0.62</v>
      </c>
      <c r="AP221">
        <f t="shared" si="107"/>
        <v>-0.62</v>
      </c>
      <c r="AQ221">
        <f t="shared" si="117"/>
        <v>29.375448985262143</v>
      </c>
      <c r="AR221">
        <f t="shared" si="108"/>
        <v>0</v>
      </c>
      <c r="AS221">
        <f t="shared" si="118"/>
        <v>0</v>
      </c>
    </row>
    <row r="222" spans="6:45" ht="18" customHeight="1">
      <c r="F222" s="109">
        <v>44779</v>
      </c>
      <c r="G222">
        <f>B$5*'5 Year Rainfall Simulation'!B223/1000</f>
        <v>0</v>
      </c>
      <c r="H222">
        <f t="shared" si="90"/>
        <v>0</v>
      </c>
      <c r="I222">
        <f t="shared" si="89"/>
        <v>0.62</v>
      </c>
      <c r="J222">
        <f t="shared" si="91"/>
        <v>-0.62</v>
      </c>
      <c r="K222">
        <f t="shared" si="109"/>
        <v>26.44</v>
      </c>
      <c r="L222">
        <f t="shared" si="92"/>
        <v>0</v>
      </c>
      <c r="M222">
        <f t="shared" si="110"/>
        <v>0</v>
      </c>
      <c r="O222">
        <f>$B$5*'5 Year Rainfall Simulation'!C223/1000</f>
        <v>0.64</v>
      </c>
      <c r="P222">
        <f t="shared" si="93"/>
        <v>0.64</v>
      </c>
      <c r="Q222">
        <f t="shared" si="94"/>
        <v>0.62</v>
      </c>
      <c r="R222">
        <f t="shared" si="95"/>
        <v>2.0000000000000018E-2</v>
      </c>
      <c r="S222">
        <f t="shared" si="111"/>
        <v>0.64</v>
      </c>
      <c r="T222">
        <f t="shared" si="96"/>
        <v>0.3783276734403288</v>
      </c>
      <c r="U222">
        <f t="shared" si="112"/>
        <v>1</v>
      </c>
      <c r="W222">
        <f>$B$5*'5 Year Rainfall Simulation'!D223/1000</f>
        <v>0</v>
      </c>
      <c r="X222">
        <f t="shared" si="97"/>
        <v>0</v>
      </c>
      <c r="Y222">
        <f t="shared" si="98"/>
        <v>0.62</v>
      </c>
      <c r="Z222">
        <f t="shared" si="99"/>
        <v>-0.62</v>
      </c>
      <c r="AA222">
        <f t="shared" si="113"/>
        <v>31.858519836922756</v>
      </c>
      <c r="AB222">
        <f t="shared" si="100"/>
        <v>0</v>
      </c>
      <c r="AC222">
        <f t="shared" si="114"/>
        <v>0</v>
      </c>
      <c r="AE222">
        <f>$B$5*'5 Year Rainfall Simulation'!E223/1000</f>
        <v>0.56978794955744982</v>
      </c>
      <c r="AF222">
        <f t="shared" si="101"/>
        <v>0.56978794955744982</v>
      </c>
      <c r="AG222">
        <f t="shared" si="102"/>
        <v>0.62</v>
      </c>
      <c r="AH222">
        <f t="shared" si="103"/>
        <v>-5.0212050442550171E-2</v>
      </c>
      <c r="AI222">
        <f t="shared" si="115"/>
        <v>15.746596215661476</v>
      </c>
      <c r="AJ222">
        <f t="shared" si="104"/>
        <v>0.3368227332975085</v>
      </c>
      <c r="AK222">
        <f t="shared" si="116"/>
        <v>0</v>
      </c>
      <c r="AM222">
        <f>$B$5*'5 Year Rainfall Simulation'!F223/1000</f>
        <v>0.69365163155751042</v>
      </c>
      <c r="AN222">
        <f t="shared" si="105"/>
        <v>0.69365163155751042</v>
      </c>
      <c r="AO222">
        <f t="shared" si="106"/>
        <v>0.62</v>
      </c>
      <c r="AP222">
        <f t="shared" si="107"/>
        <v>7.3651631557510422E-2</v>
      </c>
      <c r="AQ222">
        <f t="shared" si="117"/>
        <v>29.449100616819653</v>
      </c>
      <c r="AR222">
        <f t="shared" si="108"/>
        <v>0.41004313741443921</v>
      </c>
      <c r="AS222">
        <f t="shared" si="118"/>
        <v>0</v>
      </c>
    </row>
    <row r="223" spans="6:45" ht="18" customHeight="1">
      <c r="F223" s="109">
        <v>44780</v>
      </c>
      <c r="G223">
        <f>B$5*'5 Year Rainfall Simulation'!B224/1000</f>
        <v>0</v>
      </c>
      <c r="H223">
        <f t="shared" si="90"/>
        <v>0</v>
      </c>
      <c r="I223">
        <f t="shared" si="89"/>
        <v>0.62</v>
      </c>
      <c r="J223">
        <f t="shared" si="91"/>
        <v>-0.62</v>
      </c>
      <c r="K223">
        <f t="shared" si="109"/>
        <v>25.82</v>
      </c>
      <c r="L223">
        <f t="shared" si="92"/>
        <v>0</v>
      </c>
      <c r="M223">
        <f t="shared" si="110"/>
        <v>0</v>
      </c>
      <c r="O223">
        <f>$B$5*'5 Year Rainfall Simulation'!C224/1000</f>
        <v>2.92</v>
      </c>
      <c r="P223">
        <f t="shared" si="93"/>
        <v>2.92</v>
      </c>
      <c r="Q223">
        <f t="shared" si="94"/>
        <v>0.62</v>
      </c>
      <c r="R223">
        <f t="shared" si="95"/>
        <v>2.2999999999999998</v>
      </c>
      <c r="S223">
        <f t="shared" si="111"/>
        <v>2.94</v>
      </c>
      <c r="T223">
        <f t="shared" si="96"/>
        <v>1.7261200100715002</v>
      </c>
      <c r="U223">
        <f t="shared" si="112"/>
        <v>0</v>
      </c>
      <c r="W223">
        <f>$B$5*'5 Year Rainfall Simulation'!D224/1000</f>
        <v>0</v>
      </c>
      <c r="X223">
        <f t="shared" si="97"/>
        <v>0</v>
      </c>
      <c r="Y223">
        <f t="shared" si="98"/>
        <v>0.62</v>
      </c>
      <c r="Z223">
        <f t="shared" si="99"/>
        <v>-0.62</v>
      </c>
      <c r="AA223">
        <f t="shared" si="113"/>
        <v>31.238519836922755</v>
      </c>
      <c r="AB223">
        <f t="shared" si="100"/>
        <v>0</v>
      </c>
      <c r="AC223">
        <f t="shared" si="114"/>
        <v>0</v>
      </c>
      <c r="AE223">
        <f>$B$5*'5 Year Rainfall Simulation'!E224/1000</f>
        <v>4.1883059694482041</v>
      </c>
      <c r="AF223">
        <f t="shared" si="101"/>
        <v>4.1883059694482041</v>
      </c>
      <c r="AG223">
        <f t="shared" si="102"/>
        <v>0.62</v>
      </c>
      <c r="AH223">
        <f t="shared" si="103"/>
        <v>3.568305969448204</v>
      </c>
      <c r="AI223">
        <f t="shared" si="115"/>
        <v>19.31490218510968</v>
      </c>
      <c r="AJ223">
        <f t="shared" si="104"/>
        <v>2.4758625829337189</v>
      </c>
      <c r="AK223">
        <f t="shared" si="116"/>
        <v>0</v>
      </c>
      <c r="AM223">
        <f>$B$5*'5 Year Rainfall Simulation'!F224/1000</f>
        <v>0</v>
      </c>
      <c r="AN223">
        <f t="shared" si="105"/>
        <v>0</v>
      </c>
      <c r="AO223">
        <f t="shared" si="106"/>
        <v>0.62</v>
      </c>
      <c r="AP223">
        <f t="shared" si="107"/>
        <v>-0.62</v>
      </c>
      <c r="AQ223">
        <f t="shared" si="117"/>
        <v>28.829100616819652</v>
      </c>
      <c r="AR223">
        <f t="shared" si="108"/>
        <v>0</v>
      </c>
      <c r="AS223">
        <f t="shared" si="118"/>
        <v>0</v>
      </c>
    </row>
    <row r="224" spans="6:45" ht="18" customHeight="1">
      <c r="F224" s="109">
        <v>44781</v>
      </c>
      <c r="G224">
        <f>B$5*'5 Year Rainfall Simulation'!B225/1000</f>
        <v>0</v>
      </c>
      <c r="H224">
        <f t="shared" si="90"/>
        <v>0</v>
      </c>
      <c r="I224">
        <f t="shared" si="89"/>
        <v>0.62</v>
      </c>
      <c r="J224">
        <f t="shared" si="91"/>
        <v>-0.62</v>
      </c>
      <c r="K224">
        <f t="shared" si="109"/>
        <v>25.2</v>
      </c>
      <c r="L224">
        <f t="shared" si="92"/>
        <v>0</v>
      </c>
      <c r="M224">
        <f t="shared" si="110"/>
        <v>0</v>
      </c>
      <c r="O224">
        <f>$B$5*'5 Year Rainfall Simulation'!C225/1000</f>
        <v>4.88</v>
      </c>
      <c r="P224">
        <f t="shared" si="93"/>
        <v>4.88</v>
      </c>
      <c r="Q224">
        <f t="shared" si="94"/>
        <v>0.62</v>
      </c>
      <c r="R224">
        <f t="shared" si="95"/>
        <v>4.26</v>
      </c>
      <c r="S224">
        <f t="shared" si="111"/>
        <v>7.1999999999999993</v>
      </c>
      <c r="T224">
        <f t="shared" si="96"/>
        <v>2.884748509982507</v>
      </c>
      <c r="U224">
        <f t="shared" si="112"/>
        <v>0</v>
      </c>
      <c r="W224">
        <f>$B$5*'5 Year Rainfall Simulation'!D225/1000</f>
        <v>0</v>
      </c>
      <c r="X224">
        <f t="shared" si="97"/>
        <v>0</v>
      </c>
      <c r="Y224">
        <f t="shared" si="98"/>
        <v>0.62</v>
      </c>
      <c r="Z224">
        <f t="shared" si="99"/>
        <v>-0.62</v>
      </c>
      <c r="AA224">
        <f t="shared" si="113"/>
        <v>30.618519836922754</v>
      </c>
      <c r="AB224">
        <f t="shared" si="100"/>
        <v>0</v>
      </c>
      <c r="AC224">
        <f t="shared" si="114"/>
        <v>0</v>
      </c>
      <c r="AE224">
        <f>$B$5*'5 Year Rainfall Simulation'!E225/1000</f>
        <v>4.4407614624759795</v>
      </c>
      <c r="AF224">
        <f t="shared" si="101"/>
        <v>4.4407614624759795</v>
      </c>
      <c r="AG224">
        <f t="shared" si="102"/>
        <v>0.62</v>
      </c>
      <c r="AH224">
        <f t="shared" si="103"/>
        <v>3.8207614624759794</v>
      </c>
      <c r="AI224">
        <f t="shared" si="115"/>
        <v>23.135663647585659</v>
      </c>
      <c r="AJ224">
        <f t="shared" si="104"/>
        <v>2.6250983631281395</v>
      </c>
      <c r="AK224">
        <f t="shared" si="116"/>
        <v>0</v>
      </c>
      <c r="AM224">
        <f>$B$5*'5 Year Rainfall Simulation'!F225/1000</f>
        <v>0</v>
      </c>
      <c r="AN224">
        <f t="shared" si="105"/>
        <v>0</v>
      </c>
      <c r="AO224">
        <f t="shared" si="106"/>
        <v>0.62</v>
      </c>
      <c r="AP224">
        <f t="shared" si="107"/>
        <v>-0.62</v>
      </c>
      <c r="AQ224">
        <f t="shared" si="117"/>
        <v>28.209100616819651</v>
      </c>
      <c r="AR224">
        <f t="shared" si="108"/>
        <v>0</v>
      </c>
      <c r="AS224">
        <f t="shared" si="118"/>
        <v>0</v>
      </c>
    </row>
    <row r="225" spans="6:45" ht="18" customHeight="1">
      <c r="F225" s="109">
        <v>44782</v>
      </c>
      <c r="G225">
        <f>B$5*'5 Year Rainfall Simulation'!B226/1000</f>
        <v>0</v>
      </c>
      <c r="H225">
        <f t="shared" si="90"/>
        <v>0</v>
      </c>
      <c r="I225">
        <f t="shared" si="89"/>
        <v>0.62</v>
      </c>
      <c r="J225">
        <f t="shared" si="91"/>
        <v>-0.62</v>
      </c>
      <c r="K225">
        <f t="shared" si="109"/>
        <v>24.58</v>
      </c>
      <c r="L225">
        <f t="shared" si="92"/>
        <v>0</v>
      </c>
      <c r="M225">
        <f t="shared" si="110"/>
        <v>0</v>
      </c>
      <c r="O225">
        <f>$B$5*'5 Year Rainfall Simulation'!C226/1000</f>
        <v>0.36</v>
      </c>
      <c r="P225">
        <f t="shared" si="93"/>
        <v>0.36</v>
      </c>
      <c r="Q225">
        <f t="shared" si="94"/>
        <v>0.62</v>
      </c>
      <c r="R225">
        <f t="shared" si="95"/>
        <v>-0.26</v>
      </c>
      <c r="S225">
        <f t="shared" si="111"/>
        <v>6.9399999999999995</v>
      </c>
      <c r="T225">
        <f t="shared" si="96"/>
        <v>0.21280931631018496</v>
      </c>
      <c r="U225">
        <f t="shared" si="112"/>
        <v>0</v>
      </c>
      <c r="W225">
        <f>$B$5*'5 Year Rainfall Simulation'!D226/1000</f>
        <v>0.14674194983106348</v>
      </c>
      <c r="X225">
        <f t="shared" si="97"/>
        <v>0.14674194983106348</v>
      </c>
      <c r="Y225">
        <f t="shared" si="98"/>
        <v>0.62</v>
      </c>
      <c r="Z225">
        <f t="shared" si="99"/>
        <v>-0.47325805016893652</v>
      </c>
      <c r="AA225">
        <f t="shared" si="113"/>
        <v>30.145261786753817</v>
      </c>
      <c r="AB225">
        <f t="shared" si="100"/>
        <v>8.6744594493255778E-2</v>
      </c>
      <c r="AC225">
        <f t="shared" si="114"/>
        <v>0</v>
      </c>
      <c r="AE225">
        <f>$B$5*'5 Year Rainfall Simulation'!E226/1000</f>
        <v>0.95869175725134248</v>
      </c>
      <c r="AF225">
        <f t="shared" si="101"/>
        <v>0.95869175725134248</v>
      </c>
      <c r="AG225">
        <f t="shared" si="102"/>
        <v>0.62</v>
      </c>
      <c r="AH225">
        <f t="shared" si="103"/>
        <v>0.33869175725134248</v>
      </c>
      <c r="AI225">
        <f t="shared" si="115"/>
        <v>23.474355404837002</v>
      </c>
      <c r="AJ225">
        <f t="shared" si="104"/>
        <v>0.56671815948018889</v>
      </c>
      <c r="AK225">
        <f t="shared" si="116"/>
        <v>0</v>
      </c>
      <c r="AM225">
        <f>$B$5*'5 Year Rainfall Simulation'!F226/1000</f>
        <v>0</v>
      </c>
      <c r="AN225">
        <f t="shared" si="105"/>
        <v>0</v>
      </c>
      <c r="AO225">
        <f t="shared" si="106"/>
        <v>0.62</v>
      </c>
      <c r="AP225">
        <f t="shared" si="107"/>
        <v>-0.62</v>
      </c>
      <c r="AQ225">
        <f t="shared" si="117"/>
        <v>27.58910061681965</v>
      </c>
      <c r="AR225">
        <f t="shared" si="108"/>
        <v>0</v>
      </c>
      <c r="AS225">
        <f t="shared" si="118"/>
        <v>0</v>
      </c>
    </row>
    <row r="226" spans="6:45" ht="18" customHeight="1">
      <c r="F226" s="109">
        <v>44783</v>
      </c>
      <c r="G226">
        <f>B$5*'5 Year Rainfall Simulation'!B227/1000</f>
        <v>0</v>
      </c>
      <c r="H226">
        <f t="shared" si="90"/>
        <v>0</v>
      </c>
      <c r="I226">
        <f t="shared" si="89"/>
        <v>0.62</v>
      </c>
      <c r="J226">
        <f t="shared" si="91"/>
        <v>-0.62</v>
      </c>
      <c r="K226">
        <f t="shared" si="109"/>
        <v>23.959999999999997</v>
      </c>
      <c r="L226">
        <f t="shared" si="92"/>
        <v>0</v>
      </c>
      <c r="M226">
        <f t="shared" si="110"/>
        <v>0</v>
      </c>
      <c r="O226">
        <f>$B$5*'5 Year Rainfall Simulation'!C227/1000</f>
        <v>0</v>
      </c>
      <c r="P226">
        <f t="shared" si="93"/>
        <v>0</v>
      </c>
      <c r="Q226">
        <f t="shared" si="94"/>
        <v>0.62</v>
      </c>
      <c r="R226">
        <f t="shared" si="95"/>
        <v>-0.62</v>
      </c>
      <c r="S226">
        <f t="shared" si="111"/>
        <v>6.3199999999999994</v>
      </c>
      <c r="T226">
        <f t="shared" si="96"/>
        <v>0</v>
      </c>
      <c r="U226">
        <f t="shared" si="112"/>
        <v>0</v>
      </c>
      <c r="W226">
        <f>$B$5*'5 Year Rainfall Simulation'!D227/1000</f>
        <v>0</v>
      </c>
      <c r="X226">
        <f t="shared" si="97"/>
        <v>0</v>
      </c>
      <c r="Y226">
        <f t="shared" si="98"/>
        <v>0.62</v>
      </c>
      <c r="Z226">
        <f t="shared" si="99"/>
        <v>-0.62</v>
      </c>
      <c r="AA226">
        <f t="shared" si="113"/>
        <v>29.525261786753816</v>
      </c>
      <c r="AB226">
        <f t="shared" si="100"/>
        <v>0</v>
      </c>
      <c r="AC226">
        <f t="shared" si="114"/>
        <v>0</v>
      </c>
      <c r="AE226">
        <f>$B$5*'5 Year Rainfall Simulation'!E227/1000</f>
        <v>0</v>
      </c>
      <c r="AF226">
        <f t="shared" si="101"/>
        <v>0</v>
      </c>
      <c r="AG226">
        <f t="shared" si="102"/>
        <v>0.62</v>
      </c>
      <c r="AH226">
        <f t="shared" si="103"/>
        <v>-0.62</v>
      </c>
      <c r="AI226">
        <f t="shared" si="115"/>
        <v>22.854355404837001</v>
      </c>
      <c r="AJ226">
        <f t="shared" si="104"/>
        <v>0</v>
      </c>
      <c r="AK226">
        <f t="shared" si="116"/>
        <v>0</v>
      </c>
      <c r="AM226">
        <f>$B$5*'5 Year Rainfall Simulation'!F227/1000</f>
        <v>0</v>
      </c>
      <c r="AN226">
        <f t="shared" si="105"/>
        <v>0</v>
      </c>
      <c r="AO226">
        <f t="shared" si="106"/>
        <v>0.62</v>
      </c>
      <c r="AP226">
        <f t="shared" si="107"/>
        <v>-0.62</v>
      </c>
      <c r="AQ226">
        <f t="shared" si="117"/>
        <v>26.969100616819649</v>
      </c>
      <c r="AR226">
        <f t="shared" si="108"/>
        <v>0</v>
      </c>
      <c r="AS226">
        <f t="shared" si="118"/>
        <v>0</v>
      </c>
    </row>
    <row r="227" spans="6:45" ht="18" customHeight="1">
      <c r="F227" s="109">
        <v>44784</v>
      </c>
      <c r="G227">
        <f>B$5*'5 Year Rainfall Simulation'!B228/1000</f>
        <v>0</v>
      </c>
      <c r="H227">
        <f t="shared" si="90"/>
        <v>0</v>
      </c>
      <c r="I227">
        <f t="shared" si="89"/>
        <v>0.62</v>
      </c>
      <c r="J227">
        <f t="shared" si="91"/>
        <v>-0.62</v>
      </c>
      <c r="K227">
        <f t="shared" si="109"/>
        <v>23.339999999999996</v>
      </c>
      <c r="L227">
        <f t="shared" si="92"/>
        <v>0</v>
      </c>
      <c r="M227">
        <f t="shared" si="110"/>
        <v>0</v>
      </c>
      <c r="O227">
        <f>$B$5*'5 Year Rainfall Simulation'!C228/1000</f>
        <v>0</v>
      </c>
      <c r="P227">
        <f t="shared" si="93"/>
        <v>0</v>
      </c>
      <c r="Q227">
        <f t="shared" si="94"/>
        <v>0.62</v>
      </c>
      <c r="R227">
        <f t="shared" si="95"/>
        <v>-0.62</v>
      </c>
      <c r="S227">
        <f t="shared" si="111"/>
        <v>5.6999999999999993</v>
      </c>
      <c r="T227">
        <f t="shared" si="96"/>
        <v>0</v>
      </c>
      <c r="U227">
        <f t="shared" si="112"/>
        <v>0</v>
      </c>
      <c r="W227">
        <f>$B$5*'5 Year Rainfall Simulation'!D228/1000</f>
        <v>0</v>
      </c>
      <c r="X227">
        <f t="shared" si="97"/>
        <v>0</v>
      </c>
      <c r="Y227">
        <f t="shared" si="98"/>
        <v>0.62</v>
      </c>
      <c r="Z227">
        <f t="shared" si="99"/>
        <v>-0.62</v>
      </c>
      <c r="AA227">
        <f t="shared" si="113"/>
        <v>28.905261786753815</v>
      </c>
      <c r="AB227">
        <f t="shared" si="100"/>
        <v>0</v>
      </c>
      <c r="AC227">
        <f t="shared" si="114"/>
        <v>0</v>
      </c>
      <c r="AE227">
        <f>$B$5*'5 Year Rainfall Simulation'!E228/1000</f>
        <v>0</v>
      </c>
      <c r="AF227">
        <f t="shared" si="101"/>
        <v>0</v>
      </c>
      <c r="AG227">
        <f t="shared" si="102"/>
        <v>0.62</v>
      </c>
      <c r="AH227">
        <f t="shared" si="103"/>
        <v>-0.62</v>
      </c>
      <c r="AI227">
        <f t="shared" si="115"/>
        <v>22.234355404837</v>
      </c>
      <c r="AJ227">
        <f t="shared" si="104"/>
        <v>0</v>
      </c>
      <c r="AK227">
        <f t="shared" si="116"/>
        <v>0</v>
      </c>
      <c r="AM227">
        <f>$B$5*'5 Year Rainfall Simulation'!F228/1000</f>
        <v>0</v>
      </c>
      <c r="AN227">
        <f t="shared" si="105"/>
        <v>0</v>
      </c>
      <c r="AO227">
        <f t="shared" si="106"/>
        <v>0.62</v>
      </c>
      <c r="AP227">
        <f t="shared" si="107"/>
        <v>-0.62</v>
      </c>
      <c r="AQ227">
        <f t="shared" si="117"/>
        <v>26.349100616819648</v>
      </c>
      <c r="AR227">
        <f t="shared" si="108"/>
        <v>0</v>
      </c>
      <c r="AS227">
        <f t="shared" si="118"/>
        <v>0</v>
      </c>
    </row>
    <row r="228" spans="6:45" ht="18" customHeight="1">
      <c r="F228" s="109">
        <v>44785</v>
      </c>
      <c r="G228">
        <f>B$5*'5 Year Rainfall Simulation'!B229/1000</f>
        <v>0</v>
      </c>
      <c r="H228">
        <f t="shared" si="90"/>
        <v>0</v>
      </c>
      <c r="I228">
        <f t="shared" ref="I228:I291" si="119">$B$4</f>
        <v>0.62</v>
      </c>
      <c r="J228">
        <f t="shared" si="91"/>
        <v>-0.62</v>
      </c>
      <c r="K228">
        <f t="shared" si="109"/>
        <v>22.719999999999995</v>
      </c>
      <c r="L228">
        <f t="shared" si="92"/>
        <v>0</v>
      </c>
      <c r="M228">
        <f t="shared" si="110"/>
        <v>0</v>
      </c>
      <c r="O228">
        <f>$B$5*'5 Year Rainfall Simulation'!C229/1000</f>
        <v>0</v>
      </c>
      <c r="P228">
        <f t="shared" si="93"/>
        <v>0</v>
      </c>
      <c r="Q228">
        <f t="shared" si="94"/>
        <v>0.62</v>
      </c>
      <c r="R228">
        <f t="shared" si="95"/>
        <v>-0.62</v>
      </c>
      <c r="S228">
        <f t="shared" si="111"/>
        <v>5.0799999999999992</v>
      </c>
      <c r="T228">
        <f t="shared" si="96"/>
        <v>0</v>
      </c>
      <c r="U228">
        <f t="shared" si="112"/>
        <v>0</v>
      </c>
      <c r="W228">
        <f>$B$5*'5 Year Rainfall Simulation'!D229/1000</f>
        <v>0</v>
      </c>
      <c r="X228">
        <f t="shared" si="97"/>
        <v>0</v>
      </c>
      <c r="Y228">
        <f t="shared" si="98"/>
        <v>0.62</v>
      </c>
      <c r="Z228">
        <f t="shared" si="99"/>
        <v>-0.62</v>
      </c>
      <c r="AA228">
        <f t="shared" si="113"/>
        <v>28.285261786753814</v>
      </c>
      <c r="AB228">
        <f t="shared" si="100"/>
        <v>0</v>
      </c>
      <c r="AC228">
        <f t="shared" si="114"/>
        <v>0</v>
      </c>
      <c r="AE228">
        <f>$B$5*'5 Year Rainfall Simulation'!E229/1000</f>
        <v>0</v>
      </c>
      <c r="AF228">
        <f t="shared" si="101"/>
        <v>0</v>
      </c>
      <c r="AG228">
        <f t="shared" si="102"/>
        <v>0.62</v>
      </c>
      <c r="AH228">
        <f t="shared" si="103"/>
        <v>-0.62</v>
      </c>
      <c r="AI228">
        <f t="shared" si="115"/>
        <v>21.614355404836999</v>
      </c>
      <c r="AJ228">
        <f t="shared" si="104"/>
        <v>0</v>
      </c>
      <c r="AK228">
        <f t="shared" si="116"/>
        <v>0</v>
      </c>
      <c r="AM228">
        <f>$B$5*'5 Year Rainfall Simulation'!F229/1000</f>
        <v>0.71344789948653342</v>
      </c>
      <c r="AN228">
        <f t="shared" si="105"/>
        <v>0.71344789948653342</v>
      </c>
      <c r="AO228">
        <f t="shared" si="106"/>
        <v>0.62</v>
      </c>
      <c r="AP228">
        <f t="shared" si="107"/>
        <v>9.3447899486533426E-2</v>
      </c>
      <c r="AQ228">
        <f t="shared" si="117"/>
        <v>26.442548516306182</v>
      </c>
      <c r="AR228">
        <f t="shared" si="108"/>
        <v>0.42174544364629651</v>
      </c>
      <c r="AS228">
        <f t="shared" si="118"/>
        <v>0</v>
      </c>
    </row>
    <row r="229" spans="6:45" ht="18" customHeight="1">
      <c r="F229" s="109">
        <v>44786</v>
      </c>
      <c r="G229">
        <f>B$5*'5 Year Rainfall Simulation'!B230/1000</f>
        <v>0</v>
      </c>
      <c r="H229">
        <f t="shared" si="90"/>
        <v>0</v>
      </c>
      <c r="I229">
        <f t="shared" si="119"/>
        <v>0.62</v>
      </c>
      <c r="J229">
        <f t="shared" si="91"/>
        <v>-0.62</v>
      </c>
      <c r="K229">
        <f t="shared" si="109"/>
        <v>22.099999999999994</v>
      </c>
      <c r="L229">
        <f t="shared" si="92"/>
        <v>0</v>
      </c>
      <c r="M229">
        <f t="shared" si="110"/>
        <v>0</v>
      </c>
      <c r="O229">
        <f>$B$5*'5 Year Rainfall Simulation'!C230/1000</f>
        <v>0</v>
      </c>
      <c r="P229">
        <f t="shared" si="93"/>
        <v>0</v>
      </c>
      <c r="Q229">
        <f t="shared" si="94"/>
        <v>0.62</v>
      </c>
      <c r="R229">
        <f t="shared" si="95"/>
        <v>-0.62</v>
      </c>
      <c r="S229">
        <f t="shared" si="111"/>
        <v>4.4599999999999991</v>
      </c>
      <c r="T229">
        <f t="shared" si="96"/>
        <v>0</v>
      </c>
      <c r="U229">
        <f t="shared" si="112"/>
        <v>0</v>
      </c>
      <c r="W229">
        <f>$B$5*'5 Year Rainfall Simulation'!D230/1000</f>
        <v>0.472019669333471</v>
      </c>
      <c r="X229">
        <f t="shared" si="97"/>
        <v>0.472019669333471</v>
      </c>
      <c r="Y229">
        <f t="shared" si="98"/>
        <v>0.62</v>
      </c>
      <c r="Z229">
        <f t="shared" si="99"/>
        <v>-0.14798033066652899</v>
      </c>
      <c r="AA229">
        <f t="shared" si="113"/>
        <v>28.137281456087287</v>
      </c>
      <c r="AB229">
        <f t="shared" si="100"/>
        <v>0.27902828643282096</v>
      </c>
      <c r="AC229">
        <f t="shared" si="114"/>
        <v>0</v>
      </c>
      <c r="AE229">
        <f>$B$5*'5 Year Rainfall Simulation'!E230/1000</f>
        <v>0</v>
      </c>
      <c r="AF229">
        <f t="shared" si="101"/>
        <v>0</v>
      </c>
      <c r="AG229">
        <f t="shared" si="102"/>
        <v>0.62</v>
      </c>
      <c r="AH229">
        <f t="shared" si="103"/>
        <v>-0.62</v>
      </c>
      <c r="AI229">
        <f t="shared" si="115"/>
        <v>20.994355404836998</v>
      </c>
      <c r="AJ229">
        <f t="shared" si="104"/>
        <v>0</v>
      </c>
      <c r="AK229">
        <f t="shared" si="116"/>
        <v>0</v>
      </c>
      <c r="AM229">
        <f>$B$5*'5 Year Rainfall Simulation'!F230/1000</f>
        <v>0</v>
      </c>
      <c r="AN229">
        <f t="shared" si="105"/>
        <v>0</v>
      </c>
      <c r="AO229">
        <f t="shared" si="106"/>
        <v>0.62</v>
      </c>
      <c r="AP229">
        <f t="shared" si="107"/>
        <v>-0.62</v>
      </c>
      <c r="AQ229">
        <f t="shared" si="117"/>
        <v>25.822548516306181</v>
      </c>
      <c r="AR229">
        <f t="shared" si="108"/>
        <v>0</v>
      </c>
      <c r="AS229">
        <f t="shared" si="118"/>
        <v>0</v>
      </c>
    </row>
    <row r="230" spans="6:45" ht="18" customHeight="1">
      <c r="F230" s="109">
        <v>44787</v>
      </c>
      <c r="G230">
        <f>B$5*'5 Year Rainfall Simulation'!B231/1000</f>
        <v>0</v>
      </c>
      <c r="H230">
        <f t="shared" si="90"/>
        <v>0</v>
      </c>
      <c r="I230">
        <f t="shared" si="119"/>
        <v>0.62</v>
      </c>
      <c r="J230">
        <f t="shared" si="91"/>
        <v>-0.62</v>
      </c>
      <c r="K230">
        <f t="shared" si="109"/>
        <v>21.479999999999993</v>
      </c>
      <c r="L230">
        <f t="shared" si="92"/>
        <v>0</v>
      </c>
      <c r="M230">
        <f t="shared" si="110"/>
        <v>0</v>
      </c>
      <c r="O230">
        <f>$B$5*'5 Year Rainfall Simulation'!C231/1000</f>
        <v>0</v>
      </c>
      <c r="P230">
        <f t="shared" si="93"/>
        <v>0</v>
      </c>
      <c r="Q230">
        <f t="shared" si="94"/>
        <v>0.62</v>
      </c>
      <c r="R230">
        <f t="shared" si="95"/>
        <v>-0.62</v>
      </c>
      <c r="S230">
        <f t="shared" si="111"/>
        <v>3.839999999999999</v>
      </c>
      <c r="T230">
        <f t="shared" si="96"/>
        <v>0</v>
      </c>
      <c r="U230">
        <f t="shared" si="112"/>
        <v>0</v>
      </c>
      <c r="W230">
        <f>$B$5*'5 Year Rainfall Simulation'!D231/1000</f>
        <v>0</v>
      </c>
      <c r="X230">
        <f t="shared" si="97"/>
        <v>0</v>
      </c>
      <c r="Y230">
        <f t="shared" si="98"/>
        <v>0.62</v>
      </c>
      <c r="Z230">
        <f t="shared" si="99"/>
        <v>-0.62</v>
      </c>
      <c r="AA230">
        <f t="shared" si="113"/>
        <v>27.517281456087286</v>
      </c>
      <c r="AB230">
        <f t="shared" si="100"/>
        <v>0</v>
      </c>
      <c r="AC230">
        <f t="shared" si="114"/>
        <v>0</v>
      </c>
      <c r="AE230">
        <f>$B$5*'5 Year Rainfall Simulation'!E231/1000</f>
        <v>1.7610220106759433</v>
      </c>
      <c r="AF230">
        <f t="shared" si="101"/>
        <v>1.7610220106759433</v>
      </c>
      <c r="AG230">
        <f t="shared" si="102"/>
        <v>0.62</v>
      </c>
      <c r="AH230">
        <f t="shared" si="103"/>
        <v>1.1410220106759432</v>
      </c>
      <c r="AI230">
        <f t="shared" si="115"/>
        <v>22.135377415512941</v>
      </c>
      <c r="AJ230">
        <f t="shared" si="104"/>
        <v>1.0410052502753742</v>
      </c>
      <c r="AK230">
        <f t="shared" si="116"/>
        <v>0</v>
      </c>
      <c r="AM230">
        <f>$B$5*'5 Year Rainfall Simulation'!F231/1000</f>
        <v>0</v>
      </c>
      <c r="AN230">
        <f t="shared" si="105"/>
        <v>0</v>
      </c>
      <c r="AO230">
        <f t="shared" si="106"/>
        <v>0.62</v>
      </c>
      <c r="AP230">
        <f t="shared" si="107"/>
        <v>-0.62</v>
      </c>
      <c r="AQ230">
        <f t="shared" si="117"/>
        <v>25.20254851630618</v>
      </c>
      <c r="AR230">
        <f t="shared" si="108"/>
        <v>0</v>
      </c>
      <c r="AS230">
        <f t="shared" si="118"/>
        <v>0</v>
      </c>
    </row>
    <row r="231" spans="6:45" ht="18" customHeight="1">
      <c r="F231" s="109">
        <v>44788</v>
      </c>
      <c r="G231">
        <f>B$5*'5 Year Rainfall Simulation'!B232/1000</f>
        <v>0</v>
      </c>
      <c r="H231">
        <f t="shared" si="90"/>
        <v>0</v>
      </c>
      <c r="I231">
        <f t="shared" si="119"/>
        <v>0.62</v>
      </c>
      <c r="J231">
        <f t="shared" si="91"/>
        <v>-0.62</v>
      </c>
      <c r="K231">
        <f t="shared" si="109"/>
        <v>20.859999999999992</v>
      </c>
      <c r="L231">
        <f t="shared" si="92"/>
        <v>0</v>
      </c>
      <c r="M231">
        <f t="shared" si="110"/>
        <v>0</v>
      </c>
      <c r="O231">
        <f>$B$5*'5 Year Rainfall Simulation'!C232/1000</f>
        <v>0</v>
      </c>
      <c r="P231">
        <f t="shared" si="93"/>
        <v>0</v>
      </c>
      <c r="Q231">
        <f t="shared" si="94"/>
        <v>0.62</v>
      </c>
      <c r="R231">
        <f t="shared" si="95"/>
        <v>-0.62</v>
      </c>
      <c r="S231">
        <f t="shared" si="111"/>
        <v>3.2199999999999989</v>
      </c>
      <c r="T231">
        <f t="shared" si="96"/>
        <v>0</v>
      </c>
      <c r="U231">
        <f t="shared" si="112"/>
        <v>0</v>
      </c>
      <c r="W231">
        <f>$B$5*'5 Year Rainfall Simulation'!D232/1000</f>
        <v>0.89105480553294536</v>
      </c>
      <c r="X231">
        <f t="shared" si="97"/>
        <v>0.89105480553294536</v>
      </c>
      <c r="Y231">
        <f t="shared" si="98"/>
        <v>0.62</v>
      </c>
      <c r="Z231">
        <f t="shared" si="99"/>
        <v>0.27105480553294536</v>
      </c>
      <c r="AA231">
        <f t="shared" si="113"/>
        <v>27.788336261620231</v>
      </c>
      <c r="AB231">
        <f t="shared" si="100"/>
        <v>0.52673545544547473</v>
      </c>
      <c r="AC231">
        <f t="shared" si="114"/>
        <v>0</v>
      </c>
      <c r="AE231">
        <f>$B$5*'5 Year Rainfall Simulation'!E232/1000</f>
        <v>0</v>
      </c>
      <c r="AF231">
        <f t="shared" si="101"/>
        <v>0</v>
      </c>
      <c r="AG231">
        <f t="shared" si="102"/>
        <v>0.62</v>
      </c>
      <c r="AH231">
        <f t="shared" si="103"/>
        <v>-0.62</v>
      </c>
      <c r="AI231">
        <f t="shared" si="115"/>
        <v>21.51537741551294</v>
      </c>
      <c r="AJ231">
        <f t="shared" si="104"/>
        <v>0</v>
      </c>
      <c r="AK231">
        <f t="shared" si="116"/>
        <v>0</v>
      </c>
      <c r="AM231">
        <f>$B$5*'5 Year Rainfall Simulation'!F232/1000</f>
        <v>2.3366894261749782</v>
      </c>
      <c r="AN231">
        <f t="shared" si="105"/>
        <v>2.3366894261749782</v>
      </c>
      <c r="AO231">
        <f t="shared" si="106"/>
        <v>0.62</v>
      </c>
      <c r="AP231">
        <f t="shared" si="107"/>
        <v>1.7166894261749781</v>
      </c>
      <c r="AQ231">
        <f t="shared" si="117"/>
        <v>26.919237942481157</v>
      </c>
      <c r="AR231">
        <f t="shared" si="108"/>
        <v>1.3813035533709319</v>
      </c>
      <c r="AS231">
        <f t="shared" si="118"/>
        <v>0</v>
      </c>
    </row>
    <row r="232" spans="6:45" ht="18" customHeight="1">
      <c r="F232" s="109">
        <v>44789</v>
      </c>
      <c r="G232">
        <f>B$5*'5 Year Rainfall Simulation'!B233/1000</f>
        <v>0</v>
      </c>
      <c r="H232">
        <f t="shared" si="90"/>
        <v>0</v>
      </c>
      <c r="I232">
        <f t="shared" si="119"/>
        <v>0.62</v>
      </c>
      <c r="J232">
        <f t="shared" si="91"/>
        <v>-0.62</v>
      </c>
      <c r="K232">
        <f t="shared" si="109"/>
        <v>20.239999999999991</v>
      </c>
      <c r="L232">
        <f t="shared" si="92"/>
        <v>0</v>
      </c>
      <c r="M232">
        <f t="shared" si="110"/>
        <v>0</v>
      </c>
      <c r="O232">
        <f>$B$5*'5 Year Rainfall Simulation'!C233/1000</f>
        <v>0</v>
      </c>
      <c r="P232">
        <f t="shared" si="93"/>
        <v>0</v>
      </c>
      <c r="Q232">
        <f t="shared" si="94"/>
        <v>0.62</v>
      </c>
      <c r="R232">
        <f t="shared" si="95"/>
        <v>-0.62</v>
      </c>
      <c r="S232">
        <f t="shared" si="111"/>
        <v>2.5999999999999988</v>
      </c>
      <c r="T232">
        <f t="shared" si="96"/>
        <v>0</v>
      </c>
      <c r="U232">
        <f t="shared" si="112"/>
        <v>0</v>
      </c>
      <c r="W232">
        <f>$B$5*'5 Year Rainfall Simulation'!D233/1000</f>
        <v>0.59721671365463358</v>
      </c>
      <c r="X232">
        <f t="shared" si="97"/>
        <v>0.59721671365463358</v>
      </c>
      <c r="Y232">
        <f t="shared" si="98"/>
        <v>0.62</v>
      </c>
      <c r="Z232">
        <f t="shared" si="99"/>
        <v>-2.2783286345366416E-2</v>
      </c>
      <c r="AA232">
        <f t="shared" si="113"/>
        <v>27.765552975274865</v>
      </c>
      <c r="AB232">
        <f t="shared" si="100"/>
        <v>0.35303689033849467</v>
      </c>
      <c r="AC232">
        <f t="shared" si="114"/>
        <v>0</v>
      </c>
      <c r="AE232">
        <f>$B$5*'5 Year Rainfall Simulation'!E233/1000</f>
        <v>0.26459002091068878</v>
      </c>
      <c r="AF232">
        <f t="shared" si="101"/>
        <v>0.26459002091068878</v>
      </c>
      <c r="AG232">
        <f t="shared" si="102"/>
        <v>0.62</v>
      </c>
      <c r="AH232">
        <f t="shared" si="103"/>
        <v>-0.35540997908931121</v>
      </c>
      <c r="AI232">
        <f t="shared" si="115"/>
        <v>21.159967436423628</v>
      </c>
      <c r="AJ232">
        <f t="shared" si="104"/>
        <v>0.15640894847917006</v>
      </c>
      <c r="AK232">
        <f t="shared" si="116"/>
        <v>0</v>
      </c>
      <c r="AM232">
        <f>$B$5*'5 Year Rainfall Simulation'!F233/1000</f>
        <v>2.1483025106004243</v>
      </c>
      <c r="AN232">
        <f t="shared" si="105"/>
        <v>2.1483025106004243</v>
      </c>
      <c r="AO232">
        <f t="shared" si="106"/>
        <v>0.62</v>
      </c>
      <c r="AP232">
        <f t="shared" si="107"/>
        <v>1.5283025106004242</v>
      </c>
      <c r="AQ232">
        <f t="shared" si="117"/>
        <v>28.447540453081579</v>
      </c>
      <c r="AR232">
        <f t="shared" si="108"/>
        <v>1.269941079189806</v>
      </c>
      <c r="AS232">
        <f t="shared" si="118"/>
        <v>0</v>
      </c>
    </row>
    <row r="233" spans="6:45" ht="18" customHeight="1">
      <c r="F233" s="109">
        <v>44790</v>
      </c>
      <c r="G233">
        <f>B$5*'5 Year Rainfall Simulation'!B234/1000</f>
        <v>0</v>
      </c>
      <c r="H233">
        <f t="shared" si="90"/>
        <v>0</v>
      </c>
      <c r="I233">
        <f t="shared" si="119"/>
        <v>0.62</v>
      </c>
      <c r="J233">
        <f t="shared" si="91"/>
        <v>-0.62</v>
      </c>
      <c r="K233">
        <f t="shared" si="109"/>
        <v>19.61999999999999</v>
      </c>
      <c r="L233">
        <f t="shared" si="92"/>
        <v>0</v>
      </c>
      <c r="M233">
        <f t="shared" si="110"/>
        <v>0</v>
      </c>
      <c r="O233">
        <f>$B$5*'5 Year Rainfall Simulation'!C234/1000</f>
        <v>0</v>
      </c>
      <c r="P233">
        <f t="shared" si="93"/>
        <v>0</v>
      </c>
      <c r="Q233">
        <f t="shared" si="94"/>
        <v>0.62</v>
      </c>
      <c r="R233">
        <f t="shared" si="95"/>
        <v>-0.62</v>
      </c>
      <c r="S233">
        <f t="shared" si="111"/>
        <v>1.9799999999999986</v>
      </c>
      <c r="T233">
        <f t="shared" si="96"/>
        <v>0</v>
      </c>
      <c r="U233">
        <f t="shared" si="112"/>
        <v>0</v>
      </c>
      <c r="W233">
        <f>$B$5*'5 Year Rainfall Simulation'!D234/1000</f>
        <v>0</v>
      </c>
      <c r="X233">
        <f t="shared" si="97"/>
        <v>0</v>
      </c>
      <c r="Y233">
        <f t="shared" si="98"/>
        <v>0.62</v>
      </c>
      <c r="Z233">
        <f t="shared" si="99"/>
        <v>-0.62</v>
      </c>
      <c r="AA233">
        <f t="shared" si="113"/>
        <v>27.145552975274864</v>
      </c>
      <c r="AB233">
        <f t="shared" si="100"/>
        <v>0</v>
      </c>
      <c r="AC233">
        <f t="shared" si="114"/>
        <v>0</v>
      </c>
      <c r="AE233">
        <f>$B$5*'5 Year Rainfall Simulation'!E234/1000</f>
        <v>1.2354088631561093</v>
      </c>
      <c r="AF233">
        <f t="shared" si="101"/>
        <v>1.2354088631561093</v>
      </c>
      <c r="AG233">
        <f t="shared" si="102"/>
        <v>0.62</v>
      </c>
      <c r="AH233">
        <f t="shared" si="103"/>
        <v>0.61540886315610932</v>
      </c>
      <c r="AI233">
        <f t="shared" si="115"/>
        <v>21.775376299579737</v>
      </c>
      <c r="AJ233">
        <f t="shared" si="104"/>
        <v>0.73029587647720684</v>
      </c>
      <c r="AK233">
        <f t="shared" si="116"/>
        <v>0</v>
      </c>
      <c r="AM233">
        <f>$B$5*'5 Year Rainfall Simulation'!F234/1000</f>
        <v>0</v>
      </c>
      <c r="AN233">
        <f t="shared" si="105"/>
        <v>0</v>
      </c>
      <c r="AO233">
        <f t="shared" si="106"/>
        <v>0.62</v>
      </c>
      <c r="AP233">
        <f t="shared" si="107"/>
        <v>-0.62</v>
      </c>
      <c r="AQ233">
        <f t="shared" si="117"/>
        <v>27.827540453081578</v>
      </c>
      <c r="AR233">
        <f t="shared" si="108"/>
        <v>0</v>
      </c>
      <c r="AS233">
        <f t="shared" si="118"/>
        <v>0</v>
      </c>
    </row>
    <row r="234" spans="6:45" ht="18" customHeight="1">
      <c r="F234" s="109">
        <v>44791</v>
      </c>
      <c r="G234">
        <f>B$5*'5 Year Rainfall Simulation'!B235/1000</f>
        <v>0</v>
      </c>
      <c r="H234">
        <f t="shared" si="90"/>
        <v>0</v>
      </c>
      <c r="I234">
        <f t="shared" si="119"/>
        <v>0.62</v>
      </c>
      <c r="J234">
        <f t="shared" si="91"/>
        <v>-0.62</v>
      </c>
      <c r="K234">
        <f t="shared" si="109"/>
        <v>18.999999999999989</v>
      </c>
      <c r="L234">
        <f t="shared" si="92"/>
        <v>0</v>
      </c>
      <c r="M234">
        <f t="shared" si="110"/>
        <v>0</v>
      </c>
      <c r="O234">
        <f>$B$5*'5 Year Rainfall Simulation'!C235/1000</f>
        <v>0</v>
      </c>
      <c r="P234">
        <f t="shared" si="93"/>
        <v>0</v>
      </c>
      <c r="Q234">
        <f t="shared" si="94"/>
        <v>0.62</v>
      </c>
      <c r="R234">
        <f t="shared" si="95"/>
        <v>-0.62</v>
      </c>
      <c r="S234">
        <f t="shared" si="111"/>
        <v>1.3599999999999985</v>
      </c>
      <c r="T234">
        <f t="shared" si="96"/>
        <v>0</v>
      </c>
      <c r="U234">
        <f t="shared" si="112"/>
        <v>0</v>
      </c>
      <c r="W234">
        <f>$B$5*'5 Year Rainfall Simulation'!D235/1000</f>
        <v>0</v>
      </c>
      <c r="X234">
        <f t="shared" si="97"/>
        <v>0</v>
      </c>
      <c r="Y234">
        <f t="shared" si="98"/>
        <v>0.62</v>
      </c>
      <c r="Z234">
        <f t="shared" si="99"/>
        <v>-0.62</v>
      </c>
      <c r="AA234">
        <f t="shared" si="113"/>
        <v>26.525552975274863</v>
      </c>
      <c r="AB234">
        <f t="shared" si="100"/>
        <v>0</v>
      </c>
      <c r="AC234">
        <f t="shared" si="114"/>
        <v>0</v>
      </c>
      <c r="AE234">
        <f>$B$5*'5 Year Rainfall Simulation'!E235/1000</f>
        <v>0</v>
      </c>
      <c r="AF234">
        <f t="shared" si="101"/>
        <v>0</v>
      </c>
      <c r="AG234">
        <f t="shared" si="102"/>
        <v>0.62</v>
      </c>
      <c r="AH234">
        <f t="shared" si="103"/>
        <v>-0.62</v>
      </c>
      <c r="AI234">
        <f t="shared" si="115"/>
        <v>21.155376299579736</v>
      </c>
      <c r="AJ234">
        <f t="shared" si="104"/>
        <v>0</v>
      </c>
      <c r="AK234">
        <f t="shared" si="116"/>
        <v>0</v>
      </c>
      <c r="AM234">
        <f>$B$5*'5 Year Rainfall Simulation'!F235/1000</f>
        <v>0</v>
      </c>
      <c r="AN234">
        <f t="shared" si="105"/>
        <v>0</v>
      </c>
      <c r="AO234">
        <f t="shared" si="106"/>
        <v>0.62</v>
      </c>
      <c r="AP234">
        <f t="shared" si="107"/>
        <v>-0.62</v>
      </c>
      <c r="AQ234">
        <f t="shared" si="117"/>
        <v>27.207540453081577</v>
      </c>
      <c r="AR234">
        <f t="shared" si="108"/>
        <v>0</v>
      </c>
      <c r="AS234">
        <f t="shared" si="118"/>
        <v>0</v>
      </c>
    </row>
    <row r="235" spans="6:45" ht="18" customHeight="1">
      <c r="F235" s="109">
        <v>44792</v>
      </c>
      <c r="G235">
        <f>B$5*'5 Year Rainfall Simulation'!B236/1000</f>
        <v>0</v>
      </c>
      <c r="H235">
        <f t="shared" si="90"/>
        <v>0</v>
      </c>
      <c r="I235">
        <f t="shared" si="119"/>
        <v>0.62</v>
      </c>
      <c r="J235">
        <f t="shared" si="91"/>
        <v>-0.62</v>
      </c>
      <c r="K235">
        <f t="shared" si="109"/>
        <v>18.379999999999988</v>
      </c>
      <c r="L235">
        <f t="shared" si="92"/>
        <v>0</v>
      </c>
      <c r="M235">
        <f t="shared" si="110"/>
        <v>0</v>
      </c>
      <c r="O235">
        <f>$B$5*'5 Year Rainfall Simulation'!C236/1000</f>
        <v>0</v>
      </c>
      <c r="P235">
        <f t="shared" si="93"/>
        <v>0</v>
      </c>
      <c r="Q235">
        <f t="shared" si="94"/>
        <v>0.62</v>
      </c>
      <c r="R235">
        <f t="shared" si="95"/>
        <v>-0.62</v>
      </c>
      <c r="S235">
        <f t="shared" si="111"/>
        <v>0.73999999999999855</v>
      </c>
      <c r="T235">
        <f t="shared" si="96"/>
        <v>0</v>
      </c>
      <c r="U235">
        <f t="shared" si="112"/>
        <v>0</v>
      </c>
      <c r="W235">
        <f>$B$5*'5 Year Rainfall Simulation'!D236/1000</f>
        <v>0</v>
      </c>
      <c r="X235">
        <f t="shared" si="97"/>
        <v>0</v>
      </c>
      <c r="Y235">
        <f t="shared" si="98"/>
        <v>0.62</v>
      </c>
      <c r="Z235">
        <f t="shared" si="99"/>
        <v>-0.62</v>
      </c>
      <c r="AA235">
        <f t="shared" si="113"/>
        <v>25.905552975274862</v>
      </c>
      <c r="AB235">
        <f t="shared" si="100"/>
        <v>0</v>
      </c>
      <c r="AC235">
        <f t="shared" si="114"/>
        <v>0</v>
      </c>
      <c r="AE235">
        <f>$B$5*'5 Year Rainfall Simulation'!E236/1000</f>
        <v>0</v>
      </c>
      <c r="AF235">
        <f t="shared" si="101"/>
        <v>0</v>
      </c>
      <c r="AG235">
        <f t="shared" si="102"/>
        <v>0.62</v>
      </c>
      <c r="AH235">
        <f t="shared" si="103"/>
        <v>-0.62</v>
      </c>
      <c r="AI235">
        <f t="shared" si="115"/>
        <v>20.535376299579735</v>
      </c>
      <c r="AJ235">
        <f t="shared" si="104"/>
        <v>0</v>
      </c>
      <c r="AK235">
        <f t="shared" si="116"/>
        <v>0</v>
      </c>
      <c r="AM235">
        <f>$B$5*'5 Year Rainfall Simulation'!F236/1000</f>
        <v>0</v>
      </c>
      <c r="AN235">
        <f t="shared" si="105"/>
        <v>0</v>
      </c>
      <c r="AO235">
        <f t="shared" si="106"/>
        <v>0.62</v>
      </c>
      <c r="AP235">
        <f t="shared" si="107"/>
        <v>-0.62</v>
      </c>
      <c r="AQ235">
        <f t="shared" si="117"/>
        <v>26.587540453081576</v>
      </c>
      <c r="AR235">
        <f t="shared" si="108"/>
        <v>0</v>
      </c>
      <c r="AS235">
        <f t="shared" si="118"/>
        <v>0</v>
      </c>
    </row>
    <row r="236" spans="6:45" ht="18" customHeight="1">
      <c r="F236" s="109">
        <v>44793</v>
      </c>
      <c r="G236">
        <f>B$5*'5 Year Rainfall Simulation'!B237/1000</f>
        <v>0</v>
      </c>
      <c r="H236">
        <f t="shared" si="90"/>
        <v>0</v>
      </c>
      <c r="I236">
        <f t="shared" si="119"/>
        <v>0.62</v>
      </c>
      <c r="J236">
        <f t="shared" si="91"/>
        <v>-0.62</v>
      </c>
      <c r="K236">
        <f t="shared" si="109"/>
        <v>17.759999999999987</v>
      </c>
      <c r="L236">
        <f t="shared" si="92"/>
        <v>0</v>
      </c>
      <c r="M236">
        <f t="shared" si="110"/>
        <v>0</v>
      </c>
      <c r="O236">
        <f>$B$5*'5 Year Rainfall Simulation'!C237/1000</f>
        <v>0</v>
      </c>
      <c r="P236">
        <f t="shared" si="93"/>
        <v>0</v>
      </c>
      <c r="Q236">
        <f t="shared" si="94"/>
        <v>0.62</v>
      </c>
      <c r="R236">
        <f t="shared" si="95"/>
        <v>-0.62</v>
      </c>
      <c r="S236">
        <f t="shared" si="111"/>
        <v>0.11999999999999855</v>
      </c>
      <c r="T236">
        <f t="shared" si="96"/>
        <v>0</v>
      </c>
      <c r="U236">
        <f t="shared" si="112"/>
        <v>0</v>
      </c>
      <c r="W236">
        <f>$B$5*'5 Year Rainfall Simulation'!D237/1000</f>
        <v>0</v>
      </c>
      <c r="X236">
        <f t="shared" si="97"/>
        <v>0</v>
      </c>
      <c r="Y236">
        <f t="shared" si="98"/>
        <v>0.62</v>
      </c>
      <c r="Z236">
        <f t="shared" si="99"/>
        <v>-0.62</v>
      </c>
      <c r="AA236">
        <f t="shared" si="113"/>
        <v>25.285552975274861</v>
      </c>
      <c r="AB236">
        <f t="shared" si="100"/>
        <v>0</v>
      </c>
      <c r="AC236">
        <f t="shared" si="114"/>
        <v>0</v>
      </c>
      <c r="AE236">
        <f>$B$5*'5 Year Rainfall Simulation'!E237/1000</f>
        <v>0.10246214664892284</v>
      </c>
      <c r="AF236">
        <f t="shared" si="101"/>
        <v>0.10246214664892284</v>
      </c>
      <c r="AG236">
        <f t="shared" si="102"/>
        <v>0.62</v>
      </c>
      <c r="AH236">
        <f t="shared" si="103"/>
        <v>-0.51753785335107716</v>
      </c>
      <c r="AI236">
        <f t="shared" si="115"/>
        <v>20.017838446228659</v>
      </c>
      <c r="AJ236">
        <f t="shared" si="104"/>
        <v>6.056916493341994E-2</v>
      </c>
      <c r="AK236">
        <f t="shared" si="116"/>
        <v>0</v>
      </c>
      <c r="AM236">
        <f>$B$5*'5 Year Rainfall Simulation'!F237/1000</f>
        <v>0</v>
      </c>
      <c r="AN236">
        <f t="shared" si="105"/>
        <v>0</v>
      </c>
      <c r="AO236">
        <f t="shared" si="106"/>
        <v>0.62</v>
      </c>
      <c r="AP236">
        <f t="shared" si="107"/>
        <v>-0.62</v>
      </c>
      <c r="AQ236">
        <f t="shared" si="117"/>
        <v>25.967540453081575</v>
      </c>
      <c r="AR236">
        <f t="shared" si="108"/>
        <v>0</v>
      </c>
      <c r="AS236">
        <f t="shared" si="118"/>
        <v>0</v>
      </c>
    </row>
    <row r="237" spans="6:45" ht="18" customHeight="1">
      <c r="F237" s="109">
        <v>44794</v>
      </c>
      <c r="G237">
        <f>B$5*'5 Year Rainfall Simulation'!B238/1000</f>
        <v>0</v>
      </c>
      <c r="H237">
        <f t="shared" si="90"/>
        <v>0</v>
      </c>
      <c r="I237">
        <f t="shared" si="119"/>
        <v>0.62</v>
      </c>
      <c r="J237">
        <f t="shared" si="91"/>
        <v>-0.62</v>
      </c>
      <c r="K237">
        <f t="shared" si="109"/>
        <v>17.139999999999986</v>
      </c>
      <c r="L237">
        <f t="shared" si="92"/>
        <v>0</v>
      </c>
      <c r="M237">
        <f t="shared" si="110"/>
        <v>0</v>
      </c>
      <c r="O237">
        <f>$B$5*'5 Year Rainfall Simulation'!C238/1000</f>
        <v>0</v>
      </c>
      <c r="P237">
        <f t="shared" si="93"/>
        <v>0</v>
      </c>
      <c r="Q237">
        <f t="shared" si="94"/>
        <v>0.62</v>
      </c>
      <c r="R237">
        <f t="shared" si="95"/>
        <v>-0.62</v>
      </c>
      <c r="S237">
        <f t="shared" si="111"/>
        <v>0</v>
      </c>
      <c r="T237">
        <f t="shared" si="96"/>
        <v>0</v>
      </c>
      <c r="U237">
        <f t="shared" si="112"/>
        <v>1</v>
      </c>
      <c r="W237">
        <f>$B$5*'5 Year Rainfall Simulation'!D238/1000</f>
        <v>0</v>
      </c>
      <c r="X237">
        <f t="shared" si="97"/>
        <v>0</v>
      </c>
      <c r="Y237">
        <f t="shared" si="98"/>
        <v>0.62</v>
      </c>
      <c r="Z237">
        <f t="shared" si="99"/>
        <v>-0.62</v>
      </c>
      <c r="AA237">
        <f t="shared" si="113"/>
        <v>24.66555297527486</v>
      </c>
      <c r="AB237">
        <f t="shared" si="100"/>
        <v>0</v>
      </c>
      <c r="AC237">
        <f t="shared" si="114"/>
        <v>0</v>
      </c>
      <c r="AE237">
        <f>$B$5*'5 Year Rainfall Simulation'!E238/1000</f>
        <v>0.7588633430447278</v>
      </c>
      <c r="AF237">
        <f t="shared" si="101"/>
        <v>0.7588633430447278</v>
      </c>
      <c r="AG237">
        <f t="shared" si="102"/>
        <v>0.62</v>
      </c>
      <c r="AH237">
        <f t="shared" si="103"/>
        <v>0.1388633430447278</v>
      </c>
      <c r="AI237">
        <f t="shared" si="115"/>
        <v>20.156701789273388</v>
      </c>
      <c r="AJ237">
        <f t="shared" si="104"/>
        <v>0.44859219223947189</v>
      </c>
      <c r="AK237">
        <f t="shared" si="116"/>
        <v>0</v>
      </c>
      <c r="AM237">
        <f>$B$5*'5 Year Rainfall Simulation'!F238/1000</f>
        <v>0</v>
      </c>
      <c r="AN237">
        <f t="shared" si="105"/>
        <v>0</v>
      </c>
      <c r="AO237">
        <f t="shared" si="106"/>
        <v>0.62</v>
      </c>
      <c r="AP237">
        <f t="shared" si="107"/>
        <v>-0.62</v>
      </c>
      <c r="AQ237">
        <f t="shared" si="117"/>
        <v>25.347540453081574</v>
      </c>
      <c r="AR237">
        <f t="shared" si="108"/>
        <v>0</v>
      </c>
      <c r="AS237">
        <f t="shared" si="118"/>
        <v>0</v>
      </c>
    </row>
    <row r="238" spans="6:45" ht="18" customHeight="1">
      <c r="F238" s="109">
        <v>44795</v>
      </c>
      <c r="G238">
        <f>B$5*'5 Year Rainfall Simulation'!B239/1000</f>
        <v>0</v>
      </c>
      <c r="H238">
        <f t="shared" si="90"/>
        <v>0</v>
      </c>
      <c r="I238">
        <f t="shared" si="119"/>
        <v>0.62</v>
      </c>
      <c r="J238">
        <f t="shared" si="91"/>
        <v>-0.62</v>
      </c>
      <c r="K238">
        <f t="shared" si="109"/>
        <v>16.519999999999985</v>
      </c>
      <c r="L238">
        <f t="shared" si="92"/>
        <v>0</v>
      </c>
      <c r="M238">
        <f t="shared" si="110"/>
        <v>0</v>
      </c>
      <c r="O238">
        <f>$B$5*'5 Year Rainfall Simulation'!C239/1000</f>
        <v>0</v>
      </c>
      <c r="P238">
        <f t="shared" si="93"/>
        <v>0</v>
      </c>
      <c r="Q238">
        <f t="shared" si="94"/>
        <v>0.62</v>
      </c>
      <c r="R238">
        <f t="shared" si="95"/>
        <v>-0.62</v>
      </c>
      <c r="S238">
        <f t="shared" si="111"/>
        <v>0</v>
      </c>
      <c r="T238">
        <f t="shared" si="96"/>
        <v>0</v>
      </c>
      <c r="U238">
        <f t="shared" si="112"/>
        <v>1</v>
      </c>
      <c r="W238">
        <f>$B$5*'5 Year Rainfall Simulation'!D239/1000</f>
        <v>0</v>
      </c>
      <c r="X238">
        <f t="shared" si="97"/>
        <v>0</v>
      </c>
      <c r="Y238">
        <f t="shared" si="98"/>
        <v>0.62</v>
      </c>
      <c r="Z238">
        <f t="shared" si="99"/>
        <v>-0.62</v>
      </c>
      <c r="AA238">
        <f t="shared" si="113"/>
        <v>24.045552975274859</v>
      </c>
      <c r="AB238">
        <f t="shared" si="100"/>
        <v>0</v>
      </c>
      <c r="AC238">
        <f t="shared" si="114"/>
        <v>0</v>
      </c>
      <c r="AE238">
        <f>$B$5*'5 Year Rainfall Simulation'!E239/1000</f>
        <v>0</v>
      </c>
      <c r="AF238">
        <f t="shared" si="101"/>
        <v>0</v>
      </c>
      <c r="AG238">
        <f t="shared" si="102"/>
        <v>0.62</v>
      </c>
      <c r="AH238">
        <f t="shared" si="103"/>
        <v>-0.62</v>
      </c>
      <c r="AI238">
        <f t="shared" si="115"/>
        <v>19.536701789273387</v>
      </c>
      <c r="AJ238">
        <f t="shared" si="104"/>
        <v>0</v>
      </c>
      <c r="AK238">
        <f t="shared" si="116"/>
        <v>0</v>
      </c>
      <c r="AM238">
        <f>$B$5*'5 Year Rainfall Simulation'!F239/1000</f>
        <v>0</v>
      </c>
      <c r="AN238">
        <f t="shared" si="105"/>
        <v>0</v>
      </c>
      <c r="AO238">
        <f t="shared" si="106"/>
        <v>0.62</v>
      </c>
      <c r="AP238">
        <f t="shared" si="107"/>
        <v>-0.62</v>
      </c>
      <c r="AQ238">
        <f t="shared" si="117"/>
        <v>24.727540453081573</v>
      </c>
      <c r="AR238">
        <f t="shared" si="108"/>
        <v>0</v>
      </c>
      <c r="AS238">
        <f t="shared" si="118"/>
        <v>0</v>
      </c>
    </row>
    <row r="239" spans="6:45" ht="18" customHeight="1">
      <c r="F239" s="109">
        <v>44796</v>
      </c>
      <c r="G239">
        <f>B$5*'5 Year Rainfall Simulation'!B240/1000</f>
        <v>0</v>
      </c>
      <c r="H239">
        <f t="shared" si="90"/>
        <v>0</v>
      </c>
      <c r="I239">
        <f t="shared" si="119"/>
        <v>0.62</v>
      </c>
      <c r="J239">
        <f t="shared" si="91"/>
        <v>-0.62</v>
      </c>
      <c r="K239">
        <f t="shared" si="109"/>
        <v>15.899999999999986</v>
      </c>
      <c r="L239">
        <f t="shared" si="92"/>
        <v>0</v>
      </c>
      <c r="M239">
        <f t="shared" si="110"/>
        <v>0</v>
      </c>
      <c r="O239">
        <f>$B$5*'5 Year Rainfall Simulation'!C240/1000</f>
        <v>0</v>
      </c>
      <c r="P239">
        <f t="shared" si="93"/>
        <v>0</v>
      </c>
      <c r="Q239">
        <f t="shared" si="94"/>
        <v>0.62</v>
      </c>
      <c r="R239">
        <f t="shared" si="95"/>
        <v>-0.62</v>
      </c>
      <c r="S239">
        <f t="shared" si="111"/>
        <v>0</v>
      </c>
      <c r="T239">
        <f t="shared" si="96"/>
        <v>0</v>
      </c>
      <c r="U239">
        <f t="shared" si="112"/>
        <v>1</v>
      </c>
      <c r="W239">
        <f>$B$5*'5 Year Rainfall Simulation'!D240/1000</f>
        <v>0.58031672791303612</v>
      </c>
      <c r="X239">
        <f t="shared" si="97"/>
        <v>0.58031672791303612</v>
      </c>
      <c r="Y239">
        <f t="shared" si="98"/>
        <v>0.62</v>
      </c>
      <c r="Z239">
        <f t="shared" si="99"/>
        <v>-3.9683272086963872E-2</v>
      </c>
      <c r="AA239">
        <f t="shared" si="113"/>
        <v>24.005869703187894</v>
      </c>
      <c r="AB239">
        <f t="shared" si="100"/>
        <v>0.3430466836403801</v>
      </c>
      <c r="AC239">
        <f t="shared" si="114"/>
        <v>0</v>
      </c>
      <c r="AE239">
        <f>$B$5*'5 Year Rainfall Simulation'!E240/1000</f>
        <v>0</v>
      </c>
      <c r="AF239">
        <f t="shared" si="101"/>
        <v>0</v>
      </c>
      <c r="AG239">
        <f t="shared" si="102"/>
        <v>0.62</v>
      </c>
      <c r="AH239">
        <f t="shared" si="103"/>
        <v>-0.62</v>
      </c>
      <c r="AI239">
        <f t="shared" si="115"/>
        <v>18.916701789273386</v>
      </c>
      <c r="AJ239">
        <f t="shared" si="104"/>
        <v>0</v>
      </c>
      <c r="AK239">
        <f t="shared" si="116"/>
        <v>0</v>
      </c>
      <c r="AM239">
        <f>$B$5*'5 Year Rainfall Simulation'!F240/1000</f>
        <v>0</v>
      </c>
      <c r="AN239">
        <f t="shared" si="105"/>
        <v>0</v>
      </c>
      <c r="AO239">
        <f t="shared" si="106"/>
        <v>0.62</v>
      </c>
      <c r="AP239">
        <f t="shared" si="107"/>
        <v>-0.62</v>
      </c>
      <c r="AQ239">
        <f t="shared" si="117"/>
        <v>24.107540453081572</v>
      </c>
      <c r="AR239">
        <f t="shared" si="108"/>
        <v>0</v>
      </c>
      <c r="AS239">
        <f t="shared" si="118"/>
        <v>0</v>
      </c>
    </row>
    <row r="240" spans="6:45" ht="18" customHeight="1">
      <c r="F240" s="109">
        <v>44797</v>
      </c>
      <c r="G240">
        <f>B$5*'5 Year Rainfall Simulation'!B241/1000</f>
        <v>0</v>
      </c>
      <c r="H240">
        <f t="shared" si="90"/>
        <v>0</v>
      </c>
      <c r="I240">
        <f t="shared" si="119"/>
        <v>0.62</v>
      </c>
      <c r="J240">
        <f t="shared" si="91"/>
        <v>-0.62</v>
      </c>
      <c r="K240">
        <f t="shared" si="109"/>
        <v>15.279999999999987</v>
      </c>
      <c r="L240">
        <f t="shared" si="92"/>
        <v>0</v>
      </c>
      <c r="M240">
        <f t="shared" si="110"/>
        <v>0</v>
      </c>
      <c r="O240">
        <f>$B$5*'5 Year Rainfall Simulation'!C241/1000</f>
        <v>0</v>
      </c>
      <c r="P240">
        <f t="shared" si="93"/>
        <v>0</v>
      </c>
      <c r="Q240">
        <f t="shared" si="94"/>
        <v>0.62</v>
      </c>
      <c r="R240">
        <f t="shared" si="95"/>
        <v>-0.62</v>
      </c>
      <c r="S240">
        <f t="shared" si="111"/>
        <v>0</v>
      </c>
      <c r="T240">
        <f t="shared" si="96"/>
        <v>0</v>
      </c>
      <c r="U240">
        <f t="shared" si="112"/>
        <v>1</v>
      </c>
      <c r="W240">
        <f>$B$5*'5 Year Rainfall Simulation'!D241/1000</f>
        <v>0.99650898847098379</v>
      </c>
      <c r="X240">
        <f t="shared" si="97"/>
        <v>0.99650898847098379</v>
      </c>
      <c r="Y240">
        <f t="shared" si="98"/>
        <v>0.62</v>
      </c>
      <c r="Z240">
        <f t="shared" si="99"/>
        <v>0.3765089884709838</v>
      </c>
      <c r="AA240">
        <f t="shared" si="113"/>
        <v>24.382378691658879</v>
      </c>
      <c r="AB240">
        <f t="shared" si="100"/>
        <v>0.58907332370406684</v>
      </c>
      <c r="AC240">
        <f t="shared" si="114"/>
        <v>0</v>
      </c>
      <c r="AE240">
        <f>$B$5*'5 Year Rainfall Simulation'!E241/1000</f>
        <v>0.2101637123046918</v>
      </c>
      <c r="AF240">
        <f t="shared" si="101"/>
        <v>0.2101637123046918</v>
      </c>
      <c r="AG240">
        <f t="shared" si="102"/>
        <v>0.62</v>
      </c>
      <c r="AH240">
        <f t="shared" si="103"/>
        <v>-0.40983628769530822</v>
      </c>
      <c r="AI240">
        <f t="shared" si="115"/>
        <v>18.506865501578076</v>
      </c>
      <c r="AJ240">
        <f t="shared" si="104"/>
        <v>0.12423554424658852</v>
      </c>
      <c r="AK240">
        <f t="shared" si="116"/>
        <v>0</v>
      </c>
      <c r="AM240">
        <f>$B$5*'5 Year Rainfall Simulation'!F241/1000</f>
        <v>1.4996826283449947</v>
      </c>
      <c r="AN240">
        <f t="shared" si="105"/>
        <v>1.4996826283449947</v>
      </c>
      <c r="AO240">
        <f t="shared" si="106"/>
        <v>0.62</v>
      </c>
      <c r="AP240">
        <f t="shared" si="107"/>
        <v>0.87968262834499467</v>
      </c>
      <c r="AQ240">
        <f t="shared" si="117"/>
        <v>24.987223081426567</v>
      </c>
      <c r="AR240">
        <f t="shared" si="108"/>
        <v>0.88651787450099861</v>
      </c>
      <c r="AS240">
        <f t="shared" si="118"/>
        <v>0</v>
      </c>
    </row>
    <row r="241" spans="6:45" ht="18" customHeight="1">
      <c r="F241" s="109">
        <v>44798</v>
      </c>
      <c r="G241">
        <f>B$5*'5 Year Rainfall Simulation'!B242/1000</f>
        <v>0</v>
      </c>
      <c r="H241">
        <f t="shared" si="90"/>
        <v>0</v>
      </c>
      <c r="I241">
        <f t="shared" si="119"/>
        <v>0.62</v>
      </c>
      <c r="J241">
        <f t="shared" si="91"/>
        <v>-0.62</v>
      </c>
      <c r="K241">
        <f t="shared" si="109"/>
        <v>14.659999999999988</v>
      </c>
      <c r="L241">
        <f t="shared" si="92"/>
        <v>0</v>
      </c>
      <c r="M241">
        <f t="shared" si="110"/>
        <v>0</v>
      </c>
      <c r="O241">
        <f>$B$5*'5 Year Rainfall Simulation'!C242/1000</f>
        <v>0</v>
      </c>
      <c r="P241">
        <f t="shared" si="93"/>
        <v>0</v>
      </c>
      <c r="Q241">
        <f t="shared" si="94"/>
        <v>0.62</v>
      </c>
      <c r="R241">
        <f t="shared" si="95"/>
        <v>-0.62</v>
      </c>
      <c r="S241">
        <f t="shared" si="111"/>
        <v>0</v>
      </c>
      <c r="T241">
        <f t="shared" si="96"/>
        <v>0</v>
      </c>
      <c r="U241">
        <f t="shared" si="112"/>
        <v>1</v>
      </c>
      <c r="W241">
        <f>$B$5*'5 Year Rainfall Simulation'!D242/1000</f>
        <v>0.88438365328209323</v>
      </c>
      <c r="X241">
        <f t="shared" si="97"/>
        <v>0.88438365328209323</v>
      </c>
      <c r="Y241">
        <f t="shared" si="98"/>
        <v>0.62</v>
      </c>
      <c r="Z241">
        <f t="shared" si="99"/>
        <v>0.26438365328209323</v>
      </c>
      <c r="AA241">
        <f t="shared" si="113"/>
        <v>24.646762344940971</v>
      </c>
      <c r="AB241">
        <f t="shared" si="100"/>
        <v>0.52279189058573872</v>
      </c>
      <c r="AC241">
        <f t="shared" si="114"/>
        <v>0</v>
      </c>
      <c r="AE241">
        <f>$B$5*'5 Year Rainfall Simulation'!E242/1000</f>
        <v>1.3500388468128965</v>
      </c>
      <c r="AF241">
        <f t="shared" si="101"/>
        <v>1.3500388468128965</v>
      </c>
      <c r="AG241">
        <f t="shared" si="102"/>
        <v>0.62</v>
      </c>
      <c r="AH241">
        <f t="shared" si="103"/>
        <v>0.73003884681289655</v>
      </c>
      <c r="AI241">
        <f t="shared" si="115"/>
        <v>19.236904348390972</v>
      </c>
      <c r="AJ241">
        <f t="shared" si="104"/>
        <v>0.79805789995123066</v>
      </c>
      <c r="AK241">
        <f t="shared" si="116"/>
        <v>0</v>
      </c>
      <c r="AM241">
        <f>$B$5*'5 Year Rainfall Simulation'!F242/1000</f>
        <v>0</v>
      </c>
      <c r="AN241">
        <f t="shared" si="105"/>
        <v>0</v>
      </c>
      <c r="AO241">
        <f t="shared" si="106"/>
        <v>0.62</v>
      </c>
      <c r="AP241">
        <f t="shared" si="107"/>
        <v>-0.62</v>
      </c>
      <c r="AQ241">
        <f t="shared" si="117"/>
        <v>24.367223081426566</v>
      </c>
      <c r="AR241">
        <f t="shared" si="108"/>
        <v>0</v>
      </c>
      <c r="AS241">
        <f t="shared" si="118"/>
        <v>0</v>
      </c>
    </row>
    <row r="242" spans="6:45" ht="18" customHeight="1">
      <c r="F242" s="109">
        <v>44799</v>
      </c>
      <c r="G242">
        <f>B$5*'5 Year Rainfall Simulation'!B243/1000</f>
        <v>0</v>
      </c>
      <c r="H242">
        <f t="shared" si="90"/>
        <v>0</v>
      </c>
      <c r="I242">
        <f t="shared" si="119"/>
        <v>0.62</v>
      </c>
      <c r="J242">
        <f t="shared" si="91"/>
        <v>-0.62</v>
      </c>
      <c r="K242">
        <f t="shared" si="109"/>
        <v>14.039999999999988</v>
      </c>
      <c r="L242">
        <f t="shared" si="92"/>
        <v>0</v>
      </c>
      <c r="M242">
        <f t="shared" si="110"/>
        <v>0</v>
      </c>
      <c r="O242">
        <f>$B$5*'5 Year Rainfall Simulation'!C243/1000</f>
        <v>0</v>
      </c>
      <c r="P242">
        <f t="shared" si="93"/>
        <v>0</v>
      </c>
      <c r="Q242">
        <f t="shared" si="94"/>
        <v>0.62</v>
      </c>
      <c r="R242">
        <f t="shared" si="95"/>
        <v>-0.62</v>
      </c>
      <c r="S242">
        <f t="shared" si="111"/>
        <v>0</v>
      </c>
      <c r="T242">
        <f t="shared" si="96"/>
        <v>0</v>
      </c>
      <c r="U242">
        <f t="shared" si="112"/>
        <v>1</v>
      </c>
      <c r="W242">
        <f>$B$5*'5 Year Rainfall Simulation'!D243/1000</f>
        <v>0</v>
      </c>
      <c r="X242">
        <f t="shared" si="97"/>
        <v>0</v>
      </c>
      <c r="Y242">
        <f t="shared" si="98"/>
        <v>0.62</v>
      </c>
      <c r="Z242">
        <f t="shared" si="99"/>
        <v>-0.62</v>
      </c>
      <c r="AA242">
        <f t="shared" si="113"/>
        <v>24.02676234494097</v>
      </c>
      <c r="AB242">
        <f t="shared" si="100"/>
        <v>0</v>
      </c>
      <c r="AC242">
        <f t="shared" si="114"/>
        <v>0</v>
      </c>
      <c r="AE242">
        <f>$B$5*'5 Year Rainfall Simulation'!E243/1000</f>
        <v>0</v>
      </c>
      <c r="AF242">
        <f t="shared" si="101"/>
        <v>0</v>
      </c>
      <c r="AG242">
        <f t="shared" si="102"/>
        <v>0.62</v>
      </c>
      <c r="AH242">
        <f t="shared" si="103"/>
        <v>-0.62</v>
      </c>
      <c r="AI242">
        <f t="shared" si="115"/>
        <v>18.616904348390971</v>
      </c>
      <c r="AJ242">
        <f t="shared" si="104"/>
        <v>0</v>
      </c>
      <c r="AK242">
        <f t="shared" si="116"/>
        <v>0</v>
      </c>
      <c r="AM242">
        <f>$B$5*'5 Year Rainfall Simulation'!F243/1000</f>
        <v>0</v>
      </c>
      <c r="AN242">
        <f t="shared" si="105"/>
        <v>0</v>
      </c>
      <c r="AO242">
        <f t="shared" si="106"/>
        <v>0.62</v>
      </c>
      <c r="AP242">
        <f t="shared" si="107"/>
        <v>-0.62</v>
      </c>
      <c r="AQ242">
        <f t="shared" si="117"/>
        <v>23.747223081426565</v>
      </c>
      <c r="AR242">
        <f t="shared" si="108"/>
        <v>0</v>
      </c>
      <c r="AS242">
        <f t="shared" si="118"/>
        <v>0</v>
      </c>
    </row>
    <row r="243" spans="6:45" ht="18" customHeight="1">
      <c r="F243" s="109">
        <v>44800</v>
      </c>
      <c r="G243">
        <f>B$5*'5 Year Rainfall Simulation'!B244/1000</f>
        <v>0</v>
      </c>
      <c r="H243">
        <f t="shared" si="90"/>
        <v>0</v>
      </c>
      <c r="I243">
        <f t="shared" si="119"/>
        <v>0.62</v>
      </c>
      <c r="J243">
        <f t="shared" si="91"/>
        <v>-0.62</v>
      </c>
      <c r="K243">
        <f t="shared" si="109"/>
        <v>13.419999999999989</v>
      </c>
      <c r="L243">
        <f t="shared" si="92"/>
        <v>0</v>
      </c>
      <c r="M243">
        <f t="shared" si="110"/>
        <v>0</v>
      </c>
      <c r="O243">
        <f>$B$5*'5 Year Rainfall Simulation'!C244/1000</f>
        <v>0.56000000000000005</v>
      </c>
      <c r="P243">
        <f t="shared" si="93"/>
        <v>0.56000000000000005</v>
      </c>
      <c r="Q243">
        <f t="shared" si="94"/>
        <v>0.62</v>
      </c>
      <c r="R243">
        <f t="shared" si="95"/>
        <v>-5.9999999999999942E-2</v>
      </c>
      <c r="S243">
        <f t="shared" si="111"/>
        <v>0.56000000000000005</v>
      </c>
      <c r="T243">
        <f t="shared" si="96"/>
        <v>0.33103671426028775</v>
      </c>
      <c r="U243">
        <f t="shared" si="112"/>
        <v>1</v>
      </c>
      <c r="W243">
        <f>$B$5*'5 Year Rainfall Simulation'!D244/1000</f>
        <v>0</v>
      </c>
      <c r="X243">
        <f t="shared" si="97"/>
        <v>0</v>
      </c>
      <c r="Y243">
        <f t="shared" si="98"/>
        <v>0.62</v>
      </c>
      <c r="Z243">
        <f t="shared" si="99"/>
        <v>-0.62</v>
      </c>
      <c r="AA243">
        <f t="shared" si="113"/>
        <v>23.406762344940969</v>
      </c>
      <c r="AB243">
        <f t="shared" si="100"/>
        <v>0</v>
      </c>
      <c r="AC243">
        <f t="shared" si="114"/>
        <v>0</v>
      </c>
      <c r="AE243">
        <f>$B$5*'5 Year Rainfall Simulation'!E244/1000</f>
        <v>0</v>
      </c>
      <c r="AF243">
        <f t="shared" si="101"/>
        <v>0</v>
      </c>
      <c r="AG243">
        <f t="shared" si="102"/>
        <v>0.62</v>
      </c>
      <c r="AH243">
        <f t="shared" si="103"/>
        <v>-0.62</v>
      </c>
      <c r="AI243">
        <f t="shared" si="115"/>
        <v>17.99690434839097</v>
      </c>
      <c r="AJ243">
        <f t="shared" si="104"/>
        <v>0</v>
      </c>
      <c r="AK243">
        <f t="shared" si="116"/>
        <v>0</v>
      </c>
      <c r="AM243">
        <f>$B$5*'5 Year Rainfall Simulation'!F244/1000</f>
        <v>0</v>
      </c>
      <c r="AN243">
        <f t="shared" si="105"/>
        <v>0</v>
      </c>
      <c r="AO243">
        <f t="shared" si="106"/>
        <v>0.62</v>
      </c>
      <c r="AP243">
        <f t="shared" si="107"/>
        <v>-0.62</v>
      </c>
      <c r="AQ243">
        <f t="shared" si="117"/>
        <v>23.127223081426564</v>
      </c>
      <c r="AR243">
        <f t="shared" si="108"/>
        <v>0</v>
      </c>
      <c r="AS243">
        <f t="shared" si="118"/>
        <v>0</v>
      </c>
    </row>
    <row r="244" spans="6:45" ht="18" customHeight="1">
      <c r="F244" s="109">
        <v>44801</v>
      </c>
      <c r="G244">
        <f>B$5*'5 Year Rainfall Simulation'!B245/1000</f>
        <v>0.08</v>
      </c>
      <c r="H244">
        <f t="shared" si="90"/>
        <v>0.08</v>
      </c>
      <c r="I244">
        <f t="shared" si="119"/>
        <v>0.62</v>
      </c>
      <c r="J244">
        <f t="shared" si="91"/>
        <v>-0.54</v>
      </c>
      <c r="K244">
        <f t="shared" si="109"/>
        <v>12.879999999999988</v>
      </c>
      <c r="L244">
        <f t="shared" si="92"/>
        <v>4.7290959180041101E-2</v>
      </c>
      <c r="M244">
        <f t="shared" si="110"/>
        <v>0</v>
      </c>
      <c r="O244">
        <f>$B$5*'5 Year Rainfall Simulation'!C245/1000</f>
        <v>2.08</v>
      </c>
      <c r="P244">
        <f t="shared" si="93"/>
        <v>2.08</v>
      </c>
      <c r="Q244">
        <f t="shared" si="94"/>
        <v>0.62</v>
      </c>
      <c r="R244">
        <f t="shared" si="95"/>
        <v>1.46</v>
      </c>
      <c r="S244">
        <f t="shared" si="111"/>
        <v>2.08</v>
      </c>
      <c r="T244">
        <f t="shared" si="96"/>
        <v>1.2295649386810688</v>
      </c>
      <c r="U244">
        <f t="shared" si="112"/>
        <v>1</v>
      </c>
      <c r="W244">
        <f>$B$5*'5 Year Rainfall Simulation'!D245/1000</f>
        <v>0.86654951521061863</v>
      </c>
      <c r="X244">
        <f t="shared" si="97"/>
        <v>0.86654951521061863</v>
      </c>
      <c r="Y244">
        <f t="shared" si="98"/>
        <v>0.62</v>
      </c>
      <c r="Z244">
        <f t="shared" si="99"/>
        <v>0.24654951521061863</v>
      </c>
      <c r="AA244">
        <f t="shared" si="113"/>
        <v>23.653311860151586</v>
      </c>
      <c r="AB244">
        <f t="shared" si="100"/>
        <v>0.51224947189137215</v>
      </c>
      <c r="AC244">
        <f t="shared" si="114"/>
        <v>0</v>
      </c>
      <c r="AE244">
        <f>$B$5*'5 Year Rainfall Simulation'!E245/1000</f>
        <v>1.7309916733825985</v>
      </c>
      <c r="AF244">
        <f t="shared" si="101"/>
        <v>1.7309916733825985</v>
      </c>
      <c r="AG244">
        <f t="shared" si="102"/>
        <v>0.62</v>
      </c>
      <c r="AH244">
        <f t="shared" si="103"/>
        <v>1.1109916733825984</v>
      </c>
      <c r="AI244">
        <f t="shared" si="115"/>
        <v>19.10789602177357</v>
      </c>
      <c r="AJ244">
        <f t="shared" si="104"/>
        <v>1.0232532070865938</v>
      </c>
      <c r="AK244">
        <f t="shared" si="116"/>
        <v>0</v>
      </c>
      <c r="AM244">
        <f>$B$5*'5 Year Rainfall Simulation'!F245/1000</f>
        <v>1.3153478096491376</v>
      </c>
      <c r="AN244">
        <f t="shared" si="105"/>
        <v>1.3153478096491376</v>
      </c>
      <c r="AO244">
        <f t="shared" si="106"/>
        <v>0.62</v>
      </c>
      <c r="AP244">
        <f t="shared" si="107"/>
        <v>0.69534780964913756</v>
      </c>
      <c r="AQ244">
        <f t="shared" si="117"/>
        <v>23.822570891075703</v>
      </c>
      <c r="AR244">
        <f t="shared" si="108"/>
        <v>0.777550744670923</v>
      </c>
      <c r="AS244">
        <f t="shared" si="118"/>
        <v>0</v>
      </c>
    </row>
    <row r="245" spans="6:45" ht="18" customHeight="1">
      <c r="F245" s="109">
        <v>44802</v>
      </c>
      <c r="G245">
        <f>B$5*'5 Year Rainfall Simulation'!B246/1000</f>
        <v>1.56</v>
      </c>
      <c r="H245">
        <f t="shared" si="90"/>
        <v>1.56</v>
      </c>
      <c r="I245">
        <f t="shared" si="119"/>
        <v>0.62</v>
      </c>
      <c r="J245">
        <f t="shared" si="91"/>
        <v>0.94000000000000006</v>
      </c>
      <c r="K245">
        <f t="shared" si="109"/>
        <v>13.819999999999988</v>
      </c>
      <c r="L245">
        <f t="shared" si="92"/>
        <v>0.92217370401080156</v>
      </c>
      <c r="M245">
        <f t="shared" si="110"/>
        <v>0</v>
      </c>
      <c r="O245">
        <f>$B$5*'5 Year Rainfall Simulation'!C246/1000</f>
        <v>6.68</v>
      </c>
      <c r="P245">
        <f t="shared" si="93"/>
        <v>6.68</v>
      </c>
      <c r="Q245">
        <f t="shared" si="94"/>
        <v>0.62</v>
      </c>
      <c r="R245">
        <f t="shared" si="95"/>
        <v>6.06</v>
      </c>
      <c r="S245">
        <f t="shared" si="111"/>
        <v>8.14</v>
      </c>
      <c r="T245">
        <f t="shared" si="96"/>
        <v>3.948795091533432</v>
      </c>
      <c r="U245">
        <f t="shared" si="112"/>
        <v>0</v>
      </c>
      <c r="W245">
        <f>$B$5*'5 Year Rainfall Simulation'!D246/1000</f>
        <v>1.2615264232320917</v>
      </c>
      <c r="X245">
        <f t="shared" si="97"/>
        <v>1.2615264232320917</v>
      </c>
      <c r="Y245">
        <f t="shared" si="98"/>
        <v>0.62</v>
      </c>
      <c r="Z245">
        <f t="shared" si="99"/>
        <v>0.64152642323209175</v>
      </c>
      <c r="AA245">
        <f t="shared" si="113"/>
        <v>24.294838283383676</v>
      </c>
      <c r="AB245">
        <f t="shared" si="100"/>
        <v>0.74573493232015131</v>
      </c>
      <c r="AC245">
        <f t="shared" si="114"/>
        <v>0</v>
      </c>
      <c r="AE245">
        <f>$B$5*'5 Year Rainfall Simulation'!E246/1000</f>
        <v>6.8358344881693434</v>
      </c>
      <c r="AF245">
        <f t="shared" si="101"/>
        <v>6.8358344881693434</v>
      </c>
      <c r="AG245">
        <f t="shared" si="102"/>
        <v>0.62</v>
      </c>
      <c r="AH245">
        <f t="shared" si="103"/>
        <v>6.2158344881693433</v>
      </c>
      <c r="AI245">
        <f t="shared" si="115"/>
        <v>25.323730509942912</v>
      </c>
      <c r="AJ245">
        <f t="shared" si="104"/>
        <v>4.0409146217691694</v>
      </c>
      <c r="AK245">
        <f t="shared" si="116"/>
        <v>0</v>
      </c>
      <c r="AM245">
        <f>$B$5*'5 Year Rainfall Simulation'!F246/1000</f>
        <v>1.5073942295957896</v>
      </c>
      <c r="AN245">
        <f t="shared" si="105"/>
        <v>1.5073942295957896</v>
      </c>
      <c r="AO245">
        <f t="shared" si="106"/>
        <v>0.62</v>
      </c>
      <c r="AP245">
        <f t="shared" si="107"/>
        <v>0.88739422959578962</v>
      </c>
      <c r="AQ245">
        <f t="shared" si="117"/>
        <v>24.709965120671491</v>
      </c>
      <c r="AR245">
        <f t="shared" si="108"/>
        <v>0.89107648725054989</v>
      </c>
      <c r="AS245">
        <f t="shared" si="118"/>
        <v>0</v>
      </c>
    </row>
    <row r="246" spans="6:45" ht="18" customHeight="1">
      <c r="F246" s="109">
        <v>44803</v>
      </c>
      <c r="G246">
        <f>B$5*'5 Year Rainfall Simulation'!B247/1000</f>
        <v>0.72</v>
      </c>
      <c r="H246">
        <f t="shared" si="90"/>
        <v>0.72</v>
      </c>
      <c r="I246">
        <f t="shared" si="119"/>
        <v>0.62</v>
      </c>
      <c r="J246">
        <f t="shared" si="91"/>
        <v>9.9999999999999978E-2</v>
      </c>
      <c r="K246">
        <f t="shared" si="109"/>
        <v>13.919999999999987</v>
      </c>
      <c r="L246">
        <f t="shared" si="92"/>
        <v>0.42561863262036992</v>
      </c>
      <c r="M246">
        <f t="shared" si="110"/>
        <v>0</v>
      </c>
      <c r="O246">
        <f>$B$5*'5 Year Rainfall Simulation'!C247/1000</f>
        <v>5.2</v>
      </c>
      <c r="P246">
        <f t="shared" si="93"/>
        <v>5.2</v>
      </c>
      <c r="Q246">
        <f t="shared" si="94"/>
        <v>0.62</v>
      </c>
      <c r="R246">
        <f t="shared" si="95"/>
        <v>4.58</v>
      </c>
      <c r="S246">
        <f t="shared" si="111"/>
        <v>12.72</v>
      </c>
      <c r="T246">
        <f t="shared" si="96"/>
        <v>3.0739123467026719</v>
      </c>
      <c r="U246">
        <f t="shared" si="112"/>
        <v>0</v>
      </c>
      <c r="W246">
        <f>$B$5*'5 Year Rainfall Simulation'!D247/1000</f>
        <v>0.86415676972312772</v>
      </c>
      <c r="X246">
        <f t="shared" si="97"/>
        <v>0.86415676972312772</v>
      </c>
      <c r="Y246">
        <f t="shared" si="98"/>
        <v>0.62</v>
      </c>
      <c r="Z246">
        <f t="shared" si="99"/>
        <v>0.24415676972312772</v>
      </c>
      <c r="AA246">
        <f t="shared" si="113"/>
        <v>24.538995053106802</v>
      </c>
      <c r="AB246">
        <f t="shared" si="100"/>
        <v>0.51083503152665766</v>
      </c>
      <c r="AC246">
        <f t="shared" si="114"/>
        <v>0</v>
      </c>
      <c r="AE246">
        <f>$B$5*'5 Year Rainfall Simulation'!E247/1000</f>
        <v>5.3821221377588797</v>
      </c>
      <c r="AF246">
        <f t="shared" si="101"/>
        <v>5.3821221377588797</v>
      </c>
      <c r="AG246">
        <f t="shared" si="102"/>
        <v>0.62</v>
      </c>
      <c r="AH246">
        <f t="shared" si="103"/>
        <v>4.7621221377588796</v>
      </c>
      <c r="AI246">
        <f t="shared" si="115"/>
        <v>30.085852647701792</v>
      </c>
      <c r="AJ246">
        <f t="shared" si="104"/>
        <v>3.1815714789843841</v>
      </c>
      <c r="AK246">
        <f t="shared" si="116"/>
        <v>0</v>
      </c>
      <c r="AM246">
        <f>$B$5*'5 Year Rainfall Simulation'!F247/1000</f>
        <v>2.304815845125106</v>
      </c>
      <c r="AN246">
        <f t="shared" si="105"/>
        <v>2.304815845125106</v>
      </c>
      <c r="AO246">
        <f t="shared" si="106"/>
        <v>0.62</v>
      </c>
      <c r="AP246">
        <f t="shared" si="107"/>
        <v>1.6848158451251058</v>
      </c>
      <c r="AQ246">
        <f t="shared" si="117"/>
        <v>26.394780965796595</v>
      </c>
      <c r="AR246">
        <f t="shared" si="108"/>
        <v>1.3624619006165415</v>
      </c>
      <c r="AS246">
        <f t="shared" si="118"/>
        <v>0</v>
      </c>
    </row>
    <row r="247" spans="6:45" ht="18" customHeight="1">
      <c r="F247" s="109">
        <v>44804</v>
      </c>
      <c r="G247">
        <f>B$5*'5 Year Rainfall Simulation'!B248/1000</f>
        <v>2.12</v>
      </c>
      <c r="H247">
        <f t="shared" si="90"/>
        <v>2.12</v>
      </c>
      <c r="I247">
        <f t="shared" si="119"/>
        <v>0.62</v>
      </c>
      <c r="J247">
        <f t="shared" si="91"/>
        <v>1.5</v>
      </c>
      <c r="K247">
        <f t="shared" si="109"/>
        <v>15.419999999999987</v>
      </c>
      <c r="L247">
        <f t="shared" si="92"/>
        <v>1.2532104182710893</v>
      </c>
      <c r="M247">
        <f t="shared" si="110"/>
        <v>0</v>
      </c>
      <c r="O247">
        <f>$B$5*'5 Year Rainfall Simulation'!C248/1000</f>
        <v>1.2</v>
      </c>
      <c r="P247">
        <f t="shared" si="93"/>
        <v>1.2</v>
      </c>
      <c r="Q247">
        <f t="shared" si="94"/>
        <v>0.62</v>
      </c>
      <c r="R247">
        <f t="shared" si="95"/>
        <v>0.57999999999999996</v>
      </c>
      <c r="S247">
        <f t="shared" si="111"/>
        <v>13.3</v>
      </c>
      <c r="T247">
        <f t="shared" si="96"/>
        <v>0.70936438770061649</v>
      </c>
      <c r="U247">
        <f t="shared" si="112"/>
        <v>0</v>
      </c>
      <c r="W247">
        <f>$B$5*'5 Year Rainfall Simulation'!D248/1000</f>
        <v>1.9738911673274893</v>
      </c>
      <c r="X247">
        <f t="shared" si="97"/>
        <v>1.9738911673274893</v>
      </c>
      <c r="Y247">
        <f t="shared" si="98"/>
        <v>0.62</v>
      </c>
      <c r="Z247">
        <f t="shared" si="99"/>
        <v>1.3538911673274892</v>
      </c>
      <c r="AA247">
        <f t="shared" si="113"/>
        <v>25.892886220434292</v>
      </c>
      <c r="AB247">
        <f t="shared" si="100"/>
        <v>1.1668400827490997</v>
      </c>
      <c r="AC247">
        <f t="shared" si="114"/>
        <v>0</v>
      </c>
      <c r="AE247">
        <f>$B$5*'5 Year Rainfall Simulation'!E248/1000</f>
        <v>0</v>
      </c>
      <c r="AF247">
        <f t="shared" si="101"/>
        <v>0</v>
      </c>
      <c r="AG247">
        <f t="shared" si="102"/>
        <v>0.62</v>
      </c>
      <c r="AH247">
        <f t="shared" si="103"/>
        <v>-0.62</v>
      </c>
      <c r="AI247">
        <f t="shared" si="115"/>
        <v>29.465852647701791</v>
      </c>
      <c r="AJ247">
        <f t="shared" si="104"/>
        <v>0</v>
      </c>
      <c r="AK247">
        <f t="shared" si="116"/>
        <v>0</v>
      </c>
      <c r="AM247">
        <f>$B$5*'5 Year Rainfall Simulation'!F248/1000</f>
        <v>2.6926839329569856</v>
      </c>
      <c r="AN247">
        <f t="shared" si="105"/>
        <v>2.6926839329569856</v>
      </c>
      <c r="AO247">
        <f t="shared" si="106"/>
        <v>0.62</v>
      </c>
      <c r="AP247">
        <f t="shared" si="107"/>
        <v>2.0726839329569855</v>
      </c>
      <c r="AQ247">
        <f t="shared" si="117"/>
        <v>28.46746489875358</v>
      </c>
      <c r="AR247">
        <f t="shared" si="108"/>
        <v>1.5917450744777668</v>
      </c>
      <c r="AS247">
        <f t="shared" si="118"/>
        <v>0</v>
      </c>
    </row>
    <row r="248" spans="6:45" ht="18" customHeight="1">
      <c r="F248" s="109">
        <v>44805</v>
      </c>
      <c r="G248">
        <f>B$5*'5 Year Rainfall Simulation'!B249/1000</f>
        <v>0.64</v>
      </c>
      <c r="H248">
        <f t="shared" si="90"/>
        <v>0.64</v>
      </c>
      <c r="I248">
        <f t="shared" si="119"/>
        <v>0.62</v>
      </c>
      <c r="J248">
        <f t="shared" si="91"/>
        <v>2.0000000000000018E-2</v>
      </c>
      <c r="K248">
        <f t="shared" si="109"/>
        <v>15.439999999999987</v>
      </c>
      <c r="L248">
        <f t="shared" si="92"/>
        <v>0.3783276734403288</v>
      </c>
      <c r="M248">
        <f t="shared" si="110"/>
        <v>0</v>
      </c>
      <c r="O248">
        <f>$B$5*'5 Year Rainfall Simulation'!C249/1000</f>
        <v>3.16</v>
      </c>
      <c r="P248">
        <f t="shared" si="93"/>
        <v>3.16</v>
      </c>
      <c r="Q248">
        <f t="shared" si="94"/>
        <v>0.62</v>
      </c>
      <c r="R248">
        <f t="shared" si="95"/>
        <v>2.54</v>
      </c>
      <c r="S248">
        <f t="shared" si="111"/>
        <v>15.84</v>
      </c>
      <c r="T248">
        <f t="shared" si="96"/>
        <v>1.8679928876116236</v>
      </c>
      <c r="U248">
        <f t="shared" si="112"/>
        <v>0</v>
      </c>
      <c r="W248">
        <f>$B$5*'5 Year Rainfall Simulation'!D249/1000</f>
        <v>0</v>
      </c>
      <c r="X248">
        <f t="shared" si="97"/>
        <v>0</v>
      </c>
      <c r="Y248">
        <f t="shared" si="98"/>
        <v>0.62</v>
      </c>
      <c r="Z248">
        <f t="shared" si="99"/>
        <v>-0.62</v>
      </c>
      <c r="AA248">
        <f t="shared" si="113"/>
        <v>25.272886220434291</v>
      </c>
      <c r="AB248">
        <f t="shared" si="100"/>
        <v>0</v>
      </c>
      <c r="AC248">
        <f t="shared" si="114"/>
        <v>0</v>
      </c>
      <c r="AE248">
        <f>$B$5*'5 Year Rainfall Simulation'!E249/1000</f>
        <v>2.9496949453292518</v>
      </c>
      <c r="AF248">
        <f t="shared" si="101"/>
        <v>2.9496949453292518</v>
      </c>
      <c r="AG248">
        <f t="shared" si="102"/>
        <v>0.62</v>
      </c>
      <c r="AH248">
        <f t="shared" si="103"/>
        <v>2.3296949453292517</v>
      </c>
      <c r="AI248">
        <f t="shared" si="115"/>
        <v>31.795547593031042</v>
      </c>
      <c r="AJ248">
        <f t="shared" si="104"/>
        <v>1.7436737906642401</v>
      </c>
      <c r="AK248">
        <f t="shared" si="116"/>
        <v>0</v>
      </c>
      <c r="AM248">
        <f>$B$5*'5 Year Rainfall Simulation'!F249/1000</f>
        <v>0</v>
      </c>
      <c r="AN248">
        <f t="shared" si="105"/>
        <v>0</v>
      </c>
      <c r="AO248">
        <f t="shared" si="106"/>
        <v>0.62</v>
      </c>
      <c r="AP248">
        <f t="shared" si="107"/>
        <v>-0.62</v>
      </c>
      <c r="AQ248">
        <f t="shared" si="117"/>
        <v>27.847464898753579</v>
      </c>
      <c r="AR248">
        <f t="shared" si="108"/>
        <v>0</v>
      </c>
      <c r="AS248">
        <f t="shared" si="118"/>
        <v>0</v>
      </c>
    </row>
    <row r="249" spans="6:45" ht="18" customHeight="1">
      <c r="F249" s="109">
        <v>44806</v>
      </c>
      <c r="G249">
        <f>B$5*'5 Year Rainfall Simulation'!B250/1000</f>
        <v>1.24</v>
      </c>
      <c r="H249">
        <f t="shared" si="90"/>
        <v>1.24</v>
      </c>
      <c r="I249">
        <f t="shared" si="119"/>
        <v>0.62</v>
      </c>
      <c r="J249">
        <f t="shared" si="91"/>
        <v>0.62</v>
      </c>
      <c r="K249">
        <f t="shared" si="109"/>
        <v>16.059999999999988</v>
      </c>
      <c r="L249">
        <f t="shared" si="92"/>
        <v>0.73300986729063711</v>
      </c>
      <c r="M249">
        <f t="shared" si="110"/>
        <v>0</v>
      </c>
      <c r="O249">
        <f>$B$5*'5 Year Rainfall Simulation'!C250/1000</f>
        <v>0.16</v>
      </c>
      <c r="P249">
        <f t="shared" si="93"/>
        <v>0.16</v>
      </c>
      <c r="Q249">
        <f t="shared" si="94"/>
        <v>0.62</v>
      </c>
      <c r="R249">
        <f t="shared" si="95"/>
        <v>-0.45999999999999996</v>
      </c>
      <c r="S249">
        <f t="shared" si="111"/>
        <v>15.379999999999999</v>
      </c>
      <c r="T249">
        <f t="shared" si="96"/>
        <v>9.4581918360082201E-2</v>
      </c>
      <c r="U249">
        <f t="shared" si="112"/>
        <v>0</v>
      </c>
      <c r="W249">
        <f>$B$5*'5 Year Rainfall Simulation'!D250/1000</f>
        <v>2.805987916611028</v>
      </c>
      <c r="X249">
        <f t="shared" si="97"/>
        <v>2.805987916611028</v>
      </c>
      <c r="Y249">
        <f t="shared" si="98"/>
        <v>0.62</v>
      </c>
      <c r="Z249">
        <f t="shared" si="99"/>
        <v>2.1859879166110279</v>
      </c>
      <c r="AA249">
        <f t="shared" si="113"/>
        <v>27.458874137045321</v>
      </c>
      <c r="AB249">
        <f t="shared" si="100"/>
        <v>1.6587232503017588</v>
      </c>
      <c r="AC249">
        <f t="shared" si="114"/>
        <v>0</v>
      </c>
      <c r="AE249">
        <f>$B$5*'5 Year Rainfall Simulation'!E250/1000</f>
        <v>0</v>
      </c>
      <c r="AF249">
        <f t="shared" si="101"/>
        <v>0</v>
      </c>
      <c r="AG249">
        <f t="shared" si="102"/>
        <v>0.62</v>
      </c>
      <c r="AH249">
        <f t="shared" si="103"/>
        <v>-0.62</v>
      </c>
      <c r="AI249">
        <f t="shared" si="115"/>
        <v>31.175547593031041</v>
      </c>
      <c r="AJ249">
        <f t="shared" si="104"/>
        <v>0</v>
      </c>
      <c r="AK249">
        <f t="shared" si="116"/>
        <v>0</v>
      </c>
      <c r="AM249">
        <f>$B$5*'5 Year Rainfall Simulation'!F250/1000</f>
        <v>0.24890315006300517</v>
      </c>
      <c r="AN249">
        <f t="shared" si="105"/>
        <v>0.24890315006300517</v>
      </c>
      <c r="AO249">
        <f t="shared" si="106"/>
        <v>0.62</v>
      </c>
      <c r="AP249">
        <f t="shared" si="107"/>
        <v>-0.37109684993699482</v>
      </c>
      <c r="AQ249">
        <f t="shared" si="117"/>
        <v>27.476368048816585</v>
      </c>
      <c r="AR249">
        <f t="shared" si="108"/>
        <v>0.14713585886766528</v>
      </c>
      <c r="AS249">
        <f t="shared" si="118"/>
        <v>0</v>
      </c>
    </row>
    <row r="250" spans="6:45" ht="18" customHeight="1">
      <c r="F250" s="109">
        <v>44807</v>
      </c>
      <c r="G250">
        <f>B$5*'5 Year Rainfall Simulation'!B251/1000</f>
        <v>0</v>
      </c>
      <c r="H250">
        <f t="shared" si="90"/>
        <v>0</v>
      </c>
      <c r="I250">
        <f t="shared" si="119"/>
        <v>0.62</v>
      </c>
      <c r="J250">
        <f t="shared" si="91"/>
        <v>-0.62</v>
      </c>
      <c r="K250">
        <f t="shared" si="109"/>
        <v>15.439999999999989</v>
      </c>
      <c r="L250">
        <f t="shared" si="92"/>
        <v>0</v>
      </c>
      <c r="M250">
        <f t="shared" si="110"/>
        <v>0</v>
      </c>
      <c r="O250">
        <f>$B$5*'5 Year Rainfall Simulation'!C251/1000</f>
        <v>0.48</v>
      </c>
      <c r="P250">
        <f t="shared" si="93"/>
        <v>0.48</v>
      </c>
      <c r="Q250">
        <f t="shared" si="94"/>
        <v>0.62</v>
      </c>
      <c r="R250">
        <f t="shared" si="95"/>
        <v>-0.14000000000000001</v>
      </c>
      <c r="S250">
        <f t="shared" si="111"/>
        <v>15.239999999999998</v>
      </c>
      <c r="T250">
        <f t="shared" si="96"/>
        <v>0.28374575508024658</v>
      </c>
      <c r="U250">
        <f t="shared" si="112"/>
        <v>0</v>
      </c>
      <c r="W250">
        <f>$B$5*'5 Year Rainfall Simulation'!D251/1000</f>
        <v>1.0902593975534083</v>
      </c>
      <c r="X250">
        <f t="shared" si="97"/>
        <v>1.0902593975534083</v>
      </c>
      <c r="Y250">
        <f t="shared" si="98"/>
        <v>0.62</v>
      </c>
      <c r="Z250">
        <f t="shared" si="99"/>
        <v>0.47025939755340829</v>
      </c>
      <c r="AA250">
        <f t="shared" si="113"/>
        <v>27.92913353459873</v>
      </c>
      <c r="AB250">
        <f t="shared" si="100"/>
        <v>0.64449265831693048</v>
      </c>
      <c r="AC250">
        <f t="shared" si="114"/>
        <v>0</v>
      </c>
      <c r="AE250">
        <f>$B$5*'5 Year Rainfall Simulation'!E251/1000</f>
        <v>0</v>
      </c>
      <c r="AF250">
        <f t="shared" si="101"/>
        <v>0</v>
      </c>
      <c r="AG250">
        <f t="shared" si="102"/>
        <v>0.62</v>
      </c>
      <c r="AH250">
        <f t="shared" si="103"/>
        <v>-0.62</v>
      </c>
      <c r="AI250">
        <f t="shared" si="115"/>
        <v>30.55554759303104</v>
      </c>
      <c r="AJ250">
        <f t="shared" si="104"/>
        <v>0</v>
      </c>
      <c r="AK250">
        <f t="shared" si="116"/>
        <v>0</v>
      </c>
      <c r="AM250">
        <f>$B$5*'5 Year Rainfall Simulation'!F251/1000</f>
        <v>2.4425168887750619</v>
      </c>
      <c r="AN250">
        <f t="shared" si="105"/>
        <v>2.4425168887750619</v>
      </c>
      <c r="AO250">
        <f t="shared" si="106"/>
        <v>0.62</v>
      </c>
      <c r="AP250">
        <f t="shared" si="107"/>
        <v>1.8225168887750618</v>
      </c>
      <c r="AQ250">
        <f t="shared" si="117"/>
        <v>29.298884937591648</v>
      </c>
      <c r="AR250">
        <f t="shared" si="108"/>
        <v>1.4438620810452805</v>
      </c>
      <c r="AS250">
        <f t="shared" si="118"/>
        <v>0</v>
      </c>
    </row>
    <row r="251" spans="6:45" ht="18" customHeight="1">
      <c r="F251" s="109">
        <v>44808</v>
      </c>
      <c r="G251">
        <f>B$5*'5 Year Rainfall Simulation'!B252/1000</f>
        <v>0</v>
      </c>
      <c r="H251">
        <f t="shared" si="90"/>
        <v>0</v>
      </c>
      <c r="I251">
        <f t="shared" si="119"/>
        <v>0.62</v>
      </c>
      <c r="J251">
        <f t="shared" si="91"/>
        <v>-0.62</v>
      </c>
      <c r="K251">
        <f t="shared" si="109"/>
        <v>14.81999999999999</v>
      </c>
      <c r="L251">
        <f t="shared" si="92"/>
        <v>0</v>
      </c>
      <c r="M251">
        <f t="shared" si="110"/>
        <v>0</v>
      </c>
      <c r="O251">
        <f>$B$5*'5 Year Rainfall Simulation'!C252/1000</f>
        <v>0</v>
      </c>
      <c r="P251">
        <f t="shared" si="93"/>
        <v>0</v>
      </c>
      <c r="Q251">
        <f t="shared" si="94"/>
        <v>0.62</v>
      </c>
      <c r="R251">
        <f t="shared" si="95"/>
        <v>-0.62</v>
      </c>
      <c r="S251">
        <f t="shared" si="111"/>
        <v>14.62</v>
      </c>
      <c r="T251">
        <f t="shared" si="96"/>
        <v>0</v>
      </c>
      <c r="U251">
        <f t="shared" si="112"/>
        <v>0</v>
      </c>
      <c r="W251">
        <f>$B$5*'5 Year Rainfall Simulation'!D252/1000</f>
        <v>0.48583746402762518</v>
      </c>
      <c r="X251">
        <f t="shared" si="97"/>
        <v>0.48583746402762518</v>
      </c>
      <c r="Y251">
        <f t="shared" si="98"/>
        <v>0.62</v>
      </c>
      <c r="Z251">
        <f t="shared" si="99"/>
        <v>-0.13416253597237482</v>
      </c>
      <c r="AA251">
        <f t="shared" si="113"/>
        <v>27.794970998626354</v>
      </c>
      <c r="AB251">
        <f t="shared" si="100"/>
        <v>0.28719649599331387</v>
      </c>
      <c r="AC251">
        <f t="shared" si="114"/>
        <v>0</v>
      </c>
      <c r="AE251">
        <f>$B$5*'5 Year Rainfall Simulation'!E252/1000</f>
        <v>0</v>
      </c>
      <c r="AF251">
        <f t="shared" si="101"/>
        <v>0</v>
      </c>
      <c r="AG251">
        <f t="shared" si="102"/>
        <v>0.62</v>
      </c>
      <c r="AH251">
        <f t="shared" si="103"/>
        <v>-0.62</v>
      </c>
      <c r="AI251">
        <f t="shared" si="115"/>
        <v>29.935547593031039</v>
      </c>
      <c r="AJ251">
        <f t="shared" si="104"/>
        <v>0</v>
      </c>
      <c r="AK251">
        <f t="shared" si="116"/>
        <v>0</v>
      </c>
      <c r="AM251">
        <f>$B$5*'5 Year Rainfall Simulation'!F252/1000</f>
        <v>1.9135768938467683</v>
      </c>
      <c r="AN251">
        <f t="shared" si="105"/>
        <v>1.9135768938467683</v>
      </c>
      <c r="AO251">
        <f t="shared" si="106"/>
        <v>0.62</v>
      </c>
      <c r="AP251">
        <f t="shared" si="107"/>
        <v>1.2935768938467684</v>
      </c>
      <c r="AQ251">
        <f t="shared" si="117"/>
        <v>30.592461831438417</v>
      </c>
      <c r="AR251">
        <f t="shared" si="108"/>
        <v>1.131186084684717</v>
      </c>
      <c r="AS251">
        <f t="shared" si="118"/>
        <v>0</v>
      </c>
    </row>
    <row r="252" spans="6:45" ht="18" customHeight="1">
      <c r="F252" s="109">
        <v>44809</v>
      </c>
      <c r="G252">
        <f>B$5*'5 Year Rainfall Simulation'!B253/1000</f>
        <v>0</v>
      </c>
      <c r="H252">
        <f t="shared" si="90"/>
        <v>0</v>
      </c>
      <c r="I252">
        <f t="shared" si="119"/>
        <v>0.62</v>
      </c>
      <c r="J252">
        <f t="shared" si="91"/>
        <v>-0.62</v>
      </c>
      <c r="K252">
        <f t="shared" si="109"/>
        <v>14.19999999999999</v>
      </c>
      <c r="L252">
        <f t="shared" si="92"/>
        <v>0</v>
      </c>
      <c r="M252">
        <f t="shared" si="110"/>
        <v>0</v>
      </c>
      <c r="O252">
        <f>$B$5*'5 Year Rainfall Simulation'!C253/1000</f>
        <v>0.32</v>
      </c>
      <c r="P252">
        <f t="shared" si="93"/>
        <v>0.32</v>
      </c>
      <c r="Q252">
        <f t="shared" si="94"/>
        <v>0.62</v>
      </c>
      <c r="R252">
        <f t="shared" si="95"/>
        <v>-0.3</v>
      </c>
      <c r="S252">
        <f t="shared" si="111"/>
        <v>14.319999999999999</v>
      </c>
      <c r="T252">
        <f t="shared" si="96"/>
        <v>0.1891638367201644</v>
      </c>
      <c r="U252">
        <f t="shared" si="112"/>
        <v>0</v>
      </c>
      <c r="W252">
        <f>$B$5*'5 Year Rainfall Simulation'!D253/1000</f>
        <v>0.51766161892010498</v>
      </c>
      <c r="X252">
        <f t="shared" si="97"/>
        <v>0.51766161892010498</v>
      </c>
      <c r="Y252">
        <f t="shared" si="98"/>
        <v>0.62</v>
      </c>
      <c r="Z252">
        <f t="shared" si="99"/>
        <v>-0.10233838107989501</v>
      </c>
      <c r="AA252">
        <f t="shared" si="113"/>
        <v>27.692632617546458</v>
      </c>
      <c r="AB252">
        <f t="shared" si="100"/>
        <v>0.30600893111780847</v>
      </c>
      <c r="AC252">
        <f t="shared" si="114"/>
        <v>0</v>
      </c>
      <c r="AE252">
        <f>$B$5*'5 Year Rainfall Simulation'!E253/1000</f>
        <v>2.01893723288774</v>
      </c>
      <c r="AF252">
        <f t="shared" si="101"/>
        <v>2.01893723288774</v>
      </c>
      <c r="AG252">
        <f t="shared" si="102"/>
        <v>0.62</v>
      </c>
      <c r="AH252">
        <f t="shared" si="103"/>
        <v>1.3989372328877399</v>
      </c>
      <c r="AI252">
        <f t="shared" si="115"/>
        <v>31.334484825918778</v>
      </c>
      <c r="AJ252">
        <f t="shared" si="104"/>
        <v>1.1934684783444907</v>
      </c>
      <c r="AK252">
        <f t="shared" si="116"/>
        <v>0</v>
      </c>
      <c r="AM252">
        <f>$B$5*'5 Year Rainfall Simulation'!F253/1000</f>
        <v>0</v>
      </c>
      <c r="AN252">
        <f t="shared" si="105"/>
        <v>0</v>
      </c>
      <c r="AO252">
        <f t="shared" si="106"/>
        <v>0.62</v>
      </c>
      <c r="AP252">
        <f t="shared" si="107"/>
        <v>-0.62</v>
      </c>
      <c r="AQ252">
        <f t="shared" si="117"/>
        <v>29.972461831438416</v>
      </c>
      <c r="AR252">
        <f t="shared" si="108"/>
        <v>0</v>
      </c>
      <c r="AS252">
        <f t="shared" si="118"/>
        <v>0</v>
      </c>
    </row>
    <row r="253" spans="6:45" ht="18" customHeight="1">
      <c r="F253" s="109">
        <v>44810</v>
      </c>
      <c r="G253">
        <f>B$5*'5 Year Rainfall Simulation'!B254/1000</f>
        <v>0</v>
      </c>
      <c r="H253">
        <f t="shared" si="90"/>
        <v>0</v>
      </c>
      <c r="I253">
        <f t="shared" si="119"/>
        <v>0.62</v>
      </c>
      <c r="J253">
        <f t="shared" si="91"/>
        <v>-0.62</v>
      </c>
      <c r="K253">
        <f t="shared" si="109"/>
        <v>13.579999999999991</v>
      </c>
      <c r="L253">
        <f t="shared" si="92"/>
        <v>0</v>
      </c>
      <c r="M253">
        <f t="shared" si="110"/>
        <v>0</v>
      </c>
      <c r="O253">
        <f>$B$5*'5 Year Rainfall Simulation'!C254/1000</f>
        <v>0</v>
      </c>
      <c r="P253">
        <f t="shared" si="93"/>
        <v>0</v>
      </c>
      <c r="Q253">
        <f t="shared" si="94"/>
        <v>0.62</v>
      </c>
      <c r="R253">
        <f t="shared" si="95"/>
        <v>-0.62</v>
      </c>
      <c r="S253">
        <f t="shared" si="111"/>
        <v>13.7</v>
      </c>
      <c r="T253">
        <f t="shared" si="96"/>
        <v>0</v>
      </c>
      <c r="U253">
        <f t="shared" si="112"/>
        <v>0</v>
      </c>
      <c r="W253">
        <f>$B$5*'5 Year Rainfall Simulation'!D254/1000</f>
        <v>0</v>
      </c>
      <c r="X253">
        <f t="shared" si="97"/>
        <v>0</v>
      </c>
      <c r="Y253">
        <f t="shared" si="98"/>
        <v>0.62</v>
      </c>
      <c r="Z253">
        <f t="shared" si="99"/>
        <v>-0.62</v>
      </c>
      <c r="AA253">
        <f t="shared" si="113"/>
        <v>27.072632617546457</v>
      </c>
      <c r="AB253">
        <f t="shared" si="100"/>
        <v>0</v>
      </c>
      <c r="AC253">
        <f t="shared" si="114"/>
        <v>0</v>
      </c>
      <c r="AE253">
        <f>$B$5*'5 Year Rainfall Simulation'!E254/1000</f>
        <v>0</v>
      </c>
      <c r="AF253">
        <f t="shared" si="101"/>
        <v>0</v>
      </c>
      <c r="AG253">
        <f t="shared" si="102"/>
        <v>0.62</v>
      </c>
      <c r="AH253">
        <f t="shared" si="103"/>
        <v>-0.62</v>
      </c>
      <c r="AI253">
        <f t="shared" si="115"/>
        <v>30.714484825918777</v>
      </c>
      <c r="AJ253">
        <f t="shared" si="104"/>
        <v>0</v>
      </c>
      <c r="AK253">
        <f t="shared" si="116"/>
        <v>0</v>
      </c>
      <c r="AM253">
        <f>$B$5*'5 Year Rainfall Simulation'!F254/1000</f>
        <v>0</v>
      </c>
      <c r="AN253">
        <f t="shared" si="105"/>
        <v>0</v>
      </c>
      <c r="AO253">
        <f t="shared" si="106"/>
        <v>0.62</v>
      </c>
      <c r="AP253">
        <f t="shared" si="107"/>
        <v>-0.62</v>
      </c>
      <c r="AQ253">
        <f t="shared" si="117"/>
        <v>29.352461831438415</v>
      </c>
      <c r="AR253">
        <f t="shared" si="108"/>
        <v>0</v>
      </c>
      <c r="AS253">
        <f t="shared" si="118"/>
        <v>0</v>
      </c>
    </row>
    <row r="254" spans="6:45" ht="18" customHeight="1">
      <c r="F254" s="109">
        <v>44811</v>
      </c>
      <c r="G254">
        <f>B$5*'5 Year Rainfall Simulation'!B255/1000</f>
        <v>0</v>
      </c>
      <c r="H254">
        <f t="shared" si="90"/>
        <v>0</v>
      </c>
      <c r="I254">
        <f t="shared" si="119"/>
        <v>0.62</v>
      </c>
      <c r="J254">
        <f t="shared" si="91"/>
        <v>-0.62</v>
      </c>
      <c r="K254">
        <f t="shared" si="109"/>
        <v>12.959999999999992</v>
      </c>
      <c r="L254">
        <f t="shared" si="92"/>
        <v>0</v>
      </c>
      <c r="M254">
        <f t="shared" si="110"/>
        <v>0</v>
      </c>
      <c r="O254">
        <f>$B$5*'5 Year Rainfall Simulation'!C255/1000</f>
        <v>5.92</v>
      </c>
      <c r="P254">
        <f t="shared" si="93"/>
        <v>5.92</v>
      </c>
      <c r="Q254">
        <f t="shared" si="94"/>
        <v>0.62</v>
      </c>
      <c r="R254">
        <f t="shared" si="95"/>
        <v>5.3</v>
      </c>
      <c r="S254">
        <f t="shared" si="111"/>
        <v>19</v>
      </c>
      <c r="T254">
        <f t="shared" si="96"/>
        <v>3.4995309793230414</v>
      </c>
      <c r="U254">
        <f t="shared" si="112"/>
        <v>0</v>
      </c>
      <c r="W254">
        <f>$B$5*'5 Year Rainfall Simulation'!D255/1000</f>
        <v>0</v>
      </c>
      <c r="X254">
        <f t="shared" si="97"/>
        <v>0</v>
      </c>
      <c r="Y254">
        <f t="shared" si="98"/>
        <v>0.62</v>
      </c>
      <c r="Z254">
        <f t="shared" si="99"/>
        <v>-0.62</v>
      </c>
      <c r="AA254">
        <f t="shared" si="113"/>
        <v>26.452632617546456</v>
      </c>
      <c r="AB254">
        <f t="shared" si="100"/>
        <v>0</v>
      </c>
      <c r="AC254">
        <f t="shared" si="114"/>
        <v>0</v>
      </c>
      <c r="AE254">
        <f>$B$5*'5 Year Rainfall Simulation'!E255/1000</f>
        <v>4.8255985196124174</v>
      </c>
      <c r="AF254">
        <f t="shared" si="101"/>
        <v>4.8255985196124174</v>
      </c>
      <c r="AG254">
        <f t="shared" si="102"/>
        <v>0.62</v>
      </c>
      <c r="AH254">
        <f t="shared" si="103"/>
        <v>4.2055985196124173</v>
      </c>
      <c r="AI254">
        <f t="shared" si="115"/>
        <v>34.920083345531197</v>
      </c>
      <c r="AJ254">
        <f t="shared" si="104"/>
        <v>2.85258978262822</v>
      </c>
      <c r="AK254">
        <f t="shared" si="116"/>
        <v>0</v>
      </c>
      <c r="AM254">
        <f>$B$5*'5 Year Rainfall Simulation'!F255/1000</f>
        <v>0</v>
      </c>
      <c r="AN254">
        <f t="shared" si="105"/>
        <v>0</v>
      </c>
      <c r="AO254">
        <f t="shared" si="106"/>
        <v>0.62</v>
      </c>
      <c r="AP254">
        <f t="shared" si="107"/>
        <v>-0.62</v>
      </c>
      <c r="AQ254">
        <f t="shared" si="117"/>
        <v>28.732461831438414</v>
      </c>
      <c r="AR254">
        <f t="shared" si="108"/>
        <v>0</v>
      </c>
      <c r="AS254">
        <f t="shared" si="118"/>
        <v>0</v>
      </c>
    </row>
    <row r="255" spans="6:45" ht="18" customHeight="1">
      <c r="F255" s="109">
        <v>44812</v>
      </c>
      <c r="G255">
        <f>B$5*'5 Year Rainfall Simulation'!B256/1000</f>
        <v>0</v>
      </c>
      <c r="H255">
        <f t="shared" si="90"/>
        <v>0</v>
      </c>
      <c r="I255">
        <f t="shared" si="119"/>
        <v>0.62</v>
      </c>
      <c r="J255">
        <f t="shared" si="91"/>
        <v>-0.62</v>
      </c>
      <c r="K255">
        <f t="shared" si="109"/>
        <v>12.339999999999993</v>
      </c>
      <c r="L255">
        <f t="shared" si="92"/>
        <v>0</v>
      </c>
      <c r="M255">
        <f t="shared" si="110"/>
        <v>0</v>
      </c>
      <c r="O255">
        <f>$B$5*'5 Year Rainfall Simulation'!C256/1000</f>
        <v>2.6</v>
      </c>
      <c r="P255">
        <f t="shared" si="93"/>
        <v>2.6</v>
      </c>
      <c r="Q255">
        <f t="shared" si="94"/>
        <v>0.62</v>
      </c>
      <c r="R255">
        <f t="shared" si="95"/>
        <v>1.98</v>
      </c>
      <c r="S255">
        <f t="shared" si="111"/>
        <v>20.98</v>
      </c>
      <c r="T255">
        <f t="shared" si="96"/>
        <v>1.5369561733513359</v>
      </c>
      <c r="U255">
        <f t="shared" si="112"/>
        <v>0</v>
      </c>
      <c r="W255">
        <f>$B$5*'5 Year Rainfall Simulation'!D256/1000</f>
        <v>1.3240488849938032</v>
      </c>
      <c r="X255">
        <f t="shared" si="97"/>
        <v>1.3240488849938032</v>
      </c>
      <c r="Y255">
        <f t="shared" si="98"/>
        <v>0.62</v>
      </c>
      <c r="Z255">
        <f t="shared" si="99"/>
        <v>0.70404888499380325</v>
      </c>
      <c r="AA255">
        <f t="shared" si="113"/>
        <v>27.156681502540259</v>
      </c>
      <c r="AB255">
        <f t="shared" si="100"/>
        <v>0.78269427215776111</v>
      </c>
      <c r="AC255">
        <f t="shared" si="114"/>
        <v>0</v>
      </c>
      <c r="AE255">
        <f>$B$5*'5 Year Rainfall Simulation'!E256/1000</f>
        <v>3.1119047184123461</v>
      </c>
      <c r="AF255">
        <f t="shared" si="101"/>
        <v>3.1119047184123461</v>
      </c>
      <c r="AG255">
        <f t="shared" si="102"/>
        <v>0.62</v>
      </c>
      <c r="AH255">
        <f t="shared" si="103"/>
        <v>2.491904718412346</v>
      </c>
      <c r="AI255">
        <f t="shared" si="115"/>
        <v>35</v>
      </c>
      <c r="AJ255">
        <f t="shared" si="104"/>
        <v>1.8395619876326945</v>
      </c>
      <c r="AK255">
        <f t="shared" si="116"/>
        <v>0</v>
      </c>
      <c r="AM255">
        <f>$B$5*'5 Year Rainfall Simulation'!F256/1000</f>
        <v>0</v>
      </c>
      <c r="AN255">
        <f t="shared" si="105"/>
        <v>0</v>
      </c>
      <c r="AO255">
        <f t="shared" si="106"/>
        <v>0.62</v>
      </c>
      <c r="AP255">
        <f t="shared" si="107"/>
        <v>-0.62</v>
      </c>
      <c r="AQ255">
        <f t="shared" si="117"/>
        <v>28.112461831438413</v>
      </c>
      <c r="AR255">
        <f t="shared" si="108"/>
        <v>0</v>
      </c>
      <c r="AS255">
        <f t="shared" si="118"/>
        <v>0</v>
      </c>
    </row>
    <row r="256" spans="6:45" ht="18" customHeight="1">
      <c r="F256" s="109">
        <v>44813</v>
      </c>
      <c r="G256">
        <f>B$5*'5 Year Rainfall Simulation'!B257/1000</f>
        <v>0</v>
      </c>
      <c r="H256">
        <f t="shared" si="90"/>
        <v>0</v>
      </c>
      <c r="I256">
        <f t="shared" si="119"/>
        <v>0.62</v>
      </c>
      <c r="J256">
        <f t="shared" si="91"/>
        <v>-0.62</v>
      </c>
      <c r="K256">
        <f t="shared" si="109"/>
        <v>11.719999999999994</v>
      </c>
      <c r="L256">
        <f t="shared" si="92"/>
        <v>0</v>
      </c>
      <c r="M256">
        <f t="shared" si="110"/>
        <v>0</v>
      </c>
      <c r="O256">
        <f>$B$5*'5 Year Rainfall Simulation'!C257/1000</f>
        <v>0.28000000000000003</v>
      </c>
      <c r="P256">
        <f t="shared" si="93"/>
        <v>0.28000000000000003</v>
      </c>
      <c r="Q256">
        <f t="shared" si="94"/>
        <v>0.62</v>
      </c>
      <c r="R256">
        <f t="shared" si="95"/>
        <v>-0.33999999999999997</v>
      </c>
      <c r="S256">
        <f t="shared" si="111"/>
        <v>20.64</v>
      </c>
      <c r="T256">
        <f t="shared" si="96"/>
        <v>0.16551835713014387</v>
      </c>
      <c r="U256">
        <f t="shared" si="112"/>
        <v>0</v>
      </c>
      <c r="W256">
        <f>$B$5*'5 Year Rainfall Simulation'!D257/1000</f>
        <v>0.61881867157386705</v>
      </c>
      <c r="X256">
        <f t="shared" si="97"/>
        <v>0.61881867157386705</v>
      </c>
      <c r="Y256">
        <f t="shared" si="98"/>
        <v>0.62</v>
      </c>
      <c r="Z256">
        <f t="shared" si="99"/>
        <v>-1.1813284261329438E-3</v>
      </c>
      <c r="AA256">
        <f t="shared" si="113"/>
        <v>27.155500174114128</v>
      </c>
      <c r="AB256">
        <f t="shared" si="100"/>
        <v>0.36580660671558762</v>
      </c>
      <c r="AC256">
        <f t="shared" si="114"/>
        <v>0</v>
      </c>
      <c r="AE256">
        <f>$B$5*'5 Year Rainfall Simulation'!E257/1000</f>
        <v>0</v>
      </c>
      <c r="AF256">
        <f t="shared" si="101"/>
        <v>0</v>
      </c>
      <c r="AG256">
        <f t="shared" si="102"/>
        <v>0.62</v>
      </c>
      <c r="AH256">
        <f t="shared" si="103"/>
        <v>-0.62</v>
      </c>
      <c r="AI256">
        <f t="shared" si="115"/>
        <v>34.380000000000003</v>
      </c>
      <c r="AJ256">
        <f t="shared" si="104"/>
        <v>0</v>
      </c>
      <c r="AK256">
        <f t="shared" si="116"/>
        <v>0</v>
      </c>
      <c r="AM256">
        <f>$B$5*'5 Year Rainfall Simulation'!F257/1000</f>
        <v>0.59948261824585392</v>
      </c>
      <c r="AN256">
        <f t="shared" si="105"/>
        <v>0.59948261824585392</v>
      </c>
      <c r="AO256">
        <f t="shared" si="106"/>
        <v>0.62</v>
      </c>
      <c r="AP256">
        <f t="shared" si="107"/>
        <v>-2.051738175414608E-2</v>
      </c>
      <c r="AQ256">
        <f t="shared" si="117"/>
        <v>28.091944449684267</v>
      </c>
      <c r="AR256">
        <f t="shared" si="108"/>
        <v>0.3543763503576105</v>
      </c>
      <c r="AS256">
        <f t="shared" si="118"/>
        <v>0</v>
      </c>
    </row>
    <row r="257" spans="6:45" ht="18" customHeight="1">
      <c r="F257" s="109">
        <v>44814</v>
      </c>
      <c r="G257">
        <f>B$5*'5 Year Rainfall Simulation'!B258/1000</f>
        <v>0</v>
      </c>
      <c r="H257">
        <f t="shared" si="90"/>
        <v>0</v>
      </c>
      <c r="I257">
        <f t="shared" si="119"/>
        <v>0.62</v>
      </c>
      <c r="J257">
        <f t="shared" si="91"/>
        <v>-0.62</v>
      </c>
      <c r="K257">
        <f t="shared" si="109"/>
        <v>11.099999999999994</v>
      </c>
      <c r="L257">
        <f t="shared" si="92"/>
        <v>0</v>
      </c>
      <c r="M257">
        <f t="shared" si="110"/>
        <v>0</v>
      </c>
      <c r="O257">
        <f>$B$5*'5 Year Rainfall Simulation'!C258/1000</f>
        <v>0</v>
      </c>
      <c r="P257">
        <f t="shared" si="93"/>
        <v>0</v>
      </c>
      <c r="Q257">
        <f t="shared" si="94"/>
        <v>0.62</v>
      </c>
      <c r="R257">
        <f t="shared" si="95"/>
        <v>-0.62</v>
      </c>
      <c r="S257">
        <f t="shared" si="111"/>
        <v>20.02</v>
      </c>
      <c r="T257">
        <f t="shared" si="96"/>
        <v>0</v>
      </c>
      <c r="U257">
        <f t="shared" si="112"/>
        <v>0</v>
      </c>
      <c r="W257">
        <f>$B$5*'5 Year Rainfall Simulation'!D258/1000</f>
        <v>0</v>
      </c>
      <c r="X257">
        <f t="shared" si="97"/>
        <v>0</v>
      </c>
      <c r="Y257">
        <f t="shared" si="98"/>
        <v>0.62</v>
      </c>
      <c r="Z257">
        <f t="shared" si="99"/>
        <v>-0.62</v>
      </c>
      <c r="AA257">
        <f t="shared" si="113"/>
        <v>26.535500174114127</v>
      </c>
      <c r="AB257">
        <f t="shared" si="100"/>
        <v>0</v>
      </c>
      <c r="AC257">
        <f t="shared" si="114"/>
        <v>0</v>
      </c>
      <c r="AE257">
        <f>$B$5*'5 Year Rainfall Simulation'!E258/1000</f>
        <v>0.67268578237632659</v>
      </c>
      <c r="AF257">
        <f t="shared" si="101"/>
        <v>0.67268578237632659</v>
      </c>
      <c r="AG257">
        <f t="shared" si="102"/>
        <v>0.62</v>
      </c>
      <c r="AH257">
        <f t="shared" si="103"/>
        <v>5.2685782376326595E-2</v>
      </c>
      <c r="AI257">
        <f t="shared" si="115"/>
        <v>34.432685782376332</v>
      </c>
      <c r="AJ257">
        <f t="shared" si="104"/>
        <v>0.39764944844191091</v>
      </c>
      <c r="AK257">
        <f t="shared" si="116"/>
        <v>0</v>
      </c>
      <c r="AM257">
        <f>$B$5*'5 Year Rainfall Simulation'!F258/1000</f>
        <v>0</v>
      </c>
      <c r="AN257">
        <f t="shared" si="105"/>
        <v>0</v>
      </c>
      <c r="AO257">
        <f t="shared" si="106"/>
        <v>0.62</v>
      </c>
      <c r="AP257">
        <f t="shared" si="107"/>
        <v>-0.62</v>
      </c>
      <c r="AQ257">
        <f t="shared" si="117"/>
        <v>27.471944449684266</v>
      </c>
      <c r="AR257">
        <f t="shared" si="108"/>
        <v>0</v>
      </c>
      <c r="AS257">
        <f t="shared" si="118"/>
        <v>0</v>
      </c>
    </row>
    <row r="258" spans="6:45" ht="18" customHeight="1">
      <c r="F258" s="109">
        <v>44815</v>
      </c>
      <c r="G258">
        <f>B$5*'5 Year Rainfall Simulation'!B259/1000</f>
        <v>0</v>
      </c>
      <c r="H258">
        <f t="shared" si="90"/>
        <v>0</v>
      </c>
      <c r="I258">
        <f t="shared" si="119"/>
        <v>0.62</v>
      </c>
      <c r="J258">
        <f t="shared" si="91"/>
        <v>-0.62</v>
      </c>
      <c r="K258">
        <f t="shared" si="109"/>
        <v>10.479999999999995</v>
      </c>
      <c r="L258">
        <f t="shared" si="92"/>
        <v>0</v>
      </c>
      <c r="M258">
        <f t="shared" si="110"/>
        <v>0</v>
      </c>
      <c r="O258">
        <f>$B$5*'5 Year Rainfall Simulation'!C259/1000</f>
        <v>0</v>
      </c>
      <c r="P258">
        <f t="shared" si="93"/>
        <v>0</v>
      </c>
      <c r="Q258">
        <f t="shared" si="94"/>
        <v>0.62</v>
      </c>
      <c r="R258">
        <f t="shared" si="95"/>
        <v>-0.62</v>
      </c>
      <c r="S258">
        <f t="shared" si="111"/>
        <v>19.399999999999999</v>
      </c>
      <c r="T258">
        <f t="shared" si="96"/>
        <v>0</v>
      </c>
      <c r="U258">
        <f t="shared" si="112"/>
        <v>0</v>
      </c>
      <c r="W258">
        <f>$B$5*'5 Year Rainfall Simulation'!D259/1000</f>
        <v>9.4961983419976081E-2</v>
      </c>
      <c r="X258">
        <f t="shared" si="97"/>
        <v>9.4961983419976081E-2</v>
      </c>
      <c r="Y258">
        <f t="shared" si="98"/>
        <v>0.62</v>
      </c>
      <c r="Z258">
        <f t="shared" si="99"/>
        <v>-0.52503801658002391</v>
      </c>
      <c r="AA258">
        <f t="shared" si="113"/>
        <v>26.010462157534104</v>
      </c>
      <c r="AB258">
        <f t="shared" si="100"/>
        <v>5.6135541019622863E-2</v>
      </c>
      <c r="AC258">
        <f t="shared" si="114"/>
        <v>0</v>
      </c>
      <c r="AE258">
        <f>$B$5*'5 Year Rainfall Simulation'!E259/1000</f>
        <v>0.55258539649365002</v>
      </c>
      <c r="AF258">
        <f t="shared" si="101"/>
        <v>0.55258539649365002</v>
      </c>
      <c r="AG258">
        <f t="shared" si="102"/>
        <v>0.62</v>
      </c>
      <c r="AH258">
        <f t="shared" si="103"/>
        <v>-6.7414603506349979E-2</v>
      </c>
      <c r="AI258">
        <f t="shared" si="115"/>
        <v>34.365271178869982</v>
      </c>
      <c r="AJ258">
        <f t="shared" si="104"/>
        <v>0.32665366786335037</v>
      </c>
      <c r="AK258">
        <f t="shared" si="116"/>
        <v>0</v>
      </c>
      <c r="AM258">
        <f>$B$5*'5 Year Rainfall Simulation'!F259/1000</f>
        <v>0</v>
      </c>
      <c r="AN258">
        <f t="shared" si="105"/>
        <v>0</v>
      </c>
      <c r="AO258">
        <f t="shared" si="106"/>
        <v>0.62</v>
      </c>
      <c r="AP258">
        <f t="shared" si="107"/>
        <v>-0.62</v>
      </c>
      <c r="AQ258">
        <f t="shared" si="117"/>
        <v>26.851944449684265</v>
      </c>
      <c r="AR258">
        <f t="shared" si="108"/>
        <v>0</v>
      </c>
      <c r="AS258">
        <f t="shared" si="118"/>
        <v>0</v>
      </c>
    </row>
    <row r="259" spans="6:45" ht="18" customHeight="1">
      <c r="F259" s="109">
        <v>44816</v>
      </c>
      <c r="G259">
        <f>B$5*'5 Year Rainfall Simulation'!B260/1000</f>
        <v>0</v>
      </c>
      <c r="H259">
        <f t="shared" si="90"/>
        <v>0</v>
      </c>
      <c r="I259">
        <f t="shared" si="119"/>
        <v>0.62</v>
      </c>
      <c r="J259">
        <f t="shared" si="91"/>
        <v>-0.62</v>
      </c>
      <c r="K259">
        <f t="shared" si="109"/>
        <v>9.8599999999999959</v>
      </c>
      <c r="L259">
        <f t="shared" si="92"/>
        <v>0</v>
      </c>
      <c r="M259">
        <f t="shared" si="110"/>
        <v>0</v>
      </c>
      <c r="O259">
        <f>$B$5*'5 Year Rainfall Simulation'!C260/1000</f>
        <v>0</v>
      </c>
      <c r="P259">
        <f t="shared" si="93"/>
        <v>0</v>
      </c>
      <c r="Q259">
        <f t="shared" si="94"/>
        <v>0.62</v>
      </c>
      <c r="R259">
        <f t="shared" si="95"/>
        <v>-0.62</v>
      </c>
      <c r="S259">
        <f t="shared" si="111"/>
        <v>18.779999999999998</v>
      </c>
      <c r="T259">
        <f t="shared" si="96"/>
        <v>0</v>
      </c>
      <c r="U259">
        <f t="shared" si="112"/>
        <v>0</v>
      </c>
      <c r="W259">
        <f>$B$5*'5 Year Rainfall Simulation'!D260/1000</f>
        <v>0</v>
      </c>
      <c r="X259">
        <f t="shared" si="97"/>
        <v>0</v>
      </c>
      <c r="Y259">
        <f t="shared" si="98"/>
        <v>0.62</v>
      </c>
      <c r="Z259">
        <f t="shared" si="99"/>
        <v>-0.62</v>
      </c>
      <c r="AA259">
        <f t="shared" si="113"/>
        <v>25.390462157534103</v>
      </c>
      <c r="AB259">
        <f t="shared" si="100"/>
        <v>0</v>
      </c>
      <c r="AC259">
        <f t="shared" si="114"/>
        <v>0</v>
      </c>
      <c r="AE259">
        <f>$B$5*'5 Year Rainfall Simulation'!E260/1000</f>
        <v>0</v>
      </c>
      <c r="AF259">
        <f t="shared" si="101"/>
        <v>0</v>
      </c>
      <c r="AG259">
        <f t="shared" si="102"/>
        <v>0.62</v>
      </c>
      <c r="AH259">
        <f t="shared" si="103"/>
        <v>-0.62</v>
      </c>
      <c r="AI259">
        <f t="shared" si="115"/>
        <v>33.745271178869984</v>
      </c>
      <c r="AJ259">
        <f t="shared" si="104"/>
        <v>0</v>
      </c>
      <c r="AK259">
        <f t="shared" si="116"/>
        <v>0</v>
      </c>
      <c r="AM259">
        <f>$B$5*'5 Year Rainfall Simulation'!F260/1000</f>
        <v>0</v>
      </c>
      <c r="AN259">
        <f t="shared" si="105"/>
        <v>0</v>
      </c>
      <c r="AO259">
        <f t="shared" si="106"/>
        <v>0.62</v>
      </c>
      <c r="AP259">
        <f t="shared" si="107"/>
        <v>-0.62</v>
      </c>
      <c r="AQ259">
        <f t="shared" si="117"/>
        <v>26.231944449684264</v>
      </c>
      <c r="AR259">
        <f t="shared" si="108"/>
        <v>0</v>
      </c>
      <c r="AS259">
        <f t="shared" si="118"/>
        <v>0</v>
      </c>
    </row>
    <row r="260" spans="6:45" ht="18" customHeight="1">
      <c r="F260" s="109">
        <v>44817</v>
      </c>
      <c r="G260">
        <f>B$5*'5 Year Rainfall Simulation'!B261/1000</f>
        <v>0</v>
      </c>
      <c r="H260">
        <f t="shared" si="90"/>
        <v>0</v>
      </c>
      <c r="I260">
        <f t="shared" si="119"/>
        <v>0.62</v>
      </c>
      <c r="J260">
        <f t="shared" si="91"/>
        <v>-0.62</v>
      </c>
      <c r="K260">
        <f t="shared" si="109"/>
        <v>9.2399999999999967</v>
      </c>
      <c r="L260">
        <f t="shared" si="92"/>
        <v>0</v>
      </c>
      <c r="M260">
        <f t="shared" si="110"/>
        <v>0</v>
      </c>
      <c r="O260">
        <f>$B$5*'5 Year Rainfall Simulation'!C261/1000</f>
        <v>0</v>
      </c>
      <c r="P260">
        <f t="shared" si="93"/>
        <v>0</v>
      </c>
      <c r="Q260">
        <f t="shared" si="94"/>
        <v>0.62</v>
      </c>
      <c r="R260">
        <f t="shared" si="95"/>
        <v>-0.62</v>
      </c>
      <c r="S260">
        <f t="shared" si="111"/>
        <v>18.159999999999997</v>
      </c>
      <c r="T260">
        <f t="shared" si="96"/>
        <v>0</v>
      </c>
      <c r="U260">
        <f t="shared" si="112"/>
        <v>0</v>
      </c>
      <c r="W260">
        <f>$B$5*'5 Year Rainfall Simulation'!D261/1000</f>
        <v>0.18286687576133606</v>
      </c>
      <c r="X260">
        <f t="shared" si="97"/>
        <v>0.18286687576133606</v>
      </c>
      <c r="Y260">
        <f t="shared" si="98"/>
        <v>0.62</v>
      </c>
      <c r="Z260">
        <f t="shared" si="99"/>
        <v>-0.43713312423866391</v>
      </c>
      <c r="AA260">
        <f t="shared" si="113"/>
        <v>24.953329033295439</v>
      </c>
      <c r="AB260">
        <f t="shared" si="100"/>
        <v>0.10809937446263738</v>
      </c>
      <c r="AC260">
        <f t="shared" si="114"/>
        <v>0</v>
      </c>
      <c r="AE260">
        <f>$B$5*'5 Year Rainfall Simulation'!E261/1000</f>
        <v>0</v>
      </c>
      <c r="AF260">
        <f t="shared" si="101"/>
        <v>0</v>
      </c>
      <c r="AG260">
        <f t="shared" si="102"/>
        <v>0.62</v>
      </c>
      <c r="AH260">
        <f t="shared" si="103"/>
        <v>-0.62</v>
      </c>
      <c r="AI260">
        <f t="shared" si="115"/>
        <v>33.125271178869987</v>
      </c>
      <c r="AJ260">
        <f t="shared" si="104"/>
        <v>0</v>
      </c>
      <c r="AK260">
        <f t="shared" si="116"/>
        <v>0</v>
      </c>
      <c r="AM260">
        <f>$B$5*'5 Year Rainfall Simulation'!F261/1000</f>
        <v>0</v>
      </c>
      <c r="AN260">
        <f t="shared" si="105"/>
        <v>0</v>
      </c>
      <c r="AO260">
        <f t="shared" si="106"/>
        <v>0.62</v>
      </c>
      <c r="AP260">
        <f t="shared" si="107"/>
        <v>-0.62</v>
      </c>
      <c r="AQ260">
        <f t="shared" si="117"/>
        <v>25.611944449684263</v>
      </c>
      <c r="AR260">
        <f t="shared" si="108"/>
        <v>0</v>
      </c>
      <c r="AS260">
        <f t="shared" si="118"/>
        <v>0</v>
      </c>
    </row>
    <row r="261" spans="6:45" ht="18" customHeight="1">
      <c r="F261" s="109">
        <v>44818</v>
      </c>
      <c r="G261">
        <f>B$5*'5 Year Rainfall Simulation'!B262/1000</f>
        <v>0</v>
      </c>
      <c r="H261">
        <f t="shared" ref="H261:H324" si="120">IF($C$16="y",IF(G261&lt;$B$6,G261,$B$6),IF(G261&lt;$B$14,G261,$B$14))</f>
        <v>0</v>
      </c>
      <c r="I261">
        <f t="shared" si="119"/>
        <v>0.62</v>
      </c>
      <c r="J261">
        <f t="shared" ref="J261:J324" si="121">H261-I261</f>
        <v>-0.62</v>
      </c>
      <c r="K261">
        <f t="shared" si="109"/>
        <v>8.6199999999999974</v>
      </c>
      <c r="L261">
        <f t="shared" ref="L261:L324" si="122">H261/($B$14/24)</f>
        <v>0</v>
      </c>
      <c r="M261">
        <f t="shared" si="110"/>
        <v>0</v>
      </c>
      <c r="O261">
        <f>$B$5*'5 Year Rainfall Simulation'!C262/1000</f>
        <v>0</v>
      </c>
      <c r="P261">
        <f t="shared" ref="P261:P324" si="123">IF($C$16="y",IF(O261&lt;$B$6,O261,$B$6),IF(O261&lt;$B$14,O261,$B$14))</f>
        <v>0</v>
      </c>
      <c r="Q261">
        <f t="shared" ref="Q261:Q324" si="124">$B$4</f>
        <v>0.62</v>
      </c>
      <c r="R261">
        <f t="shared" ref="R261:R324" si="125">P261-Q261</f>
        <v>-0.62</v>
      </c>
      <c r="S261">
        <f t="shared" si="111"/>
        <v>17.539999999999996</v>
      </c>
      <c r="T261">
        <f t="shared" ref="T261:T324" si="126">P261/($B$14/24)</f>
        <v>0</v>
      </c>
      <c r="U261">
        <f t="shared" si="112"/>
        <v>0</v>
      </c>
      <c r="W261">
        <f>$B$5*'5 Year Rainfall Simulation'!D262/1000</f>
        <v>0</v>
      </c>
      <c r="X261">
        <f t="shared" ref="X261:X324" si="127">IF($C$16="y",IF(W261&lt;$B$6,W261,$B$6),IF(W261&lt;$B$14,W261,$B$14))</f>
        <v>0</v>
      </c>
      <c r="Y261">
        <f t="shared" ref="Y261:Y324" si="128">$B$4</f>
        <v>0.62</v>
      </c>
      <c r="Z261">
        <f t="shared" ref="Z261:Z324" si="129">X261-Y261</f>
        <v>-0.62</v>
      </c>
      <c r="AA261">
        <f t="shared" si="113"/>
        <v>24.333329033295438</v>
      </c>
      <c r="AB261">
        <f t="shared" ref="AB261:AB324" si="130">X261/($B$14/24)</f>
        <v>0</v>
      </c>
      <c r="AC261">
        <f t="shared" si="114"/>
        <v>0</v>
      </c>
      <c r="AE261">
        <f>$B$5*'5 Year Rainfall Simulation'!E262/1000</f>
        <v>0</v>
      </c>
      <c r="AF261">
        <f t="shared" ref="AF261:AF324" si="131">IF($C$16="y",IF(AE261&lt;$B$6,AE261,$B$6),IF(AE261&lt;$B$14,AE261,$B$14))</f>
        <v>0</v>
      </c>
      <c r="AG261">
        <f t="shared" ref="AG261:AG324" si="132">$B$4</f>
        <v>0.62</v>
      </c>
      <c r="AH261">
        <f t="shared" ref="AH261:AH324" si="133">AF261-AG261</f>
        <v>-0.62</v>
      </c>
      <c r="AI261">
        <f t="shared" si="115"/>
        <v>32.50527117886999</v>
      </c>
      <c r="AJ261">
        <f t="shared" ref="AJ261:AJ324" si="134">AF261/($B$14/24)</f>
        <v>0</v>
      </c>
      <c r="AK261">
        <f t="shared" si="116"/>
        <v>0</v>
      </c>
      <c r="AM261">
        <f>$B$5*'5 Year Rainfall Simulation'!F262/1000</f>
        <v>0.29645647012008902</v>
      </c>
      <c r="AN261">
        <f t="shared" ref="AN261:AN324" si="135">IF($C$16="y",IF(AM261&lt;$B$6,AM261,$B$6),IF(AM261&lt;$B$14,AM261,$B$14))</f>
        <v>0.29645647012008902</v>
      </c>
      <c r="AO261">
        <f t="shared" ref="AO261:AO324" si="136">$B$4</f>
        <v>0.62</v>
      </c>
      <c r="AP261">
        <f t="shared" ref="AP261:AP324" si="137">AN261-AO261</f>
        <v>-0.32354352987991097</v>
      </c>
      <c r="AQ261">
        <f t="shared" si="117"/>
        <v>25.288400919804353</v>
      </c>
      <c r="AR261">
        <f t="shared" ref="AR261:AR324" si="138">AN261/($B$14/24)</f>
        <v>0.17524638533885256</v>
      </c>
      <c r="AS261">
        <f t="shared" si="118"/>
        <v>0</v>
      </c>
    </row>
    <row r="262" spans="6:45" ht="18" customHeight="1">
      <c r="F262" s="109">
        <v>44819</v>
      </c>
      <c r="G262">
        <f>B$5*'5 Year Rainfall Simulation'!B263/1000</f>
        <v>0</v>
      </c>
      <c r="H262">
        <f t="shared" si="120"/>
        <v>0</v>
      </c>
      <c r="I262">
        <f t="shared" si="119"/>
        <v>0.62</v>
      </c>
      <c r="J262">
        <f t="shared" si="121"/>
        <v>-0.62</v>
      </c>
      <c r="K262">
        <f t="shared" ref="K262:K325" si="139">IF(M262&gt;0,0,IF((K261+J262)&gt;$B$7,$B$7,(K261+J262)))</f>
        <v>7.9999999999999973</v>
      </c>
      <c r="L262">
        <f t="shared" si="122"/>
        <v>0</v>
      </c>
      <c r="M262">
        <f t="shared" ref="M262:M325" si="140">IF(K261+J262&lt;0,1,0)</f>
        <v>0</v>
      </c>
      <c r="O262">
        <f>$B$5*'5 Year Rainfall Simulation'!C263/1000</f>
        <v>0.4</v>
      </c>
      <c r="P262">
        <f t="shared" si="123"/>
        <v>0.4</v>
      </c>
      <c r="Q262">
        <f t="shared" si="124"/>
        <v>0.62</v>
      </c>
      <c r="R262">
        <f t="shared" si="125"/>
        <v>-0.21999999999999997</v>
      </c>
      <c r="S262">
        <f t="shared" ref="S262:S325" si="141">IF(U262&gt;0,P262,IF((S261+R262)&gt;$B$7,$B$7,(S261+R262)))</f>
        <v>17.319999999999997</v>
      </c>
      <c r="T262">
        <f t="shared" si="126"/>
        <v>0.23645479590020552</v>
      </c>
      <c r="U262">
        <f t="shared" ref="U262:U325" si="142">IF(S261-Q262&lt;0,1,0)</f>
        <v>0</v>
      </c>
      <c r="W262">
        <f>$B$5*'5 Year Rainfall Simulation'!D263/1000</f>
        <v>0</v>
      </c>
      <c r="X262">
        <f t="shared" si="127"/>
        <v>0</v>
      </c>
      <c r="Y262">
        <f t="shared" si="128"/>
        <v>0.62</v>
      </c>
      <c r="Z262">
        <f t="shared" si="129"/>
        <v>-0.62</v>
      </c>
      <c r="AA262">
        <f t="shared" ref="AA262:AA325" si="143">IF(AC262&gt;0,0,IF((AA261+Z262)&gt;$B$7,$B$7,(AA261+Z262)))</f>
        <v>23.713329033295437</v>
      </c>
      <c r="AB262">
        <f t="shared" si="130"/>
        <v>0</v>
      </c>
      <c r="AC262">
        <f t="shared" ref="AC262:AC325" si="144">IF(AA261+Z262&lt;0,1,0)</f>
        <v>0</v>
      </c>
      <c r="AE262">
        <f>$B$5*'5 Year Rainfall Simulation'!E263/1000</f>
        <v>1.0315276950255035</v>
      </c>
      <c r="AF262">
        <f t="shared" si="131"/>
        <v>1.0315276950255035</v>
      </c>
      <c r="AG262">
        <f t="shared" si="132"/>
        <v>0.62</v>
      </c>
      <c r="AH262">
        <f t="shared" si="133"/>
        <v>0.41152769502550346</v>
      </c>
      <c r="AI262">
        <f t="shared" ref="AI262:AI325" si="145">IF(AK262&gt;0,0,IF((AI261+AH262)&gt;$B$7,$B$7,(AI261+AH262)))</f>
        <v>32.916798873895495</v>
      </c>
      <c r="AJ262">
        <f t="shared" si="134"/>
        <v>0.6097741764816621</v>
      </c>
      <c r="AK262">
        <f t="shared" ref="AK262:AK325" si="146">IF(AI261+AH262&lt;0,1,0)</f>
        <v>0</v>
      </c>
      <c r="AM262">
        <f>$B$5*'5 Year Rainfall Simulation'!F263/1000</f>
        <v>0</v>
      </c>
      <c r="AN262">
        <f t="shared" si="135"/>
        <v>0</v>
      </c>
      <c r="AO262">
        <f t="shared" si="136"/>
        <v>0.62</v>
      </c>
      <c r="AP262">
        <f t="shared" si="137"/>
        <v>-0.62</v>
      </c>
      <c r="AQ262">
        <f t="shared" ref="AQ262:AQ325" si="147">IF(AS262&gt;0,0,IF((AQ261+AP262)&gt;$B$7,$B$7,(AQ261+AP262)))</f>
        <v>24.668400919804352</v>
      </c>
      <c r="AR262">
        <f t="shared" si="138"/>
        <v>0</v>
      </c>
      <c r="AS262">
        <f t="shared" ref="AS262:AS325" si="148">IF(AQ261+AP262&lt;0,1,0)</f>
        <v>0</v>
      </c>
    </row>
    <row r="263" spans="6:45" ht="18" customHeight="1">
      <c r="F263" s="109">
        <v>44820</v>
      </c>
      <c r="G263">
        <f>B$5*'5 Year Rainfall Simulation'!B264/1000</f>
        <v>0</v>
      </c>
      <c r="H263">
        <f t="shared" si="120"/>
        <v>0</v>
      </c>
      <c r="I263">
        <f t="shared" si="119"/>
        <v>0.62</v>
      </c>
      <c r="J263">
        <f t="shared" si="121"/>
        <v>-0.62</v>
      </c>
      <c r="K263">
        <f t="shared" si="139"/>
        <v>7.3799999999999972</v>
      </c>
      <c r="L263">
        <f t="shared" si="122"/>
        <v>0</v>
      </c>
      <c r="M263">
        <f t="shared" si="140"/>
        <v>0</v>
      </c>
      <c r="O263">
        <f>$B$5*'5 Year Rainfall Simulation'!C264/1000</f>
        <v>0.8</v>
      </c>
      <c r="P263">
        <f t="shared" si="123"/>
        <v>0.8</v>
      </c>
      <c r="Q263">
        <f t="shared" si="124"/>
        <v>0.62</v>
      </c>
      <c r="R263">
        <f t="shared" si="125"/>
        <v>0.18000000000000005</v>
      </c>
      <c r="S263">
        <f t="shared" si="141"/>
        <v>17.499999999999996</v>
      </c>
      <c r="T263">
        <f t="shared" si="126"/>
        <v>0.47290959180041103</v>
      </c>
      <c r="U263">
        <f t="shared" si="142"/>
        <v>0</v>
      </c>
      <c r="W263">
        <f>$B$5*'5 Year Rainfall Simulation'!D264/1000</f>
        <v>0</v>
      </c>
      <c r="X263">
        <f t="shared" si="127"/>
        <v>0</v>
      </c>
      <c r="Y263">
        <f t="shared" si="128"/>
        <v>0.62</v>
      </c>
      <c r="Z263">
        <f t="shared" si="129"/>
        <v>-0.62</v>
      </c>
      <c r="AA263">
        <f t="shared" si="143"/>
        <v>23.093329033295436</v>
      </c>
      <c r="AB263">
        <f t="shared" si="130"/>
        <v>0</v>
      </c>
      <c r="AC263">
        <f t="shared" si="144"/>
        <v>0</v>
      </c>
      <c r="AE263">
        <f>$B$5*'5 Year Rainfall Simulation'!E264/1000</f>
        <v>0</v>
      </c>
      <c r="AF263">
        <f t="shared" si="131"/>
        <v>0</v>
      </c>
      <c r="AG263">
        <f t="shared" si="132"/>
        <v>0.62</v>
      </c>
      <c r="AH263">
        <f t="shared" si="133"/>
        <v>-0.62</v>
      </c>
      <c r="AI263">
        <f t="shared" si="145"/>
        <v>32.296798873895497</v>
      </c>
      <c r="AJ263">
        <f t="shared" si="134"/>
        <v>0</v>
      </c>
      <c r="AK263">
        <f t="shared" si="146"/>
        <v>0</v>
      </c>
      <c r="AM263">
        <f>$B$5*'5 Year Rainfall Simulation'!F264/1000</f>
        <v>0.22390483008944798</v>
      </c>
      <c r="AN263">
        <f t="shared" si="135"/>
        <v>0.22390483008944798</v>
      </c>
      <c r="AO263">
        <f t="shared" si="136"/>
        <v>0.62</v>
      </c>
      <c r="AP263">
        <f t="shared" si="137"/>
        <v>-0.39609516991055205</v>
      </c>
      <c r="AQ263">
        <f t="shared" si="147"/>
        <v>24.2723057498938</v>
      </c>
      <c r="AR263">
        <f t="shared" si="138"/>
        <v>0.13235842724967653</v>
      </c>
      <c r="AS263">
        <f t="shared" si="148"/>
        <v>0</v>
      </c>
    </row>
    <row r="264" spans="6:45" ht="18" customHeight="1">
      <c r="F264" s="109">
        <v>44821</v>
      </c>
      <c r="G264">
        <f>B$5*'5 Year Rainfall Simulation'!B265/1000</f>
        <v>0</v>
      </c>
      <c r="H264">
        <f t="shared" si="120"/>
        <v>0</v>
      </c>
      <c r="I264">
        <f t="shared" si="119"/>
        <v>0.62</v>
      </c>
      <c r="J264">
        <f t="shared" si="121"/>
        <v>-0.62</v>
      </c>
      <c r="K264">
        <f t="shared" si="139"/>
        <v>6.7599999999999971</v>
      </c>
      <c r="L264">
        <f t="shared" si="122"/>
        <v>0</v>
      </c>
      <c r="M264">
        <f t="shared" si="140"/>
        <v>0</v>
      </c>
      <c r="O264">
        <f>$B$5*'5 Year Rainfall Simulation'!C265/1000</f>
        <v>0.56000000000000005</v>
      </c>
      <c r="P264">
        <f t="shared" si="123"/>
        <v>0.56000000000000005</v>
      </c>
      <c r="Q264">
        <f t="shared" si="124"/>
        <v>0.62</v>
      </c>
      <c r="R264">
        <f t="shared" si="125"/>
        <v>-5.9999999999999942E-2</v>
      </c>
      <c r="S264">
        <f t="shared" si="141"/>
        <v>17.439999999999998</v>
      </c>
      <c r="T264">
        <f t="shared" si="126"/>
        <v>0.33103671426028775</v>
      </c>
      <c r="U264">
        <f t="shared" si="142"/>
        <v>0</v>
      </c>
      <c r="W264">
        <f>$B$5*'5 Year Rainfall Simulation'!D265/1000</f>
        <v>1.5611547725015558</v>
      </c>
      <c r="X264">
        <f t="shared" si="127"/>
        <v>1.5611547725015558</v>
      </c>
      <c r="Y264">
        <f t="shared" si="128"/>
        <v>0.62</v>
      </c>
      <c r="Z264">
        <f t="shared" si="129"/>
        <v>0.94115477250155577</v>
      </c>
      <c r="AA264">
        <f t="shared" si="143"/>
        <v>24.034483805796992</v>
      </c>
      <c r="AB264">
        <f t="shared" si="130"/>
        <v>0.92285633275121781</v>
      </c>
      <c r="AC264">
        <f t="shared" si="144"/>
        <v>0</v>
      </c>
      <c r="AE264">
        <f>$B$5*'5 Year Rainfall Simulation'!E265/1000</f>
        <v>2.2384453797899719</v>
      </c>
      <c r="AF264">
        <f t="shared" si="131"/>
        <v>2.2384453797899719</v>
      </c>
      <c r="AG264">
        <f t="shared" si="132"/>
        <v>0.62</v>
      </c>
      <c r="AH264">
        <f t="shared" si="133"/>
        <v>1.6184453797899718</v>
      </c>
      <c r="AI264">
        <f t="shared" si="145"/>
        <v>33.915244253685472</v>
      </c>
      <c r="AJ264">
        <f t="shared" si="134"/>
        <v>1.3232278635299894</v>
      </c>
      <c r="AK264">
        <f t="shared" si="146"/>
        <v>0</v>
      </c>
      <c r="AM264">
        <f>$B$5*'5 Year Rainfall Simulation'!F265/1000</f>
        <v>2.8910117100833119</v>
      </c>
      <c r="AN264">
        <f t="shared" si="135"/>
        <v>2.8910117100833119</v>
      </c>
      <c r="AO264">
        <f t="shared" si="136"/>
        <v>0.62</v>
      </c>
      <c r="AP264">
        <f t="shared" si="137"/>
        <v>2.2710117100833118</v>
      </c>
      <c r="AQ264">
        <f t="shared" si="147"/>
        <v>26.543317459977111</v>
      </c>
      <c r="AR264">
        <f t="shared" si="138"/>
        <v>1.7089839596321341</v>
      </c>
      <c r="AS264">
        <f t="shared" si="148"/>
        <v>0</v>
      </c>
    </row>
    <row r="265" spans="6:45" ht="18" customHeight="1">
      <c r="F265" s="109">
        <v>44822</v>
      </c>
      <c r="G265">
        <f>B$5*'5 Year Rainfall Simulation'!B266/1000</f>
        <v>5.28</v>
      </c>
      <c r="H265">
        <f t="shared" si="120"/>
        <v>5.28</v>
      </c>
      <c r="I265">
        <f t="shared" si="119"/>
        <v>0.62</v>
      </c>
      <c r="J265">
        <f t="shared" si="121"/>
        <v>4.66</v>
      </c>
      <c r="K265">
        <f t="shared" si="139"/>
        <v>11.419999999999998</v>
      </c>
      <c r="L265">
        <f t="shared" si="122"/>
        <v>3.1212033058827129</v>
      </c>
      <c r="M265">
        <f t="shared" si="140"/>
        <v>0</v>
      </c>
      <c r="O265">
        <f>$B$5*'5 Year Rainfall Simulation'!C266/1000</f>
        <v>9.2799999999999994</v>
      </c>
      <c r="P265">
        <f t="shared" si="123"/>
        <v>9.2799999999999994</v>
      </c>
      <c r="Q265">
        <f t="shared" si="124"/>
        <v>0.62</v>
      </c>
      <c r="R265">
        <f t="shared" si="125"/>
        <v>8.66</v>
      </c>
      <c r="S265">
        <f t="shared" si="141"/>
        <v>26.099999999999998</v>
      </c>
      <c r="T265">
        <f t="shared" si="126"/>
        <v>5.4857512648847671</v>
      </c>
      <c r="U265">
        <f t="shared" si="142"/>
        <v>0</v>
      </c>
      <c r="W265">
        <f>$B$5*'5 Year Rainfall Simulation'!D266/1000</f>
        <v>4.9887673400712256</v>
      </c>
      <c r="X265">
        <f t="shared" si="127"/>
        <v>4.9887673400712256</v>
      </c>
      <c r="Y265">
        <f t="shared" si="128"/>
        <v>0.62</v>
      </c>
      <c r="Z265">
        <f t="shared" si="129"/>
        <v>4.3687673400712255</v>
      </c>
      <c r="AA265">
        <f t="shared" si="143"/>
        <v>28.403251145868218</v>
      </c>
      <c r="AB265">
        <f t="shared" si="130"/>
        <v>2.9490449079753818</v>
      </c>
      <c r="AC265">
        <f t="shared" si="144"/>
        <v>0</v>
      </c>
      <c r="AE265">
        <f>$B$5*'5 Year Rainfall Simulation'!E266/1000</f>
        <v>6.4450045743752202</v>
      </c>
      <c r="AF265">
        <f t="shared" si="131"/>
        <v>6.4450045743752202</v>
      </c>
      <c r="AG265">
        <f t="shared" si="132"/>
        <v>0.62</v>
      </c>
      <c r="AH265">
        <f t="shared" si="133"/>
        <v>5.8250045743752201</v>
      </c>
      <c r="AI265">
        <f t="shared" si="145"/>
        <v>35</v>
      </c>
      <c r="AJ265">
        <f t="shared" si="134"/>
        <v>3.809880603024459</v>
      </c>
      <c r="AK265">
        <f t="shared" si="146"/>
        <v>0</v>
      </c>
      <c r="AM265">
        <f>$B$5*'5 Year Rainfall Simulation'!F266/1000</f>
        <v>2.56805980360493</v>
      </c>
      <c r="AN265">
        <f t="shared" si="135"/>
        <v>2.56805980360493</v>
      </c>
      <c r="AO265">
        <f t="shared" si="136"/>
        <v>0.62</v>
      </c>
      <c r="AP265">
        <f t="shared" si="137"/>
        <v>1.9480598036049299</v>
      </c>
      <c r="AQ265">
        <f t="shared" si="147"/>
        <v>28.491377263582041</v>
      </c>
      <c r="AR265">
        <f t="shared" si="138"/>
        <v>1.518075141802314</v>
      </c>
      <c r="AS265">
        <f t="shared" si="148"/>
        <v>0</v>
      </c>
    </row>
    <row r="266" spans="6:45" ht="18" customHeight="1">
      <c r="F266" s="109">
        <v>44823</v>
      </c>
      <c r="G266">
        <f>B$5*'5 Year Rainfall Simulation'!B267/1000</f>
        <v>0.08</v>
      </c>
      <c r="H266">
        <f t="shared" si="120"/>
        <v>0.08</v>
      </c>
      <c r="I266">
        <f t="shared" si="119"/>
        <v>0.62</v>
      </c>
      <c r="J266">
        <f t="shared" si="121"/>
        <v>-0.54</v>
      </c>
      <c r="K266">
        <f t="shared" si="139"/>
        <v>10.879999999999999</v>
      </c>
      <c r="L266">
        <f t="shared" si="122"/>
        <v>4.7290959180041101E-2</v>
      </c>
      <c r="M266">
        <f t="shared" si="140"/>
        <v>0</v>
      </c>
      <c r="O266">
        <f>$B$5*'5 Year Rainfall Simulation'!C267/1000</f>
        <v>17.36</v>
      </c>
      <c r="P266">
        <f t="shared" si="123"/>
        <v>10</v>
      </c>
      <c r="Q266">
        <f t="shared" si="124"/>
        <v>0.62</v>
      </c>
      <c r="R266">
        <f t="shared" si="125"/>
        <v>9.3800000000000008</v>
      </c>
      <c r="S266">
        <f t="shared" si="141"/>
        <v>35</v>
      </c>
      <c r="T266">
        <f t="shared" si="126"/>
        <v>5.9113698975051374</v>
      </c>
      <c r="U266">
        <f t="shared" si="142"/>
        <v>0</v>
      </c>
      <c r="W266">
        <f>$B$5*'5 Year Rainfall Simulation'!D267/1000</f>
        <v>0</v>
      </c>
      <c r="X266">
        <f t="shared" si="127"/>
        <v>0</v>
      </c>
      <c r="Y266">
        <f t="shared" si="128"/>
        <v>0.62</v>
      </c>
      <c r="Z266">
        <f t="shared" si="129"/>
        <v>-0.62</v>
      </c>
      <c r="AA266">
        <f t="shared" si="143"/>
        <v>27.783251145868217</v>
      </c>
      <c r="AB266">
        <f t="shared" si="130"/>
        <v>0</v>
      </c>
      <c r="AC266">
        <f t="shared" si="144"/>
        <v>0</v>
      </c>
      <c r="AE266">
        <f>$B$5*'5 Year Rainfall Simulation'!E267/1000</f>
        <v>17.280319101235943</v>
      </c>
      <c r="AF266">
        <f t="shared" si="131"/>
        <v>10</v>
      </c>
      <c r="AG266">
        <f t="shared" si="132"/>
        <v>0.62</v>
      </c>
      <c r="AH266">
        <f t="shared" si="133"/>
        <v>9.3800000000000008</v>
      </c>
      <c r="AI266">
        <f t="shared" si="145"/>
        <v>35</v>
      </c>
      <c r="AJ266">
        <f t="shared" si="134"/>
        <v>5.9113698975051374</v>
      </c>
      <c r="AK266">
        <f t="shared" si="146"/>
        <v>0</v>
      </c>
      <c r="AM266">
        <f>$B$5*'5 Year Rainfall Simulation'!F267/1000</f>
        <v>0</v>
      </c>
      <c r="AN266">
        <f t="shared" si="135"/>
        <v>0</v>
      </c>
      <c r="AO266">
        <f t="shared" si="136"/>
        <v>0.62</v>
      </c>
      <c r="AP266">
        <f t="shared" si="137"/>
        <v>-0.62</v>
      </c>
      <c r="AQ266">
        <f t="shared" si="147"/>
        <v>27.87137726358204</v>
      </c>
      <c r="AR266">
        <f t="shared" si="138"/>
        <v>0</v>
      </c>
      <c r="AS266">
        <f t="shared" si="148"/>
        <v>0</v>
      </c>
    </row>
    <row r="267" spans="6:45" ht="18" customHeight="1">
      <c r="F267" s="109">
        <v>44824</v>
      </c>
      <c r="G267">
        <f>B$5*'5 Year Rainfall Simulation'!B268/1000</f>
        <v>0</v>
      </c>
      <c r="H267">
        <f t="shared" si="120"/>
        <v>0</v>
      </c>
      <c r="I267">
        <f t="shared" si="119"/>
        <v>0.62</v>
      </c>
      <c r="J267">
        <f t="shared" si="121"/>
        <v>-0.62</v>
      </c>
      <c r="K267">
        <f t="shared" si="139"/>
        <v>10.26</v>
      </c>
      <c r="L267">
        <f t="shared" si="122"/>
        <v>0</v>
      </c>
      <c r="M267">
        <f t="shared" si="140"/>
        <v>0</v>
      </c>
      <c r="O267">
        <f>$B$5*'5 Year Rainfall Simulation'!C268/1000</f>
        <v>0.28000000000000003</v>
      </c>
      <c r="P267">
        <f t="shared" si="123"/>
        <v>0.28000000000000003</v>
      </c>
      <c r="Q267">
        <f t="shared" si="124"/>
        <v>0.62</v>
      </c>
      <c r="R267">
        <f t="shared" si="125"/>
        <v>-0.33999999999999997</v>
      </c>
      <c r="S267">
        <f t="shared" si="141"/>
        <v>34.659999999999997</v>
      </c>
      <c r="T267">
        <f t="shared" si="126"/>
        <v>0.16551835713014387</v>
      </c>
      <c r="U267">
        <f t="shared" si="142"/>
        <v>0</v>
      </c>
      <c r="W267">
        <f>$B$5*'5 Year Rainfall Simulation'!D268/1000</f>
        <v>1.133918093804497</v>
      </c>
      <c r="X267">
        <f t="shared" si="127"/>
        <v>1.133918093804497</v>
      </c>
      <c r="Y267">
        <f t="shared" si="128"/>
        <v>0.62</v>
      </c>
      <c r="Z267">
        <f t="shared" si="129"/>
        <v>0.51391809380449704</v>
      </c>
      <c r="AA267">
        <f t="shared" si="143"/>
        <v>28.297169239672716</v>
      </c>
      <c r="AB267">
        <f t="shared" si="130"/>
        <v>0.67030092859523105</v>
      </c>
      <c r="AC267">
        <f t="shared" si="144"/>
        <v>0</v>
      </c>
      <c r="AE267">
        <f>$B$5*'5 Year Rainfall Simulation'!E268/1000</f>
        <v>1.0072731686971146</v>
      </c>
      <c r="AF267">
        <f t="shared" si="131"/>
        <v>1.0072731686971146</v>
      </c>
      <c r="AG267">
        <f t="shared" si="132"/>
        <v>0.62</v>
      </c>
      <c r="AH267">
        <f t="shared" si="133"/>
        <v>0.38727316869711459</v>
      </c>
      <c r="AI267">
        <f t="shared" si="145"/>
        <v>35</v>
      </c>
      <c r="AJ267">
        <f t="shared" si="134"/>
        <v>0.59543642880007375</v>
      </c>
      <c r="AK267">
        <f t="shared" si="146"/>
        <v>0</v>
      </c>
      <c r="AM267">
        <f>$B$5*'5 Year Rainfall Simulation'!F268/1000</f>
        <v>0.86470426339235629</v>
      </c>
      <c r="AN267">
        <f t="shared" si="135"/>
        <v>0.86470426339235629</v>
      </c>
      <c r="AO267">
        <f t="shared" si="136"/>
        <v>0.62</v>
      </c>
      <c r="AP267">
        <f t="shared" si="137"/>
        <v>0.24470426339235629</v>
      </c>
      <c r="AQ267">
        <f t="shared" si="147"/>
        <v>28.116081526974398</v>
      </c>
      <c r="AR267">
        <f t="shared" si="138"/>
        <v>0.51115867528619285</v>
      </c>
      <c r="AS267">
        <f t="shared" si="148"/>
        <v>0</v>
      </c>
    </row>
    <row r="268" spans="6:45" ht="18" customHeight="1">
      <c r="F268" s="109">
        <v>44825</v>
      </c>
      <c r="G268">
        <f>B$5*'5 Year Rainfall Simulation'!B269/1000</f>
        <v>0.4</v>
      </c>
      <c r="H268">
        <f t="shared" si="120"/>
        <v>0.4</v>
      </c>
      <c r="I268">
        <f t="shared" si="119"/>
        <v>0.62</v>
      </c>
      <c r="J268">
        <f t="shared" si="121"/>
        <v>-0.21999999999999997</v>
      </c>
      <c r="K268">
        <f t="shared" si="139"/>
        <v>10.039999999999999</v>
      </c>
      <c r="L268">
        <f t="shared" si="122"/>
        <v>0.23645479590020552</v>
      </c>
      <c r="M268">
        <f t="shared" si="140"/>
        <v>0</v>
      </c>
      <c r="O268">
        <f>$B$5*'5 Year Rainfall Simulation'!C269/1000</f>
        <v>0.84</v>
      </c>
      <c r="P268">
        <f t="shared" si="123"/>
        <v>0.84</v>
      </c>
      <c r="Q268">
        <f t="shared" si="124"/>
        <v>0.62</v>
      </c>
      <c r="R268">
        <f t="shared" si="125"/>
        <v>0.21999999999999997</v>
      </c>
      <c r="S268">
        <f t="shared" si="141"/>
        <v>34.879999999999995</v>
      </c>
      <c r="T268">
        <f t="shared" si="126"/>
        <v>0.49655507139043153</v>
      </c>
      <c r="U268">
        <f t="shared" si="142"/>
        <v>0</v>
      </c>
      <c r="W268">
        <f>$B$5*'5 Year Rainfall Simulation'!D269/1000</f>
        <v>0.17896485715228583</v>
      </c>
      <c r="X268">
        <f t="shared" si="127"/>
        <v>0.17896485715228583</v>
      </c>
      <c r="Y268">
        <f t="shared" si="128"/>
        <v>0.62</v>
      </c>
      <c r="Z268">
        <f t="shared" si="129"/>
        <v>-0.44103514284771417</v>
      </c>
      <c r="AA268">
        <f t="shared" si="143"/>
        <v>27.856134096825002</v>
      </c>
      <c r="AB268">
        <f t="shared" si="130"/>
        <v>0.10579274692813295</v>
      </c>
      <c r="AC268">
        <f t="shared" si="144"/>
        <v>0</v>
      </c>
      <c r="AE268">
        <f>$B$5*'5 Year Rainfall Simulation'!E269/1000</f>
        <v>0.50279229618343058</v>
      </c>
      <c r="AF268">
        <f t="shared" si="131"/>
        <v>0.50279229618343058</v>
      </c>
      <c r="AG268">
        <f t="shared" si="132"/>
        <v>0.62</v>
      </c>
      <c r="AH268">
        <f t="shared" si="133"/>
        <v>-0.11720770381656942</v>
      </c>
      <c r="AI268">
        <f t="shared" si="145"/>
        <v>34.882792296183432</v>
      </c>
      <c r="AJ268">
        <f t="shared" si="134"/>
        <v>0.29721912443562187</v>
      </c>
      <c r="AK268">
        <f t="shared" si="146"/>
        <v>0</v>
      </c>
      <c r="AM268">
        <f>$B$5*'5 Year Rainfall Simulation'!F269/1000</f>
        <v>0</v>
      </c>
      <c r="AN268">
        <f t="shared" si="135"/>
        <v>0</v>
      </c>
      <c r="AO268">
        <f t="shared" si="136"/>
        <v>0.62</v>
      </c>
      <c r="AP268">
        <f t="shared" si="137"/>
        <v>-0.62</v>
      </c>
      <c r="AQ268">
        <f t="shared" si="147"/>
        <v>27.496081526974397</v>
      </c>
      <c r="AR268">
        <f t="shared" si="138"/>
        <v>0</v>
      </c>
      <c r="AS268">
        <f t="shared" si="148"/>
        <v>0</v>
      </c>
    </row>
    <row r="269" spans="6:45" ht="18" customHeight="1">
      <c r="F269" s="109">
        <v>44826</v>
      </c>
      <c r="G269">
        <f>B$5*'5 Year Rainfall Simulation'!B270/1000</f>
        <v>2.48</v>
      </c>
      <c r="H269">
        <f t="shared" si="120"/>
        <v>2.48</v>
      </c>
      <c r="I269">
        <f t="shared" si="119"/>
        <v>0.62</v>
      </c>
      <c r="J269">
        <f t="shared" si="121"/>
        <v>1.8599999999999999</v>
      </c>
      <c r="K269">
        <f t="shared" si="139"/>
        <v>11.899999999999999</v>
      </c>
      <c r="L269">
        <f t="shared" si="122"/>
        <v>1.4660197345812742</v>
      </c>
      <c r="M269">
        <f t="shared" si="140"/>
        <v>0</v>
      </c>
      <c r="O269">
        <f>$B$5*'5 Year Rainfall Simulation'!C270/1000</f>
        <v>7.9599999999999991</v>
      </c>
      <c r="P269">
        <f t="shared" si="123"/>
        <v>7.9599999999999991</v>
      </c>
      <c r="Q269">
        <f t="shared" si="124"/>
        <v>0.62</v>
      </c>
      <c r="R269">
        <f t="shared" si="125"/>
        <v>7.339999999999999</v>
      </c>
      <c r="S269">
        <f t="shared" si="141"/>
        <v>35</v>
      </c>
      <c r="T269">
        <f t="shared" si="126"/>
        <v>4.7054504384140889</v>
      </c>
      <c r="U269">
        <f t="shared" si="142"/>
        <v>0</v>
      </c>
      <c r="W269">
        <f>$B$5*'5 Year Rainfall Simulation'!D270/1000</f>
        <v>1.5041677370293756</v>
      </c>
      <c r="X269">
        <f t="shared" si="127"/>
        <v>1.5041677370293756</v>
      </c>
      <c r="Y269">
        <f t="shared" si="128"/>
        <v>0.62</v>
      </c>
      <c r="Z269">
        <f t="shared" si="129"/>
        <v>0.88416773702937557</v>
      </c>
      <c r="AA269">
        <f t="shared" si="143"/>
        <v>28.740301833854378</v>
      </c>
      <c r="AB269">
        <f t="shared" si="130"/>
        <v>0.88916918814738743</v>
      </c>
      <c r="AC269">
        <f t="shared" si="144"/>
        <v>0</v>
      </c>
      <c r="AE269">
        <f>$B$5*'5 Year Rainfall Simulation'!E270/1000</f>
        <v>6.1935278013147537</v>
      </c>
      <c r="AF269">
        <f t="shared" si="131"/>
        <v>6.1935278013147537</v>
      </c>
      <c r="AG269">
        <f t="shared" si="132"/>
        <v>0.62</v>
      </c>
      <c r="AH269">
        <f t="shared" si="133"/>
        <v>5.5735278013147536</v>
      </c>
      <c r="AI269">
        <f t="shared" si="145"/>
        <v>35</v>
      </c>
      <c r="AJ269">
        <f t="shared" si="134"/>
        <v>3.6612233804053216</v>
      </c>
      <c r="AK269">
        <f t="shared" si="146"/>
        <v>0</v>
      </c>
      <c r="AM269">
        <f>$B$5*'5 Year Rainfall Simulation'!F270/1000</f>
        <v>0</v>
      </c>
      <c r="AN269">
        <f t="shared" si="135"/>
        <v>0</v>
      </c>
      <c r="AO269">
        <f t="shared" si="136"/>
        <v>0.62</v>
      </c>
      <c r="AP269">
        <f t="shared" si="137"/>
        <v>-0.62</v>
      </c>
      <c r="AQ269">
        <f t="shared" si="147"/>
        <v>26.876081526974396</v>
      </c>
      <c r="AR269">
        <f t="shared" si="138"/>
        <v>0</v>
      </c>
      <c r="AS269">
        <f t="shared" si="148"/>
        <v>0</v>
      </c>
    </row>
    <row r="270" spans="6:45" ht="18" customHeight="1">
      <c r="F270" s="109">
        <v>44827</v>
      </c>
      <c r="G270">
        <f>B$5*'5 Year Rainfall Simulation'!B271/1000</f>
        <v>5.88</v>
      </c>
      <c r="H270">
        <f t="shared" si="120"/>
        <v>5.88</v>
      </c>
      <c r="I270">
        <f t="shared" si="119"/>
        <v>0.62</v>
      </c>
      <c r="J270">
        <f t="shared" si="121"/>
        <v>5.26</v>
      </c>
      <c r="K270">
        <f t="shared" si="139"/>
        <v>17.159999999999997</v>
      </c>
      <c r="L270">
        <f t="shared" si="122"/>
        <v>3.4758854997330211</v>
      </c>
      <c r="M270">
        <f t="shared" si="140"/>
        <v>0</v>
      </c>
      <c r="O270">
        <f>$B$5*'5 Year Rainfall Simulation'!C271/1000</f>
        <v>5.96</v>
      </c>
      <c r="P270">
        <f t="shared" si="123"/>
        <v>5.96</v>
      </c>
      <c r="Q270">
        <f t="shared" si="124"/>
        <v>0.62</v>
      </c>
      <c r="R270">
        <f t="shared" si="125"/>
        <v>5.34</v>
      </c>
      <c r="S270">
        <f t="shared" si="141"/>
        <v>35</v>
      </c>
      <c r="T270">
        <f t="shared" si="126"/>
        <v>3.5231764589130621</v>
      </c>
      <c r="U270">
        <f t="shared" si="142"/>
        <v>0</v>
      </c>
      <c r="W270">
        <f>$B$5*'5 Year Rainfall Simulation'!D271/1000</f>
        <v>6.3322393000551482</v>
      </c>
      <c r="X270">
        <f t="shared" si="127"/>
        <v>6.3322393000551482</v>
      </c>
      <c r="Y270">
        <f t="shared" si="128"/>
        <v>0.62</v>
      </c>
      <c r="Z270">
        <f t="shared" si="129"/>
        <v>5.7122393000551481</v>
      </c>
      <c r="AA270">
        <f t="shared" si="143"/>
        <v>34.452541133909527</v>
      </c>
      <c r="AB270">
        <f t="shared" si="130"/>
        <v>3.7432208782145007</v>
      </c>
      <c r="AC270">
        <f t="shared" si="144"/>
        <v>0</v>
      </c>
      <c r="AE270">
        <f>$B$5*'5 Year Rainfall Simulation'!E271/1000</f>
        <v>3.5391721528418136</v>
      </c>
      <c r="AF270">
        <f t="shared" si="131"/>
        <v>3.5391721528418136</v>
      </c>
      <c r="AG270">
        <f t="shared" si="132"/>
        <v>0.62</v>
      </c>
      <c r="AH270">
        <f t="shared" si="133"/>
        <v>2.9191721528418135</v>
      </c>
      <c r="AI270">
        <f t="shared" si="145"/>
        <v>35</v>
      </c>
      <c r="AJ270">
        <f t="shared" si="134"/>
        <v>2.092135572639755</v>
      </c>
      <c r="AK270">
        <f t="shared" si="146"/>
        <v>0</v>
      </c>
      <c r="AM270">
        <f>$B$5*'5 Year Rainfall Simulation'!F271/1000</f>
        <v>6.4082468278810918</v>
      </c>
      <c r="AN270">
        <f t="shared" si="135"/>
        <v>6.4082468278810918</v>
      </c>
      <c r="AO270">
        <f t="shared" si="136"/>
        <v>0.62</v>
      </c>
      <c r="AP270">
        <f t="shared" si="137"/>
        <v>5.7882468278810917</v>
      </c>
      <c r="AQ270">
        <f t="shared" si="147"/>
        <v>32.664328354855485</v>
      </c>
      <c r="AR270">
        <f t="shared" si="138"/>
        <v>3.7881517394119073</v>
      </c>
      <c r="AS270">
        <f t="shared" si="148"/>
        <v>0</v>
      </c>
    </row>
    <row r="271" spans="6:45" ht="18" customHeight="1">
      <c r="F271" s="109">
        <v>44828</v>
      </c>
      <c r="G271">
        <f>B$5*'5 Year Rainfall Simulation'!B272/1000</f>
        <v>0.32</v>
      </c>
      <c r="H271">
        <f t="shared" si="120"/>
        <v>0.32</v>
      </c>
      <c r="I271">
        <f t="shared" si="119"/>
        <v>0.62</v>
      </c>
      <c r="J271">
        <f t="shared" si="121"/>
        <v>-0.3</v>
      </c>
      <c r="K271">
        <f t="shared" si="139"/>
        <v>16.859999999999996</v>
      </c>
      <c r="L271">
        <f t="shared" si="122"/>
        <v>0.1891638367201644</v>
      </c>
      <c r="M271">
        <f t="shared" si="140"/>
        <v>0</v>
      </c>
      <c r="O271">
        <f>$B$5*'5 Year Rainfall Simulation'!C272/1000</f>
        <v>2.36</v>
      </c>
      <c r="P271">
        <f t="shared" si="123"/>
        <v>2.36</v>
      </c>
      <c r="Q271">
        <f t="shared" si="124"/>
        <v>0.62</v>
      </c>
      <c r="R271">
        <f t="shared" si="125"/>
        <v>1.7399999999999998</v>
      </c>
      <c r="S271">
        <f t="shared" si="141"/>
        <v>35</v>
      </c>
      <c r="T271">
        <f t="shared" si="126"/>
        <v>1.3950832958112125</v>
      </c>
      <c r="U271">
        <f t="shared" si="142"/>
        <v>0</v>
      </c>
      <c r="W271">
        <f>$B$5*'5 Year Rainfall Simulation'!D272/1000</f>
        <v>0</v>
      </c>
      <c r="X271">
        <f t="shared" si="127"/>
        <v>0</v>
      </c>
      <c r="Y271">
        <f t="shared" si="128"/>
        <v>0.62</v>
      </c>
      <c r="Z271">
        <f t="shared" si="129"/>
        <v>-0.62</v>
      </c>
      <c r="AA271">
        <f t="shared" si="143"/>
        <v>33.83254113390953</v>
      </c>
      <c r="AB271">
        <f t="shared" si="130"/>
        <v>0</v>
      </c>
      <c r="AC271">
        <f t="shared" si="144"/>
        <v>0</v>
      </c>
      <c r="AE271">
        <f>$B$5*'5 Year Rainfall Simulation'!E272/1000</f>
        <v>0.90452490023494059</v>
      </c>
      <c r="AF271">
        <f t="shared" si="131"/>
        <v>0.90452490023494059</v>
      </c>
      <c r="AG271">
        <f t="shared" si="132"/>
        <v>0.62</v>
      </c>
      <c r="AH271">
        <f t="shared" si="133"/>
        <v>0.28452490023494059</v>
      </c>
      <c r="AI271">
        <f t="shared" si="145"/>
        <v>35</v>
      </c>
      <c r="AJ271">
        <f t="shared" si="134"/>
        <v>0.53469812667926653</v>
      </c>
      <c r="AK271">
        <f t="shared" si="146"/>
        <v>0</v>
      </c>
      <c r="AM271">
        <f>$B$5*'5 Year Rainfall Simulation'!F272/1000</f>
        <v>0</v>
      </c>
      <c r="AN271">
        <f t="shared" si="135"/>
        <v>0</v>
      </c>
      <c r="AO271">
        <f t="shared" si="136"/>
        <v>0.62</v>
      </c>
      <c r="AP271">
        <f t="shared" si="137"/>
        <v>-0.62</v>
      </c>
      <c r="AQ271">
        <f t="shared" si="147"/>
        <v>32.044328354855487</v>
      </c>
      <c r="AR271">
        <f t="shared" si="138"/>
        <v>0</v>
      </c>
      <c r="AS271">
        <f t="shared" si="148"/>
        <v>0</v>
      </c>
    </row>
    <row r="272" spans="6:45" ht="18" customHeight="1">
      <c r="F272" s="109">
        <v>44829</v>
      </c>
      <c r="G272">
        <f>B$5*'5 Year Rainfall Simulation'!B273/1000</f>
        <v>0.12</v>
      </c>
      <c r="H272">
        <f t="shared" si="120"/>
        <v>0.12</v>
      </c>
      <c r="I272">
        <f t="shared" si="119"/>
        <v>0.62</v>
      </c>
      <c r="J272">
        <f t="shared" si="121"/>
        <v>-0.5</v>
      </c>
      <c r="K272">
        <f t="shared" si="139"/>
        <v>16.359999999999996</v>
      </c>
      <c r="L272">
        <f t="shared" si="122"/>
        <v>7.0936438770061644E-2</v>
      </c>
      <c r="M272">
        <f t="shared" si="140"/>
        <v>0</v>
      </c>
      <c r="O272">
        <f>$B$5*'5 Year Rainfall Simulation'!C273/1000</f>
        <v>0.32</v>
      </c>
      <c r="P272">
        <f t="shared" si="123"/>
        <v>0.32</v>
      </c>
      <c r="Q272">
        <f t="shared" si="124"/>
        <v>0.62</v>
      </c>
      <c r="R272">
        <f t="shared" si="125"/>
        <v>-0.3</v>
      </c>
      <c r="S272">
        <f t="shared" si="141"/>
        <v>34.700000000000003</v>
      </c>
      <c r="T272">
        <f t="shared" si="126"/>
        <v>0.1891638367201644</v>
      </c>
      <c r="U272">
        <f t="shared" si="142"/>
        <v>0</v>
      </c>
      <c r="W272">
        <f>$B$5*'5 Year Rainfall Simulation'!D273/1000</f>
        <v>0</v>
      </c>
      <c r="X272">
        <f t="shared" si="127"/>
        <v>0</v>
      </c>
      <c r="Y272">
        <f t="shared" si="128"/>
        <v>0.62</v>
      </c>
      <c r="Z272">
        <f t="shared" si="129"/>
        <v>-0.62</v>
      </c>
      <c r="AA272">
        <f t="shared" si="143"/>
        <v>33.212541133909532</v>
      </c>
      <c r="AB272">
        <f t="shared" si="130"/>
        <v>0</v>
      </c>
      <c r="AC272">
        <f t="shared" si="144"/>
        <v>0</v>
      </c>
      <c r="AE272">
        <f>$B$5*'5 Year Rainfall Simulation'!E273/1000</f>
        <v>0.59301298921359968</v>
      </c>
      <c r="AF272">
        <f t="shared" si="131"/>
        <v>0.59301298921359968</v>
      </c>
      <c r="AG272">
        <f t="shared" si="132"/>
        <v>0.62</v>
      </c>
      <c r="AH272">
        <f t="shared" si="133"/>
        <v>-2.6987010786400312E-2</v>
      </c>
      <c r="AI272">
        <f t="shared" si="145"/>
        <v>34.973012989213601</v>
      </c>
      <c r="AJ272">
        <f t="shared" si="134"/>
        <v>0.35055191332668123</v>
      </c>
      <c r="AK272">
        <f t="shared" si="146"/>
        <v>0</v>
      </c>
      <c r="AM272">
        <f>$B$5*'5 Year Rainfall Simulation'!F273/1000</f>
        <v>0</v>
      </c>
      <c r="AN272">
        <f t="shared" si="135"/>
        <v>0</v>
      </c>
      <c r="AO272">
        <f t="shared" si="136"/>
        <v>0.62</v>
      </c>
      <c r="AP272">
        <f t="shared" si="137"/>
        <v>-0.62</v>
      </c>
      <c r="AQ272">
        <f t="shared" si="147"/>
        <v>31.424328354855486</v>
      </c>
      <c r="AR272">
        <f t="shared" si="138"/>
        <v>0</v>
      </c>
      <c r="AS272">
        <f t="shared" si="148"/>
        <v>0</v>
      </c>
    </row>
    <row r="273" spans="6:45" ht="18" customHeight="1">
      <c r="F273" s="109">
        <v>44830</v>
      </c>
      <c r="G273">
        <f>B$5*'5 Year Rainfall Simulation'!B274/1000</f>
        <v>1.6399999999999997</v>
      </c>
      <c r="H273">
        <f t="shared" si="120"/>
        <v>1.6399999999999997</v>
      </c>
      <c r="I273">
        <f t="shared" si="119"/>
        <v>0.62</v>
      </c>
      <c r="J273">
        <f t="shared" si="121"/>
        <v>1.0199999999999996</v>
      </c>
      <c r="K273">
        <f t="shared" si="139"/>
        <v>17.379999999999995</v>
      </c>
      <c r="L273">
        <f t="shared" si="122"/>
        <v>0.96946466319084246</v>
      </c>
      <c r="M273">
        <f t="shared" si="140"/>
        <v>0</v>
      </c>
      <c r="O273">
        <f>$B$5*'5 Year Rainfall Simulation'!C274/1000</f>
        <v>0</v>
      </c>
      <c r="P273">
        <f t="shared" si="123"/>
        <v>0</v>
      </c>
      <c r="Q273">
        <f t="shared" si="124"/>
        <v>0.62</v>
      </c>
      <c r="R273">
        <f t="shared" si="125"/>
        <v>-0.62</v>
      </c>
      <c r="S273">
        <f t="shared" si="141"/>
        <v>34.080000000000005</v>
      </c>
      <c r="T273">
        <f t="shared" si="126"/>
        <v>0</v>
      </c>
      <c r="U273">
        <f t="shared" si="142"/>
        <v>0</v>
      </c>
      <c r="W273">
        <f>$B$5*'5 Year Rainfall Simulation'!D274/1000</f>
        <v>0</v>
      </c>
      <c r="X273">
        <f t="shared" si="127"/>
        <v>0</v>
      </c>
      <c r="Y273">
        <f t="shared" si="128"/>
        <v>0.62</v>
      </c>
      <c r="Z273">
        <f t="shared" si="129"/>
        <v>-0.62</v>
      </c>
      <c r="AA273">
        <f t="shared" si="143"/>
        <v>32.592541133909535</v>
      </c>
      <c r="AB273">
        <f t="shared" si="130"/>
        <v>0</v>
      </c>
      <c r="AC273">
        <f t="shared" si="144"/>
        <v>0</v>
      </c>
      <c r="AE273">
        <f>$B$5*'5 Year Rainfall Simulation'!E274/1000</f>
        <v>0</v>
      </c>
      <c r="AF273">
        <f t="shared" si="131"/>
        <v>0</v>
      </c>
      <c r="AG273">
        <f t="shared" si="132"/>
        <v>0.62</v>
      </c>
      <c r="AH273">
        <f t="shared" si="133"/>
        <v>-0.62</v>
      </c>
      <c r="AI273">
        <f t="shared" si="145"/>
        <v>34.353012989213603</v>
      </c>
      <c r="AJ273">
        <f t="shared" si="134"/>
        <v>0</v>
      </c>
      <c r="AK273">
        <f t="shared" si="146"/>
        <v>0</v>
      </c>
      <c r="AM273">
        <f>$B$5*'5 Year Rainfall Simulation'!F274/1000</f>
        <v>0</v>
      </c>
      <c r="AN273">
        <f t="shared" si="135"/>
        <v>0</v>
      </c>
      <c r="AO273">
        <f t="shared" si="136"/>
        <v>0.62</v>
      </c>
      <c r="AP273">
        <f t="shared" si="137"/>
        <v>-0.62</v>
      </c>
      <c r="AQ273">
        <f t="shared" si="147"/>
        <v>30.804328354855485</v>
      </c>
      <c r="AR273">
        <f t="shared" si="138"/>
        <v>0</v>
      </c>
      <c r="AS273">
        <f t="shared" si="148"/>
        <v>0</v>
      </c>
    </row>
    <row r="274" spans="6:45" ht="18" customHeight="1">
      <c r="F274" s="109">
        <v>44831</v>
      </c>
      <c r="G274">
        <f>B$5*'5 Year Rainfall Simulation'!B275/1000</f>
        <v>0</v>
      </c>
      <c r="H274">
        <f t="shared" si="120"/>
        <v>0</v>
      </c>
      <c r="I274">
        <f t="shared" si="119"/>
        <v>0.62</v>
      </c>
      <c r="J274">
        <f t="shared" si="121"/>
        <v>-0.62</v>
      </c>
      <c r="K274">
        <f t="shared" si="139"/>
        <v>16.759999999999994</v>
      </c>
      <c r="L274">
        <f t="shared" si="122"/>
        <v>0</v>
      </c>
      <c r="M274">
        <f t="shared" si="140"/>
        <v>0</v>
      </c>
      <c r="O274">
        <f>$B$5*'5 Year Rainfall Simulation'!C275/1000</f>
        <v>0</v>
      </c>
      <c r="P274">
        <f t="shared" si="123"/>
        <v>0</v>
      </c>
      <c r="Q274">
        <f t="shared" si="124"/>
        <v>0.62</v>
      </c>
      <c r="R274">
        <f t="shared" si="125"/>
        <v>-0.62</v>
      </c>
      <c r="S274">
        <f t="shared" si="141"/>
        <v>33.460000000000008</v>
      </c>
      <c r="T274">
        <f t="shared" si="126"/>
        <v>0</v>
      </c>
      <c r="U274">
        <f t="shared" si="142"/>
        <v>0</v>
      </c>
      <c r="W274">
        <f>$B$5*'5 Year Rainfall Simulation'!D275/1000</f>
        <v>0</v>
      </c>
      <c r="X274">
        <f t="shared" si="127"/>
        <v>0</v>
      </c>
      <c r="Y274">
        <f t="shared" si="128"/>
        <v>0.62</v>
      </c>
      <c r="Z274">
        <f t="shared" si="129"/>
        <v>-0.62</v>
      </c>
      <c r="AA274">
        <f t="shared" si="143"/>
        <v>31.972541133909534</v>
      </c>
      <c r="AB274">
        <f t="shared" si="130"/>
        <v>0</v>
      </c>
      <c r="AC274">
        <f t="shared" si="144"/>
        <v>0</v>
      </c>
      <c r="AE274">
        <f>$B$5*'5 Year Rainfall Simulation'!E275/1000</f>
        <v>0</v>
      </c>
      <c r="AF274">
        <f t="shared" si="131"/>
        <v>0</v>
      </c>
      <c r="AG274">
        <f t="shared" si="132"/>
        <v>0.62</v>
      </c>
      <c r="AH274">
        <f t="shared" si="133"/>
        <v>-0.62</v>
      </c>
      <c r="AI274">
        <f t="shared" si="145"/>
        <v>33.733012989213606</v>
      </c>
      <c r="AJ274">
        <f t="shared" si="134"/>
        <v>0</v>
      </c>
      <c r="AK274">
        <f t="shared" si="146"/>
        <v>0</v>
      </c>
      <c r="AM274">
        <f>$B$5*'5 Year Rainfall Simulation'!F275/1000</f>
        <v>1.466177529715091</v>
      </c>
      <c r="AN274">
        <f t="shared" si="135"/>
        <v>1.466177529715091</v>
      </c>
      <c r="AO274">
        <f t="shared" si="136"/>
        <v>0.62</v>
      </c>
      <c r="AP274">
        <f t="shared" si="137"/>
        <v>0.84617752971509097</v>
      </c>
      <c r="AQ274">
        <f t="shared" si="147"/>
        <v>31.650505884570578</v>
      </c>
      <c r="AR274">
        <f t="shared" si="138"/>
        <v>0.86671177135562338</v>
      </c>
      <c r="AS274">
        <f t="shared" si="148"/>
        <v>0</v>
      </c>
    </row>
    <row r="275" spans="6:45" ht="18" customHeight="1">
      <c r="F275" s="109">
        <v>44832</v>
      </c>
      <c r="G275">
        <f>B$5*'5 Year Rainfall Simulation'!B276/1000</f>
        <v>2.48</v>
      </c>
      <c r="H275">
        <f t="shared" si="120"/>
        <v>2.48</v>
      </c>
      <c r="I275">
        <f t="shared" si="119"/>
        <v>0.62</v>
      </c>
      <c r="J275">
        <f t="shared" si="121"/>
        <v>1.8599999999999999</v>
      </c>
      <c r="K275">
        <f t="shared" si="139"/>
        <v>18.619999999999994</v>
      </c>
      <c r="L275">
        <f t="shared" si="122"/>
        <v>1.4660197345812742</v>
      </c>
      <c r="M275">
        <f t="shared" si="140"/>
        <v>0</v>
      </c>
      <c r="O275">
        <f>$B$5*'5 Year Rainfall Simulation'!C276/1000</f>
        <v>0</v>
      </c>
      <c r="P275">
        <f t="shared" si="123"/>
        <v>0</v>
      </c>
      <c r="Q275">
        <f t="shared" si="124"/>
        <v>0.62</v>
      </c>
      <c r="R275">
        <f t="shared" si="125"/>
        <v>-0.62</v>
      </c>
      <c r="S275">
        <f t="shared" si="141"/>
        <v>32.840000000000011</v>
      </c>
      <c r="T275">
        <f t="shared" si="126"/>
        <v>0</v>
      </c>
      <c r="U275">
        <f t="shared" si="142"/>
        <v>0</v>
      </c>
      <c r="W275">
        <f>$B$5*'5 Year Rainfall Simulation'!D276/1000</f>
        <v>2.42693368726033</v>
      </c>
      <c r="X275">
        <f t="shared" si="127"/>
        <v>2.42693368726033</v>
      </c>
      <c r="Y275">
        <f t="shared" si="128"/>
        <v>0.62</v>
      </c>
      <c r="Z275">
        <f t="shared" si="129"/>
        <v>1.8069336872603299</v>
      </c>
      <c r="AA275">
        <f t="shared" si="143"/>
        <v>33.779474821169863</v>
      </c>
      <c r="AB275">
        <f t="shared" si="130"/>
        <v>1.4346502742111862</v>
      </c>
      <c r="AC275">
        <f t="shared" si="144"/>
        <v>0</v>
      </c>
      <c r="AE275">
        <f>$B$5*'5 Year Rainfall Simulation'!E276/1000</f>
        <v>0</v>
      </c>
      <c r="AF275">
        <f t="shared" si="131"/>
        <v>0</v>
      </c>
      <c r="AG275">
        <f t="shared" si="132"/>
        <v>0.62</v>
      </c>
      <c r="AH275">
        <f t="shared" si="133"/>
        <v>-0.62</v>
      </c>
      <c r="AI275">
        <f t="shared" si="145"/>
        <v>33.113012989213608</v>
      </c>
      <c r="AJ275">
        <f t="shared" si="134"/>
        <v>0</v>
      </c>
      <c r="AK275">
        <f t="shared" si="146"/>
        <v>0</v>
      </c>
      <c r="AM275">
        <f>$B$5*'5 Year Rainfall Simulation'!F276/1000</f>
        <v>2.0888257964518102</v>
      </c>
      <c r="AN275">
        <f t="shared" si="135"/>
        <v>2.0888257964518102</v>
      </c>
      <c r="AO275">
        <f t="shared" si="136"/>
        <v>0.62</v>
      </c>
      <c r="AP275">
        <f t="shared" si="137"/>
        <v>1.4688257964518101</v>
      </c>
      <c r="AQ275">
        <f t="shared" si="147"/>
        <v>33.119331681022388</v>
      </c>
      <c r="AR275">
        <f t="shared" si="138"/>
        <v>1.2347821934277425</v>
      </c>
      <c r="AS275">
        <f t="shared" si="148"/>
        <v>0</v>
      </c>
    </row>
    <row r="276" spans="6:45" ht="18" customHeight="1">
      <c r="F276" s="109">
        <v>44833</v>
      </c>
      <c r="G276">
        <f>B$5*'5 Year Rainfall Simulation'!B277/1000</f>
        <v>1.1200000000000001</v>
      </c>
      <c r="H276">
        <f t="shared" si="120"/>
        <v>1.1200000000000001</v>
      </c>
      <c r="I276">
        <f t="shared" si="119"/>
        <v>0.62</v>
      </c>
      <c r="J276">
        <f t="shared" si="121"/>
        <v>0.50000000000000011</v>
      </c>
      <c r="K276">
        <f t="shared" si="139"/>
        <v>19.119999999999994</v>
      </c>
      <c r="L276">
        <f t="shared" si="122"/>
        <v>0.66207342852057549</v>
      </c>
      <c r="M276">
        <f t="shared" si="140"/>
        <v>0</v>
      </c>
      <c r="O276">
        <f>$B$5*'5 Year Rainfall Simulation'!C277/1000</f>
        <v>0</v>
      </c>
      <c r="P276">
        <f t="shared" si="123"/>
        <v>0</v>
      </c>
      <c r="Q276">
        <f t="shared" si="124"/>
        <v>0.62</v>
      </c>
      <c r="R276">
        <f t="shared" si="125"/>
        <v>-0.62</v>
      </c>
      <c r="S276">
        <f t="shared" si="141"/>
        <v>32.220000000000013</v>
      </c>
      <c r="T276">
        <f t="shared" si="126"/>
        <v>0</v>
      </c>
      <c r="U276">
        <f t="shared" si="142"/>
        <v>0</v>
      </c>
      <c r="W276">
        <f>$B$5*'5 Year Rainfall Simulation'!D277/1000</f>
        <v>0</v>
      </c>
      <c r="X276">
        <f t="shared" si="127"/>
        <v>0</v>
      </c>
      <c r="Y276">
        <f t="shared" si="128"/>
        <v>0.62</v>
      </c>
      <c r="Z276">
        <f t="shared" si="129"/>
        <v>-0.62</v>
      </c>
      <c r="AA276">
        <f t="shared" si="143"/>
        <v>33.159474821169866</v>
      </c>
      <c r="AB276">
        <f t="shared" si="130"/>
        <v>0</v>
      </c>
      <c r="AC276">
        <f t="shared" si="144"/>
        <v>0</v>
      </c>
      <c r="AE276">
        <f>$B$5*'5 Year Rainfall Simulation'!E277/1000</f>
        <v>0</v>
      </c>
      <c r="AF276">
        <f t="shared" si="131"/>
        <v>0</v>
      </c>
      <c r="AG276">
        <f t="shared" si="132"/>
        <v>0.62</v>
      </c>
      <c r="AH276">
        <f t="shared" si="133"/>
        <v>-0.62</v>
      </c>
      <c r="AI276">
        <f t="shared" si="145"/>
        <v>32.493012989213611</v>
      </c>
      <c r="AJ276">
        <f t="shared" si="134"/>
        <v>0</v>
      </c>
      <c r="AK276">
        <f t="shared" si="146"/>
        <v>0</v>
      </c>
      <c r="AM276">
        <f>$B$5*'5 Year Rainfall Simulation'!F277/1000</f>
        <v>1.0184102635159438</v>
      </c>
      <c r="AN276">
        <f t="shared" si="135"/>
        <v>1.0184102635159438</v>
      </c>
      <c r="AO276">
        <f t="shared" si="136"/>
        <v>0.62</v>
      </c>
      <c r="AP276">
        <f t="shared" si="137"/>
        <v>0.39841026351594377</v>
      </c>
      <c r="AQ276">
        <f t="shared" si="147"/>
        <v>33.517741944538329</v>
      </c>
      <c r="AR276">
        <f t="shared" si="138"/>
        <v>0.60201997750584246</v>
      </c>
      <c r="AS276">
        <f t="shared" si="148"/>
        <v>0</v>
      </c>
    </row>
    <row r="277" spans="6:45" ht="18" customHeight="1">
      <c r="F277" s="109">
        <v>44834</v>
      </c>
      <c r="G277">
        <f>B$5*'5 Year Rainfall Simulation'!B278/1000</f>
        <v>0</v>
      </c>
      <c r="H277">
        <f t="shared" si="120"/>
        <v>0</v>
      </c>
      <c r="I277">
        <f t="shared" si="119"/>
        <v>0.62</v>
      </c>
      <c r="J277">
        <f t="shared" si="121"/>
        <v>-0.62</v>
      </c>
      <c r="K277">
        <f t="shared" si="139"/>
        <v>18.499999999999993</v>
      </c>
      <c r="L277">
        <f t="shared" si="122"/>
        <v>0</v>
      </c>
      <c r="M277">
        <f t="shared" si="140"/>
        <v>0</v>
      </c>
      <c r="O277">
        <f>$B$5*'5 Year Rainfall Simulation'!C278/1000</f>
        <v>0</v>
      </c>
      <c r="P277">
        <f t="shared" si="123"/>
        <v>0</v>
      </c>
      <c r="Q277">
        <f t="shared" si="124"/>
        <v>0.62</v>
      </c>
      <c r="R277">
        <f t="shared" si="125"/>
        <v>-0.62</v>
      </c>
      <c r="S277">
        <f t="shared" si="141"/>
        <v>31.600000000000012</v>
      </c>
      <c r="T277">
        <f t="shared" si="126"/>
        <v>0</v>
      </c>
      <c r="U277">
        <f t="shared" si="142"/>
        <v>0</v>
      </c>
      <c r="W277">
        <f>$B$5*'5 Year Rainfall Simulation'!D278/1000</f>
        <v>0</v>
      </c>
      <c r="X277">
        <f t="shared" si="127"/>
        <v>0</v>
      </c>
      <c r="Y277">
        <f t="shared" si="128"/>
        <v>0.62</v>
      </c>
      <c r="Z277">
        <f t="shared" si="129"/>
        <v>-0.62</v>
      </c>
      <c r="AA277">
        <f t="shared" si="143"/>
        <v>32.539474821169868</v>
      </c>
      <c r="AB277">
        <f t="shared" si="130"/>
        <v>0</v>
      </c>
      <c r="AC277">
        <f t="shared" si="144"/>
        <v>0</v>
      </c>
      <c r="AE277">
        <f>$B$5*'5 Year Rainfall Simulation'!E278/1000</f>
        <v>0</v>
      </c>
      <c r="AF277">
        <f t="shared" si="131"/>
        <v>0</v>
      </c>
      <c r="AG277">
        <f t="shared" si="132"/>
        <v>0.62</v>
      </c>
      <c r="AH277">
        <f t="shared" si="133"/>
        <v>-0.62</v>
      </c>
      <c r="AI277">
        <f t="shared" si="145"/>
        <v>31.87301298921361</v>
      </c>
      <c r="AJ277">
        <f t="shared" si="134"/>
        <v>0</v>
      </c>
      <c r="AK277">
        <f t="shared" si="146"/>
        <v>0</v>
      </c>
      <c r="AM277">
        <f>$B$5*'5 Year Rainfall Simulation'!F278/1000</f>
        <v>0</v>
      </c>
      <c r="AN277">
        <f t="shared" si="135"/>
        <v>0</v>
      </c>
      <c r="AO277">
        <f t="shared" si="136"/>
        <v>0.62</v>
      </c>
      <c r="AP277">
        <f t="shared" si="137"/>
        <v>-0.62</v>
      </c>
      <c r="AQ277">
        <f t="shared" si="147"/>
        <v>32.897741944538332</v>
      </c>
      <c r="AR277">
        <f t="shared" si="138"/>
        <v>0</v>
      </c>
      <c r="AS277">
        <f t="shared" si="148"/>
        <v>0</v>
      </c>
    </row>
    <row r="278" spans="6:45" ht="18" customHeight="1">
      <c r="F278" s="109">
        <v>44835</v>
      </c>
      <c r="G278">
        <f>B$5*'5 Year Rainfall Simulation'!B279/1000</f>
        <v>0</v>
      </c>
      <c r="H278">
        <f t="shared" si="120"/>
        <v>0</v>
      </c>
      <c r="I278">
        <f t="shared" si="119"/>
        <v>0.62</v>
      </c>
      <c r="J278">
        <f t="shared" si="121"/>
        <v>-0.62</v>
      </c>
      <c r="K278">
        <f t="shared" si="139"/>
        <v>17.879999999999992</v>
      </c>
      <c r="L278">
        <f t="shared" si="122"/>
        <v>0</v>
      </c>
      <c r="M278">
        <f t="shared" si="140"/>
        <v>0</v>
      </c>
      <c r="O278">
        <f>$B$5*'5 Year Rainfall Simulation'!C279/1000</f>
        <v>0</v>
      </c>
      <c r="P278">
        <f t="shared" si="123"/>
        <v>0</v>
      </c>
      <c r="Q278">
        <f t="shared" si="124"/>
        <v>0.62</v>
      </c>
      <c r="R278">
        <f t="shared" si="125"/>
        <v>-0.62</v>
      </c>
      <c r="S278">
        <f t="shared" si="141"/>
        <v>30.980000000000011</v>
      </c>
      <c r="T278">
        <f t="shared" si="126"/>
        <v>0</v>
      </c>
      <c r="U278">
        <f t="shared" si="142"/>
        <v>0</v>
      </c>
      <c r="W278">
        <f>$B$5*'5 Year Rainfall Simulation'!D279/1000</f>
        <v>0</v>
      </c>
      <c r="X278">
        <f t="shared" si="127"/>
        <v>0</v>
      </c>
      <c r="Y278">
        <f t="shared" si="128"/>
        <v>0.62</v>
      </c>
      <c r="Z278">
        <f t="shared" si="129"/>
        <v>-0.62</v>
      </c>
      <c r="AA278">
        <f t="shared" si="143"/>
        <v>31.919474821169867</v>
      </c>
      <c r="AB278">
        <f t="shared" si="130"/>
        <v>0</v>
      </c>
      <c r="AC278">
        <f t="shared" si="144"/>
        <v>0</v>
      </c>
      <c r="AE278">
        <f>$B$5*'5 Year Rainfall Simulation'!E279/1000</f>
        <v>0</v>
      </c>
      <c r="AF278">
        <f t="shared" si="131"/>
        <v>0</v>
      </c>
      <c r="AG278">
        <f t="shared" si="132"/>
        <v>0.62</v>
      </c>
      <c r="AH278">
        <f t="shared" si="133"/>
        <v>-0.62</v>
      </c>
      <c r="AI278">
        <f t="shared" si="145"/>
        <v>31.253012989213609</v>
      </c>
      <c r="AJ278">
        <f t="shared" si="134"/>
        <v>0</v>
      </c>
      <c r="AK278">
        <f t="shared" si="146"/>
        <v>0</v>
      </c>
      <c r="AM278">
        <f>$B$5*'5 Year Rainfall Simulation'!F279/1000</f>
        <v>0.7554467529340676</v>
      </c>
      <c r="AN278">
        <f t="shared" si="135"/>
        <v>0.7554467529340676</v>
      </c>
      <c r="AO278">
        <f t="shared" si="136"/>
        <v>0.62</v>
      </c>
      <c r="AP278">
        <f t="shared" si="137"/>
        <v>0.1354467529340676</v>
      </c>
      <c r="AQ278">
        <f t="shared" si="147"/>
        <v>33.033188697472397</v>
      </c>
      <c r="AR278">
        <f t="shared" si="138"/>
        <v>0.44657251944624482</v>
      </c>
      <c r="AS278">
        <f t="shared" si="148"/>
        <v>0</v>
      </c>
    </row>
    <row r="279" spans="6:45" ht="18" customHeight="1">
      <c r="F279" s="109">
        <v>44836</v>
      </c>
      <c r="G279">
        <f>B$5*'5 Year Rainfall Simulation'!B280/1000</f>
        <v>0</v>
      </c>
      <c r="H279">
        <f t="shared" si="120"/>
        <v>0</v>
      </c>
      <c r="I279">
        <f t="shared" si="119"/>
        <v>0.62</v>
      </c>
      <c r="J279">
        <f t="shared" si="121"/>
        <v>-0.62</v>
      </c>
      <c r="K279">
        <f t="shared" si="139"/>
        <v>17.259999999999991</v>
      </c>
      <c r="L279">
        <f t="shared" si="122"/>
        <v>0</v>
      </c>
      <c r="M279">
        <f t="shared" si="140"/>
        <v>0</v>
      </c>
      <c r="O279">
        <f>$B$5*'5 Year Rainfall Simulation'!C280/1000</f>
        <v>0</v>
      </c>
      <c r="P279">
        <f t="shared" si="123"/>
        <v>0</v>
      </c>
      <c r="Q279">
        <f t="shared" si="124"/>
        <v>0.62</v>
      </c>
      <c r="R279">
        <f t="shared" si="125"/>
        <v>-0.62</v>
      </c>
      <c r="S279">
        <f t="shared" si="141"/>
        <v>30.36000000000001</v>
      </c>
      <c r="T279">
        <f t="shared" si="126"/>
        <v>0</v>
      </c>
      <c r="U279">
        <f t="shared" si="142"/>
        <v>0</v>
      </c>
      <c r="W279">
        <f>$B$5*'5 Year Rainfall Simulation'!D280/1000</f>
        <v>0</v>
      </c>
      <c r="X279">
        <f t="shared" si="127"/>
        <v>0</v>
      </c>
      <c r="Y279">
        <f t="shared" si="128"/>
        <v>0.62</v>
      </c>
      <c r="Z279">
        <f t="shared" si="129"/>
        <v>-0.62</v>
      </c>
      <c r="AA279">
        <f t="shared" si="143"/>
        <v>31.299474821169866</v>
      </c>
      <c r="AB279">
        <f t="shared" si="130"/>
        <v>0</v>
      </c>
      <c r="AC279">
        <f t="shared" si="144"/>
        <v>0</v>
      </c>
      <c r="AE279">
        <f>$B$5*'5 Year Rainfall Simulation'!E280/1000</f>
        <v>0.11304831358274202</v>
      </c>
      <c r="AF279">
        <f t="shared" si="131"/>
        <v>0.11304831358274202</v>
      </c>
      <c r="AG279">
        <f t="shared" si="132"/>
        <v>0.62</v>
      </c>
      <c r="AH279">
        <f t="shared" si="133"/>
        <v>-0.50695168641725796</v>
      </c>
      <c r="AI279">
        <f t="shared" si="145"/>
        <v>30.746061302796353</v>
      </c>
      <c r="AJ279">
        <f t="shared" si="134"/>
        <v>6.6827039787674236E-2</v>
      </c>
      <c r="AK279">
        <f t="shared" si="146"/>
        <v>0</v>
      </c>
      <c r="AM279">
        <f>$B$5*'5 Year Rainfall Simulation'!F280/1000</f>
        <v>0</v>
      </c>
      <c r="AN279">
        <f t="shared" si="135"/>
        <v>0</v>
      </c>
      <c r="AO279">
        <f t="shared" si="136"/>
        <v>0.62</v>
      </c>
      <c r="AP279">
        <f t="shared" si="137"/>
        <v>-0.62</v>
      </c>
      <c r="AQ279">
        <f t="shared" si="147"/>
        <v>32.4131886974724</v>
      </c>
      <c r="AR279">
        <f t="shared" si="138"/>
        <v>0</v>
      </c>
      <c r="AS279">
        <f t="shared" si="148"/>
        <v>0</v>
      </c>
    </row>
    <row r="280" spans="6:45" ht="18" customHeight="1">
      <c r="F280" s="109">
        <v>44837</v>
      </c>
      <c r="G280">
        <f>B$5*'5 Year Rainfall Simulation'!B281/1000</f>
        <v>11.56</v>
      </c>
      <c r="H280">
        <f t="shared" si="120"/>
        <v>10</v>
      </c>
      <c r="I280">
        <f t="shared" si="119"/>
        <v>0.62</v>
      </c>
      <c r="J280">
        <f t="shared" si="121"/>
        <v>9.3800000000000008</v>
      </c>
      <c r="K280">
        <f t="shared" si="139"/>
        <v>26.639999999999993</v>
      </c>
      <c r="L280">
        <f t="shared" si="122"/>
        <v>5.9113698975051374</v>
      </c>
      <c r="M280">
        <f t="shared" si="140"/>
        <v>0</v>
      </c>
      <c r="O280">
        <f>$B$5*'5 Year Rainfall Simulation'!C281/1000</f>
        <v>0</v>
      </c>
      <c r="P280">
        <f t="shared" si="123"/>
        <v>0</v>
      </c>
      <c r="Q280">
        <f t="shared" si="124"/>
        <v>0.62</v>
      </c>
      <c r="R280">
        <f t="shared" si="125"/>
        <v>-0.62</v>
      </c>
      <c r="S280">
        <f t="shared" si="141"/>
        <v>29.740000000000009</v>
      </c>
      <c r="T280">
        <f t="shared" si="126"/>
        <v>0</v>
      </c>
      <c r="U280">
        <f t="shared" si="142"/>
        <v>0</v>
      </c>
      <c r="W280">
        <f>$B$5*'5 Year Rainfall Simulation'!D281/1000</f>
        <v>11.454205661920346</v>
      </c>
      <c r="X280">
        <f t="shared" si="127"/>
        <v>10</v>
      </c>
      <c r="Y280">
        <f t="shared" si="128"/>
        <v>0.62</v>
      </c>
      <c r="Z280">
        <f t="shared" si="129"/>
        <v>9.3800000000000008</v>
      </c>
      <c r="AA280">
        <f t="shared" si="143"/>
        <v>35</v>
      </c>
      <c r="AB280">
        <f t="shared" si="130"/>
        <v>5.9113698975051374</v>
      </c>
      <c r="AC280">
        <f t="shared" si="144"/>
        <v>0</v>
      </c>
      <c r="AE280">
        <f>$B$5*'5 Year Rainfall Simulation'!E281/1000</f>
        <v>0</v>
      </c>
      <c r="AF280">
        <f t="shared" si="131"/>
        <v>0</v>
      </c>
      <c r="AG280">
        <f t="shared" si="132"/>
        <v>0.62</v>
      </c>
      <c r="AH280">
        <f t="shared" si="133"/>
        <v>-0.62</v>
      </c>
      <c r="AI280">
        <f t="shared" si="145"/>
        <v>30.126061302796352</v>
      </c>
      <c r="AJ280">
        <f t="shared" si="134"/>
        <v>0</v>
      </c>
      <c r="AK280">
        <f t="shared" si="146"/>
        <v>0</v>
      </c>
      <c r="AM280">
        <f>$B$5*'5 Year Rainfall Simulation'!F281/1000</f>
        <v>12.369784865582405</v>
      </c>
      <c r="AN280">
        <f t="shared" si="135"/>
        <v>10</v>
      </c>
      <c r="AO280">
        <f t="shared" si="136"/>
        <v>0.62</v>
      </c>
      <c r="AP280">
        <f t="shared" si="137"/>
        <v>9.3800000000000008</v>
      </c>
      <c r="AQ280">
        <f t="shared" si="147"/>
        <v>35</v>
      </c>
      <c r="AR280">
        <f t="shared" si="138"/>
        <v>5.9113698975051374</v>
      </c>
      <c r="AS280">
        <f t="shared" si="148"/>
        <v>0</v>
      </c>
    </row>
    <row r="281" spans="6:45" ht="18" customHeight="1">
      <c r="F281" s="109">
        <v>44838</v>
      </c>
      <c r="G281">
        <f>B$5*'5 Year Rainfall Simulation'!B282/1000</f>
        <v>1.2</v>
      </c>
      <c r="H281">
        <f t="shared" si="120"/>
        <v>1.2</v>
      </c>
      <c r="I281">
        <f t="shared" si="119"/>
        <v>0.62</v>
      </c>
      <c r="J281">
        <f t="shared" si="121"/>
        <v>0.57999999999999996</v>
      </c>
      <c r="K281">
        <f t="shared" si="139"/>
        <v>27.219999999999992</v>
      </c>
      <c r="L281">
        <f t="shared" si="122"/>
        <v>0.70936438770061649</v>
      </c>
      <c r="M281">
        <f t="shared" si="140"/>
        <v>0</v>
      </c>
      <c r="O281">
        <f>$B$5*'5 Year Rainfall Simulation'!C282/1000</f>
        <v>0</v>
      </c>
      <c r="P281">
        <f t="shared" si="123"/>
        <v>0</v>
      </c>
      <c r="Q281">
        <f t="shared" si="124"/>
        <v>0.62</v>
      </c>
      <c r="R281">
        <f t="shared" si="125"/>
        <v>-0.62</v>
      </c>
      <c r="S281">
        <f t="shared" si="141"/>
        <v>29.120000000000008</v>
      </c>
      <c r="T281">
        <f t="shared" si="126"/>
        <v>0</v>
      </c>
      <c r="U281">
        <f t="shared" si="142"/>
        <v>0</v>
      </c>
      <c r="W281">
        <f>$B$5*'5 Year Rainfall Simulation'!D282/1000</f>
        <v>0.78117760230275235</v>
      </c>
      <c r="X281">
        <f t="shared" si="127"/>
        <v>0.78117760230275235</v>
      </c>
      <c r="Y281">
        <f t="shared" si="128"/>
        <v>0.62</v>
      </c>
      <c r="Z281">
        <f t="shared" si="129"/>
        <v>0.16117760230275235</v>
      </c>
      <c r="AA281">
        <f t="shared" si="143"/>
        <v>35</v>
      </c>
      <c r="AB281">
        <f t="shared" si="130"/>
        <v>0.46178297628577303</v>
      </c>
      <c r="AC281">
        <f t="shared" si="144"/>
        <v>0</v>
      </c>
      <c r="AE281">
        <f>$B$5*'5 Year Rainfall Simulation'!E282/1000</f>
        <v>1.580183225424922</v>
      </c>
      <c r="AF281">
        <f t="shared" si="131"/>
        <v>1.580183225424922</v>
      </c>
      <c r="AG281">
        <f t="shared" si="132"/>
        <v>0.62</v>
      </c>
      <c r="AH281">
        <f t="shared" si="133"/>
        <v>0.96018322542492196</v>
      </c>
      <c r="AI281">
        <f t="shared" si="145"/>
        <v>31.086244528221272</v>
      </c>
      <c r="AJ281">
        <f t="shared" si="134"/>
        <v>0.93410475513194591</v>
      </c>
      <c r="AK281">
        <f t="shared" si="146"/>
        <v>0</v>
      </c>
      <c r="AM281">
        <f>$B$5*'5 Year Rainfall Simulation'!F282/1000</f>
        <v>0</v>
      </c>
      <c r="AN281">
        <f t="shared" si="135"/>
        <v>0</v>
      </c>
      <c r="AO281">
        <f t="shared" si="136"/>
        <v>0.62</v>
      </c>
      <c r="AP281">
        <f t="shared" si="137"/>
        <v>-0.62</v>
      </c>
      <c r="AQ281">
        <f t="shared" si="147"/>
        <v>34.380000000000003</v>
      </c>
      <c r="AR281">
        <f t="shared" si="138"/>
        <v>0</v>
      </c>
      <c r="AS281">
        <f t="shared" si="148"/>
        <v>0</v>
      </c>
    </row>
    <row r="282" spans="6:45" ht="18" customHeight="1">
      <c r="F282" s="109">
        <v>44839</v>
      </c>
      <c r="G282">
        <f>B$5*'5 Year Rainfall Simulation'!B283/1000</f>
        <v>1.8399999999999999</v>
      </c>
      <c r="H282">
        <f t="shared" si="120"/>
        <v>1.8399999999999999</v>
      </c>
      <c r="I282">
        <f t="shared" si="119"/>
        <v>0.62</v>
      </c>
      <c r="J282">
        <f t="shared" si="121"/>
        <v>1.2199999999999998</v>
      </c>
      <c r="K282">
        <f t="shared" si="139"/>
        <v>28.439999999999991</v>
      </c>
      <c r="L282">
        <f t="shared" si="122"/>
        <v>1.0876920611409453</v>
      </c>
      <c r="M282">
        <f t="shared" si="140"/>
        <v>0</v>
      </c>
      <c r="O282">
        <f>$B$5*'5 Year Rainfall Simulation'!C283/1000</f>
        <v>0</v>
      </c>
      <c r="P282">
        <f t="shared" si="123"/>
        <v>0</v>
      </c>
      <c r="Q282">
        <f t="shared" si="124"/>
        <v>0.62</v>
      </c>
      <c r="R282">
        <f t="shared" si="125"/>
        <v>-0.62</v>
      </c>
      <c r="S282">
        <f t="shared" si="141"/>
        <v>28.500000000000007</v>
      </c>
      <c r="T282">
        <f t="shared" si="126"/>
        <v>0</v>
      </c>
      <c r="U282">
        <f t="shared" si="142"/>
        <v>0</v>
      </c>
      <c r="W282">
        <f>$B$5*'5 Year Rainfall Simulation'!D283/1000</f>
        <v>2.1410441269996316</v>
      </c>
      <c r="X282">
        <f t="shared" si="127"/>
        <v>2.1410441269996316</v>
      </c>
      <c r="Y282">
        <f t="shared" si="128"/>
        <v>0.62</v>
      </c>
      <c r="Z282">
        <f t="shared" si="129"/>
        <v>1.5210441269996315</v>
      </c>
      <c r="AA282">
        <f t="shared" si="143"/>
        <v>35</v>
      </c>
      <c r="AB282">
        <f t="shared" si="130"/>
        <v>1.2656503801575789</v>
      </c>
      <c r="AC282">
        <f t="shared" si="144"/>
        <v>0</v>
      </c>
      <c r="AE282">
        <f>$B$5*'5 Year Rainfall Simulation'!E283/1000</f>
        <v>1.7071055475079295</v>
      </c>
      <c r="AF282">
        <f t="shared" si="131"/>
        <v>1.7071055475079295</v>
      </c>
      <c r="AG282">
        <f t="shared" si="132"/>
        <v>0.62</v>
      </c>
      <c r="AH282">
        <f t="shared" si="133"/>
        <v>1.0871055475079294</v>
      </c>
      <c r="AI282">
        <f t="shared" si="145"/>
        <v>32.173350075729203</v>
      </c>
      <c r="AJ282">
        <f t="shared" si="134"/>
        <v>1.0091332345402402</v>
      </c>
      <c r="AK282">
        <f t="shared" si="146"/>
        <v>0</v>
      </c>
      <c r="AM282">
        <f>$B$5*'5 Year Rainfall Simulation'!F283/1000</f>
        <v>2.1990123914315216</v>
      </c>
      <c r="AN282">
        <f t="shared" si="135"/>
        <v>2.1990123914315216</v>
      </c>
      <c r="AO282">
        <f t="shared" si="136"/>
        <v>0.62</v>
      </c>
      <c r="AP282">
        <f t="shared" si="137"/>
        <v>1.5790123914315215</v>
      </c>
      <c r="AQ282">
        <f t="shared" si="147"/>
        <v>35</v>
      </c>
      <c r="AR282">
        <f t="shared" si="138"/>
        <v>1.2999175654949082</v>
      </c>
      <c r="AS282">
        <f t="shared" si="148"/>
        <v>0</v>
      </c>
    </row>
    <row r="283" spans="6:45" ht="18" customHeight="1">
      <c r="F283" s="109">
        <v>44840</v>
      </c>
      <c r="G283">
        <f>B$5*'5 Year Rainfall Simulation'!B284/1000</f>
        <v>0.08</v>
      </c>
      <c r="H283">
        <f t="shared" si="120"/>
        <v>0.08</v>
      </c>
      <c r="I283">
        <f t="shared" si="119"/>
        <v>0.62</v>
      </c>
      <c r="J283">
        <f t="shared" si="121"/>
        <v>-0.54</v>
      </c>
      <c r="K283">
        <f t="shared" si="139"/>
        <v>27.899999999999991</v>
      </c>
      <c r="L283">
        <f t="shared" si="122"/>
        <v>4.7290959180041101E-2</v>
      </c>
      <c r="M283">
        <f t="shared" si="140"/>
        <v>0</v>
      </c>
      <c r="O283">
        <f>$B$5*'5 Year Rainfall Simulation'!C284/1000</f>
        <v>0.8</v>
      </c>
      <c r="P283">
        <f t="shared" si="123"/>
        <v>0.8</v>
      </c>
      <c r="Q283">
        <f t="shared" si="124"/>
        <v>0.62</v>
      </c>
      <c r="R283">
        <f t="shared" si="125"/>
        <v>0.18000000000000005</v>
      </c>
      <c r="S283">
        <f t="shared" si="141"/>
        <v>28.680000000000007</v>
      </c>
      <c r="T283">
        <f t="shared" si="126"/>
        <v>0.47290959180041103</v>
      </c>
      <c r="U283">
        <f t="shared" si="142"/>
        <v>0</v>
      </c>
      <c r="W283">
        <f>$B$5*'5 Year Rainfall Simulation'!D284/1000</f>
        <v>1.3962587295406692</v>
      </c>
      <c r="X283">
        <f t="shared" si="127"/>
        <v>1.3962587295406692</v>
      </c>
      <c r="Y283">
        <f t="shared" si="128"/>
        <v>0.62</v>
      </c>
      <c r="Z283">
        <f t="shared" si="129"/>
        <v>0.77625872954066921</v>
      </c>
      <c r="AA283">
        <f t="shared" si="143"/>
        <v>35</v>
      </c>
      <c r="AB283">
        <f t="shared" si="130"/>
        <v>0.82538018229354793</v>
      </c>
      <c r="AC283">
        <f t="shared" si="144"/>
        <v>0</v>
      </c>
      <c r="AE283">
        <f>$B$5*'5 Year Rainfall Simulation'!E284/1000</f>
        <v>0</v>
      </c>
      <c r="AF283">
        <f t="shared" si="131"/>
        <v>0</v>
      </c>
      <c r="AG283">
        <f t="shared" si="132"/>
        <v>0.62</v>
      </c>
      <c r="AH283">
        <f t="shared" si="133"/>
        <v>-0.62</v>
      </c>
      <c r="AI283">
        <f t="shared" si="145"/>
        <v>31.553350075729202</v>
      </c>
      <c r="AJ283">
        <f t="shared" si="134"/>
        <v>0</v>
      </c>
      <c r="AK283">
        <f t="shared" si="146"/>
        <v>0</v>
      </c>
      <c r="AM283">
        <f>$B$5*'5 Year Rainfall Simulation'!F284/1000</f>
        <v>0</v>
      </c>
      <c r="AN283">
        <f t="shared" si="135"/>
        <v>0</v>
      </c>
      <c r="AO283">
        <f t="shared" si="136"/>
        <v>0.62</v>
      </c>
      <c r="AP283">
        <f t="shared" si="137"/>
        <v>-0.62</v>
      </c>
      <c r="AQ283">
        <f t="shared" si="147"/>
        <v>34.380000000000003</v>
      </c>
      <c r="AR283">
        <f t="shared" si="138"/>
        <v>0</v>
      </c>
      <c r="AS283">
        <f t="shared" si="148"/>
        <v>0</v>
      </c>
    </row>
    <row r="284" spans="6:45" ht="18" customHeight="1">
      <c r="F284" s="109">
        <v>44841</v>
      </c>
      <c r="G284">
        <f>B$5*'5 Year Rainfall Simulation'!B285/1000</f>
        <v>0</v>
      </c>
      <c r="H284">
        <f t="shared" si="120"/>
        <v>0</v>
      </c>
      <c r="I284">
        <f t="shared" si="119"/>
        <v>0.62</v>
      </c>
      <c r="J284">
        <f t="shared" si="121"/>
        <v>-0.62</v>
      </c>
      <c r="K284">
        <f t="shared" si="139"/>
        <v>27.27999999999999</v>
      </c>
      <c r="L284">
        <f t="shared" si="122"/>
        <v>0</v>
      </c>
      <c r="M284">
        <f t="shared" si="140"/>
        <v>0</v>
      </c>
      <c r="O284">
        <f>$B$5*'5 Year Rainfall Simulation'!C285/1000</f>
        <v>3.12</v>
      </c>
      <c r="P284">
        <f t="shared" si="123"/>
        <v>3.12</v>
      </c>
      <c r="Q284">
        <f t="shared" si="124"/>
        <v>0.62</v>
      </c>
      <c r="R284">
        <f t="shared" si="125"/>
        <v>2.5</v>
      </c>
      <c r="S284">
        <f t="shared" si="141"/>
        <v>31.180000000000007</v>
      </c>
      <c r="T284">
        <f t="shared" si="126"/>
        <v>1.8443474080216031</v>
      </c>
      <c r="U284">
        <f t="shared" si="142"/>
        <v>0</v>
      </c>
      <c r="W284">
        <f>$B$5*'5 Year Rainfall Simulation'!D285/1000</f>
        <v>0</v>
      </c>
      <c r="X284">
        <f t="shared" si="127"/>
        <v>0</v>
      </c>
      <c r="Y284">
        <f t="shared" si="128"/>
        <v>0.62</v>
      </c>
      <c r="Z284">
        <f t="shared" si="129"/>
        <v>-0.62</v>
      </c>
      <c r="AA284">
        <f t="shared" si="143"/>
        <v>34.380000000000003</v>
      </c>
      <c r="AB284">
        <f t="shared" si="130"/>
        <v>0</v>
      </c>
      <c r="AC284">
        <f t="shared" si="144"/>
        <v>0</v>
      </c>
      <c r="AE284">
        <f>$B$5*'5 Year Rainfall Simulation'!E285/1000</f>
        <v>1.938347192120299</v>
      </c>
      <c r="AF284">
        <f t="shared" si="131"/>
        <v>1.938347192120299</v>
      </c>
      <c r="AG284">
        <f t="shared" si="132"/>
        <v>0.62</v>
      </c>
      <c r="AH284">
        <f t="shared" si="133"/>
        <v>1.3183471921202989</v>
      </c>
      <c r="AI284">
        <f t="shared" si="145"/>
        <v>32.871697267849498</v>
      </c>
      <c r="AJ284">
        <f t="shared" si="134"/>
        <v>1.1458287242413543</v>
      </c>
      <c r="AK284">
        <f t="shared" si="146"/>
        <v>0</v>
      </c>
      <c r="AM284">
        <f>$B$5*'5 Year Rainfall Simulation'!F285/1000</f>
        <v>1.2039932605828503</v>
      </c>
      <c r="AN284">
        <f t="shared" si="135"/>
        <v>1.2039932605828503</v>
      </c>
      <c r="AO284">
        <f t="shared" si="136"/>
        <v>0.62</v>
      </c>
      <c r="AP284">
        <f t="shared" si="137"/>
        <v>0.58399326058285028</v>
      </c>
      <c r="AQ284">
        <f t="shared" si="147"/>
        <v>34.963993260582853</v>
      </c>
      <c r="AR284">
        <f t="shared" si="138"/>
        <v>0.71172495174085204</v>
      </c>
      <c r="AS284">
        <f t="shared" si="148"/>
        <v>0</v>
      </c>
    </row>
    <row r="285" spans="6:45" ht="18" customHeight="1">
      <c r="F285" s="109">
        <v>44842</v>
      </c>
      <c r="G285">
        <f>B$5*'5 Year Rainfall Simulation'!B286/1000</f>
        <v>0.28000000000000003</v>
      </c>
      <c r="H285">
        <f t="shared" si="120"/>
        <v>0.28000000000000003</v>
      </c>
      <c r="I285">
        <f t="shared" si="119"/>
        <v>0.62</v>
      </c>
      <c r="J285">
        <f t="shared" si="121"/>
        <v>-0.33999999999999997</v>
      </c>
      <c r="K285">
        <f t="shared" si="139"/>
        <v>26.939999999999991</v>
      </c>
      <c r="L285">
        <f t="shared" si="122"/>
        <v>0.16551835713014387</v>
      </c>
      <c r="M285">
        <f t="shared" si="140"/>
        <v>0</v>
      </c>
      <c r="O285">
        <f>$B$5*'5 Year Rainfall Simulation'!C286/1000</f>
        <v>1.8399999999999999</v>
      </c>
      <c r="P285">
        <f t="shared" si="123"/>
        <v>1.8399999999999999</v>
      </c>
      <c r="Q285">
        <f t="shared" si="124"/>
        <v>0.62</v>
      </c>
      <c r="R285">
        <f t="shared" si="125"/>
        <v>1.2199999999999998</v>
      </c>
      <c r="S285">
        <f t="shared" si="141"/>
        <v>32.400000000000006</v>
      </c>
      <c r="T285">
        <f t="shared" si="126"/>
        <v>1.0876920611409453</v>
      </c>
      <c r="U285">
        <f t="shared" si="142"/>
        <v>0</v>
      </c>
      <c r="W285">
        <f>$B$5*'5 Year Rainfall Simulation'!D286/1000</f>
        <v>0</v>
      </c>
      <c r="X285">
        <f t="shared" si="127"/>
        <v>0</v>
      </c>
      <c r="Y285">
        <f t="shared" si="128"/>
        <v>0.62</v>
      </c>
      <c r="Z285">
        <f t="shared" si="129"/>
        <v>-0.62</v>
      </c>
      <c r="AA285">
        <f t="shared" si="143"/>
        <v>33.760000000000005</v>
      </c>
      <c r="AB285">
        <f t="shared" si="130"/>
        <v>0</v>
      </c>
      <c r="AC285">
        <f t="shared" si="144"/>
        <v>0</v>
      </c>
      <c r="AE285">
        <f>$B$5*'5 Year Rainfall Simulation'!E286/1000</f>
        <v>0</v>
      </c>
      <c r="AF285">
        <f t="shared" si="131"/>
        <v>0</v>
      </c>
      <c r="AG285">
        <f t="shared" si="132"/>
        <v>0.62</v>
      </c>
      <c r="AH285">
        <f t="shared" si="133"/>
        <v>-0.62</v>
      </c>
      <c r="AI285">
        <f t="shared" si="145"/>
        <v>32.251697267849501</v>
      </c>
      <c r="AJ285">
        <f t="shared" si="134"/>
        <v>0</v>
      </c>
      <c r="AK285">
        <f t="shared" si="146"/>
        <v>0</v>
      </c>
      <c r="AM285">
        <f>$B$5*'5 Year Rainfall Simulation'!F286/1000</f>
        <v>0</v>
      </c>
      <c r="AN285">
        <f t="shared" si="135"/>
        <v>0</v>
      </c>
      <c r="AO285">
        <f t="shared" si="136"/>
        <v>0.62</v>
      </c>
      <c r="AP285">
        <f t="shared" si="137"/>
        <v>-0.62</v>
      </c>
      <c r="AQ285">
        <f t="shared" si="147"/>
        <v>34.343993260582856</v>
      </c>
      <c r="AR285">
        <f t="shared" si="138"/>
        <v>0</v>
      </c>
      <c r="AS285">
        <f t="shared" si="148"/>
        <v>0</v>
      </c>
    </row>
    <row r="286" spans="6:45" ht="18" customHeight="1">
      <c r="F286" s="109">
        <v>44843</v>
      </c>
      <c r="G286">
        <f>B$5*'5 Year Rainfall Simulation'!B287/1000</f>
        <v>0.36</v>
      </c>
      <c r="H286">
        <f t="shared" si="120"/>
        <v>0.36</v>
      </c>
      <c r="I286">
        <f t="shared" si="119"/>
        <v>0.62</v>
      </c>
      <c r="J286">
        <f t="shared" si="121"/>
        <v>-0.26</v>
      </c>
      <c r="K286">
        <f t="shared" si="139"/>
        <v>26.679999999999989</v>
      </c>
      <c r="L286">
        <f t="shared" si="122"/>
        <v>0.21280931631018496</v>
      </c>
      <c r="M286">
        <f t="shared" si="140"/>
        <v>0</v>
      </c>
      <c r="O286">
        <f>$B$5*'5 Year Rainfall Simulation'!C287/1000</f>
        <v>5.28</v>
      </c>
      <c r="P286">
        <f t="shared" si="123"/>
        <v>5.28</v>
      </c>
      <c r="Q286">
        <f t="shared" si="124"/>
        <v>0.62</v>
      </c>
      <c r="R286">
        <f t="shared" si="125"/>
        <v>4.66</v>
      </c>
      <c r="S286">
        <f t="shared" si="141"/>
        <v>35</v>
      </c>
      <c r="T286">
        <f t="shared" si="126"/>
        <v>3.1212033058827129</v>
      </c>
      <c r="U286">
        <f t="shared" si="142"/>
        <v>0</v>
      </c>
      <c r="W286">
        <f>$B$5*'5 Year Rainfall Simulation'!D287/1000</f>
        <v>2.0449772115954556</v>
      </c>
      <c r="X286">
        <f t="shared" si="127"/>
        <v>2.0449772115954556</v>
      </c>
      <c r="Y286">
        <f t="shared" si="128"/>
        <v>0.62</v>
      </c>
      <c r="Z286">
        <f t="shared" si="129"/>
        <v>1.4249772115954555</v>
      </c>
      <c r="AA286">
        <f t="shared" si="143"/>
        <v>35</v>
      </c>
      <c r="AB286">
        <f t="shared" si="130"/>
        <v>1.2088616729709372</v>
      </c>
      <c r="AC286">
        <f t="shared" si="144"/>
        <v>0</v>
      </c>
      <c r="AE286">
        <f>$B$5*'5 Year Rainfall Simulation'!E287/1000</f>
        <v>6.6788248291511483</v>
      </c>
      <c r="AF286">
        <f t="shared" si="131"/>
        <v>6.6788248291511483</v>
      </c>
      <c r="AG286">
        <f t="shared" si="132"/>
        <v>0.62</v>
      </c>
      <c r="AH286">
        <f t="shared" si="133"/>
        <v>6.0588248291511482</v>
      </c>
      <c r="AI286">
        <f t="shared" si="145"/>
        <v>35</v>
      </c>
      <c r="AJ286">
        <f t="shared" si="134"/>
        <v>3.9481004045753991</v>
      </c>
      <c r="AK286">
        <f t="shared" si="146"/>
        <v>0</v>
      </c>
      <c r="AM286">
        <f>$B$5*'5 Year Rainfall Simulation'!F287/1000</f>
        <v>2.5453861465985783</v>
      </c>
      <c r="AN286">
        <f t="shared" si="135"/>
        <v>2.5453861465985783</v>
      </c>
      <c r="AO286">
        <f t="shared" si="136"/>
        <v>0.62</v>
      </c>
      <c r="AP286">
        <f t="shared" si="137"/>
        <v>1.9253861465985782</v>
      </c>
      <c r="AQ286">
        <f t="shared" si="147"/>
        <v>35</v>
      </c>
      <c r="AR286">
        <f t="shared" si="138"/>
        <v>1.5046719044529435</v>
      </c>
      <c r="AS286">
        <f t="shared" si="148"/>
        <v>0</v>
      </c>
    </row>
    <row r="287" spans="6:45" ht="18" customHeight="1">
      <c r="F287" s="109">
        <v>44844</v>
      </c>
      <c r="G287">
        <f>B$5*'5 Year Rainfall Simulation'!B288/1000</f>
        <v>3.56</v>
      </c>
      <c r="H287">
        <f t="shared" si="120"/>
        <v>3.56</v>
      </c>
      <c r="I287">
        <f t="shared" si="119"/>
        <v>0.62</v>
      </c>
      <c r="J287">
        <f t="shared" si="121"/>
        <v>2.94</v>
      </c>
      <c r="K287">
        <f t="shared" si="139"/>
        <v>29.61999999999999</v>
      </c>
      <c r="L287">
        <f t="shared" si="122"/>
        <v>2.1044476835118289</v>
      </c>
      <c r="M287">
        <f t="shared" si="140"/>
        <v>0</v>
      </c>
      <c r="O287">
        <f>$B$5*'5 Year Rainfall Simulation'!C288/1000</f>
        <v>5.4</v>
      </c>
      <c r="P287">
        <f t="shared" si="123"/>
        <v>5.4</v>
      </c>
      <c r="Q287">
        <f t="shared" si="124"/>
        <v>0.62</v>
      </c>
      <c r="R287">
        <f t="shared" si="125"/>
        <v>4.78</v>
      </c>
      <c r="S287">
        <f t="shared" si="141"/>
        <v>35</v>
      </c>
      <c r="T287">
        <f t="shared" si="126"/>
        <v>3.1921397446527746</v>
      </c>
      <c r="U287">
        <f t="shared" si="142"/>
        <v>0</v>
      </c>
      <c r="W287">
        <f>$B$5*'5 Year Rainfall Simulation'!D288/1000</f>
        <v>1.2354620055366317</v>
      </c>
      <c r="X287">
        <f t="shared" si="127"/>
        <v>1.2354620055366317</v>
      </c>
      <c r="Y287">
        <f t="shared" si="128"/>
        <v>0.62</v>
      </c>
      <c r="Z287">
        <f t="shared" si="129"/>
        <v>0.61546200553663166</v>
      </c>
      <c r="AA287">
        <f t="shared" si="143"/>
        <v>35</v>
      </c>
      <c r="AB287">
        <f t="shared" si="130"/>
        <v>0.73032729090405701</v>
      </c>
      <c r="AC287">
        <f t="shared" si="144"/>
        <v>0</v>
      </c>
      <c r="AE287">
        <f>$B$5*'5 Year Rainfall Simulation'!E288/1000</f>
        <v>4.8374390655523074</v>
      </c>
      <c r="AF287">
        <f t="shared" si="131"/>
        <v>4.8374390655523074</v>
      </c>
      <c r="AG287">
        <f t="shared" si="132"/>
        <v>0.62</v>
      </c>
      <c r="AH287">
        <f t="shared" si="133"/>
        <v>4.2174390655523073</v>
      </c>
      <c r="AI287">
        <f t="shared" si="145"/>
        <v>35</v>
      </c>
      <c r="AJ287">
        <f t="shared" si="134"/>
        <v>2.8595891673121292</v>
      </c>
      <c r="AK287">
        <f t="shared" si="146"/>
        <v>0</v>
      </c>
      <c r="AM287">
        <f>$B$5*'5 Year Rainfall Simulation'!F288/1000</f>
        <v>0.76351359125244123</v>
      </c>
      <c r="AN287">
        <f t="shared" si="135"/>
        <v>0.76351359125244123</v>
      </c>
      <c r="AO287">
        <f t="shared" si="136"/>
        <v>0.62</v>
      </c>
      <c r="AP287">
        <f t="shared" si="137"/>
        <v>0.14351359125244123</v>
      </c>
      <c r="AQ287">
        <f t="shared" si="147"/>
        <v>35</v>
      </c>
      <c r="AR287">
        <f t="shared" si="138"/>
        <v>0.45134112596657233</v>
      </c>
      <c r="AS287">
        <f t="shared" si="148"/>
        <v>0</v>
      </c>
    </row>
    <row r="288" spans="6:45" ht="18" customHeight="1">
      <c r="F288" s="109">
        <v>44845</v>
      </c>
      <c r="G288">
        <f>B$5*'5 Year Rainfall Simulation'!B289/1000</f>
        <v>3.08</v>
      </c>
      <c r="H288">
        <f t="shared" si="120"/>
        <v>3.08</v>
      </c>
      <c r="I288">
        <f t="shared" si="119"/>
        <v>0.62</v>
      </c>
      <c r="J288">
        <f t="shared" si="121"/>
        <v>2.46</v>
      </c>
      <c r="K288">
        <f t="shared" si="139"/>
        <v>32.079999999999991</v>
      </c>
      <c r="L288">
        <f t="shared" si="122"/>
        <v>1.8207019284315824</v>
      </c>
      <c r="M288">
        <f t="shared" si="140"/>
        <v>0</v>
      </c>
      <c r="O288">
        <f>$B$5*'5 Year Rainfall Simulation'!C289/1000</f>
        <v>7.52</v>
      </c>
      <c r="P288">
        <f t="shared" si="123"/>
        <v>7.52</v>
      </c>
      <c r="Q288">
        <f t="shared" si="124"/>
        <v>0.62</v>
      </c>
      <c r="R288">
        <f t="shared" si="125"/>
        <v>6.8999999999999995</v>
      </c>
      <c r="S288">
        <f t="shared" si="141"/>
        <v>35</v>
      </c>
      <c r="T288">
        <f t="shared" si="126"/>
        <v>4.4453501629238632</v>
      </c>
      <c r="U288">
        <f t="shared" si="142"/>
        <v>0</v>
      </c>
      <c r="W288">
        <f>$B$5*'5 Year Rainfall Simulation'!D289/1000</f>
        <v>2.249566561306644</v>
      </c>
      <c r="X288">
        <f t="shared" si="127"/>
        <v>2.249566561306644</v>
      </c>
      <c r="Y288">
        <f t="shared" si="128"/>
        <v>0.62</v>
      </c>
      <c r="Z288">
        <f t="shared" si="129"/>
        <v>1.6295665613066439</v>
      </c>
      <c r="AA288">
        <f t="shared" si="143"/>
        <v>35</v>
      </c>
      <c r="AB288">
        <f t="shared" si="130"/>
        <v>1.3298020052942241</v>
      </c>
      <c r="AC288">
        <f t="shared" si="144"/>
        <v>0</v>
      </c>
      <c r="AE288">
        <f>$B$5*'5 Year Rainfall Simulation'!E289/1000</f>
        <v>4.8552823736271673</v>
      </c>
      <c r="AF288">
        <f t="shared" si="131"/>
        <v>4.8552823736271673</v>
      </c>
      <c r="AG288">
        <f t="shared" si="132"/>
        <v>0.62</v>
      </c>
      <c r="AH288">
        <f t="shared" si="133"/>
        <v>4.2352823736271672</v>
      </c>
      <c r="AI288">
        <f t="shared" si="145"/>
        <v>35</v>
      </c>
      <c r="AJ288">
        <f t="shared" si="134"/>
        <v>2.870137006734693</v>
      </c>
      <c r="AK288">
        <f t="shared" si="146"/>
        <v>0</v>
      </c>
      <c r="AM288">
        <f>$B$5*'5 Year Rainfall Simulation'!F289/1000</f>
        <v>0.79234571529281506</v>
      </c>
      <c r="AN288">
        <f t="shared" si="135"/>
        <v>0.79234571529281506</v>
      </c>
      <c r="AO288">
        <f t="shared" si="136"/>
        <v>0.62</v>
      </c>
      <c r="AP288">
        <f t="shared" si="137"/>
        <v>0.17234571529281506</v>
      </c>
      <c r="AQ288">
        <f t="shared" si="147"/>
        <v>35</v>
      </c>
      <c r="AR288">
        <f t="shared" si="138"/>
        <v>0.46838486097991233</v>
      </c>
      <c r="AS288">
        <f t="shared" si="148"/>
        <v>0</v>
      </c>
    </row>
    <row r="289" spans="6:45" ht="18" customHeight="1">
      <c r="F289" s="109">
        <v>44846</v>
      </c>
      <c r="G289">
        <f>B$5*'5 Year Rainfall Simulation'!B290/1000</f>
        <v>6.6</v>
      </c>
      <c r="H289">
        <f t="shared" si="120"/>
        <v>6.6</v>
      </c>
      <c r="I289">
        <f t="shared" si="119"/>
        <v>0.62</v>
      </c>
      <c r="J289">
        <f t="shared" si="121"/>
        <v>5.9799999999999995</v>
      </c>
      <c r="K289">
        <f t="shared" si="139"/>
        <v>35</v>
      </c>
      <c r="L289">
        <f t="shared" si="122"/>
        <v>3.9015041323533906</v>
      </c>
      <c r="M289">
        <f t="shared" si="140"/>
        <v>0</v>
      </c>
      <c r="O289">
        <f>$B$5*'5 Year Rainfall Simulation'!C290/1000</f>
        <v>0.16</v>
      </c>
      <c r="P289">
        <f t="shared" si="123"/>
        <v>0.16</v>
      </c>
      <c r="Q289">
        <f t="shared" si="124"/>
        <v>0.62</v>
      </c>
      <c r="R289">
        <f t="shared" si="125"/>
        <v>-0.45999999999999996</v>
      </c>
      <c r="S289">
        <f t="shared" si="141"/>
        <v>34.54</v>
      </c>
      <c r="T289">
        <f t="shared" si="126"/>
        <v>9.4581918360082201E-2</v>
      </c>
      <c r="U289">
        <f t="shared" si="142"/>
        <v>0</v>
      </c>
      <c r="W289">
        <f>$B$5*'5 Year Rainfall Simulation'!D290/1000</f>
        <v>3.8360181776035263</v>
      </c>
      <c r="X289">
        <f t="shared" si="127"/>
        <v>3.8360181776035263</v>
      </c>
      <c r="Y289">
        <f t="shared" si="128"/>
        <v>0.62</v>
      </c>
      <c r="Z289">
        <f t="shared" si="129"/>
        <v>3.2160181776035262</v>
      </c>
      <c r="AA289">
        <f t="shared" si="143"/>
        <v>35</v>
      </c>
      <c r="AB289">
        <f t="shared" si="130"/>
        <v>2.2676122381368002</v>
      </c>
      <c r="AC289">
        <f t="shared" si="144"/>
        <v>0</v>
      </c>
      <c r="AE289">
        <f>$B$5*'5 Year Rainfall Simulation'!E290/1000</f>
        <v>0</v>
      </c>
      <c r="AF289">
        <f t="shared" si="131"/>
        <v>0</v>
      </c>
      <c r="AG289">
        <f t="shared" si="132"/>
        <v>0.62</v>
      </c>
      <c r="AH289">
        <f t="shared" si="133"/>
        <v>-0.62</v>
      </c>
      <c r="AI289">
        <f t="shared" si="145"/>
        <v>34.380000000000003</v>
      </c>
      <c r="AJ289">
        <f t="shared" si="134"/>
        <v>0</v>
      </c>
      <c r="AK289">
        <f t="shared" si="146"/>
        <v>0</v>
      </c>
      <c r="AM289">
        <f>$B$5*'5 Year Rainfall Simulation'!F290/1000</f>
        <v>2.3397501945228822</v>
      </c>
      <c r="AN289">
        <f t="shared" si="135"/>
        <v>2.3397501945228822</v>
      </c>
      <c r="AO289">
        <f t="shared" si="136"/>
        <v>0.62</v>
      </c>
      <c r="AP289">
        <f t="shared" si="137"/>
        <v>1.7197501945228821</v>
      </c>
      <c r="AQ289">
        <f t="shared" si="147"/>
        <v>35</v>
      </c>
      <c r="AR289">
        <f t="shared" si="138"/>
        <v>1.3831128867584357</v>
      </c>
      <c r="AS289">
        <f t="shared" si="148"/>
        <v>0</v>
      </c>
    </row>
    <row r="290" spans="6:45" ht="18" customHeight="1">
      <c r="F290" s="109">
        <v>44847</v>
      </c>
      <c r="G290">
        <f>B$5*'5 Year Rainfall Simulation'!B291/1000</f>
        <v>6.28</v>
      </c>
      <c r="H290">
        <f t="shared" si="120"/>
        <v>6.28</v>
      </c>
      <c r="I290">
        <f t="shared" si="119"/>
        <v>0.62</v>
      </c>
      <c r="J290">
        <f t="shared" si="121"/>
        <v>5.66</v>
      </c>
      <c r="K290">
        <f t="shared" si="139"/>
        <v>35</v>
      </c>
      <c r="L290">
        <f t="shared" si="122"/>
        <v>3.7123402956332265</v>
      </c>
      <c r="M290">
        <f t="shared" si="140"/>
        <v>0</v>
      </c>
      <c r="O290">
        <f>$B$5*'5 Year Rainfall Simulation'!C291/1000</f>
        <v>0.12</v>
      </c>
      <c r="P290">
        <f t="shared" si="123"/>
        <v>0.12</v>
      </c>
      <c r="Q290">
        <f t="shared" si="124"/>
        <v>0.62</v>
      </c>
      <c r="R290">
        <f t="shared" si="125"/>
        <v>-0.5</v>
      </c>
      <c r="S290">
        <f t="shared" si="141"/>
        <v>34.04</v>
      </c>
      <c r="T290">
        <f t="shared" si="126"/>
        <v>7.0936438770061644E-2</v>
      </c>
      <c r="U290">
        <f t="shared" si="142"/>
        <v>0</v>
      </c>
      <c r="W290">
        <f>$B$5*'5 Year Rainfall Simulation'!D291/1000</f>
        <v>3.8635553062684642</v>
      </c>
      <c r="X290">
        <f t="shared" si="127"/>
        <v>3.8635553062684642</v>
      </c>
      <c r="Y290">
        <f t="shared" si="128"/>
        <v>0.62</v>
      </c>
      <c r="Z290">
        <f t="shared" si="129"/>
        <v>3.2435553062684641</v>
      </c>
      <c r="AA290">
        <f t="shared" si="143"/>
        <v>35</v>
      </c>
      <c r="AB290">
        <f t="shared" si="130"/>
        <v>2.2838904534821642</v>
      </c>
      <c r="AC290">
        <f t="shared" si="144"/>
        <v>0</v>
      </c>
      <c r="AE290">
        <f>$B$5*'5 Year Rainfall Simulation'!E291/1000</f>
        <v>0</v>
      </c>
      <c r="AF290">
        <f t="shared" si="131"/>
        <v>0</v>
      </c>
      <c r="AG290">
        <f t="shared" si="132"/>
        <v>0.62</v>
      </c>
      <c r="AH290">
        <f t="shared" si="133"/>
        <v>-0.62</v>
      </c>
      <c r="AI290">
        <f t="shared" si="145"/>
        <v>33.760000000000005</v>
      </c>
      <c r="AJ290">
        <f t="shared" si="134"/>
        <v>0</v>
      </c>
      <c r="AK290">
        <f t="shared" si="146"/>
        <v>0</v>
      </c>
      <c r="AM290">
        <f>$B$5*'5 Year Rainfall Simulation'!F291/1000</f>
        <v>1.964257851661106</v>
      </c>
      <c r="AN290">
        <f t="shared" si="135"/>
        <v>1.964257851661106</v>
      </c>
      <c r="AO290">
        <f t="shared" si="136"/>
        <v>0.62</v>
      </c>
      <c r="AP290">
        <f t="shared" si="137"/>
        <v>1.3442578516611059</v>
      </c>
      <c r="AQ290">
        <f t="shared" si="147"/>
        <v>35</v>
      </c>
      <c r="AR290">
        <f t="shared" si="138"/>
        <v>1.1611454735247575</v>
      </c>
      <c r="AS290">
        <f t="shared" si="148"/>
        <v>0</v>
      </c>
    </row>
    <row r="291" spans="6:45" ht="18" customHeight="1">
      <c r="F291" s="109">
        <v>44848</v>
      </c>
      <c r="G291">
        <f>B$5*'5 Year Rainfall Simulation'!B292/1000</f>
        <v>5.68</v>
      </c>
      <c r="H291">
        <f t="shared" si="120"/>
        <v>5.68</v>
      </c>
      <c r="I291">
        <f t="shared" si="119"/>
        <v>0.62</v>
      </c>
      <c r="J291">
        <f t="shared" si="121"/>
        <v>5.0599999999999996</v>
      </c>
      <c r="K291">
        <f t="shared" si="139"/>
        <v>35</v>
      </c>
      <c r="L291">
        <f t="shared" si="122"/>
        <v>3.3576581017829179</v>
      </c>
      <c r="M291">
        <f t="shared" si="140"/>
        <v>0</v>
      </c>
      <c r="O291">
        <f>$B$5*'5 Year Rainfall Simulation'!C292/1000</f>
        <v>0</v>
      </c>
      <c r="P291">
        <f t="shared" si="123"/>
        <v>0</v>
      </c>
      <c r="Q291">
        <f t="shared" si="124"/>
        <v>0.62</v>
      </c>
      <c r="R291">
        <f t="shared" si="125"/>
        <v>-0.62</v>
      </c>
      <c r="S291">
        <f t="shared" si="141"/>
        <v>33.42</v>
      </c>
      <c r="T291">
        <f t="shared" si="126"/>
        <v>0</v>
      </c>
      <c r="U291">
        <f t="shared" si="142"/>
        <v>0</v>
      </c>
      <c r="W291">
        <f>$B$5*'5 Year Rainfall Simulation'!D292/1000</f>
        <v>4.1247835351029902</v>
      </c>
      <c r="X291">
        <f t="shared" si="127"/>
        <v>4.1247835351029902</v>
      </c>
      <c r="Y291">
        <f t="shared" si="128"/>
        <v>0.62</v>
      </c>
      <c r="Z291">
        <f t="shared" si="129"/>
        <v>3.5047835351029901</v>
      </c>
      <c r="AA291">
        <f t="shared" si="143"/>
        <v>35</v>
      </c>
      <c r="AB291">
        <f t="shared" si="130"/>
        <v>2.4383121223132642</v>
      </c>
      <c r="AC291">
        <f t="shared" si="144"/>
        <v>0</v>
      </c>
      <c r="AE291">
        <f>$B$5*'5 Year Rainfall Simulation'!E292/1000</f>
        <v>0</v>
      </c>
      <c r="AF291">
        <f t="shared" si="131"/>
        <v>0</v>
      </c>
      <c r="AG291">
        <f t="shared" si="132"/>
        <v>0.62</v>
      </c>
      <c r="AH291">
        <f t="shared" si="133"/>
        <v>-0.62</v>
      </c>
      <c r="AI291">
        <f t="shared" si="145"/>
        <v>33.140000000000008</v>
      </c>
      <c r="AJ291">
        <f t="shared" si="134"/>
        <v>0</v>
      </c>
      <c r="AK291">
        <f t="shared" si="146"/>
        <v>0</v>
      </c>
      <c r="AM291">
        <f>$B$5*'5 Year Rainfall Simulation'!F292/1000</f>
        <v>4.1591738200890758</v>
      </c>
      <c r="AN291">
        <f t="shared" si="135"/>
        <v>4.1591738200890758</v>
      </c>
      <c r="AO291">
        <f t="shared" si="136"/>
        <v>0.62</v>
      </c>
      <c r="AP291">
        <f t="shared" si="137"/>
        <v>3.5391738200890757</v>
      </c>
      <c r="AQ291">
        <f t="shared" si="147"/>
        <v>35</v>
      </c>
      <c r="AR291">
        <f t="shared" si="138"/>
        <v>2.4586414918566013</v>
      </c>
      <c r="AS291">
        <f t="shared" si="148"/>
        <v>0</v>
      </c>
    </row>
    <row r="292" spans="6:45" ht="18" customHeight="1">
      <c r="F292" s="109">
        <v>44849</v>
      </c>
      <c r="G292">
        <f>B$5*'5 Year Rainfall Simulation'!B293/1000</f>
        <v>1.28</v>
      </c>
      <c r="H292">
        <f t="shared" si="120"/>
        <v>1.28</v>
      </c>
      <c r="I292">
        <f t="shared" ref="I292:I355" si="149">$B$4</f>
        <v>0.62</v>
      </c>
      <c r="J292">
        <f t="shared" si="121"/>
        <v>0.66</v>
      </c>
      <c r="K292">
        <f t="shared" si="139"/>
        <v>35</v>
      </c>
      <c r="L292">
        <f t="shared" si="122"/>
        <v>0.75665534688065761</v>
      </c>
      <c r="M292">
        <f t="shared" si="140"/>
        <v>0</v>
      </c>
      <c r="O292">
        <f>$B$5*'5 Year Rainfall Simulation'!C293/1000</f>
        <v>0</v>
      </c>
      <c r="P292">
        <f t="shared" si="123"/>
        <v>0</v>
      </c>
      <c r="Q292">
        <f t="shared" si="124"/>
        <v>0.62</v>
      </c>
      <c r="R292">
        <f t="shared" si="125"/>
        <v>-0.62</v>
      </c>
      <c r="S292">
        <f t="shared" si="141"/>
        <v>32.800000000000004</v>
      </c>
      <c r="T292">
        <f t="shared" si="126"/>
        <v>0</v>
      </c>
      <c r="U292">
        <f t="shared" si="142"/>
        <v>0</v>
      </c>
      <c r="W292">
        <f>$B$5*'5 Year Rainfall Simulation'!D293/1000</f>
        <v>5.0467863779156713E-2</v>
      </c>
      <c r="X292">
        <f t="shared" si="127"/>
        <v>5.0467863779156713E-2</v>
      </c>
      <c r="Y292">
        <f t="shared" si="128"/>
        <v>0.62</v>
      </c>
      <c r="Z292">
        <f t="shared" si="129"/>
        <v>-0.56953213622084331</v>
      </c>
      <c r="AA292">
        <f t="shared" si="143"/>
        <v>34.430467863779157</v>
      </c>
      <c r="AB292">
        <f t="shared" si="130"/>
        <v>2.9833421073549686E-2</v>
      </c>
      <c r="AC292">
        <f t="shared" si="144"/>
        <v>0</v>
      </c>
      <c r="AE292">
        <f>$B$5*'5 Year Rainfall Simulation'!E293/1000</f>
        <v>1.6370943884379452</v>
      </c>
      <c r="AF292">
        <f t="shared" si="131"/>
        <v>1.6370943884379452</v>
      </c>
      <c r="AG292">
        <f t="shared" si="132"/>
        <v>0.62</v>
      </c>
      <c r="AH292">
        <f t="shared" si="133"/>
        <v>1.0170943884379451</v>
      </c>
      <c r="AI292">
        <f t="shared" si="145"/>
        <v>34.157094388437955</v>
      </c>
      <c r="AJ292">
        <f t="shared" si="134"/>
        <v>0.96774704871866524</v>
      </c>
      <c r="AK292">
        <f t="shared" si="146"/>
        <v>0</v>
      </c>
      <c r="AM292">
        <f>$B$5*'5 Year Rainfall Simulation'!F293/1000</f>
        <v>0.89699942382366282</v>
      </c>
      <c r="AN292">
        <f t="shared" si="135"/>
        <v>0.89699942382366282</v>
      </c>
      <c r="AO292">
        <f t="shared" si="136"/>
        <v>0.62</v>
      </c>
      <c r="AP292">
        <f t="shared" si="137"/>
        <v>0.27699942382366283</v>
      </c>
      <c r="AQ292">
        <f t="shared" si="147"/>
        <v>35</v>
      </c>
      <c r="AR292">
        <f t="shared" si="138"/>
        <v>0.5302495392070653</v>
      </c>
      <c r="AS292">
        <f t="shared" si="148"/>
        <v>0</v>
      </c>
    </row>
    <row r="293" spans="6:45" ht="18" customHeight="1">
      <c r="F293" s="109">
        <v>44850</v>
      </c>
      <c r="G293">
        <f>B$5*'5 Year Rainfall Simulation'!B294/1000</f>
        <v>3.44</v>
      </c>
      <c r="H293">
        <f t="shared" si="120"/>
        <v>3.44</v>
      </c>
      <c r="I293">
        <f t="shared" si="149"/>
        <v>0.62</v>
      </c>
      <c r="J293">
        <f t="shared" si="121"/>
        <v>2.82</v>
      </c>
      <c r="K293">
        <f t="shared" si="139"/>
        <v>35</v>
      </c>
      <c r="L293">
        <f t="shared" si="122"/>
        <v>2.0335112447417671</v>
      </c>
      <c r="M293">
        <f t="shared" si="140"/>
        <v>0</v>
      </c>
      <c r="O293">
        <f>$B$5*'5 Year Rainfall Simulation'!C294/1000</f>
        <v>2.84</v>
      </c>
      <c r="P293">
        <f t="shared" si="123"/>
        <v>2.84</v>
      </c>
      <c r="Q293">
        <f t="shared" si="124"/>
        <v>0.62</v>
      </c>
      <c r="R293">
        <f t="shared" si="125"/>
        <v>2.2199999999999998</v>
      </c>
      <c r="S293">
        <f t="shared" si="141"/>
        <v>35</v>
      </c>
      <c r="T293">
        <f t="shared" si="126"/>
        <v>1.678829050891459</v>
      </c>
      <c r="U293">
        <f t="shared" si="142"/>
        <v>0</v>
      </c>
      <c r="W293">
        <f>$B$5*'5 Year Rainfall Simulation'!D294/1000</f>
        <v>5.1571722428047524</v>
      </c>
      <c r="X293">
        <f t="shared" si="127"/>
        <v>5.1571722428047524</v>
      </c>
      <c r="Y293">
        <f t="shared" si="128"/>
        <v>0.62</v>
      </c>
      <c r="Z293">
        <f t="shared" si="129"/>
        <v>4.5371722428047523</v>
      </c>
      <c r="AA293">
        <f t="shared" si="143"/>
        <v>35</v>
      </c>
      <c r="AB293">
        <f t="shared" si="130"/>
        <v>3.0485952752365071</v>
      </c>
      <c r="AC293">
        <f t="shared" si="144"/>
        <v>0</v>
      </c>
      <c r="AE293">
        <f>$B$5*'5 Year Rainfall Simulation'!E294/1000</f>
        <v>3.0711326625935005</v>
      </c>
      <c r="AF293">
        <f t="shared" si="131"/>
        <v>3.0711326625935005</v>
      </c>
      <c r="AG293">
        <f t="shared" si="132"/>
        <v>0.62</v>
      </c>
      <c r="AH293">
        <f t="shared" si="133"/>
        <v>2.4511326625935004</v>
      </c>
      <c r="AI293">
        <f t="shared" si="145"/>
        <v>35</v>
      </c>
      <c r="AJ293">
        <f t="shared" si="134"/>
        <v>1.8154601172900022</v>
      </c>
      <c r="AK293">
        <f t="shared" si="146"/>
        <v>0</v>
      </c>
      <c r="AM293">
        <f>$B$5*'5 Year Rainfall Simulation'!F294/1000</f>
        <v>4.5631725980107625</v>
      </c>
      <c r="AN293">
        <f t="shared" si="135"/>
        <v>4.5631725980107625</v>
      </c>
      <c r="AO293">
        <f t="shared" si="136"/>
        <v>0.62</v>
      </c>
      <c r="AP293">
        <f t="shared" si="137"/>
        <v>3.9431725980107624</v>
      </c>
      <c r="AQ293">
        <f t="shared" si="147"/>
        <v>35</v>
      </c>
      <c r="AR293">
        <f t="shared" si="138"/>
        <v>2.6974601133001133</v>
      </c>
      <c r="AS293">
        <f t="shared" si="148"/>
        <v>0</v>
      </c>
    </row>
    <row r="294" spans="6:45" ht="18" customHeight="1">
      <c r="F294" s="109">
        <v>44851</v>
      </c>
      <c r="G294">
        <f>B$5*'5 Year Rainfall Simulation'!B295/1000</f>
        <v>5.4</v>
      </c>
      <c r="H294">
        <f t="shared" si="120"/>
        <v>5.4</v>
      </c>
      <c r="I294">
        <f t="shared" si="149"/>
        <v>0.62</v>
      </c>
      <c r="J294">
        <f t="shared" si="121"/>
        <v>4.78</v>
      </c>
      <c r="K294">
        <f t="shared" si="139"/>
        <v>35</v>
      </c>
      <c r="L294">
        <f t="shared" si="122"/>
        <v>3.1921397446527746</v>
      </c>
      <c r="M294">
        <f t="shared" si="140"/>
        <v>0</v>
      </c>
      <c r="O294">
        <f>$B$5*'5 Year Rainfall Simulation'!C295/1000</f>
        <v>1.28</v>
      </c>
      <c r="P294">
        <f t="shared" si="123"/>
        <v>1.28</v>
      </c>
      <c r="Q294">
        <f t="shared" si="124"/>
        <v>0.62</v>
      </c>
      <c r="R294">
        <f t="shared" si="125"/>
        <v>0.66</v>
      </c>
      <c r="S294">
        <f t="shared" si="141"/>
        <v>35</v>
      </c>
      <c r="T294">
        <f t="shared" si="126"/>
        <v>0.75665534688065761</v>
      </c>
      <c r="U294">
        <f t="shared" si="142"/>
        <v>0</v>
      </c>
      <c r="W294">
        <f>$B$5*'5 Year Rainfall Simulation'!D295/1000</f>
        <v>6.8863727025374146</v>
      </c>
      <c r="X294">
        <f t="shared" si="127"/>
        <v>6.8863727025374146</v>
      </c>
      <c r="Y294">
        <f t="shared" si="128"/>
        <v>0.62</v>
      </c>
      <c r="Z294">
        <f t="shared" si="129"/>
        <v>6.2663727025374145</v>
      </c>
      <c r="AA294">
        <f t="shared" si="143"/>
        <v>35</v>
      </c>
      <c r="AB294">
        <f t="shared" si="130"/>
        <v>4.0707896296780772</v>
      </c>
      <c r="AC294">
        <f t="shared" si="144"/>
        <v>0</v>
      </c>
      <c r="AE294">
        <f>$B$5*'5 Year Rainfall Simulation'!E295/1000</f>
        <v>2.397620006441584</v>
      </c>
      <c r="AF294">
        <f t="shared" si="131"/>
        <v>2.397620006441584</v>
      </c>
      <c r="AG294">
        <f t="shared" si="132"/>
        <v>0.62</v>
      </c>
      <c r="AH294">
        <f t="shared" si="133"/>
        <v>1.7776200064415839</v>
      </c>
      <c r="AI294">
        <f t="shared" si="145"/>
        <v>35</v>
      </c>
      <c r="AJ294">
        <f t="shared" si="134"/>
        <v>1.4173218731734853</v>
      </c>
      <c r="AK294">
        <f t="shared" si="146"/>
        <v>0</v>
      </c>
      <c r="AM294">
        <f>$B$5*'5 Year Rainfall Simulation'!F295/1000</f>
        <v>7.8695199294154872</v>
      </c>
      <c r="AN294">
        <f t="shared" si="135"/>
        <v>7.8695199294154872</v>
      </c>
      <c r="AO294">
        <f t="shared" si="136"/>
        <v>0.62</v>
      </c>
      <c r="AP294">
        <f t="shared" si="137"/>
        <v>7.2495199294154871</v>
      </c>
      <c r="AQ294">
        <f t="shared" si="147"/>
        <v>35</v>
      </c>
      <c r="AR294">
        <f t="shared" si="138"/>
        <v>4.6519643218563465</v>
      </c>
      <c r="AS294">
        <f t="shared" si="148"/>
        <v>0</v>
      </c>
    </row>
    <row r="295" spans="6:45" ht="18" customHeight="1">
      <c r="F295" s="109">
        <v>44852</v>
      </c>
      <c r="G295">
        <f>B$5*'5 Year Rainfall Simulation'!B296/1000</f>
        <v>3.36</v>
      </c>
      <c r="H295">
        <f t="shared" si="120"/>
        <v>3.36</v>
      </c>
      <c r="I295">
        <f t="shared" si="149"/>
        <v>0.62</v>
      </c>
      <c r="J295">
        <f t="shared" si="121"/>
        <v>2.7399999999999998</v>
      </c>
      <c r="K295">
        <f t="shared" si="139"/>
        <v>35</v>
      </c>
      <c r="L295">
        <f t="shared" si="122"/>
        <v>1.9862202855617261</v>
      </c>
      <c r="M295">
        <f t="shared" si="140"/>
        <v>0</v>
      </c>
      <c r="O295">
        <f>$B$5*'5 Year Rainfall Simulation'!C296/1000</f>
        <v>4.68</v>
      </c>
      <c r="P295">
        <f t="shared" si="123"/>
        <v>4.68</v>
      </c>
      <c r="Q295">
        <f t="shared" si="124"/>
        <v>0.62</v>
      </c>
      <c r="R295">
        <f t="shared" si="125"/>
        <v>4.0599999999999996</v>
      </c>
      <c r="S295">
        <f t="shared" si="141"/>
        <v>35</v>
      </c>
      <c r="T295">
        <f t="shared" si="126"/>
        <v>2.7665211120324043</v>
      </c>
      <c r="U295">
        <f t="shared" si="142"/>
        <v>0</v>
      </c>
      <c r="W295">
        <f>$B$5*'5 Year Rainfall Simulation'!D296/1000</f>
        <v>1.0614310951522055</v>
      </c>
      <c r="X295">
        <f t="shared" si="127"/>
        <v>1.0614310951522055</v>
      </c>
      <c r="Y295">
        <f t="shared" si="128"/>
        <v>0.62</v>
      </c>
      <c r="Z295">
        <f t="shared" si="129"/>
        <v>0.44143109515220547</v>
      </c>
      <c r="AA295">
        <f t="shared" si="143"/>
        <v>35</v>
      </c>
      <c r="AB295">
        <f t="shared" si="130"/>
        <v>0.62745118241586584</v>
      </c>
      <c r="AC295">
        <f t="shared" si="144"/>
        <v>0</v>
      </c>
      <c r="AE295">
        <f>$B$5*'5 Year Rainfall Simulation'!E296/1000</f>
        <v>2.6749299265188102</v>
      </c>
      <c r="AF295">
        <f t="shared" si="131"/>
        <v>2.6749299265188102</v>
      </c>
      <c r="AG295">
        <f t="shared" si="132"/>
        <v>0.62</v>
      </c>
      <c r="AH295">
        <f t="shared" si="133"/>
        <v>2.0549299265188101</v>
      </c>
      <c r="AI295">
        <f t="shared" si="145"/>
        <v>35</v>
      </c>
      <c r="AJ295">
        <f t="shared" si="134"/>
        <v>1.5812500245558925</v>
      </c>
      <c r="AK295">
        <f t="shared" si="146"/>
        <v>0</v>
      </c>
      <c r="AM295">
        <f>$B$5*'5 Year Rainfall Simulation'!F296/1000</f>
        <v>0</v>
      </c>
      <c r="AN295">
        <f t="shared" si="135"/>
        <v>0</v>
      </c>
      <c r="AO295">
        <f t="shared" si="136"/>
        <v>0.62</v>
      </c>
      <c r="AP295">
        <f t="shared" si="137"/>
        <v>-0.62</v>
      </c>
      <c r="AQ295">
        <f t="shared" si="147"/>
        <v>34.380000000000003</v>
      </c>
      <c r="AR295">
        <f t="shared" si="138"/>
        <v>0</v>
      </c>
      <c r="AS295">
        <f t="shared" si="148"/>
        <v>0</v>
      </c>
    </row>
    <row r="296" spans="6:45" ht="18" customHeight="1">
      <c r="F296" s="109">
        <v>44853</v>
      </c>
      <c r="G296">
        <f>B$5*'5 Year Rainfall Simulation'!B297/1000</f>
        <v>9.24</v>
      </c>
      <c r="H296">
        <f t="shared" si="120"/>
        <v>9.24</v>
      </c>
      <c r="I296">
        <f t="shared" si="149"/>
        <v>0.62</v>
      </c>
      <c r="J296">
        <f t="shared" si="121"/>
        <v>8.620000000000001</v>
      </c>
      <c r="K296">
        <f t="shared" si="139"/>
        <v>35</v>
      </c>
      <c r="L296">
        <f t="shared" si="122"/>
        <v>5.4621057852947477</v>
      </c>
      <c r="M296">
        <f t="shared" si="140"/>
        <v>0</v>
      </c>
      <c r="O296">
        <f>$B$5*'5 Year Rainfall Simulation'!C297/1000</f>
        <v>0.12</v>
      </c>
      <c r="P296">
        <f t="shared" si="123"/>
        <v>0.12</v>
      </c>
      <c r="Q296">
        <f t="shared" si="124"/>
        <v>0.62</v>
      </c>
      <c r="R296">
        <f t="shared" si="125"/>
        <v>-0.5</v>
      </c>
      <c r="S296">
        <f t="shared" si="141"/>
        <v>34.5</v>
      </c>
      <c r="T296">
        <f t="shared" si="126"/>
        <v>7.0936438770061644E-2</v>
      </c>
      <c r="U296">
        <f t="shared" si="142"/>
        <v>0</v>
      </c>
      <c r="W296">
        <f>$B$5*'5 Year Rainfall Simulation'!D297/1000</f>
        <v>6.6112048059199937</v>
      </c>
      <c r="X296">
        <f t="shared" si="127"/>
        <v>6.6112048059199937</v>
      </c>
      <c r="Y296">
        <f t="shared" si="128"/>
        <v>0.62</v>
      </c>
      <c r="Z296">
        <f t="shared" si="129"/>
        <v>5.9912048059199936</v>
      </c>
      <c r="AA296">
        <f t="shared" si="143"/>
        <v>35</v>
      </c>
      <c r="AB296">
        <f t="shared" si="130"/>
        <v>3.9081277075956748</v>
      </c>
      <c r="AC296">
        <f t="shared" si="144"/>
        <v>0</v>
      </c>
      <c r="AE296">
        <f>$B$5*'5 Year Rainfall Simulation'!E297/1000</f>
        <v>0</v>
      </c>
      <c r="AF296">
        <f t="shared" si="131"/>
        <v>0</v>
      </c>
      <c r="AG296">
        <f t="shared" si="132"/>
        <v>0.62</v>
      </c>
      <c r="AH296">
        <f t="shared" si="133"/>
        <v>-0.62</v>
      </c>
      <c r="AI296">
        <f t="shared" si="145"/>
        <v>34.380000000000003</v>
      </c>
      <c r="AJ296">
        <f t="shared" si="134"/>
        <v>0</v>
      </c>
      <c r="AK296">
        <f t="shared" si="146"/>
        <v>0</v>
      </c>
      <c r="AM296">
        <f>$B$5*'5 Year Rainfall Simulation'!F297/1000</f>
        <v>4.6001709026145683</v>
      </c>
      <c r="AN296">
        <f t="shared" si="135"/>
        <v>4.6001709026145683</v>
      </c>
      <c r="AO296">
        <f t="shared" si="136"/>
        <v>0.62</v>
      </c>
      <c r="AP296">
        <f t="shared" si="137"/>
        <v>3.9801709026145682</v>
      </c>
      <c r="AQ296">
        <f t="shared" si="147"/>
        <v>35</v>
      </c>
      <c r="AR296">
        <f t="shared" si="138"/>
        <v>2.7193311797094797</v>
      </c>
      <c r="AS296">
        <f t="shared" si="148"/>
        <v>0</v>
      </c>
    </row>
    <row r="297" spans="6:45" ht="18" customHeight="1">
      <c r="F297" s="109">
        <v>44854</v>
      </c>
      <c r="G297">
        <f>B$5*'5 Year Rainfall Simulation'!B298/1000</f>
        <v>2.16</v>
      </c>
      <c r="H297">
        <f t="shared" si="120"/>
        <v>2.16</v>
      </c>
      <c r="I297">
        <f t="shared" si="149"/>
        <v>0.62</v>
      </c>
      <c r="J297">
        <f t="shared" si="121"/>
        <v>1.54</v>
      </c>
      <c r="K297">
        <f t="shared" si="139"/>
        <v>35</v>
      </c>
      <c r="L297">
        <f t="shared" si="122"/>
        <v>1.2768558978611098</v>
      </c>
      <c r="M297">
        <f t="shared" si="140"/>
        <v>0</v>
      </c>
      <c r="O297">
        <f>$B$5*'5 Year Rainfall Simulation'!C298/1000</f>
        <v>2.0399999999999996</v>
      </c>
      <c r="P297">
        <f t="shared" si="123"/>
        <v>2.0399999999999996</v>
      </c>
      <c r="Q297">
        <f t="shared" si="124"/>
        <v>0.62</v>
      </c>
      <c r="R297">
        <f t="shared" si="125"/>
        <v>1.4199999999999995</v>
      </c>
      <c r="S297">
        <f t="shared" si="141"/>
        <v>35</v>
      </c>
      <c r="T297">
        <f t="shared" si="126"/>
        <v>1.2059194590910478</v>
      </c>
      <c r="U297">
        <f t="shared" si="142"/>
        <v>0</v>
      </c>
      <c r="W297">
        <f>$B$5*'5 Year Rainfall Simulation'!D298/1000</f>
        <v>0</v>
      </c>
      <c r="X297">
        <f t="shared" si="127"/>
        <v>0</v>
      </c>
      <c r="Y297">
        <f t="shared" si="128"/>
        <v>0.62</v>
      </c>
      <c r="Z297">
        <f t="shared" si="129"/>
        <v>-0.62</v>
      </c>
      <c r="AA297">
        <f t="shared" si="143"/>
        <v>34.380000000000003</v>
      </c>
      <c r="AB297">
        <f t="shared" si="130"/>
        <v>0</v>
      </c>
      <c r="AC297">
        <f t="shared" si="144"/>
        <v>0</v>
      </c>
      <c r="AE297">
        <f>$B$5*'5 Year Rainfall Simulation'!E298/1000</f>
        <v>0</v>
      </c>
      <c r="AF297">
        <f t="shared" si="131"/>
        <v>0</v>
      </c>
      <c r="AG297">
        <f t="shared" si="132"/>
        <v>0.62</v>
      </c>
      <c r="AH297">
        <f t="shared" si="133"/>
        <v>-0.62</v>
      </c>
      <c r="AI297">
        <f t="shared" si="145"/>
        <v>33.760000000000005</v>
      </c>
      <c r="AJ297">
        <f t="shared" si="134"/>
        <v>0</v>
      </c>
      <c r="AK297">
        <f t="shared" si="146"/>
        <v>0</v>
      </c>
      <c r="AM297">
        <f>$B$5*'5 Year Rainfall Simulation'!F298/1000</f>
        <v>1.7619583513563206</v>
      </c>
      <c r="AN297">
        <f t="shared" si="135"/>
        <v>1.7619583513563206</v>
      </c>
      <c r="AO297">
        <f t="shared" si="136"/>
        <v>0.62</v>
      </c>
      <c r="AP297">
        <f t="shared" si="137"/>
        <v>1.1419583513563207</v>
      </c>
      <c r="AQ297">
        <f t="shared" si="147"/>
        <v>35</v>
      </c>
      <c r="AR297">
        <f t="shared" si="138"/>
        <v>1.0415587558865536</v>
      </c>
      <c r="AS297">
        <f t="shared" si="148"/>
        <v>0</v>
      </c>
    </row>
    <row r="298" spans="6:45" ht="18" customHeight="1">
      <c r="F298" s="109">
        <v>44855</v>
      </c>
      <c r="G298">
        <f>B$5*'5 Year Rainfall Simulation'!B299/1000</f>
        <v>8.0400000000000009</v>
      </c>
      <c r="H298">
        <f t="shared" si="120"/>
        <v>8.0400000000000009</v>
      </c>
      <c r="I298">
        <f t="shared" si="149"/>
        <v>0.62</v>
      </c>
      <c r="J298">
        <f t="shared" si="121"/>
        <v>7.4200000000000008</v>
      </c>
      <c r="K298">
        <f t="shared" si="139"/>
        <v>35</v>
      </c>
      <c r="L298">
        <f t="shared" si="122"/>
        <v>4.7527413975941313</v>
      </c>
      <c r="M298">
        <f t="shared" si="140"/>
        <v>0</v>
      </c>
      <c r="O298">
        <f>$B$5*'5 Year Rainfall Simulation'!C299/1000</f>
        <v>0.8</v>
      </c>
      <c r="P298">
        <f t="shared" si="123"/>
        <v>0.8</v>
      </c>
      <c r="Q298">
        <f t="shared" si="124"/>
        <v>0.62</v>
      </c>
      <c r="R298">
        <f t="shared" si="125"/>
        <v>0.18000000000000005</v>
      </c>
      <c r="S298">
        <f t="shared" si="141"/>
        <v>35</v>
      </c>
      <c r="T298">
        <f t="shared" si="126"/>
        <v>0.47290959180041103</v>
      </c>
      <c r="U298">
        <f t="shared" si="142"/>
        <v>0</v>
      </c>
      <c r="W298">
        <f>$B$5*'5 Year Rainfall Simulation'!D299/1000</f>
        <v>5.1278551023917238</v>
      </c>
      <c r="X298">
        <f t="shared" si="127"/>
        <v>5.1278551023917238</v>
      </c>
      <c r="Y298">
        <f t="shared" si="128"/>
        <v>0.62</v>
      </c>
      <c r="Z298">
        <f t="shared" si="129"/>
        <v>4.5078551023917237</v>
      </c>
      <c r="AA298">
        <f t="shared" si="143"/>
        <v>35</v>
      </c>
      <c r="AB298">
        <f t="shared" si="130"/>
        <v>3.0312648291046562</v>
      </c>
      <c r="AC298">
        <f t="shared" si="144"/>
        <v>0</v>
      </c>
      <c r="AE298">
        <f>$B$5*'5 Year Rainfall Simulation'!E299/1000</f>
        <v>1.5377489069125614</v>
      </c>
      <c r="AF298">
        <f t="shared" si="131"/>
        <v>1.5377489069125614</v>
      </c>
      <c r="AG298">
        <f t="shared" si="132"/>
        <v>0.62</v>
      </c>
      <c r="AH298">
        <f t="shared" si="133"/>
        <v>0.91774890691256139</v>
      </c>
      <c r="AI298">
        <f t="shared" si="145"/>
        <v>34.677748906912569</v>
      </c>
      <c r="AJ298">
        <f t="shared" si="134"/>
        <v>0.90902025982443457</v>
      </c>
      <c r="AK298">
        <f t="shared" si="146"/>
        <v>0</v>
      </c>
      <c r="AM298">
        <f>$B$5*'5 Year Rainfall Simulation'!F299/1000</f>
        <v>5.2757233464764219</v>
      </c>
      <c r="AN298">
        <f t="shared" si="135"/>
        <v>5.2757233464764219</v>
      </c>
      <c r="AO298">
        <f t="shared" si="136"/>
        <v>0.62</v>
      </c>
      <c r="AP298">
        <f t="shared" si="137"/>
        <v>4.6557233464764218</v>
      </c>
      <c r="AQ298">
        <f t="shared" si="147"/>
        <v>35</v>
      </c>
      <c r="AR298">
        <f t="shared" si="138"/>
        <v>3.1186752177925787</v>
      </c>
      <c r="AS298">
        <f t="shared" si="148"/>
        <v>0</v>
      </c>
    </row>
    <row r="299" spans="6:45" ht="18" customHeight="1">
      <c r="F299" s="109">
        <v>44856</v>
      </c>
      <c r="G299">
        <f>B$5*'5 Year Rainfall Simulation'!B300/1000</f>
        <v>4.28</v>
      </c>
      <c r="H299">
        <f t="shared" si="120"/>
        <v>4.28</v>
      </c>
      <c r="I299">
        <f t="shared" si="149"/>
        <v>0.62</v>
      </c>
      <c r="J299">
        <f t="shared" si="121"/>
        <v>3.66</v>
      </c>
      <c r="K299">
        <f t="shared" si="139"/>
        <v>35</v>
      </c>
      <c r="L299">
        <f t="shared" si="122"/>
        <v>2.5300663161321992</v>
      </c>
      <c r="M299">
        <f t="shared" si="140"/>
        <v>0</v>
      </c>
      <c r="O299">
        <f>$B$5*'5 Year Rainfall Simulation'!C300/1000</f>
        <v>1.9600000000000002</v>
      </c>
      <c r="P299">
        <f t="shared" si="123"/>
        <v>1.9600000000000002</v>
      </c>
      <c r="Q299">
        <f t="shared" si="124"/>
        <v>0.62</v>
      </c>
      <c r="R299">
        <f t="shared" si="125"/>
        <v>1.3400000000000003</v>
      </c>
      <c r="S299">
        <f t="shared" si="141"/>
        <v>35</v>
      </c>
      <c r="T299">
        <f t="shared" si="126"/>
        <v>1.158628499911007</v>
      </c>
      <c r="U299">
        <f t="shared" si="142"/>
        <v>0</v>
      </c>
      <c r="W299">
        <f>$B$5*'5 Year Rainfall Simulation'!D300/1000</f>
        <v>2.5726481315765257</v>
      </c>
      <c r="X299">
        <f t="shared" si="127"/>
        <v>2.5726481315765257</v>
      </c>
      <c r="Y299">
        <f t="shared" si="128"/>
        <v>0.62</v>
      </c>
      <c r="Z299">
        <f t="shared" si="129"/>
        <v>1.9526481315765256</v>
      </c>
      <c r="AA299">
        <f t="shared" si="143"/>
        <v>35</v>
      </c>
      <c r="AB299">
        <f t="shared" si="130"/>
        <v>1.520787472187431</v>
      </c>
      <c r="AC299">
        <f t="shared" si="144"/>
        <v>0</v>
      </c>
      <c r="AE299">
        <f>$B$5*'5 Year Rainfall Simulation'!E300/1000</f>
        <v>1.0559929816652442</v>
      </c>
      <c r="AF299">
        <f t="shared" si="131"/>
        <v>1.0559929816652442</v>
      </c>
      <c r="AG299">
        <f t="shared" si="132"/>
        <v>0.62</v>
      </c>
      <c r="AH299">
        <f t="shared" si="133"/>
        <v>0.43599298166524425</v>
      </c>
      <c r="AI299">
        <f t="shared" si="145"/>
        <v>35</v>
      </c>
      <c r="AJ299">
        <f t="shared" si="134"/>
        <v>0.62423651237926192</v>
      </c>
      <c r="AK299">
        <f t="shared" si="146"/>
        <v>0</v>
      </c>
      <c r="AM299">
        <f>$B$5*'5 Year Rainfall Simulation'!F300/1000</f>
        <v>0.23383514677632217</v>
      </c>
      <c r="AN299">
        <f t="shared" si="135"/>
        <v>0.23383514677632217</v>
      </c>
      <c r="AO299">
        <f t="shared" si="136"/>
        <v>0.62</v>
      </c>
      <c r="AP299">
        <f t="shared" si="137"/>
        <v>-0.38616485322367783</v>
      </c>
      <c r="AQ299">
        <f t="shared" si="147"/>
        <v>34.613835146776324</v>
      </c>
      <c r="AR299">
        <f t="shared" si="138"/>
        <v>0.13822860476322463</v>
      </c>
      <c r="AS299">
        <f t="shared" si="148"/>
        <v>0</v>
      </c>
    </row>
    <row r="300" spans="6:45" ht="18" customHeight="1">
      <c r="F300" s="109">
        <v>44857</v>
      </c>
      <c r="G300">
        <f>B$5*'5 Year Rainfall Simulation'!B301/1000</f>
        <v>1.88</v>
      </c>
      <c r="H300">
        <f t="shared" si="120"/>
        <v>1.88</v>
      </c>
      <c r="I300">
        <f t="shared" si="149"/>
        <v>0.62</v>
      </c>
      <c r="J300">
        <f t="shared" si="121"/>
        <v>1.2599999999999998</v>
      </c>
      <c r="K300">
        <f t="shared" si="139"/>
        <v>35</v>
      </c>
      <c r="L300">
        <f t="shared" si="122"/>
        <v>1.1113375407309658</v>
      </c>
      <c r="M300">
        <f t="shared" si="140"/>
        <v>0</v>
      </c>
      <c r="O300">
        <f>$B$5*'5 Year Rainfall Simulation'!C301/1000</f>
        <v>0</v>
      </c>
      <c r="P300">
        <f t="shared" si="123"/>
        <v>0</v>
      </c>
      <c r="Q300">
        <f t="shared" si="124"/>
        <v>0.62</v>
      </c>
      <c r="R300">
        <f t="shared" si="125"/>
        <v>-0.62</v>
      </c>
      <c r="S300">
        <f t="shared" si="141"/>
        <v>34.380000000000003</v>
      </c>
      <c r="T300">
        <f t="shared" si="126"/>
        <v>0</v>
      </c>
      <c r="U300">
        <f t="shared" si="142"/>
        <v>0</v>
      </c>
      <c r="W300">
        <f>$B$5*'5 Year Rainfall Simulation'!D301/1000</f>
        <v>0.60043247457178095</v>
      </c>
      <c r="X300">
        <f t="shared" si="127"/>
        <v>0.60043247457178095</v>
      </c>
      <c r="Y300">
        <f t="shared" si="128"/>
        <v>0.62</v>
      </c>
      <c r="Z300">
        <f t="shared" si="129"/>
        <v>-1.9567525428219046E-2</v>
      </c>
      <c r="AA300">
        <f t="shared" si="143"/>
        <v>34.980432474571778</v>
      </c>
      <c r="AB300">
        <f t="shared" si="130"/>
        <v>0.35493784556681451</v>
      </c>
      <c r="AC300">
        <f t="shared" si="144"/>
        <v>0</v>
      </c>
      <c r="AE300">
        <f>$B$5*'5 Year Rainfall Simulation'!E301/1000</f>
        <v>0</v>
      </c>
      <c r="AF300">
        <f t="shared" si="131"/>
        <v>0</v>
      </c>
      <c r="AG300">
        <f t="shared" si="132"/>
        <v>0.62</v>
      </c>
      <c r="AH300">
        <f t="shared" si="133"/>
        <v>-0.62</v>
      </c>
      <c r="AI300">
        <f t="shared" si="145"/>
        <v>34.380000000000003</v>
      </c>
      <c r="AJ300">
        <f t="shared" si="134"/>
        <v>0</v>
      </c>
      <c r="AK300">
        <f t="shared" si="146"/>
        <v>0</v>
      </c>
      <c r="AM300">
        <f>$B$5*'5 Year Rainfall Simulation'!F301/1000</f>
        <v>0</v>
      </c>
      <c r="AN300">
        <f t="shared" si="135"/>
        <v>0</v>
      </c>
      <c r="AO300">
        <f t="shared" si="136"/>
        <v>0.62</v>
      </c>
      <c r="AP300">
        <f t="shared" si="137"/>
        <v>-0.62</v>
      </c>
      <c r="AQ300">
        <f t="shared" si="147"/>
        <v>33.993835146776327</v>
      </c>
      <c r="AR300">
        <f t="shared" si="138"/>
        <v>0</v>
      </c>
      <c r="AS300">
        <f t="shared" si="148"/>
        <v>0</v>
      </c>
    </row>
    <row r="301" spans="6:45" ht="18" customHeight="1">
      <c r="F301" s="109">
        <v>44858</v>
      </c>
      <c r="G301">
        <f>B$5*'5 Year Rainfall Simulation'!B302/1000</f>
        <v>0.32</v>
      </c>
      <c r="H301">
        <f t="shared" si="120"/>
        <v>0.32</v>
      </c>
      <c r="I301">
        <f t="shared" si="149"/>
        <v>0.62</v>
      </c>
      <c r="J301">
        <f t="shared" si="121"/>
        <v>-0.3</v>
      </c>
      <c r="K301">
        <f t="shared" si="139"/>
        <v>34.700000000000003</v>
      </c>
      <c r="L301">
        <f t="shared" si="122"/>
        <v>0.1891638367201644</v>
      </c>
      <c r="M301">
        <f t="shared" si="140"/>
        <v>0</v>
      </c>
      <c r="O301">
        <f>$B$5*'5 Year Rainfall Simulation'!C302/1000</f>
        <v>1.1599999999999999</v>
      </c>
      <c r="P301">
        <f t="shared" si="123"/>
        <v>1.1599999999999999</v>
      </c>
      <c r="Q301">
        <f t="shared" si="124"/>
        <v>0.62</v>
      </c>
      <c r="R301">
        <f t="shared" si="125"/>
        <v>0.53999999999999992</v>
      </c>
      <c r="S301">
        <f t="shared" si="141"/>
        <v>34.92</v>
      </c>
      <c r="T301">
        <f t="shared" si="126"/>
        <v>0.68571890811059588</v>
      </c>
      <c r="U301">
        <f t="shared" si="142"/>
        <v>0</v>
      </c>
      <c r="W301">
        <f>$B$5*'5 Year Rainfall Simulation'!D302/1000</f>
        <v>1.9474264062088888</v>
      </c>
      <c r="X301">
        <f t="shared" si="127"/>
        <v>1.9474264062088888</v>
      </c>
      <c r="Y301">
        <f t="shared" si="128"/>
        <v>0.62</v>
      </c>
      <c r="Z301">
        <f t="shared" si="129"/>
        <v>1.3274264062088887</v>
      </c>
      <c r="AA301">
        <f t="shared" si="143"/>
        <v>35</v>
      </c>
      <c r="AB301">
        <f t="shared" si="130"/>
        <v>1.1511957835269837</v>
      </c>
      <c r="AC301">
        <f t="shared" si="144"/>
        <v>0</v>
      </c>
      <c r="AE301">
        <f>$B$5*'5 Year Rainfall Simulation'!E302/1000</f>
        <v>0</v>
      </c>
      <c r="AF301">
        <f t="shared" si="131"/>
        <v>0</v>
      </c>
      <c r="AG301">
        <f t="shared" si="132"/>
        <v>0.62</v>
      </c>
      <c r="AH301">
        <f t="shared" si="133"/>
        <v>-0.62</v>
      </c>
      <c r="AI301">
        <f t="shared" si="145"/>
        <v>33.760000000000005</v>
      </c>
      <c r="AJ301">
        <f t="shared" si="134"/>
        <v>0</v>
      </c>
      <c r="AK301">
        <f t="shared" si="146"/>
        <v>0</v>
      </c>
      <c r="AM301">
        <f>$B$5*'5 Year Rainfall Simulation'!F302/1000</f>
        <v>2.624531632569564</v>
      </c>
      <c r="AN301">
        <f t="shared" si="135"/>
        <v>2.624531632569564</v>
      </c>
      <c r="AO301">
        <f t="shared" si="136"/>
        <v>0.62</v>
      </c>
      <c r="AP301">
        <f t="shared" si="137"/>
        <v>2.0045316325695639</v>
      </c>
      <c r="AQ301">
        <f t="shared" si="147"/>
        <v>35</v>
      </c>
      <c r="AR301">
        <f t="shared" si="138"/>
        <v>1.5514577287821736</v>
      </c>
      <c r="AS301">
        <f t="shared" si="148"/>
        <v>0</v>
      </c>
    </row>
    <row r="302" spans="6:45" ht="18" customHeight="1">
      <c r="F302" s="109">
        <v>44859</v>
      </c>
      <c r="G302">
        <f>B$5*'5 Year Rainfall Simulation'!B303/1000</f>
        <v>4.3600000000000003</v>
      </c>
      <c r="H302">
        <f t="shared" si="120"/>
        <v>4.3600000000000003</v>
      </c>
      <c r="I302">
        <f t="shared" si="149"/>
        <v>0.62</v>
      </c>
      <c r="J302">
        <f t="shared" si="121"/>
        <v>3.74</v>
      </c>
      <c r="K302">
        <f t="shared" si="139"/>
        <v>35</v>
      </c>
      <c r="L302">
        <f t="shared" si="122"/>
        <v>2.5773572753122402</v>
      </c>
      <c r="M302">
        <f t="shared" si="140"/>
        <v>0</v>
      </c>
      <c r="O302">
        <f>$B$5*'5 Year Rainfall Simulation'!C303/1000</f>
        <v>0.8</v>
      </c>
      <c r="P302">
        <f t="shared" si="123"/>
        <v>0.8</v>
      </c>
      <c r="Q302">
        <f t="shared" si="124"/>
        <v>0.62</v>
      </c>
      <c r="R302">
        <f t="shared" si="125"/>
        <v>0.18000000000000005</v>
      </c>
      <c r="S302">
        <f t="shared" si="141"/>
        <v>35</v>
      </c>
      <c r="T302">
        <f t="shared" si="126"/>
        <v>0.47290959180041103</v>
      </c>
      <c r="U302">
        <f t="shared" si="142"/>
        <v>0</v>
      </c>
      <c r="W302">
        <f>$B$5*'5 Year Rainfall Simulation'!D303/1000</f>
        <v>5.0843879622084698</v>
      </c>
      <c r="X302">
        <f t="shared" si="127"/>
        <v>5.0843879622084698</v>
      </c>
      <c r="Y302">
        <f t="shared" si="128"/>
        <v>0.62</v>
      </c>
      <c r="Z302">
        <f t="shared" si="129"/>
        <v>4.4643879622084697</v>
      </c>
      <c r="AA302">
        <f t="shared" si="143"/>
        <v>35</v>
      </c>
      <c r="AB302">
        <f t="shared" si="130"/>
        <v>3.0055697947036637</v>
      </c>
      <c r="AC302">
        <f t="shared" si="144"/>
        <v>0</v>
      </c>
      <c r="AE302">
        <f>$B$5*'5 Year Rainfall Simulation'!E303/1000</f>
        <v>0</v>
      </c>
      <c r="AF302">
        <f t="shared" si="131"/>
        <v>0</v>
      </c>
      <c r="AG302">
        <f t="shared" si="132"/>
        <v>0.62</v>
      </c>
      <c r="AH302">
        <f t="shared" si="133"/>
        <v>-0.62</v>
      </c>
      <c r="AI302">
        <f t="shared" si="145"/>
        <v>33.140000000000008</v>
      </c>
      <c r="AJ302">
        <f t="shared" si="134"/>
        <v>0</v>
      </c>
      <c r="AK302">
        <f t="shared" si="146"/>
        <v>0</v>
      </c>
      <c r="AM302">
        <f>$B$5*'5 Year Rainfall Simulation'!F303/1000</f>
        <v>3.03993472110148</v>
      </c>
      <c r="AN302">
        <f t="shared" si="135"/>
        <v>3.03993472110148</v>
      </c>
      <c r="AO302">
        <f t="shared" si="136"/>
        <v>0.62</v>
      </c>
      <c r="AP302">
        <f t="shared" si="137"/>
        <v>2.4199347211014799</v>
      </c>
      <c r="AQ302">
        <f t="shared" si="147"/>
        <v>35</v>
      </c>
      <c r="AR302">
        <f t="shared" si="138"/>
        <v>1.7970178600699966</v>
      </c>
      <c r="AS302">
        <f t="shared" si="148"/>
        <v>0</v>
      </c>
    </row>
    <row r="303" spans="6:45" ht="18" customHeight="1">
      <c r="F303" s="109">
        <v>44860</v>
      </c>
      <c r="G303">
        <f>B$5*'5 Year Rainfall Simulation'!B304/1000</f>
        <v>0.48</v>
      </c>
      <c r="H303">
        <f t="shared" si="120"/>
        <v>0.48</v>
      </c>
      <c r="I303">
        <f t="shared" si="149"/>
        <v>0.62</v>
      </c>
      <c r="J303">
        <f t="shared" si="121"/>
        <v>-0.14000000000000001</v>
      </c>
      <c r="K303">
        <f t="shared" si="139"/>
        <v>34.86</v>
      </c>
      <c r="L303">
        <f t="shared" si="122"/>
        <v>0.28374575508024658</v>
      </c>
      <c r="M303">
        <f t="shared" si="140"/>
        <v>0</v>
      </c>
      <c r="O303">
        <f>$B$5*'5 Year Rainfall Simulation'!C304/1000</f>
        <v>0</v>
      </c>
      <c r="P303">
        <f t="shared" si="123"/>
        <v>0</v>
      </c>
      <c r="Q303">
        <f t="shared" si="124"/>
        <v>0.62</v>
      </c>
      <c r="R303">
        <f t="shared" si="125"/>
        <v>-0.62</v>
      </c>
      <c r="S303">
        <f t="shared" si="141"/>
        <v>34.380000000000003</v>
      </c>
      <c r="T303">
        <f t="shared" si="126"/>
        <v>0</v>
      </c>
      <c r="U303">
        <f t="shared" si="142"/>
        <v>0</v>
      </c>
      <c r="W303">
        <f>$B$5*'5 Year Rainfall Simulation'!D304/1000</f>
        <v>0</v>
      </c>
      <c r="X303">
        <f t="shared" si="127"/>
        <v>0</v>
      </c>
      <c r="Y303">
        <f t="shared" si="128"/>
        <v>0.62</v>
      </c>
      <c r="Z303">
        <f t="shared" si="129"/>
        <v>-0.62</v>
      </c>
      <c r="AA303">
        <f t="shared" si="143"/>
        <v>34.380000000000003</v>
      </c>
      <c r="AB303">
        <f t="shared" si="130"/>
        <v>0</v>
      </c>
      <c r="AC303">
        <f t="shared" si="144"/>
        <v>0</v>
      </c>
      <c r="AE303">
        <f>$B$5*'5 Year Rainfall Simulation'!E304/1000</f>
        <v>0.87722533932182156</v>
      </c>
      <c r="AF303">
        <f t="shared" si="131"/>
        <v>0.87722533932182156</v>
      </c>
      <c r="AG303">
        <f t="shared" si="132"/>
        <v>0.62</v>
      </c>
      <c r="AH303">
        <f t="shared" si="133"/>
        <v>0.25722533932182157</v>
      </c>
      <c r="AI303">
        <f t="shared" si="145"/>
        <v>33.397225339321828</v>
      </c>
      <c r="AJ303">
        <f t="shared" si="134"/>
        <v>0.5185603464195746</v>
      </c>
      <c r="AK303">
        <f t="shared" si="146"/>
        <v>0</v>
      </c>
      <c r="AM303">
        <f>$B$5*'5 Year Rainfall Simulation'!F304/1000</f>
        <v>0.70382031763552455</v>
      </c>
      <c r="AN303">
        <f t="shared" si="135"/>
        <v>0.70382031763552455</v>
      </c>
      <c r="AO303">
        <f t="shared" si="136"/>
        <v>0.62</v>
      </c>
      <c r="AP303">
        <f t="shared" si="137"/>
        <v>8.3820317635524555E-2</v>
      </c>
      <c r="AQ303">
        <f t="shared" si="147"/>
        <v>35</v>
      </c>
      <c r="AR303">
        <f t="shared" si="138"/>
        <v>0.41605422389231445</v>
      </c>
      <c r="AS303">
        <f t="shared" si="148"/>
        <v>0</v>
      </c>
    </row>
    <row r="304" spans="6:45" ht="18" customHeight="1">
      <c r="F304" s="109">
        <v>44861</v>
      </c>
      <c r="G304">
        <f>B$5*'5 Year Rainfall Simulation'!B305/1000</f>
        <v>6.72</v>
      </c>
      <c r="H304">
        <f t="shared" si="120"/>
        <v>6.72</v>
      </c>
      <c r="I304">
        <f t="shared" si="149"/>
        <v>0.62</v>
      </c>
      <c r="J304">
        <f t="shared" si="121"/>
        <v>6.1</v>
      </c>
      <c r="K304">
        <f t="shared" si="139"/>
        <v>35</v>
      </c>
      <c r="L304">
        <f t="shared" si="122"/>
        <v>3.9724405711234523</v>
      </c>
      <c r="M304">
        <f t="shared" si="140"/>
        <v>0</v>
      </c>
      <c r="O304">
        <f>$B$5*'5 Year Rainfall Simulation'!C305/1000</f>
        <v>1.36</v>
      </c>
      <c r="P304">
        <f t="shared" si="123"/>
        <v>1.36</v>
      </c>
      <c r="Q304">
        <f t="shared" si="124"/>
        <v>0.62</v>
      </c>
      <c r="R304">
        <f t="shared" si="125"/>
        <v>0.7400000000000001</v>
      </c>
      <c r="S304">
        <f t="shared" si="141"/>
        <v>35</v>
      </c>
      <c r="T304">
        <f t="shared" si="126"/>
        <v>0.80394630606069883</v>
      </c>
      <c r="U304">
        <f t="shared" si="142"/>
        <v>0</v>
      </c>
      <c r="W304">
        <f>$B$5*'5 Year Rainfall Simulation'!D305/1000</f>
        <v>5.4537974251482781</v>
      </c>
      <c r="X304">
        <f t="shared" si="127"/>
        <v>5.4537974251482781</v>
      </c>
      <c r="Y304">
        <f t="shared" si="128"/>
        <v>0.62</v>
      </c>
      <c r="Z304">
        <f t="shared" si="129"/>
        <v>4.833797425148278</v>
      </c>
      <c r="AA304">
        <f t="shared" si="143"/>
        <v>35</v>
      </c>
      <c r="AB304">
        <f t="shared" si="130"/>
        <v>3.2239413926112559</v>
      </c>
      <c r="AC304">
        <f t="shared" si="144"/>
        <v>0</v>
      </c>
      <c r="AE304">
        <f>$B$5*'5 Year Rainfall Simulation'!E305/1000</f>
        <v>0.58513183523741397</v>
      </c>
      <c r="AF304">
        <f t="shared" si="131"/>
        <v>0.58513183523741397</v>
      </c>
      <c r="AG304">
        <f t="shared" si="132"/>
        <v>0.62</v>
      </c>
      <c r="AH304">
        <f t="shared" si="133"/>
        <v>-3.4868164762586029E-2</v>
      </c>
      <c r="AI304">
        <f t="shared" si="145"/>
        <v>33.362357174559243</v>
      </c>
      <c r="AJ304">
        <f t="shared" si="134"/>
        <v>0.3458930716894385</v>
      </c>
      <c r="AK304">
        <f t="shared" si="146"/>
        <v>0</v>
      </c>
      <c r="AM304">
        <f>$B$5*'5 Year Rainfall Simulation'!F305/1000</f>
        <v>6.6444557291883655</v>
      </c>
      <c r="AN304">
        <f t="shared" si="135"/>
        <v>6.6444557291883655</v>
      </c>
      <c r="AO304">
        <f t="shared" si="136"/>
        <v>0.62</v>
      </c>
      <c r="AP304">
        <f t="shared" si="137"/>
        <v>6.0244557291883654</v>
      </c>
      <c r="AQ304">
        <f t="shared" si="147"/>
        <v>35</v>
      </c>
      <c r="AR304">
        <f t="shared" si="138"/>
        <v>3.9277835582829654</v>
      </c>
      <c r="AS304">
        <f t="shared" si="148"/>
        <v>0</v>
      </c>
    </row>
    <row r="305" spans="6:45" ht="18" customHeight="1">
      <c r="F305" s="109">
        <v>44862</v>
      </c>
      <c r="G305">
        <f>B$5*'5 Year Rainfall Simulation'!B306/1000</f>
        <v>4.88</v>
      </c>
      <c r="H305">
        <f t="shared" si="120"/>
        <v>4.88</v>
      </c>
      <c r="I305">
        <f t="shared" si="149"/>
        <v>0.62</v>
      </c>
      <c r="J305">
        <f t="shared" si="121"/>
        <v>4.26</v>
      </c>
      <c r="K305">
        <f t="shared" si="139"/>
        <v>35</v>
      </c>
      <c r="L305">
        <f t="shared" si="122"/>
        <v>2.884748509982507</v>
      </c>
      <c r="M305">
        <f t="shared" si="140"/>
        <v>0</v>
      </c>
      <c r="O305">
        <f>$B$5*'5 Year Rainfall Simulation'!C306/1000</f>
        <v>7.8</v>
      </c>
      <c r="P305">
        <f t="shared" si="123"/>
        <v>7.8</v>
      </c>
      <c r="Q305">
        <f t="shared" si="124"/>
        <v>0.62</v>
      </c>
      <c r="R305">
        <f t="shared" si="125"/>
        <v>7.18</v>
      </c>
      <c r="S305">
        <f t="shared" si="141"/>
        <v>35</v>
      </c>
      <c r="T305">
        <f t="shared" si="126"/>
        <v>4.6108685200540069</v>
      </c>
      <c r="U305">
        <f t="shared" si="142"/>
        <v>0</v>
      </c>
      <c r="W305">
        <f>$B$5*'5 Year Rainfall Simulation'!D306/1000</f>
        <v>3.4016367045867781</v>
      </c>
      <c r="X305">
        <f t="shared" si="127"/>
        <v>3.4016367045867781</v>
      </c>
      <c r="Y305">
        <f t="shared" si="128"/>
        <v>0.62</v>
      </c>
      <c r="Z305">
        <f t="shared" si="129"/>
        <v>2.781636704586778</v>
      </c>
      <c r="AA305">
        <f t="shared" si="143"/>
        <v>35</v>
      </c>
      <c r="AB305">
        <f t="shared" si="130"/>
        <v>2.0108332817742856</v>
      </c>
      <c r="AC305">
        <f t="shared" si="144"/>
        <v>0</v>
      </c>
      <c r="AE305">
        <f>$B$5*'5 Year Rainfall Simulation'!E306/1000</f>
        <v>7.0055918859664512</v>
      </c>
      <c r="AF305">
        <f t="shared" si="131"/>
        <v>7.0055918859664512</v>
      </c>
      <c r="AG305">
        <f t="shared" si="132"/>
        <v>0.62</v>
      </c>
      <c r="AH305">
        <f t="shared" si="133"/>
        <v>6.3855918859664511</v>
      </c>
      <c r="AI305">
        <f t="shared" si="145"/>
        <v>35</v>
      </c>
      <c r="AJ305">
        <f t="shared" si="134"/>
        <v>4.1412644988908323</v>
      </c>
      <c r="AK305">
        <f t="shared" si="146"/>
        <v>0</v>
      </c>
      <c r="AM305">
        <f>$B$5*'5 Year Rainfall Simulation'!F306/1000</f>
        <v>0.9192251460629659</v>
      </c>
      <c r="AN305">
        <f t="shared" si="135"/>
        <v>0.9192251460629659</v>
      </c>
      <c r="AO305">
        <f t="shared" si="136"/>
        <v>0.62</v>
      </c>
      <c r="AP305">
        <f t="shared" si="137"/>
        <v>0.29922514606296591</v>
      </c>
      <c r="AQ305">
        <f t="shared" si="147"/>
        <v>35</v>
      </c>
      <c r="AR305">
        <f t="shared" si="138"/>
        <v>0.54338798574663805</v>
      </c>
      <c r="AS305">
        <f t="shared" si="148"/>
        <v>0</v>
      </c>
    </row>
    <row r="306" spans="6:45" ht="18" customHeight="1">
      <c r="F306" s="109">
        <v>44863</v>
      </c>
      <c r="G306">
        <f>B$5*'5 Year Rainfall Simulation'!B307/1000</f>
        <v>1.4</v>
      </c>
      <c r="H306">
        <f t="shared" si="120"/>
        <v>1.4</v>
      </c>
      <c r="I306">
        <f t="shared" si="149"/>
        <v>0.62</v>
      </c>
      <c r="J306">
        <f t="shared" si="121"/>
        <v>0.77999999999999992</v>
      </c>
      <c r="K306">
        <f t="shared" si="139"/>
        <v>35</v>
      </c>
      <c r="L306">
        <f t="shared" si="122"/>
        <v>0.82759178565071922</v>
      </c>
      <c r="M306">
        <f t="shared" si="140"/>
        <v>0</v>
      </c>
      <c r="O306">
        <f>$B$5*'5 Year Rainfall Simulation'!C307/1000</f>
        <v>8.1199999999999992</v>
      </c>
      <c r="P306">
        <f t="shared" si="123"/>
        <v>8.1199999999999992</v>
      </c>
      <c r="Q306">
        <f t="shared" si="124"/>
        <v>0.62</v>
      </c>
      <c r="R306">
        <f t="shared" si="125"/>
        <v>7.4999999999999991</v>
      </c>
      <c r="S306">
        <f t="shared" si="141"/>
        <v>35</v>
      </c>
      <c r="T306">
        <f t="shared" si="126"/>
        <v>4.8000323567741709</v>
      </c>
      <c r="U306">
        <f t="shared" si="142"/>
        <v>0</v>
      </c>
      <c r="W306">
        <f>$B$5*'5 Year Rainfall Simulation'!D307/1000</f>
        <v>4.1870441331165346E-2</v>
      </c>
      <c r="X306">
        <f t="shared" si="127"/>
        <v>4.1870441331165346E-2</v>
      </c>
      <c r="Y306">
        <f t="shared" si="128"/>
        <v>0.62</v>
      </c>
      <c r="Z306">
        <f t="shared" si="129"/>
        <v>-0.57812955866883464</v>
      </c>
      <c r="AA306">
        <f t="shared" si="143"/>
        <v>34.421870441331166</v>
      </c>
      <c r="AB306">
        <f t="shared" si="130"/>
        <v>2.4751166648030579E-2</v>
      </c>
      <c r="AC306">
        <f t="shared" si="144"/>
        <v>0</v>
      </c>
      <c r="AE306">
        <f>$B$5*'5 Year Rainfall Simulation'!E307/1000</f>
        <v>8.5956267175126193</v>
      </c>
      <c r="AF306">
        <f t="shared" si="131"/>
        <v>8.5956267175126193</v>
      </c>
      <c r="AG306">
        <f t="shared" si="132"/>
        <v>0.62</v>
      </c>
      <c r="AH306">
        <f t="shared" si="133"/>
        <v>7.9756267175126192</v>
      </c>
      <c r="AI306">
        <f t="shared" si="145"/>
        <v>35</v>
      </c>
      <c r="AJ306">
        <f t="shared" si="134"/>
        <v>5.0811929028094998</v>
      </c>
      <c r="AK306">
        <f t="shared" si="146"/>
        <v>0</v>
      </c>
      <c r="AM306">
        <f>$B$5*'5 Year Rainfall Simulation'!F307/1000</f>
        <v>0</v>
      </c>
      <c r="AN306">
        <f t="shared" si="135"/>
        <v>0</v>
      </c>
      <c r="AO306">
        <f t="shared" si="136"/>
        <v>0.62</v>
      </c>
      <c r="AP306">
        <f t="shared" si="137"/>
        <v>-0.62</v>
      </c>
      <c r="AQ306">
        <f t="shared" si="147"/>
        <v>34.380000000000003</v>
      </c>
      <c r="AR306">
        <f t="shared" si="138"/>
        <v>0</v>
      </c>
      <c r="AS306">
        <f t="shared" si="148"/>
        <v>0</v>
      </c>
    </row>
    <row r="307" spans="6:45" ht="18" customHeight="1">
      <c r="F307" s="109">
        <v>44864</v>
      </c>
      <c r="G307">
        <f>B$5*'5 Year Rainfall Simulation'!B308/1000</f>
        <v>1.8</v>
      </c>
      <c r="H307">
        <f t="shared" si="120"/>
        <v>1.8</v>
      </c>
      <c r="I307">
        <f t="shared" si="149"/>
        <v>0.62</v>
      </c>
      <c r="J307">
        <f t="shared" si="121"/>
        <v>1.1800000000000002</v>
      </c>
      <c r="K307">
        <f t="shared" si="139"/>
        <v>35</v>
      </c>
      <c r="L307">
        <f t="shared" si="122"/>
        <v>1.0640465815509248</v>
      </c>
      <c r="M307">
        <f t="shared" si="140"/>
        <v>0</v>
      </c>
      <c r="O307">
        <f>$B$5*'5 Year Rainfall Simulation'!C308/1000</f>
        <v>7.08</v>
      </c>
      <c r="P307">
        <f t="shared" si="123"/>
        <v>7.08</v>
      </c>
      <c r="Q307">
        <f t="shared" si="124"/>
        <v>0.62</v>
      </c>
      <c r="R307">
        <f t="shared" si="125"/>
        <v>6.46</v>
      </c>
      <c r="S307">
        <f t="shared" si="141"/>
        <v>35</v>
      </c>
      <c r="T307">
        <f t="shared" si="126"/>
        <v>4.1852498874336375</v>
      </c>
      <c r="U307">
        <f t="shared" si="142"/>
        <v>0</v>
      </c>
      <c r="W307">
        <f>$B$5*'5 Year Rainfall Simulation'!D308/1000</f>
        <v>0.59685282987751875</v>
      </c>
      <c r="X307">
        <f t="shared" si="127"/>
        <v>0.59685282987751875</v>
      </c>
      <c r="Y307">
        <f t="shared" si="128"/>
        <v>0.62</v>
      </c>
      <c r="Z307">
        <f t="shared" si="129"/>
        <v>-2.3147170122481242E-2</v>
      </c>
      <c r="AA307">
        <f t="shared" si="143"/>
        <v>34.398723271208681</v>
      </c>
      <c r="AB307">
        <f t="shared" si="130"/>
        <v>0.35282178517787194</v>
      </c>
      <c r="AC307">
        <f t="shared" si="144"/>
        <v>0</v>
      </c>
      <c r="AE307">
        <f>$B$5*'5 Year Rainfall Simulation'!E308/1000</f>
        <v>4.2529984834204546</v>
      </c>
      <c r="AF307">
        <f t="shared" si="131"/>
        <v>4.2529984834204546</v>
      </c>
      <c r="AG307">
        <f t="shared" si="132"/>
        <v>0.62</v>
      </c>
      <c r="AH307">
        <f t="shared" si="133"/>
        <v>3.6329984834204545</v>
      </c>
      <c r="AI307">
        <f t="shared" si="145"/>
        <v>35</v>
      </c>
      <c r="AJ307">
        <f t="shared" si="134"/>
        <v>2.5141047209026679</v>
      </c>
      <c r="AK307">
        <f t="shared" si="146"/>
        <v>0</v>
      </c>
      <c r="AM307">
        <f>$B$5*'5 Year Rainfall Simulation'!F308/1000</f>
        <v>2.1163461387814522</v>
      </c>
      <c r="AN307">
        <f t="shared" si="135"/>
        <v>2.1163461387814522</v>
      </c>
      <c r="AO307">
        <f t="shared" si="136"/>
        <v>0.62</v>
      </c>
      <c r="AP307">
        <f t="shared" si="137"/>
        <v>1.4963461387814521</v>
      </c>
      <c r="AQ307">
        <f t="shared" si="147"/>
        <v>35</v>
      </c>
      <c r="AR307">
        <f t="shared" si="138"/>
        <v>1.2510504857493907</v>
      </c>
      <c r="AS307">
        <f t="shared" si="148"/>
        <v>0</v>
      </c>
    </row>
    <row r="308" spans="6:45" ht="18" customHeight="1">
      <c r="F308" s="109">
        <v>44865</v>
      </c>
      <c r="G308">
        <f>B$5*'5 Year Rainfall Simulation'!B309/1000</f>
        <v>3</v>
      </c>
      <c r="H308">
        <f t="shared" si="120"/>
        <v>3</v>
      </c>
      <c r="I308">
        <f t="shared" si="149"/>
        <v>0.62</v>
      </c>
      <c r="J308">
        <f t="shared" si="121"/>
        <v>2.38</v>
      </c>
      <c r="K308">
        <f t="shared" si="139"/>
        <v>35</v>
      </c>
      <c r="L308">
        <f t="shared" si="122"/>
        <v>1.7734109692515414</v>
      </c>
      <c r="M308">
        <f t="shared" si="140"/>
        <v>0</v>
      </c>
      <c r="O308">
        <f>$B$5*'5 Year Rainfall Simulation'!C309/1000</f>
        <v>4.24</v>
      </c>
      <c r="P308">
        <f t="shared" si="123"/>
        <v>4.24</v>
      </c>
      <c r="Q308">
        <f t="shared" si="124"/>
        <v>0.62</v>
      </c>
      <c r="R308">
        <f t="shared" si="125"/>
        <v>3.62</v>
      </c>
      <c r="S308">
        <f t="shared" si="141"/>
        <v>35</v>
      </c>
      <c r="T308">
        <f t="shared" si="126"/>
        <v>2.5064208365421785</v>
      </c>
      <c r="U308">
        <f t="shared" si="142"/>
        <v>0</v>
      </c>
      <c r="W308">
        <f>$B$5*'5 Year Rainfall Simulation'!D309/1000</f>
        <v>3.0295898744798277</v>
      </c>
      <c r="X308">
        <f t="shared" si="127"/>
        <v>3.0295898744798277</v>
      </c>
      <c r="Y308">
        <f t="shared" si="128"/>
        <v>0.62</v>
      </c>
      <c r="Z308">
        <f t="shared" si="129"/>
        <v>2.4095898744798276</v>
      </c>
      <c r="AA308">
        <f t="shared" si="143"/>
        <v>35</v>
      </c>
      <c r="AB308">
        <f t="shared" si="130"/>
        <v>1.7909026385786422</v>
      </c>
      <c r="AC308">
        <f t="shared" si="144"/>
        <v>0</v>
      </c>
      <c r="AE308">
        <f>$B$5*'5 Year Rainfall Simulation'!E309/1000</f>
        <v>5.2266106012313474</v>
      </c>
      <c r="AF308">
        <f t="shared" si="131"/>
        <v>5.2266106012313474</v>
      </c>
      <c r="AG308">
        <f t="shared" si="132"/>
        <v>0.62</v>
      </c>
      <c r="AH308">
        <f t="shared" si="133"/>
        <v>4.6066106012313472</v>
      </c>
      <c r="AI308">
        <f t="shared" si="145"/>
        <v>35</v>
      </c>
      <c r="AJ308">
        <f t="shared" si="134"/>
        <v>3.0896428574100216</v>
      </c>
      <c r="AK308">
        <f t="shared" si="146"/>
        <v>0</v>
      </c>
      <c r="AM308">
        <f>$B$5*'5 Year Rainfall Simulation'!F309/1000</f>
        <v>4.1545766089937057</v>
      </c>
      <c r="AN308">
        <f t="shared" si="135"/>
        <v>4.1545766089937057</v>
      </c>
      <c r="AO308">
        <f t="shared" si="136"/>
        <v>0.62</v>
      </c>
      <c r="AP308">
        <f t="shared" si="137"/>
        <v>3.5345766089937056</v>
      </c>
      <c r="AQ308">
        <f t="shared" si="147"/>
        <v>35</v>
      </c>
      <c r="AR308">
        <f t="shared" si="138"/>
        <v>2.4559239103284365</v>
      </c>
      <c r="AS308">
        <f t="shared" si="148"/>
        <v>0</v>
      </c>
    </row>
    <row r="309" spans="6:45" ht="18" customHeight="1">
      <c r="F309" s="109">
        <v>44866</v>
      </c>
      <c r="G309">
        <f>B$5*'5 Year Rainfall Simulation'!B310/1000</f>
        <v>1.28</v>
      </c>
      <c r="H309">
        <f t="shared" si="120"/>
        <v>1.28</v>
      </c>
      <c r="I309">
        <f t="shared" si="149"/>
        <v>0.62</v>
      </c>
      <c r="J309">
        <f t="shared" si="121"/>
        <v>0.66</v>
      </c>
      <c r="K309">
        <f t="shared" si="139"/>
        <v>35</v>
      </c>
      <c r="L309">
        <f t="shared" si="122"/>
        <v>0.75665534688065761</v>
      </c>
      <c r="M309">
        <f t="shared" si="140"/>
        <v>0</v>
      </c>
      <c r="O309">
        <f>$B$5*'5 Year Rainfall Simulation'!C310/1000</f>
        <v>0.24</v>
      </c>
      <c r="P309">
        <f t="shared" si="123"/>
        <v>0.24</v>
      </c>
      <c r="Q309">
        <f t="shared" si="124"/>
        <v>0.62</v>
      </c>
      <c r="R309">
        <f t="shared" si="125"/>
        <v>-0.38</v>
      </c>
      <c r="S309">
        <f t="shared" si="141"/>
        <v>34.619999999999997</v>
      </c>
      <c r="T309">
        <f t="shared" si="126"/>
        <v>0.14187287754012329</v>
      </c>
      <c r="U309">
        <f t="shared" si="142"/>
        <v>0</v>
      </c>
      <c r="W309">
        <f>$B$5*'5 Year Rainfall Simulation'!D310/1000</f>
        <v>0</v>
      </c>
      <c r="X309">
        <f t="shared" si="127"/>
        <v>0</v>
      </c>
      <c r="Y309">
        <f t="shared" si="128"/>
        <v>0.62</v>
      </c>
      <c r="Z309">
        <f t="shared" si="129"/>
        <v>-0.62</v>
      </c>
      <c r="AA309">
        <f t="shared" si="143"/>
        <v>34.380000000000003</v>
      </c>
      <c r="AB309">
        <f t="shared" si="130"/>
        <v>0</v>
      </c>
      <c r="AC309">
        <f t="shared" si="144"/>
        <v>0</v>
      </c>
      <c r="AE309">
        <f>$B$5*'5 Year Rainfall Simulation'!E310/1000</f>
        <v>1.218606110780303</v>
      </c>
      <c r="AF309">
        <f t="shared" si="131"/>
        <v>1.218606110780303</v>
      </c>
      <c r="AG309">
        <f t="shared" si="132"/>
        <v>0.62</v>
      </c>
      <c r="AH309">
        <f t="shared" si="133"/>
        <v>0.59860611078030301</v>
      </c>
      <c r="AI309">
        <f t="shared" si="145"/>
        <v>35</v>
      </c>
      <c r="AJ309">
        <f t="shared" si="134"/>
        <v>0.72036314801824941</v>
      </c>
      <c r="AK309">
        <f t="shared" si="146"/>
        <v>0</v>
      </c>
      <c r="AM309">
        <f>$B$5*'5 Year Rainfall Simulation'!F310/1000</f>
        <v>0.4047957006040232</v>
      </c>
      <c r="AN309">
        <f t="shared" si="135"/>
        <v>0.4047957006040232</v>
      </c>
      <c r="AO309">
        <f t="shared" si="136"/>
        <v>0.62</v>
      </c>
      <c r="AP309">
        <f t="shared" si="137"/>
        <v>-0.21520429939597679</v>
      </c>
      <c r="AQ309">
        <f t="shared" si="147"/>
        <v>34.784795700604022</v>
      </c>
      <c r="AR309">
        <f t="shared" si="138"/>
        <v>0.23928971191901249</v>
      </c>
      <c r="AS309">
        <f t="shared" si="148"/>
        <v>0</v>
      </c>
    </row>
    <row r="310" spans="6:45" ht="18" customHeight="1">
      <c r="F310" s="109">
        <v>44867</v>
      </c>
      <c r="G310">
        <f>B$5*'5 Year Rainfall Simulation'!B311/1000</f>
        <v>7.52</v>
      </c>
      <c r="H310">
        <f t="shared" si="120"/>
        <v>7.52</v>
      </c>
      <c r="I310">
        <f t="shared" si="149"/>
        <v>0.62</v>
      </c>
      <c r="J310">
        <f t="shared" si="121"/>
        <v>6.8999999999999995</v>
      </c>
      <c r="K310">
        <f t="shared" si="139"/>
        <v>35</v>
      </c>
      <c r="L310">
        <f t="shared" si="122"/>
        <v>4.4453501629238632</v>
      </c>
      <c r="M310">
        <f t="shared" si="140"/>
        <v>0</v>
      </c>
      <c r="O310">
        <f>$B$5*'5 Year Rainfall Simulation'!C311/1000</f>
        <v>0</v>
      </c>
      <c r="P310">
        <f t="shared" si="123"/>
        <v>0</v>
      </c>
      <c r="Q310">
        <f t="shared" si="124"/>
        <v>0.62</v>
      </c>
      <c r="R310">
        <f t="shared" si="125"/>
        <v>-0.62</v>
      </c>
      <c r="S310">
        <f t="shared" si="141"/>
        <v>34</v>
      </c>
      <c r="T310">
        <f t="shared" si="126"/>
        <v>0</v>
      </c>
      <c r="U310">
        <f t="shared" si="142"/>
        <v>0</v>
      </c>
      <c r="W310">
        <f>$B$5*'5 Year Rainfall Simulation'!D311/1000</f>
        <v>5.7096155637353023</v>
      </c>
      <c r="X310">
        <f t="shared" si="127"/>
        <v>5.7096155637353023</v>
      </c>
      <c r="Y310">
        <f t="shared" si="128"/>
        <v>0.62</v>
      </c>
      <c r="Z310">
        <f t="shared" si="129"/>
        <v>5.0896155637353022</v>
      </c>
      <c r="AA310">
        <f t="shared" si="143"/>
        <v>35</v>
      </c>
      <c r="AB310">
        <f t="shared" si="130"/>
        <v>3.3751649569791695</v>
      </c>
      <c r="AC310">
        <f t="shared" si="144"/>
        <v>0</v>
      </c>
      <c r="AE310">
        <f>$B$5*'5 Year Rainfall Simulation'!E311/1000</f>
        <v>0</v>
      </c>
      <c r="AF310">
        <f t="shared" si="131"/>
        <v>0</v>
      </c>
      <c r="AG310">
        <f t="shared" si="132"/>
        <v>0.62</v>
      </c>
      <c r="AH310">
        <f t="shared" si="133"/>
        <v>-0.62</v>
      </c>
      <c r="AI310">
        <f t="shared" si="145"/>
        <v>34.380000000000003</v>
      </c>
      <c r="AJ310">
        <f t="shared" si="134"/>
        <v>0</v>
      </c>
      <c r="AK310">
        <f t="shared" si="146"/>
        <v>0</v>
      </c>
      <c r="AM310">
        <f>$B$5*'5 Year Rainfall Simulation'!F311/1000</f>
        <v>6.8346915852120604</v>
      </c>
      <c r="AN310">
        <f t="shared" si="135"/>
        <v>6.8346915852120604</v>
      </c>
      <c r="AO310">
        <f t="shared" si="136"/>
        <v>0.62</v>
      </c>
      <c r="AP310">
        <f t="shared" si="137"/>
        <v>6.2146915852120603</v>
      </c>
      <c r="AQ310">
        <f t="shared" si="147"/>
        <v>35</v>
      </c>
      <c r="AR310">
        <f t="shared" si="138"/>
        <v>4.0402390095554246</v>
      </c>
      <c r="AS310">
        <f t="shared" si="148"/>
        <v>0</v>
      </c>
    </row>
    <row r="311" spans="6:45" ht="18" customHeight="1">
      <c r="F311" s="109">
        <v>44868</v>
      </c>
      <c r="G311">
        <f>B$5*'5 Year Rainfall Simulation'!B312/1000</f>
        <v>7.0400000000000009</v>
      </c>
      <c r="H311">
        <f t="shared" si="120"/>
        <v>7.0400000000000009</v>
      </c>
      <c r="I311">
        <f t="shared" si="149"/>
        <v>0.62</v>
      </c>
      <c r="J311">
        <f t="shared" si="121"/>
        <v>6.4200000000000008</v>
      </c>
      <c r="K311">
        <f t="shared" si="139"/>
        <v>35</v>
      </c>
      <c r="L311">
        <f t="shared" si="122"/>
        <v>4.1616044078436172</v>
      </c>
      <c r="M311">
        <f t="shared" si="140"/>
        <v>0</v>
      </c>
      <c r="O311">
        <f>$B$5*'5 Year Rainfall Simulation'!C312/1000</f>
        <v>0</v>
      </c>
      <c r="P311">
        <f t="shared" si="123"/>
        <v>0</v>
      </c>
      <c r="Q311">
        <f t="shared" si="124"/>
        <v>0.62</v>
      </c>
      <c r="R311">
        <f t="shared" si="125"/>
        <v>-0.62</v>
      </c>
      <c r="S311">
        <f t="shared" si="141"/>
        <v>33.380000000000003</v>
      </c>
      <c r="T311">
        <f t="shared" si="126"/>
        <v>0</v>
      </c>
      <c r="U311">
        <f t="shared" si="142"/>
        <v>0</v>
      </c>
      <c r="W311">
        <f>$B$5*'5 Year Rainfall Simulation'!D312/1000</f>
        <v>4.7580266844214663</v>
      </c>
      <c r="X311">
        <f t="shared" si="127"/>
        <v>4.7580266844214663</v>
      </c>
      <c r="Y311">
        <f t="shared" si="128"/>
        <v>0.62</v>
      </c>
      <c r="Z311">
        <f t="shared" si="129"/>
        <v>4.1380266844214662</v>
      </c>
      <c r="AA311">
        <f t="shared" si="143"/>
        <v>35</v>
      </c>
      <c r="AB311">
        <f t="shared" si="130"/>
        <v>2.8126455713815233</v>
      </c>
      <c r="AC311">
        <f t="shared" si="144"/>
        <v>0</v>
      </c>
      <c r="AE311">
        <f>$B$5*'5 Year Rainfall Simulation'!E312/1000</f>
        <v>0</v>
      </c>
      <c r="AF311">
        <f t="shared" si="131"/>
        <v>0</v>
      </c>
      <c r="AG311">
        <f t="shared" si="132"/>
        <v>0.62</v>
      </c>
      <c r="AH311">
        <f t="shared" si="133"/>
        <v>-0.62</v>
      </c>
      <c r="AI311">
        <f t="shared" si="145"/>
        <v>33.760000000000005</v>
      </c>
      <c r="AJ311">
        <f t="shared" si="134"/>
        <v>0</v>
      </c>
      <c r="AK311">
        <f t="shared" si="146"/>
        <v>0</v>
      </c>
      <c r="AM311">
        <f>$B$5*'5 Year Rainfall Simulation'!F312/1000</f>
        <v>4.1218545763354859</v>
      </c>
      <c r="AN311">
        <f t="shared" si="135"/>
        <v>4.1218545763354859</v>
      </c>
      <c r="AO311">
        <f t="shared" si="136"/>
        <v>0.62</v>
      </c>
      <c r="AP311">
        <f t="shared" si="137"/>
        <v>3.5018545763354858</v>
      </c>
      <c r="AQ311">
        <f t="shared" si="147"/>
        <v>35</v>
      </c>
      <c r="AR311">
        <f t="shared" si="138"/>
        <v>2.4365807064443383</v>
      </c>
      <c r="AS311">
        <f t="shared" si="148"/>
        <v>0</v>
      </c>
    </row>
    <row r="312" spans="6:45" ht="18" customHeight="1">
      <c r="F312" s="109">
        <v>44869</v>
      </c>
      <c r="G312">
        <f>B$5*'5 Year Rainfall Simulation'!B313/1000</f>
        <v>1.8</v>
      </c>
      <c r="H312">
        <f t="shared" si="120"/>
        <v>1.8</v>
      </c>
      <c r="I312">
        <f t="shared" si="149"/>
        <v>0.62</v>
      </c>
      <c r="J312">
        <f t="shared" si="121"/>
        <v>1.1800000000000002</v>
      </c>
      <c r="K312">
        <f t="shared" si="139"/>
        <v>35</v>
      </c>
      <c r="L312">
        <f t="shared" si="122"/>
        <v>1.0640465815509248</v>
      </c>
      <c r="M312">
        <f t="shared" si="140"/>
        <v>0</v>
      </c>
      <c r="O312">
        <f>$B$5*'5 Year Rainfall Simulation'!C313/1000</f>
        <v>0.68</v>
      </c>
      <c r="P312">
        <f t="shared" si="123"/>
        <v>0.68</v>
      </c>
      <c r="Q312">
        <f t="shared" si="124"/>
        <v>0.62</v>
      </c>
      <c r="R312">
        <f t="shared" si="125"/>
        <v>6.0000000000000053E-2</v>
      </c>
      <c r="S312">
        <f t="shared" si="141"/>
        <v>33.440000000000005</v>
      </c>
      <c r="T312">
        <f t="shared" si="126"/>
        <v>0.40197315303034942</v>
      </c>
      <c r="U312">
        <f t="shared" si="142"/>
        <v>0</v>
      </c>
      <c r="W312">
        <f>$B$5*'5 Year Rainfall Simulation'!D313/1000</f>
        <v>2.8809073117610224</v>
      </c>
      <c r="X312">
        <f t="shared" si="127"/>
        <v>2.8809073117610224</v>
      </c>
      <c r="Y312">
        <f t="shared" si="128"/>
        <v>0.62</v>
      </c>
      <c r="Z312">
        <f t="shared" si="129"/>
        <v>2.2609073117610223</v>
      </c>
      <c r="AA312">
        <f t="shared" si="143"/>
        <v>35</v>
      </c>
      <c r="AB312">
        <f t="shared" si="130"/>
        <v>1.7030108760246556</v>
      </c>
      <c r="AC312">
        <f t="shared" si="144"/>
        <v>0</v>
      </c>
      <c r="AE312">
        <f>$B$5*'5 Year Rainfall Simulation'!E313/1000</f>
        <v>0</v>
      </c>
      <c r="AF312">
        <f t="shared" si="131"/>
        <v>0</v>
      </c>
      <c r="AG312">
        <f t="shared" si="132"/>
        <v>0.62</v>
      </c>
      <c r="AH312">
        <f t="shared" si="133"/>
        <v>-0.62</v>
      </c>
      <c r="AI312">
        <f t="shared" si="145"/>
        <v>33.140000000000008</v>
      </c>
      <c r="AJ312">
        <f t="shared" si="134"/>
        <v>0</v>
      </c>
      <c r="AK312">
        <f t="shared" si="146"/>
        <v>0</v>
      </c>
      <c r="AM312">
        <f>$B$5*'5 Year Rainfall Simulation'!F313/1000</f>
        <v>0.85529975635710809</v>
      </c>
      <c r="AN312">
        <f t="shared" si="135"/>
        <v>0.85529975635710809</v>
      </c>
      <c r="AO312">
        <f t="shared" si="136"/>
        <v>0.62</v>
      </c>
      <c r="AP312">
        <f t="shared" si="137"/>
        <v>0.23529975635710809</v>
      </c>
      <c r="AQ312">
        <f t="shared" si="147"/>
        <v>35</v>
      </c>
      <c r="AR312">
        <f t="shared" si="138"/>
        <v>0.50559932330728874</v>
      </c>
      <c r="AS312">
        <f t="shared" si="148"/>
        <v>0</v>
      </c>
    </row>
    <row r="313" spans="6:45" ht="18" customHeight="1">
      <c r="F313" s="109">
        <v>44870</v>
      </c>
      <c r="G313">
        <f>B$5*'5 Year Rainfall Simulation'!B314/1000</f>
        <v>0.88000000000000012</v>
      </c>
      <c r="H313">
        <f t="shared" si="120"/>
        <v>0.88000000000000012</v>
      </c>
      <c r="I313">
        <f t="shared" si="149"/>
        <v>0.62</v>
      </c>
      <c r="J313">
        <f t="shared" si="121"/>
        <v>0.26000000000000012</v>
      </c>
      <c r="K313">
        <f t="shared" si="139"/>
        <v>35</v>
      </c>
      <c r="L313">
        <f t="shared" si="122"/>
        <v>0.52020055098045215</v>
      </c>
      <c r="M313">
        <f t="shared" si="140"/>
        <v>0</v>
      </c>
      <c r="O313">
        <f>$B$5*'5 Year Rainfall Simulation'!C314/1000</f>
        <v>1.2</v>
      </c>
      <c r="P313">
        <f t="shared" si="123"/>
        <v>1.2</v>
      </c>
      <c r="Q313">
        <f t="shared" si="124"/>
        <v>0.62</v>
      </c>
      <c r="R313">
        <f t="shared" si="125"/>
        <v>0.57999999999999996</v>
      </c>
      <c r="S313">
        <f t="shared" si="141"/>
        <v>34.020000000000003</v>
      </c>
      <c r="T313">
        <f t="shared" si="126"/>
        <v>0.70936438770061649</v>
      </c>
      <c r="U313">
        <f t="shared" si="142"/>
        <v>0</v>
      </c>
      <c r="W313">
        <f>$B$5*'5 Year Rainfall Simulation'!D314/1000</f>
        <v>0</v>
      </c>
      <c r="X313">
        <f t="shared" si="127"/>
        <v>0</v>
      </c>
      <c r="Y313">
        <f t="shared" si="128"/>
        <v>0.62</v>
      </c>
      <c r="Z313">
        <f t="shared" si="129"/>
        <v>-0.62</v>
      </c>
      <c r="AA313">
        <f t="shared" si="143"/>
        <v>34.380000000000003</v>
      </c>
      <c r="AB313">
        <f t="shared" si="130"/>
        <v>0</v>
      </c>
      <c r="AC313">
        <f t="shared" si="144"/>
        <v>0</v>
      </c>
      <c r="AE313">
        <f>$B$5*'5 Year Rainfall Simulation'!E314/1000</f>
        <v>2.3850721101758259</v>
      </c>
      <c r="AF313">
        <f t="shared" si="131"/>
        <v>2.3850721101758259</v>
      </c>
      <c r="AG313">
        <f t="shared" si="132"/>
        <v>0.62</v>
      </c>
      <c r="AH313">
        <f t="shared" si="133"/>
        <v>1.7650721101758258</v>
      </c>
      <c r="AI313">
        <f t="shared" si="145"/>
        <v>34.905072110175837</v>
      </c>
      <c r="AJ313">
        <f t="shared" si="134"/>
        <v>1.4099043475472435</v>
      </c>
      <c r="AK313">
        <f t="shared" si="146"/>
        <v>0</v>
      </c>
      <c r="AM313">
        <f>$B$5*'5 Year Rainfall Simulation'!F314/1000</f>
        <v>0.40250619967824702</v>
      </c>
      <c r="AN313">
        <f t="shared" si="135"/>
        <v>0.40250619967824702</v>
      </c>
      <c r="AO313">
        <f t="shared" si="136"/>
        <v>0.62</v>
      </c>
      <c r="AP313">
        <f t="shared" si="137"/>
        <v>-0.21749380032175297</v>
      </c>
      <c r="AQ313">
        <f t="shared" si="147"/>
        <v>34.782506199678245</v>
      </c>
      <c r="AR313">
        <f t="shared" si="138"/>
        <v>0.23793630323371817</v>
      </c>
      <c r="AS313">
        <f t="shared" si="148"/>
        <v>0</v>
      </c>
    </row>
    <row r="314" spans="6:45" ht="18" customHeight="1">
      <c r="F314" s="109">
        <v>44871</v>
      </c>
      <c r="G314">
        <f>B$5*'5 Year Rainfall Simulation'!B315/1000</f>
        <v>4.04</v>
      </c>
      <c r="H314">
        <f t="shared" si="120"/>
        <v>4.04</v>
      </c>
      <c r="I314">
        <f t="shared" si="149"/>
        <v>0.62</v>
      </c>
      <c r="J314">
        <f t="shared" si="121"/>
        <v>3.42</v>
      </c>
      <c r="K314">
        <f t="shared" si="139"/>
        <v>35</v>
      </c>
      <c r="L314">
        <f t="shared" si="122"/>
        <v>2.3881934385920758</v>
      </c>
      <c r="M314">
        <f t="shared" si="140"/>
        <v>0</v>
      </c>
      <c r="O314">
        <f>$B$5*'5 Year Rainfall Simulation'!C315/1000</f>
        <v>8.84</v>
      </c>
      <c r="P314">
        <f t="shared" si="123"/>
        <v>8.84</v>
      </c>
      <c r="Q314">
        <f t="shared" si="124"/>
        <v>0.62</v>
      </c>
      <c r="R314">
        <f t="shared" si="125"/>
        <v>8.2200000000000006</v>
      </c>
      <c r="S314">
        <f t="shared" si="141"/>
        <v>35</v>
      </c>
      <c r="T314">
        <f t="shared" si="126"/>
        <v>5.2256509893945413</v>
      </c>
      <c r="U314">
        <f t="shared" si="142"/>
        <v>0</v>
      </c>
      <c r="W314">
        <f>$B$5*'5 Year Rainfall Simulation'!D315/1000</f>
        <v>4.8442852821844014</v>
      </c>
      <c r="X314">
        <f t="shared" si="127"/>
        <v>4.8442852821844014</v>
      </c>
      <c r="Y314">
        <f t="shared" si="128"/>
        <v>0.62</v>
      </c>
      <c r="Z314">
        <f t="shared" si="129"/>
        <v>4.2242852821844012</v>
      </c>
      <c r="AA314">
        <f t="shared" si="143"/>
        <v>35</v>
      </c>
      <c r="AB314">
        <f t="shared" si="130"/>
        <v>2.863636219203205</v>
      </c>
      <c r="AC314">
        <f t="shared" si="144"/>
        <v>0</v>
      </c>
      <c r="AE314">
        <f>$B$5*'5 Year Rainfall Simulation'!E315/1000</f>
        <v>7.0994177721933003</v>
      </c>
      <c r="AF314">
        <f t="shared" si="131"/>
        <v>7.0994177721933003</v>
      </c>
      <c r="AG314">
        <f t="shared" si="132"/>
        <v>0.62</v>
      </c>
      <c r="AH314">
        <f t="shared" si="133"/>
        <v>6.4794177721933002</v>
      </c>
      <c r="AI314">
        <f t="shared" si="145"/>
        <v>35</v>
      </c>
      <c r="AJ314">
        <f t="shared" si="134"/>
        <v>4.1967284508356464</v>
      </c>
      <c r="AK314">
        <f t="shared" si="146"/>
        <v>0</v>
      </c>
      <c r="AM314">
        <f>$B$5*'5 Year Rainfall Simulation'!F315/1000</f>
        <v>4.7324229864163501</v>
      </c>
      <c r="AN314">
        <f t="shared" si="135"/>
        <v>4.7324229864163501</v>
      </c>
      <c r="AO314">
        <f t="shared" si="136"/>
        <v>0.62</v>
      </c>
      <c r="AP314">
        <f t="shared" si="137"/>
        <v>4.11242298641635</v>
      </c>
      <c r="AQ314">
        <f t="shared" si="147"/>
        <v>35</v>
      </c>
      <c r="AR314">
        <f t="shared" si="138"/>
        <v>2.7975102784162975</v>
      </c>
      <c r="AS314">
        <f t="shared" si="148"/>
        <v>0</v>
      </c>
    </row>
    <row r="315" spans="6:45" ht="18" customHeight="1">
      <c r="F315" s="109">
        <v>44872</v>
      </c>
      <c r="G315">
        <f>B$5*'5 Year Rainfall Simulation'!B316/1000</f>
        <v>0.28000000000000003</v>
      </c>
      <c r="H315">
        <f t="shared" si="120"/>
        <v>0.28000000000000003</v>
      </c>
      <c r="I315">
        <f t="shared" si="149"/>
        <v>0.62</v>
      </c>
      <c r="J315">
        <f t="shared" si="121"/>
        <v>-0.33999999999999997</v>
      </c>
      <c r="K315">
        <f t="shared" si="139"/>
        <v>34.659999999999997</v>
      </c>
      <c r="L315">
        <f t="shared" si="122"/>
        <v>0.16551835713014387</v>
      </c>
      <c r="M315">
        <f t="shared" si="140"/>
        <v>0</v>
      </c>
      <c r="O315">
        <f>$B$5*'5 Year Rainfall Simulation'!C316/1000</f>
        <v>0.44000000000000006</v>
      </c>
      <c r="P315">
        <f t="shared" si="123"/>
        <v>0.44000000000000006</v>
      </c>
      <c r="Q315">
        <f t="shared" si="124"/>
        <v>0.62</v>
      </c>
      <c r="R315">
        <f t="shared" si="125"/>
        <v>-0.17999999999999994</v>
      </c>
      <c r="S315">
        <f t="shared" si="141"/>
        <v>34.82</v>
      </c>
      <c r="T315">
        <f t="shared" si="126"/>
        <v>0.26010027549022607</v>
      </c>
      <c r="U315">
        <f t="shared" si="142"/>
        <v>0</v>
      </c>
      <c r="W315">
        <f>$B$5*'5 Year Rainfall Simulation'!D316/1000</f>
        <v>0</v>
      </c>
      <c r="X315">
        <f t="shared" si="127"/>
        <v>0</v>
      </c>
      <c r="Y315">
        <f t="shared" si="128"/>
        <v>0.62</v>
      </c>
      <c r="Z315">
        <f t="shared" si="129"/>
        <v>-0.62</v>
      </c>
      <c r="AA315">
        <f t="shared" si="143"/>
        <v>34.380000000000003</v>
      </c>
      <c r="AB315">
        <f t="shared" si="130"/>
        <v>0</v>
      </c>
      <c r="AC315">
        <f t="shared" si="144"/>
        <v>0</v>
      </c>
      <c r="AE315">
        <f>$B$5*'5 Year Rainfall Simulation'!E316/1000</f>
        <v>2.3872670996949619E-2</v>
      </c>
      <c r="AF315">
        <f t="shared" si="131"/>
        <v>2.3872670996949619E-2</v>
      </c>
      <c r="AG315">
        <f t="shared" si="132"/>
        <v>0.62</v>
      </c>
      <c r="AH315">
        <f t="shared" si="133"/>
        <v>-0.59612732900305043</v>
      </c>
      <c r="AI315">
        <f t="shared" si="145"/>
        <v>34.403872670996947</v>
      </c>
      <c r="AJ315">
        <f t="shared" si="134"/>
        <v>1.4112018870441194E-2</v>
      </c>
      <c r="AK315">
        <f t="shared" si="146"/>
        <v>0</v>
      </c>
      <c r="AM315">
        <f>$B$5*'5 Year Rainfall Simulation'!F316/1000</f>
        <v>0</v>
      </c>
      <c r="AN315">
        <f t="shared" si="135"/>
        <v>0</v>
      </c>
      <c r="AO315">
        <f t="shared" si="136"/>
        <v>0.62</v>
      </c>
      <c r="AP315">
        <f t="shared" si="137"/>
        <v>-0.62</v>
      </c>
      <c r="AQ315">
        <f t="shared" si="147"/>
        <v>34.380000000000003</v>
      </c>
      <c r="AR315">
        <f t="shared" si="138"/>
        <v>0</v>
      </c>
      <c r="AS315">
        <f t="shared" si="148"/>
        <v>0</v>
      </c>
    </row>
    <row r="316" spans="6:45" ht="18" customHeight="1">
      <c r="F316" s="109">
        <v>44873</v>
      </c>
      <c r="G316">
        <f>B$5*'5 Year Rainfall Simulation'!B317/1000</f>
        <v>6.8</v>
      </c>
      <c r="H316">
        <f t="shared" si="120"/>
        <v>6.8</v>
      </c>
      <c r="I316">
        <f t="shared" si="149"/>
        <v>0.62</v>
      </c>
      <c r="J316">
        <f t="shared" si="121"/>
        <v>6.18</v>
      </c>
      <c r="K316">
        <f t="shared" si="139"/>
        <v>35</v>
      </c>
      <c r="L316">
        <f t="shared" si="122"/>
        <v>4.0197315303034937</v>
      </c>
      <c r="M316">
        <f t="shared" si="140"/>
        <v>0</v>
      </c>
      <c r="O316">
        <f>$B$5*'5 Year Rainfall Simulation'!C317/1000</f>
        <v>0.32</v>
      </c>
      <c r="P316">
        <f t="shared" si="123"/>
        <v>0.32</v>
      </c>
      <c r="Q316">
        <f t="shared" si="124"/>
        <v>0.62</v>
      </c>
      <c r="R316">
        <f t="shared" si="125"/>
        <v>-0.3</v>
      </c>
      <c r="S316">
        <f t="shared" si="141"/>
        <v>34.520000000000003</v>
      </c>
      <c r="T316">
        <f t="shared" si="126"/>
        <v>0.1891638367201644</v>
      </c>
      <c r="U316">
        <f t="shared" si="142"/>
        <v>0</v>
      </c>
      <c r="W316">
        <f>$B$5*'5 Year Rainfall Simulation'!D317/1000</f>
        <v>7.4176413113410646</v>
      </c>
      <c r="X316">
        <f t="shared" si="127"/>
        <v>7.4176413113410646</v>
      </c>
      <c r="Y316">
        <f t="shared" si="128"/>
        <v>0.62</v>
      </c>
      <c r="Z316">
        <f t="shared" si="129"/>
        <v>6.7976413113410645</v>
      </c>
      <c r="AA316">
        <f t="shared" si="143"/>
        <v>35</v>
      </c>
      <c r="AB316">
        <f t="shared" si="130"/>
        <v>4.3848421558352104</v>
      </c>
      <c r="AC316">
        <f t="shared" si="144"/>
        <v>0</v>
      </c>
      <c r="AE316">
        <f>$B$5*'5 Year Rainfall Simulation'!E317/1000</f>
        <v>0</v>
      </c>
      <c r="AF316">
        <f t="shared" si="131"/>
        <v>0</v>
      </c>
      <c r="AG316">
        <f t="shared" si="132"/>
        <v>0.62</v>
      </c>
      <c r="AH316">
        <f t="shared" si="133"/>
        <v>-0.62</v>
      </c>
      <c r="AI316">
        <f t="shared" si="145"/>
        <v>33.783872670996949</v>
      </c>
      <c r="AJ316">
        <f t="shared" si="134"/>
        <v>0</v>
      </c>
      <c r="AK316">
        <f t="shared" si="146"/>
        <v>0</v>
      </c>
      <c r="AM316">
        <f>$B$5*'5 Year Rainfall Simulation'!F317/1000</f>
        <v>5.0325944894646222</v>
      </c>
      <c r="AN316">
        <f t="shared" si="135"/>
        <v>5.0325944894646222</v>
      </c>
      <c r="AO316">
        <f t="shared" si="136"/>
        <v>0.62</v>
      </c>
      <c r="AP316">
        <f t="shared" si="137"/>
        <v>4.4125944894646221</v>
      </c>
      <c r="AQ316">
        <f t="shared" si="147"/>
        <v>35</v>
      </c>
      <c r="AR316">
        <f t="shared" si="138"/>
        <v>2.9749527571371406</v>
      </c>
      <c r="AS316">
        <f t="shared" si="148"/>
        <v>0</v>
      </c>
    </row>
    <row r="317" spans="6:45" ht="18" customHeight="1">
      <c r="F317" s="109">
        <v>44874</v>
      </c>
      <c r="G317">
        <f>B$5*'5 Year Rainfall Simulation'!B318/1000</f>
        <v>0</v>
      </c>
      <c r="H317">
        <f t="shared" si="120"/>
        <v>0</v>
      </c>
      <c r="I317">
        <f t="shared" si="149"/>
        <v>0.62</v>
      </c>
      <c r="J317">
        <f t="shared" si="121"/>
        <v>-0.62</v>
      </c>
      <c r="K317">
        <f t="shared" si="139"/>
        <v>34.380000000000003</v>
      </c>
      <c r="L317">
        <f t="shared" si="122"/>
        <v>0</v>
      </c>
      <c r="M317">
        <f t="shared" si="140"/>
        <v>0</v>
      </c>
      <c r="O317">
        <f>$B$5*'5 Year Rainfall Simulation'!C318/1000</f>
        <v>0</v>
      </c>
      <c r="P317">
        <f t="shared" si="123"/>
        <v>0</v>
      </c>
      <c r="Q317">
        <f t="shared" si="124"/>
        <v>0.62</v>
      </c>
      <c r="R317">
        <f t="shared" si="125"/>
        <v>-0.62</v>
      </c>
      <c r="S317">
        <f t="shared" si="141"/>
        <v>33.900000000000006</v>
      </c>
      <c r="T317">
        <f t="shared" si="126"/>
        <v>0</v>
      </c>
      <c r="U317">
        <f t="shared" si="142"/>
        <v>0</v>
      </c>
      <c r="W317">
        <f>$B$5*'5 Year Rainfall Simulation'!D318/1000</f>
        <v>0</v>
      </c>
      <c r="X317">
        <f t="shared" si="127"/>
        <v>0</v>
      </c>
      <c r="Y317">
        <f t="shared" si="128"/>
        <v>0.62</v>
      </c>
      <c r="Z317">
        <f t="shared" si="129"/>
        <v>-0.62</v>
      </c>
      <c r="AA317">
        <f t="shared" si="143"/>
        <v>34.380000000000003</v>
      </c>
      <c r="AB317">
        <f t="shared" si="130"/>
        <v>0</v>
      </c>
      <c r="AC317">
        <f t="shared" si="144"/>
        <v>0</v>
      </c>
      <c r="AE317">
        <f>$B$5*'5 Year Rainfall Simulation'!E318/1000</f>
        <v>0.36940233978439263</v>
      </c>
      <c r="AF317">
        <f t="shared" si="131"/>
        <v>0.36940233978439263</v>
      </c>
      <c r="AG317">
        <f t="shared" si="132"/>
        <v>0.62</v>
      </c>
      <c r="AH317">
        <f t="shared" si="133"/>
        <v>-0.25059766021560737</v>
      </c>
      <c r="AI317">
        <f t="shared" si="145"/>
        <v>33.533275010781345</v>
      </c>
      <c r="AJ317">
        <f t="shared" si="134"/>
        <v>0.21836738714694232</v>
      </c>
      <c r="AK317">
        <f t="shared" si="146"/>
        <v>0</v>
      </c>
      <c r="AM317">
        <f>$B$5*'5 Year Rainfall Simulation'!F318/1000</f>
        <v>0</v>
      </c>
      <c r="AN317">
        <f t="shared" si="135"/>
        <v>0</v>
      </c>
      <c r="AO317">
        <f t="shared" si="136"/>
        <v>0.62</v>
      </c>
      <c r="AP317">
        <f t="shared" si="137"/>
        <v>-0.62</v>
      </c>
      <c r="AQ317">
        <f t="shared" si="147"/>
        <v>34.380000000000003</v>
      </c>
      <c r="AR317">
        <f t="shared" si="138"/>
        <v>0</v>
      </c>
      <c r="AS317">
        <f t="shared" si="148"/>
        <v>0</v>
      </c>
    </row>
    <row r="318" spans="6:45" ht="18" customHeight="1">
      <c r="F318" s="109">
        <v>44875</v>
      </c>
      <c r="G318">
        <f>B$5*'5 Year Rainfall Simulation'!B319/1000</f>
        <v>0</v>
      </c>
      <c r="H318">
        <f t="shared" si="120"/>
        <v>0</v>
      </c>
      <c r="I318">
        <f t="shared" si="149"/>
        <v>0.62</v>
      </c>
      <c r="J318">
        <f t="shared" si="121"/>
        <v>-0.62</v>
      </c>
      <c r="K318">
        <f t="shared" si="139"/>
        <v>33.760000000000005</v>
      </c>
      <c r="L318">
        <f t="shared" si="122"/>
        <v>0</v>
      </c>
      <c r="M318">
        <f t="shared" si="140"/>
        <v>0</v>
      </c>
      <c r="O318">
        <f>$B$5*'5 Year Rainfall Simulation'!C319/1000</f>
        <v>4.0999999999999996</v>
      </c>
      <c r="P318">
        <f t="shared" si="123"/>
        <v>4.0999999999999996</v>
      </c>
      <c r="Q318">
        <f t="shared" si="124"/>
        <v>0.62</v>
      </c>
      <c r="R318">
        <f t="shared" si="125"/>
        <v>3.4799999999999995</v>
      </c>
      <c r="S318">
        <f t="shared" si="141"/>
        <v>35</v>
      </c>
      <c r="T318">
        <f t="shared" si="126"/>
        <v>2.4236616579771062</v>
      </c>
      <c r="U318">
        <f t="shared" si="142"/>
        <v>0</v>
      </c>
      <c r="W318">
        <f>$B$5*'5 Year Rainfall Simulation'!D319/1000</f>
        <v>0</v>
      </c>
      <c r="X318">
        <f t="shared" si="127"/>
        <v>0</v>
      </c>
      <c r="Y318">
        <f t="shared" si="128"/>
        <v>0.62</v>
      </c>
      <c r="Z318">
        <f t="shared" si="129"/>
        <v>-0.62</v>
      </c>
      <c r="AA318">
        <f t="shared" si="143"/>
        <v>33.760000000000005</v>
      </c>
      <c r="AB318">
        <f t="shared" si="130"/>
        <v>0</v>
      </c>
      <c r="AC318">
        <f t="shared" si="144"/>
        <v>0</v>
      </c>
      <c r="AE318">
        <f>$B$5*'5 Year Rainfall Simulation'!E319/1000</f>
        <v>1.0496674393578624</v>
      </c>
      <c r="AF318">
        <f t="shared" si="131"/>
        <v>1.0496674393578624</v>
      </c>
      <c r="AG318">
        <f t="shared" si="132"/>
        <v>0.62</v>
      </c>
      <c r="AH318">
        <f t="shared" si="133"/>
        <v>0.42966743935786245</v>
      </c>
      <c r="AI318">
        <f t="shared" si="145"/>
        <v>33.962942450139209</v>
      </c>
      <c r="AJ318">
        <f t="shared" si="134"/>
        <v>0.62049725034113679</v>
      </c>
      <c r="AK318">
        <f t="shared" si="146"/>
        <v>0</v>
      </c>
      <c r="AM318">
        <f>$B$5*'5 Year Rainfall Simulation'!F319/1000</f>
        <v>0.26322083430227583</v>
      </c>
      <c r="AN318">
        <f t="shared" si="135"/>
        <v>0.26322083430227583</v>
      </c>
      <c r="AO318">
        <f t="shared" si="136"/>
        <v>0.62</v>
      </c>
      <c r="AP318">
        <f t="shared" si="137"/>
        <v>-0.35677916569772417</v>
      </c>
      <c r="AQ318">
        <f t="shared" si="147"/>
        <v>34.023220834302279</v>
      </c>
      <c r="AR318">
        <f t="shared" si="138"/>
        <v>0.15559957162906612</v>
      </c>
      <c r="AS318">
        <f t="shared" si="148"/>
        <v>0</v>
      </c>
    </row>
    <row r="319" spans="6:45" ht="18" customHeight="1">
      <c r="F319" s="109">
        <v>44876</v>
      </c>
      <c r="G319">
        <f>B$5*'5 Year Rainfall Simulation'!B320/1000</f>
        <v>0</v>
      </c>
      <c r="H319">
        <f t="shared" si="120"/>
        <v>0</v>
      </c>
      <c r="I319">
        <f t="shared" si="149"/>
        <v>0.62</v>
      </c>
      <c r="J319">
        <f t="shared" si="121"/>
        <v>-0.62</v>
      </c>
      <c r="K319">
        <f t="shared" si="139"/>
        <v>33.140000000000008</v>
      </c>
      <c r="L319">
        <f t="shared" si="122"/>
        <v>0</v>
      </c>
      <c r="M319">
        <f t="shared" si="140"/>
        <v>0</v>
      </c>
      <c r="O319">
        <f>$B$5*'5 Year Rainfall Simulation'!C320/1000</f>
        <v>3.76</v>
      </c>
      <c r="P319">
        <f t="shared" si="123"/>
        <v>3.76</v>
      </c>
      <c r="Q319">
        <f t="shared" si="124"/>
        <v>0.62</v>
      </c>
      <c r="R319">
        <f t="shared" si="125"/>
        <v>3.1399999999999997</v>
      </c>
      <c r="S319">
        <f t="shared" si="141"/>
        <v>35</v>
      </c>
      <c r="T319">
        <f t="shared" si="126"/>
        <v>2.2226750814619316</v>
      </c>
      <c r="U319">
        <f t="shared" si="142"/>
        <v>0</v>
      </c>
      <c r="W319">
        <f>$B$5*'5 Year Rainfall Simulation'!D320/1000</f>
        <v>0</v>
      </c>
      <c r="X319">
        <f t="shared" si="127"/>
        <v>0</v>
      </c>
      <c r="Y319">
        <f t="shared" si="128"/>
        <v>0.62</v>
      </c>
      <c r="Z319">
        <f t="shared" si="129"/>
        <v>-0.62</v>
      </c>
      <c r="AA319">
        <f t="shared" si="143"/>
        <v>33.140000000000008</v>
      </c>
      <c r="AB319">
        <f t="shared" si="130"/>
        <v>0</v>
      </c>
      <c r="AC319">
        <f t="shared" si="144"/>
        <v>0</v>
      </c>
      <c r="AE319">
        <f>$B$5*'5 Year Rainfall Simulation'!E320/1000</f>
        <v>4.9438717440210143</v>
      </c>
      <c r="AF319">
        <f t="shared" si="131"/>
        <v>4.9438717440210143</v>
      </c>
      <c r="AG319">
        <f t="shared" si="132"/>
        <v>0.62</v>
      </c>
      <c r="AH319">
        <f t="shared" si="133"/>
        <v>4.3238717440210142</v>
      </c>
      <c r="AI319">
        <f t="shared" si="145"/>
        <v>35</v>
      </c>
      <c r="AJ319">
        <f t="shared" si="134"/>
        <v>2.922505460473205</v>
      </c>
      <c r="AK319">
        <f t="shared" si="146"/>
        <v>0</v>
      </c>
      <c r="AM319">
        <f>$B$5*'5 Year Rainfall Simulation'!F320/1000</f>
        <v>0</v>
      </c>
      <c r="AN319">
        <f t="shared" si="135"/>
        <v>0</v>
      </c>
      <c r="AO319">
        <f t="shared" si="136"/>
        <v>0.62</v>
      </c>
      <c r="AP319">
        <f t="shared" si="137"/>
        <v>-0.62</v>
      </c>
      <c r="AQ319">
        <f t="shared" si="147"/>
        <v>33.403220834302282</v>
      </c>
      <c r="AR319">
        <f t="shared" si="138"/>
        <v>0</v>
      </c>
      <c r="AS319">
        <f t="shared" si="148"/>
        <v>0</v>
      </c>
    </row>
    <row r="320" spans="6:45" ht="18" customHeight="1">
      <c r="F320" s="109">
        <v>44877</v>
      </c>
      <c r="G320">
        <f>B$5*'5 Year Rainfall Simulation'!B321/1000</f>
        <v>0</v>
      </c>
      <c r="H320">
        <f t="shared" si="120"/>
        <v>0</v>
      </c>
      <c r="I320">
        <f t="shared" si="149"/>
        <v>0.62</v>
      </c>
      <c r="J320">
        <f t="shared" si="121"/>
        <v>-0.62</v>
      </c>
      <c r="K320">
        <f t="shared" si="139"/>
        <v>32.52000000000001</v>
      </c>
      <c r="L320">
        <f t="shared" si="122"/>
        <v>0</v>
      </c>
      <c r="M320">
        <f t="shared" si="140"/>
        <v>0</v>
      </c>
      <c r="O320">
        <f>$B$5*'5 Year Rainfall Simulation'!C321/1000</f>
        <v>11.8</v>
      </c>
      <c r="P320">
        <f t="shared" si="123"/>
        <v>10</v>
      </c>
      <c r="Q320">
        <f t="shared" si="124"/>
        <v>0.62</v>
      </c>
      <c r="R320">
        <f t="shared" si="125"/>
        <v>9.3800000000000008</v>
      </c>
      <c r="S320">
        <f t="shared" si="141"/>
        <v>35</v>
      </c>
      <c r="T320">
        <f t="shared" si="126"/>
        <v>5.9113698975051374</v>
      </c>
      <c r="U320">
        <f t="shared" si="142"/>
        <v>0</v>
      </c>
      <c r="W320">
        <f>$B$5*'5 Year Rainfall Simulation'!D321/1000</f>
        <v>0</v>
      </c>
      <c r="X320">
        <f t="shared" si="127"/>
        <v>0</v>
      </c>
      <c r="Y320">
        <f t="shared" si="128"/>
        <v>0.62</v>
      </c>
      <c r="Z320">
        <f t="shared" si="129"/>
        <v>-0.62</v>
      </c>
      <c r="AA320">
        <f t="shared" si="143"/>
        <v>32.52000000000001</v>
      </c>
      <c r="AB320">
        <f t="shared" si="130"/>
        <v>0</v>
      </c>
      <c r="AC320">
        <f t="shared" si="144"/>
        <v>0</v>
      </c>
      <c r="AE320">
        <f>$B$5*'5 Year Rainfall Simulation'!E321/1000</f>
        <v>11.557196195606087</v>
      </c>
      <c r="AF320">
        <f t="shared" si="131"/>
        <v>10</v>
      </c>
      <c r="AG320">
        <f t="shared" si="132"/>
        <v>0.62</v>
      </c>
      <c r="AH320">
        <f t="shared" si="133"/>
        <v>9.3800000000000008</v>
      </c>
      <c r="AI320">
        <f t="shared" si="145"/>
        <v>35</v>
      </c>
      <c r="AJ320">
        <f t="shared" si="134"/>
        <v>5.9113698975051374</v>
      </c>
      <c r="AK320">
        <f t="shared" si="146"/>
        <v>0</v>
      </c>
      <c r="AM320">
        <f>$B$5*'5 Year Rainfall Simulation'!F321/1000</f>
        <v>1.4140307354369774</v>
      </c>
      <c r="AN320">
        <f t="shared" si="135"/>
        <v>1.4140307354369774</v>
      </c>
      <c r="AO320">
        <f t="shared" si="136"/>
        <v>0.62</v>
      </c>
      <c r="AP320">
        <f t="shared" si="137"/>
        <v>0.79403073543697744</v>
      </c>
      <c r="AQ320">
        <f t="shared" si="147"/>
        <v>34.197251569739258</v>
      </c>
      <c r="AR320">
        <f t="shared" si="138"/>
        <v>0.83588587236091993</v>
      </c>
      <c r="AS320">
        <f t="shared" si="148"/>
        <v>0</v>
      </c>
    </row>
    <row r="321" spans="6:45" ht="18" customHeight="1">
      <c r="F321" s="109">
        <v>44878</v>
      </c>
      <c r="G321">
        <f>B$5*'5 Year Rainfall Simulation'!B322/1000</f>
        <v>0</v>
      </c>
      <c r="H321">
        <f t="shared" si="120"/>
        <v>0</v>
      </c>
      <c r="I321">
        <f t="shared" si="149"/>
        <v>0.62</v>
      </c>
      <c r="J321">
        <f t="shared" si="121"/>
        <v>-0.62</v>
      </c>
      <c r="K321">
        <f t="shared" si="139"/>
        <v>31.900000000000009</v>
      </c>
      <c r="L321">
        <f t="shared" si="122"/>
        <v>0</v>
      </c>
      <c r="M321">
        <f t="shared" si="140"/>
        <v>0</v>
      </c>
      <c r="O321">
        <f>$B$5*'5 Year Rainfall Simulation'!C322/1000</f>
        <v>2.2799999999999998</v>
      </c>
      <c r="P321">
        <f t="shared" si="123"/>
        <v>2.2799999999999998</v>
      </c>
      <c r="Q321">
        <f t="shared" si="124"/>
        <v>0.62</v>
      </c>
      <c r="R321">
        <f t="shared" si="125"/>
        <v>1.6599999999999997</v>
      </c>
      <c r="S321">
        <f t="shared" si="141"/>
        <v>35</v>
      </c>
      <c r="T321">
        <f t="shared" si="126"/>
        <v>1.3477923366311713</v>
      </c>
      <c r="U321">
        <f t="shared" si="142"/>
        <v>0</v>
      </c>
      <c r="W321">
        <f>$B$5*'5 Year Rainfall Simulation'!D322/1000</f>
        <v>1.3300747798453272</v>
      </c>
      <c r="X321">
        <f t="shared" si="127"/>
        <v>1.3300747798453272</v>
      </c>
      <c r="Y321">
        <f t="shared" si="128"/>
        <v>0.62</v>
      </c>
      <c r="Z321">
        <f t="shared" si="129"/>
        <v>0.71007477984532719</v>
      </c>
      <c r="AA321">
        <f t="shared" si="143"/>
        <v>33.230074779845339</v>
      </c>
      <c r="AB321">
        <f t="shared" si="130"/>
        <v>0.78625640150084408</v>
      </c>
      <c r="AC321">
        <f t="shared" si="144"/>
        <v>0</v>
      </c>
      <c r="AE321">
        <f>$B$5*'5 Year Rainfall Simulation'!E322/1000</f>
        <v>0</v>
      </c>
      <c r="AF321">
        <f t="shared" si="131"/>
        <v>0</v>
      </c>
      <c r="AG321">
        <f t="shared" si="132"/>
        <v>0.62</v>
      </c>
      <c r="AH321">
        <f t="shared" si="133"/>
        <v>-0.62</v>
      </c>
      <c r="AI321">
        <f t="shared" si="145"/>
        <v>34.380000000000003</v>
      </c>
      <c r="AJ321">
        <f t="shared" si="134"/>
        <v>0</v>
      </c>
      <c r="AK321">
        <f t="shared" si="146"/>
        <v>0</v>
      </c>
      <c r="AM321">
        <f>$B$5*'5 Year Rainfall Simulation'!F322/1000</f>
        <v>1.2609311443534927</v>
      </c>
      <c r="AN321">
        <f t="shared" si="135"/>
        <v>1.2609311443534927</v>
      </c>
      <c r="AO321">
        <f t="shared" si="136"/>
        <v>0.62</v>
      </c>
      <c r="AP321">
        <f t="shared" si="137"/>
        <v>0.64093114435349274</v>
      </c>
      <c r="AQ321">
        <f t="shared" si="147"/>
        <v>34.838182714092753</v>
      </c>
      <c r="AR321">
        <f t="shared" si="138"/>
        <v>0.74538304095579422</v>
      </c>
      <c r="AS321">
        <f t="shared" si="148"/>
        <v>0</v>
      </c>
    </row>
    <row r="322" spans="6:45" ht="18" customHeight="1">
      <c r="F322" s="109">
        <v>44879</v>
      </c>
      <c r="G322">
        <f>B$5*'5 Year Rainfall Simulation'!B323/1000</f>
        <v>0</v>
      </c>
      <c r="H322">
        <f t="shared" si="120"/>
        <v>0</v>
      </c>
      <c r="I322">
        <f t="shared" si="149"/>
        <v>0.62</v>
      </c>
      <c r="J322">
        <f t="shared" si="121"/>
        <v>-0.62</v>
      </c>
      <c r="K322">
        <f t="shared" si="139"/>
        <v>31.280000000000008</v>
      </c>
      <c r="L322">
        <f t="shared" si="122"/>
        <v>0</v>
      </c>
      <c r="M322">
        <f t="shared" si="140"/>
        <v>0</v>
      </c>
      <c r="O322">
        <f>$B$5*'5 Year Rainfall Simulation'!C323/1000</f>
        <v>0.12</v>
      </c>
      <c r="P322">
        <f t="shared" si="123"/>
        <v>0.12</v>
      </c>
      <c r="Q322">
        <f t="shared" si="124"/>
        <v>0.62</v>
      </c>
      <c r="R322">
        <f t="shared" si="125"/>
        <v>-0.5</v>
      </c>
      <c r="S322">
        <f t="shared" si="141"/>
        <v>34.5</v>
      </c>
      <c r="T322">
        <f t="shared" si="126"/>
        <v>7.0936438770061644E-2</v>
      </c>
      <c r="U322">
        <f t="shared" si="142"/>
        <v>0</v>
      </c>
      <c r="W322">
        <f>$B$5*'5 Year Rainfall Simulation'!D323/1000</f>
        <v>0</v>
      </c>
      <c r="X322">
        <f t="shared" si="127"/>
        <v>0</v>
      </c>
      <c r="Y322">
        <f t="shared" si="128"/>
        <v>0.62</v>
      </c>
      <c r="Z322">
        <f t="shared" si="129"/>
        <v>-0.62</v>
      </c>
      <c r="AA322">
        <f t="shared" si="143"/>
        <v>32.610074779845341</v>
      </c>
      <c r="AB322">
        <f t="shared" si="130"/>
        <v>0</v>
      </c>
      <c r="AC322">
        <f t="shared" si="144"/>
        <v>0</v>
      </c>
      <c r="AE322">
        <f>$B$5*'5 Year Rainfall Simulation'!E323/1000</f>
        <v>0</v>
      </c>
      <c r="AF322">
        <f t="shared" si="131"/>
        <v>0</v>
      </c>
      <c r="AG322">
        <f t="shared" si="132"/>
        <v>0.62</v>
      </c>
      <c r="AH322">
        <f t="shared" si="133"/>
        <v>-0.62</v>
      </c>
      <c r="AI322">
        <f t="shared" si="145"/>
        <v>33.760000000000005</v>
      </c>
      <c r="AJ322">
        <f t="shared" si="134"/>
        <v>0</v>
      </c>
      <c r="AK322">
        <f t="shared" si="146"/>
        <v>0</v>
      </c>
      <c r="AM322">
        <f>$B$5*'5 Year Rainfall Simulation'!F323/1000</f>
        <v>0</v>
      </c>
      <c r="AN322">
        <f t="shared" si="135"/>
        <v>0</v>
      </c>
      <c r="AO322">
        <f t="shared" si="136"/>
        <v>0.62</v>
      </c>
      <c r="AP322">
        <f t="shared" si="137"/>
        <v>-0.62</v>
      </c>
      <c r="AQ322">
        <f t="shared" si="147"/>
        <v>34.218182714092755</v>
      </c>
      <c r="AR322">
        <f t="shared" si="138"/>
        <v>0</v>
      </c>
      <c r="AS322">
        <f t="shared" si="148"/>
        <v>0</v>
      </c>
    </row>
    <row r="323" spans="6:45" ht="18" customHeight="1">
      <c r="F323" s="109">
        <v>44880</v>
      </c>
      <c r="G323">
        <f>B$5*'5 Year Rainfall Simulation'!B324/1000</f>
        <v>0</v>
      </c>
      <c r="H323">
        <f t="shared" si="120"/>
        <v>0</v>
      </c>
      <c r="I323">
        <f t="shared" si="149"/>
        <v>0.62</v>
      </c>
      <c r="J323">
        <f t="shared" si="121"/>
        <v>-0.62</v>
      </c>
      <c r="K323">
        <f t="shared" si="139"/>
        <v>30.660000000000007</v>
      </c>
      <c r="L323">
        <f t="shared" si="122"/>
        <v>0</v>
      </c>
      <c r="M323">
        <f t="shared" si="140"/>
        <v>0</v>
      </c>
      <c r="O323">
        <f>$B$5*'5 Year Rainfall Simulation'!C324/1000</f>
        <v>1.2</v>
      </c>
      <c r="P323">
        <f t="shared" si="123"/>
        <v>1.2</v>
      </c>
      <c r="Q323">
        <f t="shared" si="124"/>
        <v>0.62</v>
      </c>
      <c r="R323">
        <f t="shared" si="125"/>
        <v>0.57999999999999996</v>
      </c>
      <c r="S323">
        <f t="shared" si="141"/>
        <v>35</v>
      </c>
      <c r="T323">
        <f t="shared" si="126"/>
        <v>0.70936438770061649</v>
      </c>
      <c r="U323">
        <f t="shared" si="142"/>
        <v>0</v>
      </c>
      <c r="W323">
        <f>$B$5*'5 Year Rainfall Simulation'!D324/1000</f>
        <v>0</v>
      </c>
      <c r="X323">
        <f t="shared" si="127"/>
        <v>0</v>
      </c>
      <c r="Y323">
        <f t="shared" si="128"/>
        <v>0.62</v>
      </c>
      <c r="Z323">
        <f t="shared" si="129"/>
        <v>-0.62</v>
      </c>
      <c r="AA323">
        <f t="shared" si="143"/>
        <v>31.99007477984534</v>
      </c>
      <c r="AB323">
        <f t="shared" si="130"/>
        <v>0</v>
      </c>
      <c r="AC323">
        <f t="shared" si="144"/>
        <v>0</v>
      </c>
      <c r="AE323">
        <f>$B$5*'5 Year Rainfall Simulation'!E324/1000</f>
        <v>2.102480950502978</v>
      </c>
      <c r="AF323">
        <f t="shared" si="131"/>
        <v>2.102480950502978</v>
      </c>
      <c r="AG323">
        <f t="shared" si="132"/>
        <v>0.62</v>
      </c>
      <c r="AH323">
        <f t="shared" si="133"/>
        <v>1.4824809505029779</v>
      </c>
      <c r="AI323">
        <f t="shared" si="145"/>
        <v>35</v>
      </c>
      <c r="AJ323">
        <f t="shared" si="134"/>
        <v>1.2428542600881294</v>
      </c>
      <c r="AK323">
        <f t="shared" si="146"/>
        <v>0</v>
      </c>
      <c r="AM323">
        <f>$B$5*'5 Year Rainfall Simulation'!F324/1000</f>
        <v>1.189398957413254</v>
      </c>
      <c r="AN323">
        <f t="shared" si="135"/>
        <v>1.189398957413254</v>
      </c>
      <c r="AO323">
        <f t="shared" si="136"/>
        <v>0.62</v>
      </c>
      <c r="AP323">
        <f t="shared" si="137"/>
        <v>0.56939895741325397</v>
      </c>
      <c r="AQ323">
        <f t="shared" si="147"/>
        <v>34.787581671506011</v>
      </c>
      <c r="AR323">
        <f t="shared" si="138"/>
        <v>0.70309771929767051</v>
      </c>
      <c r="AS323">
        <f t="shared" si="148"/>
        <v>0</v>
      </c>
    </row>
    <row r="324" spans="6:45" ht="18" customHeight="1">
      <c r="F324" s="109">
        <v>44881</v>
      </c>
      <c r="G324">
        <f>B$5*'5 Year Rainfall Simulation'!B325/1000</f>
        <v>0</v>
      </c>
      <c r="H324">
        <f t="shared" si="120"/>
        <v>0</v>
      </c>
      <c r="I324">
        <f t="shared" si="149"/>
        <v>0.62</v>
      </c>
      <c r="J324">
        <f t="shared" si="121"/>
        <v>-0.62</v>
      </c>
      <c r="K324">
        <f t="shared" si="139"/>
        <v>30.040000000000006</v>
      </c>
      <c r="L324">
        <f t="shared" si="122"/>
        <v>0</v>
      </c>
      <c r="M324">
        <f t="shared" si="140"/>
        <v>0</v>
      </c>
      <c r="O324">
        <f>$B$5*'5 Year Rainfall Simulation'!C325/1000</f>
        <v>11.08</v>
      </c>
      <c r="P324">
        <f t="shared" si="123"/>
        <v>10</v>
      </c>
      <c r="Q324">
        <f t="shared" si="124"/>
        <v>0.62</v>
      </c>
      <c r="R324">
        <f t="shared" si="125"/>
        <v>9.3800000000000008</v>
      </c>
      <c r="S324">
        <f t="shared" si="141"/>
        <v>35</v>
      </c>
      <c r="T324">
        <f t="shared" si="126"/>
        <v>5.9113698975051374</v>
      </c>
      <c r="U324">
        <f t="shared" si="142"/>
        <v>0</v>
      </c>
      <c r="W324">
        <f>$B$5*'5 Year Rainfall Simulation'!D325/1000</f>
        <v>0</v>
      </c>
      <c r="X324">
        <f t="shared" si="127"/>
        <v>0</v>
      </c>
      <c r="Y324">
        <f t="shared" si="128"/>
        <v>0.62</v>
      </c>
      <c r="Z324">
        <f t="shared" si="129"/>
        <v>-0.62</v>
      </c>
      <c r="AA324">
        <f t="shared" si="143"/>
        <v>31.370074779845339</v>
      </c>
      <c r="AB324">
        <f t="shared" si="130"/>
        <v>0</v>
      </c>
      <c r="AC324">
        <f t="shared" si="144"/>
        <v>0</v>
      </c>
      <c r="AE324">
        <f>$B$5*'5 Year Rainfall Simulation'!E325/1000</f>
        <v>12.708088252574624</v>
      </c>
      <c r="AF324">
        <f t="shared" si="131"/>
        <v>10</v>
      </c>
      <c r="AG324">
        <f t="shared" si="132"/>
        <v>0.62</v>
      </c>
      <c r="AH324">
        <f t="shared" si="133"/>
        <v>9.3800000000000008</v>
      </c>
      <c r="AI324">
        <f t="shared" si="145"/>
        <v>35</v>
      </c>
      <c r="AJ324">
        <f t="shared" si="134"/>
        <v>5.9113698975051374</v>
      </c>
      <c r="AK324">
        <f t="shared" si="146"/>
        <v>0</v>
      </c>
      <c r="AM324">
        <f>$B$5*'5 Year Rainfall Simulation'!F325/1000</f>
        <v>6.2058358236917181E-2</v>
      </c>
      <c r="AN324">
        <f t="shared" si="135"/>
        <v>6.2058358236917181E-2</v>
      </c>
      <c r="AO324">
        <f t="shared" si="136"/>
        <v>0.62</v>
      </c>
      <c r="AP324">
        <f t="shared" si="137"/>
        <v>-0.55794164176308281</v>
      </c>
      <c r="AQ324">
        <f t="shared" si="147"/>
        <v>34.229640029742932</v>
      </c>
      <c r="AR324">
        <f t="shared" si="138"/>
        <v>3.6684991077030223E-2</v>
      </c>
      <c r="AS324">
        <f t="shared" si="148"/>
        <v>0</v>
      </c>
    </row>
    <row r="325" spans="6:45" ht="18" customHeight="1">
      <c r="F325" s="109">
        <v>44882</v>
      </c>
      <c r="G325">
        <f>B$5*'5 Year Rainfall Simulation'!B326/1000</f>
        <v>0</v>
      </c>
      <c r="H325">
        <f t="shared" ref="H325:H369" si="150">IF($C$16="y",IF(G325&lt;$B$6,G325,$B$6),IF(G325&lt;$B$14,G325,$B$14))</f>
        <v>0</v>
      </c>
      <c r="I325">
        <f t="shared" si="149"/>
        <v>0.62</v>
      </c>
      <c r="J325">
        <f t="shared" ref="J325:J369" si="151">H325-I325</f>
        <v>-0.62</v>
      </c>
      <c r="K325">
        <f t="shared" si="139"/>
        <v>29.420000000000005</v>
      </c>
      <c r="L325">
        <f t="shared" ref="L325:L369" si="152">H325/($B$14/24)</f>
        <v>0</v>
      </c>
      <c r="M325">
        <f t="shared" si="140"/>
        <v>0</v>
      </c>
      <c r="O325">
        <f>$B$5*'5 Year Rainfall Simulation'!C326/1000</f>
        <v>1.24</v>
      </c>
      <c r="P325">
        <f t="shared" ref="P325:P369" si="153">IF($C$16="y",IF(O325&lt;$B$6,O325,$B$6),IF(O325&lt;$B$14,O325,$B$14))</f>
        <v>1.24</v>
      </c>
      <c r="Q325">
        <f t="shared" ref="Q325:Q369" si="154">$B$4</f>
        <v>0.62</v>
      </c>
      <c r="R325">
        <f t="shared" ref="R325:R369" si="155">P325-Q325</f>
        <v>0.62</v>
      </c>
      <c r="S325">
        <f t="shared" si="141"/>
        <v>35</v>
      </c>
      <c r="T325">
        <f t="shared" ref="T325:T369" si="156">P325/($B$14/24)</f>
        <v>0.73300986729063711</v>
      </c>
      <c r="U325">
        <f t="shared" si="142"/>
        <v>0</v>
      </c>
      <c r="W325">
        <f>$B$5*'5 Year Rainfall Simulation'!D326/1000</f>
        <v>0</v>
      </c>
      <c r="X325">
        <f t="shared" ref="X325:X369" si="157">IF($C$16="y",IF(W325&lt;$B$6,W325,$B$6),IF(W325&lt;$B$14,W325,$B$14))</f>
        <v>0</v>
      </c>
      <c r="Y325">
        <f t="shared" ref="Y325:Y369" si="158">$B$4</f>
        <v>0.62</v>
      </c>
      <c r="Z325">
        <f t="shared" ref="Z325:Z369" si="159">X325-Y325</f>
        <v>-0.62</v>
      </c>
      <c r="AA325">
        <f t="shared" si="143"/>
        <v>30.750074779845338</v>
      </c>
      <c r="AB325">
        <f t="shared" ref="AB325:AB369" si="160">X325/($B$14/24)</f>
        <v>0</v>
      </c>
      <c r="AC325">
        <f t="shared" si="144"/>
        <v>0</v>
      </c>
      <c r="AE325">
        <f>$B$5*'5 Year Rainfall Simulation'!E326/1000</f>
        <v>1.3601043338017571</v>
      </c>
      <c r="AF325">
        <f t="shared" ref="AF325:AF369" si="161">IF($C$16="y",IF(AE325&lt;$B$6,AE325,$B$6),IF(AE325&lt;$B$14,AE325,$B$14))</f>
        <v>1.3601043338017571</v>
      </c>
      <c r="AG325">
        <f t="shared" ref="AG325:AG369" si="162">$B$4</f>
        <v>0.62</v>
      </c>
      <c r="AH325">
        <f t="shared" ref="AH325:AH369" si="163">AF325-AG325</f>
        <v>0.74010433380175711</v>
      </c>
      <c r="AI325">
        <f t="shared" si="145"/>
        <v>35</v>
      </c>
      <c r="AJ325">
        <f t="shared" ref="AJ325:AJ369" si="164">AF325/($B$14/24)</f>
        <v>0.80400798163019871</v>
      </c>
      <c r="AK325">
        <f t="shared" si="146"/>
        <v>0</v>
      </c>
      <c r="AM325">
        <f>$B$5*'5 Year Rainfall Simulation'!F326/1000</f>
        <v>0</v>
      </c>
      <c r="AN325">
        <f t="shared" ref="AN325:AN369" si="165">IF($C$16="y",IF(AM325&lt;$B$6,AM325,$B$6),IF(AM325&lt;$B$14,AM325,$B$14))</f>
        <v>0</v>
      </c>
      <c r="AO325">
        <f t="shared" ref="AO325:AO369" si="166">$B$4</f>
        <v>0.62</v>
      </c>
      <c r="AP325">
        <f t="shared" ref="AP325:AP369" si="167">AN325-AO325</f>
        <v>-0.62</v>
      </c>
      <c r="AQ325">
        <f t="shared" si="147"/>
        <v>33.609640029742934</v>
      </c>
      <c r="AR325">
        <f t="shared" ref="AR325:AR369" si="168">AN325/($B$14/24)</f>
        <v>0</v>
      </c>
      <c r="AS325">
        <f t="shared" si="148"/>
        <v>0</v>
      </c>
    </row>
    <row r="326" spans="6:45" ht="18" customHeight="1">
      <c r="F326" s="109">
        <v>44883</v>
      </c>
      <c r="G326">
        <f>B$5*'5 Year Rainfall Simulation'!B327/1000</f>
        <v>0</v>
      </c>
      <c r="H326">
        <f t="shared" si="150"/>
        <v>0</v>
      </c>
      <c r="I326">
        <f t="shared" si="149"/>
        <v>0.62</v>
      </c>
      <c r="J326">
        <f t="shared" si="151"/>
        <v>-0.62</v>
      </c>
      <c r="K326">
        <f t="shared" ref="K326:K369" si="169">IF(M326&gt;0,0,IF((K325+J326)&gt;$B$7,$B$7,(K325+J326)))</f>
        <v>28.800000000000004</v>
      </c>
      <c r="L326">
        <f t="shared" si="152"/>
        <v>0</v>
      </c>
      <c r="M326">
        <f t="shared" ref="M326:M369" si="170">IF(K325+J326&lt;0,1,0)</f>
        <v>0</v>
      </c>
      <c r="O326">
        <f>$B$5*'5 Year Rainfall Simulation'!C327/1000</f>
        <v>0</v>
      </c>
      <c r="P326">
        <f t="shared" si="153"/>
        <v>0</v>
      </c>
      <c r="Q326">
        <f t="shared" si="154"/>
        <v>0.62</v>
      </c>
      <c r="R326">
        <f t="shared" si="155"/>
        <v>-0.62</v>
      </c>
      <c r="S326">
        <f t="shared" ref="S326:S369" si="171">IF(U326&gt;0,P326,IF((S325+R326)&gt;$B$7,$B$7,(S325+R326)))</f>
        <v>34.380000000000003</v>
      </c>
      <c r="T326">
        <f t="shared" si="156"/>
        <v>0</v>
      </c>
      <c r="U326">
        <f t="shared" ref="U326:U369" si="172">IF(S325-Q326&lt;0,1,0)</f>
        <v>0</v>
      </c>
      <c r="W326">
        <f>$B$5*'5 Year Rainfall Simulation'!D327/1000</f>
        <v>0</v>
      </c>
      <c r="X326">
        <f t="shared" si="157"/>
        <v>0</v>
      </c>
      <c r="Y326">
        <f t="shared" si="158"/>
        <v>0.62</v>
      </c>
      <c r="Z326">
        <f t="shared" si="159"/>
        <v>-0.62</v>
      </c>
      <c r="AA326">
        <f t="shared" ref="AA326:AA369" si="173">IF(AC326&gt;0,0,IF((AA325+Z326)&gt;$B$7,$B$7,(AA325+Z326)))</f>
        <v>30.130074779845337</v>
      </c>
      <c r="AB326">
        <f t="shared" si="160"/>
        <v>0</v>
      </c>
      <c r="AC326">
        <f t="shared" ref="AC326:AC369" si="174">IF(AA325+Z326&lt;0,1,0)</f>
        <v>0</v>
      </c>
      <c r="AE326">
        <f>$B$5*'5 Year Rainfall Simulation'!E327/1000</f>
        <v>0</v>
      </c>
      <c r="AF326">
        <f t="shared" si="161"/>
        <v>0</v>
      </c>
      <c r="AG326">
        <f t="shared" si="162"/>
        <v>0.62</v>
      </c>
      <c r="AH326">
        <f t="shared" si="163"/>
        <v>-0.62</v>
      </c>
      <c r="AI326">
        <f t="shared" ref="AI326:AI369" si="175">IF(AK326&gt;0,0,IF((AI325+AH326)&gt;$B$7,$B$7,(AI325+AH326)))</f>
        <v>34.380000000000003</v>
      </c>
      <c r="AJ326">
        <f t="shared" si="164"/>
        <v>0</v>
      </c>
      <c r="AK326">
        <f t="shared" ref="AK326:AK369" si="176">IF(AI325+AH326&lt;0,1,0)</f>
        <v>0</v>
      </c>
      <c r="AM326">
        <f>$B$5*'5 Year Rainfall Simulation'!F327/1000</f>
        <v>0</v>
      </c>
      <c r="AN326">
        <f t="shared" si="165"/>
        <v>0</v>
      </c>
      <c r="AO326">
        <f t="shared" si="166"/>
        <v>0.62</v>
      </c>
      <c r="AP326">
        <f t="shared" si="167"/>
        <v>-0.62</v>
      </c>
      <c r="AQ326">
        <f t="shared" ref="AQ326:AQ369" si="177">IF(AS326&gt;0,0,IF((AQ325+AP326)&gt;$B$7,$B$7,(AQ325+AP326)))</f>
        <v>32.989640029742937</v>
      </c>
      <c r="AR326">
        <f t="shared" si="168"/>
        <v>0</v>
      </c>
      <c r="AS326">
        <f t="shared" ref="AS326:AS369" si="178">IF(AQ325+AP326&lt;0,1,0)</f>
        <v>0</v>
      </c>
    </row>
    <row r="327" spans="6:45" ht="18" customHeight="1">
      <c r="F327" s="109">
        <v>44884</v>
      </c>
      <c r="G327">
        <f>B$5*'5 Year Rainfall Simulation'!B328/1000</f>
        <v>0.68</v>
      </c>
      <c r="H327">
        <f t="shared" si="150"/>
        <v>0.68</v>
      </c>
      <c r="I327">
        <f t="shared" si="149"/>
        <v>0.62</v>
      </c>
      <c r="J327">
        <f t="shared" si="151"/>
        <v>6.0000000000000053E-2</v>
      </c>
      <c r="K327">
        <f t="shared" si="169"/>
        <v>28.860000000000003</v>
      </c>
      <c r="L327">
        <f t="shared" si="152"/>
        <v>0.40197315303034942</v>
      </c>
      <c r="M327">
        <f t="shared" si="170"/>
        <v>0</v>
      </c>
      <c r="O327">
        <f>$B$5*'5 Year Rainfall Simulation'!C328/1000</f>
        <v>0</v>
      </c>
      <c r="P327">
        <f t="shared" si="153"/>
        <v>0</v>
      </c>
      <c r="Q327">
        <f t="shared" si="154"/>
        <v>0.62</v>
      </c>
      <c r="R327">
        <f t="shared" si="155"/>
        <v>-0.62</v>
      </c>
      <c r="S327">
        <f t="shared" si="171"/>
        <v>33.760000000000005</v>
      </c>
      <c r="T327">
        <f t="shared" si="156"/>
        <v>0</v>
      </c>
      <c r="U327">
        <f t="shared" si="172"/>
        <v>0</v>
      </c>
      <c r="W327">
        <f>$B$5*'5 Year Rainfall Simulation'!D328/1000</f>
        <v>0.61503093194578018</v>
      </c>
      <c r="X327">
        <f t="shared" si="157"/>
        <v>0.61503093194578018</v>
      </c>
      <c r="Y327">
        <f t="shared" si="158"/>
        <v>0.62</v>
      </c>
      <c r="Z327">
        <f t="shared" si="159"/>
        <v>-4.9690680542198162E-3</v>
      </c>
      <c r="AA327">
        <f t="shared" si="173"/>
        <v>30.125105711791118</v>
      </c>
      <c r="AB327">
        <f t="shared" si="160"/>
        <v>0.36356753371388162</v>
      </c>
      <c r="AC327">
        <f t="shared" si="174"/>
        <v>0</v>
      </c>
      <c r="AE327">
        <f>$B$5*'5 Year Rainfall Simulation'!E328/1000</f>
        <v>0.2182255641276464</v>
      </c>
      <c r="AF327">
        <f t="shared" si="161"/>
        <v>0.2182255641276464</v>
      </c>
      <c r="AG327">
        <f t="shared" si="162"/>
        <v>0.62</v>
      </c>
      <c r="AH327">
        <f t="shared" si="163"/>
        <v>-0.40177443587235362</v>
      </c>
      <c r="AI327">
        <f t="shared" si="175"/>
        <v>33.978225564127648</v>
      </c>
      <c r="AJ327">
        <f t="shared" si="164"/>
        <v>0.12900120306502461</v>
      </c>
      <c r="AK327">
        <f t="shared" si="176"/>
        <v>0</v>
      </c>
      <c r="AM327">
        <f>$B$5*'5 Year Rainfall Simulation'!F328/1000</f>
        <v>0</v>
      </c>
      <c r="AN327">
        <f t="shared" si="165"/>
        <v>0</v>
      </c>
      <c r="AO327">
        <f t="shared" si="166"/>
        <v>0.62</v>
      </c>
      <c r="AP327">
        <f t="shared" si="167"/>
        <v>-0.62</v>
      </c>
      <c r="AQ327">
        <f t="shared" si="177"/>
        <v>32.369640029742939</v>
      </c>
      <c r="AR327">
        <f t="shared" si="168"/>
        <v>0</v>
      </c>
      <c r="AS327">
        <f t="shared" si="178"/>
        <v>0</v>
      </c>
    </row>
    <row r="328" spans="6:45" ht="18" customHeight="1">
      <c r="F328" s="109">
        <v>44885</v>
      </c>
      <c r="G328">
        <f>B$5*'5 Year Rainfall Simulation'!B329/1000</f>
        <v>5.88</v>
      </c>
      <c r="H328">
        <f t="shared" si="150"/>
        <v>5.88</v>
      </c>
      <c r="I328">
        <f t="shared" si="149"/>
        <v>0.62</v>
      </c>
      <c r="J328">
        <f t="shared" si="151"/>
        <v>5.26</v>
      </c>
      <c r="K328">
        <f t="shared" si="169"/>
        <v>34.120000000000005</v>
      </c>
      <c r="L328">
        <f t="shared" si="152"/>
        <v>3.4758854997330211</v>
      </c>
      <c r="M328">
        <f t="shared" si="170"/>
        <v>0</v>
      </c>
      <c r="O328">
        <f>$B$5*'5 Year Rainfall Simulation'!C329/1000</f>
        <v>0</v>
      </c>
      <c r="P328">
        <f t="shared" si="153"/>
        <v>0</v>
      </c>
      <c r="Q328">
        <f t="shared" si="154"/>
        <v>0.62</v>
      </c>
      <c r="R328">
        <f t="shared" si="155"/>
        <v>-0.62</v>
      </c>
      <c r="S328">
        <f t="shared" si="171"/>
        <v>33.140000000000008</v>
      </c>
      <c r="T328">
        <f t="shared" si="156"/>
        <v>0</v>
      </c>
      <c r="U328">
        <f t="shared" si="172"/>
        <v>0</v>
      </c>
      <c r="W328">
        <f>$B$5*'5 Year Rainfall Simulation'!D329/1000</f>
        <v>7.5626774462466146</v>
      </c>
      <c r="X328">
        <f t="shared" si="157"/>
        <v>7.5626774462466146</v>
      </c>
      <c r="Y328">
        <f t="shared" si="158"/>
        <v>0.62</v>
      </c>
      <c r="Z328">
        <f t="shared" si="159"/>
        <v>6.9426774462466145</v>
      </c>
      <c r="AA328">
        <f t="shared" si="173"/>
        <v>35</v>
      </c>
      <c r="AB328">
        <f t="shared" si="160"/>
        <v>4.4705783800283267</v>
      </c>
      <c r="AC328">
        <f t="shared" si="174"/>
        <v>0</v>
      </c>
      <c r="AE328">
        <f>$B$5*'5 Year Rainfall Simulation'!E329/1000</f>
        <v>1.3670884902370266</v>
      </c>
      <c r="AF328">
        <f t="shared" si="161"/>
        <v>1.3670884902370266</v>
      </c>
      <c r="AG328">
        <f t="shared" si="162"/>
        <v>0.62</v>
      </c>
      <c r="AH328">
        <f t="shared" si="163"/>
        <v>0.74708849023702661</v>
      </c>
      <c r="AI328">
        <f t="shared" si="175"/>
        <v>34.725314054364674</v>
      </c>
      <c r="AJ328">
        <f t="shared" si="164"/>
        <v>0.80813657484129053</v>
      </c>
      <c r="AK328">
        <f t="shared" si="176"/>
        <v>0</v>
      </c>
      <c r="AM328">
        <f>$B$5*'5 Year Rainfall Simulation'!F329/1000</f>
        <v>4.9526917356021407</v>
      </c>
      <c r="AN328">
        <f t="shared" si="165"/>
        <v>4.9526917356021407</v>
      </c>
      <c r="AO328">
        <f t="shared" si="166"/>
        <v>0.62</v>
      </c>
      <c r="AP328">
        <f t="shared" si="167"/>
        <v>4.3326917356021406</v>
      </c>
      <c r="AQ328">
        <f t="shared" si="177"/>
        <v>35</v>
      </c>
      <c r="AR328">
        <f t="shared" si="168"/>
        <v>2.927719283746097</v>
      </c>
      <c r="AS328">
        <f t="shared" si="178"/>
        <v>0</v>
      </c>
    </row>
    <row r="329" spans="6:45" ht="18" customHeight="1">
      <c r="F329" s="109">
        <v>44886</v>
      </c>
      <c r="G329">
        <f>B$5*'5 Year Rainfall Simulation'!B330/1000</f>
        <v>6.5599999999999987</v>
      </c>
      <c r="H329">
        <f t="shared" si="150"/>
        <v>6.5599999999999987</v>
      </c>
      <c r="I329">
        <f t="shared" si="149"/>
        <v>0.62</v>
      </c>
      <c r="J329">
        <f t="shared" si="151"/>
        <v>5.9399999999999986</v>
      </c>
      <c r="K329">
        <f t="shared" si="169"/>
        <v>35</v>
      </c>
      <c r="L329">
        <f t="shared" si="152"/>
        <v>3.8778586527633698</v>
      </c>
      <c r="M329">
        <f t="shared" si="170"/>
        <v>0</v>
      </c>
      <c r="O329">
        <f>$B$5*'5 Year Rainfall Simulation'!C330/1000</f>
        <v>0</v>
      </c>
      <c r="P329">
        <f t="shared" si="153"/>
        <v>0</v>
      </c>
      <c r="Q329">
        <f t="shared" si="154"/>
        <v>0.62</v>
      </c>
      <c r="R329">
        <f t="shared" si="155"/>
        <v>-0.62</v>
      </c>
      <c r="S329">
        <f t="shared" si="171"/>
        <v>32.52000000000001</v>
      </c>
      <c r="T329">
        <f t="shared" si="156"/>
        <v>0</v>
      </c>
      <c r="U329">
        <f t="shared" si="172"/>
        <v>0</v>
      </c>
      <c r="W329">
        <f>$B$5*'5 Year Rainfall Simulation'!D330/1000</f>
        <v>4.3093882455479147</v>
      </c>
      <c r="X329">
        <f t="shared" si="157"/>
        <v>4.3093882455479147</v>
      </c>
      <c r="Y329">
        <f t="shared" si="158"/>
        <v>0.62</v>
      </c>
      <c r="Z329">
        <f t="shared" si="159"/>
        <v>3.6893882455479146</v>
      </c>
      <c r="AA329">
        <f t="shared" si="173"/>
        <v>35</v>
      </c>
      <c r="AB329">
        <f t="shared" si="160"/>
        <v>2.5474387951394424</v>
      </c>
      <c r="AC329">
        <f t="shared" si="174"/>
        <v>0</v>
      </c>
      <c r="AE329">
        <f>$B$5*'5 Year Rainfall Simulation'!E330/1000</f>
        <v>1.1726358464839324</v>
      </c>
      <c r="AF329">
        <f t="shared" si="161"/>
        <v>1.1726358464839324</v>
      </c>
      <c r="AG329">
        <f t="shared" si="162"/>
        <v>0.62</v>
      </c>
      <c r="AH329">
        <f t="shared" si="163"/>
        <v>0.55263584648393238</v>
      </c>
      <c r="AI329">
        <f t="shared" si="175"/>
        <v>35</v>
      </c>
      <c r="AJ329">
        <f t="shared" si="164"/>
        <v>0.69318842436405737</v>
      </c>
      <c r="AK329">
        <f t="shared" si="176"/>
        <v>0</v>
      </c>
      <c r="AM329">
        <f>$B$5*'5 Year Rainfall Simulation'!F330/1000</f>
        <v>3.3345090613194741</v>
      </c>
      <c r="AN329">
        <f t="shared" si="165"/>
        <v>3.3345090613194741</v>
      </c>
      <c r="AO329">
        <f t="shared" si="166"/>
        <v>0.62</v>
      </c>
      <c r="AP329">
        <f t="shared" si="167"/>
        <v>2.714509061319474</v>
      </c>
      <c r="AQ329">
        <f t="shared" si="177"/>
        <v>35</v>
      </c>
      <c r="AR329">
        <f t="shared" si="168"/>
        <v>1.9711516488042053</v>
      </c>
      <c r="AS329">
        <f t="shared" si="178"/>
        <v>0</v>
      </c>
    </row>
    <row r="330" spans="6:45" ht="18" customHeight="1">
      <c r="F330" s="109">
        <v>44887</v>
      </c>
      <c r="G330">
        <f>B$5*'5 Year Rainfall Simulation'!B331/1000</f>
        <v>5.12</v>
      </c>
      <c r="H330">
        <f t="shared" si="150"/>
        <v>5.12</v>
      </c>
      <c r="I330">
        <f t="shared" si="149"/>
        <v>0.62</v>
      </c>
      <c r="J330">
        <f t="shared" si="151"/>
        <v>4.5</v>
      </c>
      <c r="K330">
        <f t="shared" si="169"/>
        <v>35</v>
      </c>
      <c r="L330">
        <f t="shared" si="152"/>
        <v>3.0266213875226304</v>
      </c>
      <c r="M330">
        <f t="shared" si="170"/>
        <v>0</v>
      </c>
      <c r="O330">
        <f>$B$5*'5 Year Rainfall Simulation'!C331/1000</f>
        <v>0</v>
      </c>
      <c r="P330">
        <f t="shared" si="153"/>
        <v>0</v>
      </c>
      <c r="Q330">
        <f t="shared" si="154"/>
        <v>0.62</v>
      </c>
      <c r="R330">
        <f t="shared" si="155"/>
        <v>-0.62</v>
      </c>
      <c r="S330">
        <f t="shared" si="171"/>
        <v>31.900000000000009</v>
      </c>
      <c r="T330">
        <f t="shared" si="156"/>
        <v>0</v>
      </c>
      <c r="U330">
        <f t="shared" si="172"/>
        <v>0</v>
      </c>
      <c r="W330">
        <f>$B$5*'5 Year Rainfall Simulation'!D331/1000</f>
        <v>6.4346181265368054</v>
      </c>
      <c r="X330">
        <f t="shared" si="157"/>
        <v>6.4346181265368054</v>
      </c>
      <c r="Y330">
        <f t="shared" si="158"/>
        <v>0.62</v>
      </c>
      <c r="Z330">
        <f t="shared" si="159"/>
        <v>5.8146181265368053</v>
      </c>
      <c r="AA330">
        <f t="shared" si="173"/>
        <v>35</v>
      </c>
      <c r="AB330">
        <f t="shared" si="160"/>
        <v>3.8037407895150577</v>
      </c>
      <c r="AC330">
        <f t="shared" si="174"/>
        <v>0</v>
      </c>
      <c r="AE330">
        <f>$B$5*'5 Year Rainfall Simulation'!E331/1000</f>
        <v>0</v>
      </c>
      <c r="AF330">
        <f t="shared" si="161"/>
        <v>0</v>
      </c>
      <c r="AG330">
        <f t="shared" si="162"/>
        <v>0.62</v>
      </c>
      <c r="AH330">
        <f t="shared" si="163"/>
        <v>-0.62</v>
      </c>
      <c r="AI330">
        <f t="shared" si="175"/>
        <v>34.380000000000003</v>
      </c>
      <c r="AJ330">
        <f t="shared" si="164"/>
        <v>0</v>
      </c>
      <c r="AK330">
        <f t="shared" si="176"/>
        <v>0</v>
      </c>
      <c r="AM330">
        <f>$B$5*'5 Year Rainfall Simulation'!F331/1000</f>
        <v>7.2399919384619054</v>
      </c>
      <c r="AN330">
        <f t="shared" si="165"/>
        <v>7.2399919384619054</v>
      </c>
      <c r="AO330">
        <f t="shared" si="166"/>
        <v>0.62</v>
      </c>
      <c r="AP330">
        <f t="shared" si="167"/>
        <v>6.6199919384619053</v>
      </c>
      <c r="AQ330">
        <f t="shared" si="177"/>
        <v>35</v>
      </c>
      <c r="AR330">
        <f t="shared" si="168"/>
        <v>4.2798270403203578</v>
      </c>
      <c r="AS330">
        <f t="shared" si="178"/>
        <v>0</v>
      </c>
    </row>
    <row r="331" spans="6:45" ht="18" customHeight="1">
      <c r="F331" s="109">
        <v>44888</v>
      </c>
      <c r="G331">
        <f>B$5*'5 Year Rainfall Simulation'!B332/1000</f>
        <v>3.04</v>
      </c>
      <c r="H331">
        <f t="shared" si="150"/>
        <v>3.04</v>
      </c>
      <c r="I331">
        <f t="shared" si="149"/>
        <v>0.62</v>
      </c>
      <c r="J331">
        <f t="shared" si="151"/>
        <v>2.42</v>
      </c>
      <c r="K331">
        <f t="shared" si="169"/>
        <v>35</v>
      </c>
      <c r="L331">
        <f t="shared" si="152"/>
        <v>1.7970564488415619</v>
      </c>
      <c r="M331">
        <f t="shared" si="170"/>
        <v>0</v>
      </c>
      <c r="O331">
        <f>$B$5*'5 Year Rainfall Simulation'!C332/1000</f>
        <v>0</v>
      </c>
      <c r="P331">
        <f t="shared" si="153"/>
        <v>0</v>
      </c>
      <c r="Q331">
        <f t="shared" si="154"/>
        <v>0.62</v>
      </c>
      <c r="R331">
        <f t="shared" si="155"/>
        <v>-0.62</v>
      </c>
      <c r="S331">
        <f t="shared" si="171"/>
        <v>31.280000000000008</v>
      </c>
      <c r="T331">
        <f t="shared" si="156"/>
        <v>0</v>
      </c>
      <c r="U331">
        <f t="shared" si="172"/>
        <v>0</v>
      </c>
      <c r="W331">
        <f>$B$5*'5 Year Rainfall Simulation'!D332/1000</f>
        <v>4.1946376578804898</v>
      </c>
      <c r="X331">
        <f t="shared" si="157"/>
        <v>4.1946376578804898</v>
      </c>
      <c r="Y331">
        <f t="shared" si="158"/>
        <v>0.62</v>
      </c>
      <c r="Z331">
        <f t="shared" si="159"/>
        <v>3.5746376578804897</v>
      </c>
      <c r="AA331">
        <f t="shared" si="173"/>
        <v>35</v>
      </c>
      <c r="AB331">
        <f t="shared" si="160"/>
        <v>2.4796054781736183</v>
      </c>
      <c r="AC331">
        <f t="shared" si="174"/>
        <v>0</v>
      </c>
      <c r="AE331">
        <f>$B$5*'5 Year Rainfall Simulation'!E332/1000</f>
        <v>0</v>
      </c>
      <c r="AF331">
        <f t="shared" si="161"/>
        <v>0</v>
      </c>
      <c r="AG331">
        <f t="shared" si="162"/>
        <v>0.62</v>
      </c>
      <c r="AH331">
        <f t="shared" si="163"/>
        <v>-0.62</v>
      </c>
      <c r="AI331">
        <f t="shared" si="175"/>
        <v>33.760000000000005</v>
      </c>
      <c r="AJ331">
        <f t="shared" si="164"/>
        <v>0</v>
      </c>
      <c r="AK331">
        <f t="shared" si="176"/>
        <v>0</v>
      </c>
      <c r="AM331">
        <f>$B$5*'5 Year Rainfall Simulation'!F332/1000</f>
        <v>2.0531028237119622</v>
      </c>
      <c r="AN331">
        <f t="shared" si="165"/>
        <v>2.0531028237119622</v>
      </c>
      <c r="AO331">
        <f t="shared" si="166"/>
        <v>0.62</v>
      </c>
      <c r="AP331">
        <f t="shared" si="167"/>
        <v>1.4331028237119621</v>
      </c>
      <c r="AQ331">
        <f t="shared" si="177"/>
        <v>35</v>
      </c>
      <c r="AR331">
        <f t="shared" si="168"/>
        <v>1.2136650228573691</v>
      </c>
      <c r="AS331">
        <f t="shared" si="178"/>
        <v>0</v>
      </c>
    </row>
    <row r="332" spans="6:45" ht="18" customHeight="1">
      <c r="F332" s="109">
        <v>44889</v>
      </c>
      <c r="G332">
        <f>B$5*'5 Year Rainfall Simulation'!B333/1000</f>
        <v>12.12</v>
      </c>
      <c r="H332">
        <f t="shared" si="150"/>
        <v>10</v>
      </c>
      <c r="I332">
        <f t="shared" si="149"/>
        <v>0.62</v>
      </c>
      <c r="J332">
        <f t="shared" si="151"/>
        <v>9.3800000000000008</v>
      </c>
      <c r="K332">
        <f t="shared" si="169"/>
        <v>35</v>
      </c>
      <c r="L332">
        <f t="shared" si="152"/>
        <v>5.9113698975051374</v>
      </c>
      <c r="M332">
        <f t="shared" si="170"/>
        <v>0</v>
      </c>
      <c r="O332">
        <f>$B$5*'5 Year Rainfall Simulation'!C333/1000</f>
        <v>0</v>
      </c>
      <c r="P332">
        <f t="shared" si="153"/>
        <v>0</v>
      </c>
      <c r="Q332">
        <f t="shared" si="154"/>
        <v>0.62</v>
      </c>
      <c r="R332">
        <f t="shared" si="155"/>
        <v>-0.62</v>
      </c>
      <c r="S332">
        <f t="shared" si="171"/>
        <v>30.660000000000007</v>
      </c>
      <c r="T332">
        <f t="shared" si="156"/>
        <v>0</v>
      </c>
      <c r="U332">
        <f t="shared" si="172"/>
        <v>0</v>
      </c>
      <c r="W332">
        <f>$B$5*'5 Year Rainfall Simulation'!D333/1000</f>
        <v>13.85702929318685</v>
      </c>
      <c r="X332">
        <f t="shared" si="157"/>
        <v>10</v>
      </c>
      <c r="Y332">
        <f t="shared" si="158"/>
        <v>0.62</v>
      </c>
      <c r="Z332">
        <f t="shared" si="159"/>
        <v>9.3800000000000008</v>
      </c>
      <c r="AA332">
        <f t="shared" si="173"/>
        <v>35</v>
      </c>
      <c r="AB332">
        <f t="shared" si="160"/>
        <v>5.9113698975051374</v>
      </c>
      <c r="AC332">
        <f t="shared" si="174"/>
        <v>0</v>
      </c>
      <c r="AE332">
        <f>$B$5*'5 Year Rainfall Simulation'!E333/1000</f>
        <v>0</v>
      </c>
      <c r="AF332">
        <f t="shared" si="161"/>
        <v>0</v>
      </c>
      <c r="AG332">
        <f t="shared" si="162"/>
        <v>0.62</v>
      </c>
      <c r="AH332">
        <f t="shared" si="163"/>
        <v>-0.62</v>
      </c>
      <c r="AI332">
        <f t="shared" si="175"/>
        <v>33.140000000000008</v>
      </c>
      <c r="AJ332">
        <f t="shared" si="164"/>
        <v>0</v>
      </c>
      <c r="AK332">
        <f t="shared" si="176"/>
        <v>0</v>
      </c>
      <c r="AM332">
        <f>$B$5*'5 Year Rainfall Simulation'!F333/1000</f>
        <v>11.215153243896575</v>
      </c>
      <c r="AN332">
        <f t="shared" si="165"/>
        <v>10</v>
      </c>
      <c r="AO332">
        <f t="shared" si="166"/>
        <v>0.62</v>
      </c>
      <c r="AP332">
        <f t="shared" si="167"/>
        <v>9.3800000000000008</v>
      </c>
      <c r="AQ332">
        <f t="shared" si="177"/>
        <v>35</v>
      </c>
      <c r="AR332">
        <f t="shared" si="168"/>
        <v>5.9113698975051374</v>
      </c>
      <c r="AS332">
        <f t="shared" si="178"/>
        <v>0</v>
      </c>
    </row>
    <row r="333" spans="6:45" ht="18" customHeight="1">
      <c r="F333" s="109">
        <v>44890</v>
      </c>
      <c r="G333">
        <f>B$5*'5 Year Rainfall Simulation'!B334/1000</f>
        <v>3</v>
      </c>
      <c r="H333">
        <f t="shared" si="150"/>
        <v>3</v>
      </c>
      <c r="I333">
        <f t="shared" si="149"/>
        <v>0.62</v>
      </c>
      <c r="J333">
        <f t="shared" si="151"/>
        <v>2.38</v>
      </c>
      <c r="K333">
        <f t="shared" si="169"/>
        <v>35</v>
      </c>
      <c r="L333">
        <f t="shared" si="152"/>
        <v>1.7734109692515414</v>
      </c>
      <c r="M333">
        <f t="shared" si="170"/>
        <v>0</v>
      </c>
      <c r="O333">
        <f>$B$5*'5 Year Rainfall Simulation'!C334/1000</f>
        <v>0</v>
      </c>
      <c r="P333">
        <f t="shared" si="153"/>
        <v>0</v>
      </c>
      <c r="Q333">
        <f t="shared" si="154"/>
        <v>0.62</v>
      </c>
      <c r="R333">
        <f t="shared" si="155"/>
        <v>-0.62</v>
      </c>
      <c r="S333">
        <f t="shared" si="171"/>
        <v>30.040000000000006</v>
      </c>
      <c r="T333">
        <f t="shared" si="156"/>
        <v>0</v>
      </c>
      <c r="U333">
        <f t="shared" si="172"/>
        <v>0</v>
      </c>
      <c r="W333">
        <f>$B$5*'5 Year Rainfall Simulation'!D334/1000</f>
        <v>3.09553633200307</v>
      </c>
      <c r="X333">
        <f t="shared" si="157"/>
        <v>3.09553633200307</v>
      </c>
      <c r="Y333">
        <f t="shared" si="158"/>
        <v>0.62</v>
      </c>
      <c r="Z333">
        <f t="shared" si="159"/>
        <v>2.4755363320030699</v>
      </c>
      <c r="AA333">
        <f t="shared" si="173"/>
        <v>35</v>
      </c>
      <c r="AB333">
        <f t="shared" si="160"/>
        <v>1.8298860289636418</v>
      </c>
      <c r="AC333">
        <f t="shared" si="174"/>
        <v>0</v>
      </c>
      <c r="AE333">
        <f>$B$5*'5 Year Rainfall Simulation'!E334/1000</f>
        <v>0</v>
      </c>
      <c r="AF333">
        <f t="shared" si="161"/>
        <v>0</v>
      </c>
      <c r="AG333">
        <f t="shared" si="162"/>
        <v>0.62</v>
      </c>
      <c r="AH333">
        <f t="shared" si="163"/>
        <v>-0.62</v>
      </c>
      <c r="AI333">
        <f t="shared" si="175"/>
        <v>32.52000000000001</v>
      </c>
      <c r="AJ333">
        <f t="shared" si="164"/>
        <v>0</v>
      </c>
      <c r="AK333">
        <f t="shared" si="176"/>
        <v>0</v>
      </c>
      <c r="AM333">
        <f>$B$5*'5 Year Rainfall Simulation'!F334/1000</f>
        <v>2.0367880232537598</v>
      </c>
      <c r="AN333">
        <f t="shared" si="165"/>
        <v>2.0367880232537598</v>
      </c>
      <c r="AO333">
        <f t="shared" si="166"/>
        <v>0.62</v>
      </c>
      <c r="AP333">
        <f t="shared" si="167"/>
        <v>1.4167880232537597</v>
      </c>
      <c r="AQ333">
        <f t="shared" si="177"/>
        <v>35</v>
      </c>
      <c r="AR333">
        <f t="shared" si="168"/>
        <v>1.204020740826127</v>
      </c>
      <c r="AS333">
        <f t="shared" si="178"/>
        <v>0</v>
      </c>
    </row>
    <row r="334" spans="6:45" ht="18" customHeight="1">
      <c r="F334" s="109">
        <v>44891</v>
      </c>
      <c r="G334">
        <f>B$5*'5 Year Rainfall Simulation'!B335/1000</f>
        <v>8.6</v>
      </c>
      <c r="H334">
        <f t="shared" si="150"/>
        <v>8.6</v>
      </c>
      <c r="I334">
        <f t="shared" si="149"/>
        <v>0.62</v>
      </c>
      <c r="J334">
        <f t="shared" si="151"/>
        <v>7.9799999999999995</v>
      </c>
      <c r="K334">
        <f t="shared" si="169"/>
        <v>35</v>
      </c>
      <c r="L334">
        <f t="shared" si="152"/>
        <v>5.0837781118544179</v>
      </c>
      <c r="M334">
        <f t="shared" si="170"/>
        <v>0</v>
      </c>
      <c r="O334">
        <f>$B$5*'5 Year Rainfall Simulation'!C335/1000</f>
        <v>0</v>
      </c>
      <c r="P334">
        <f t="shared" si="153"/>
        <v>0</v>
      </c>
      <c r="Q334">
        <f t="shared" si="154"/>
        <v>0.62</v>
      </c>
      <c r="R334">
        <f t="shared" si="155"/>
        <v>-0.62</v>
      </c>
      <c r="S334">
        <f t="shared" si="171"/>
        <v>29.420000000000005</v>
      </c>
      <c r="T334">
        <f t="shared" si="156"/>
        <v>0</v>
      </c>
      <c r="U334">
        <f t="shared" si="172"/>
        <v>0</v>
      </c>
      <c r="W334">
        <f>$B$5*'5 Year Rainfall Simulation'!D335/1000</f>
        <v>7.8139758687712613</v>
      </c>
      <c r="X334">
        <f t="shared" si="157"/>
        <v>7.8139758687712613</v>
      </c>
      <c r="Y334">
        <f t="shared" si="158"/>
        <v>0.62</v>
      </c>
      <c r="Z334">
        <f t="shared" si="159"/>
        <v>7.1939758687712612</v>
      </c>
      <c r="AA334">
        <f t="shared" si="173"/>
        <v>35</v>
      </c>
      <c r="AB334">
        <f t="shared" si="160"/>
        <v>4.6191301730485987</v>
      </c>
      <c r="AC334">
        <f t="shared" si="174"/>
        <v>0</v>
      </c>
      <c r="AE334">
        <f>$B$5*'5 Year Rainfall Simulation'!E335/1000</f>
        <v>0</v>
      </c>
      <c r="AF334">
        <f t="shared" si="161"/>
        <v>0</v>
      </c>
      <c r="AG334">
        <f t="shared" si="162"/>
        <v>0.62</v>
      </c>
      <c r="AH334">
        <f t="shared" si="163"/>
        <v>-0.62</v>
      </c>
      <c r="AI334">
        <f t="shared" si="175"/>
        <v>31.900000000000009</v>
      </c>
      <c r="AJ334">
        <f t="shared" si="164"/>
        <v>0</v>
      </c>
      <c r="AK334">
        <f t="shared" si="176"/>
        <v>0</v>
      </c>
      <c r="AM334">
        <f>$B$5*'5 Year Rainfall Simulation'!F335/1000</f>
        <v>8.2411634196309436</v>
      </c>
      <c r="AN334">
        <f t="shared" si="165"/>
        <v>8.2411634196309436</v>
      </c>
      <c r="AO334">
        <f t="shared" si="166"/>
        <v>0.62</v>
      </c>
      <c r="AP334">
        <f t="shared" si="167"/>
        <v>7.6211634196309435</v>
      </c>
      <c r="AQ334">
        <f t="shared" si="177"/>
        <v>35</v>
      </c>
      <c r="AR334">
        <f t="shared" si="168"/>
        <v>4.8716565359226864</v>
      </c>
      <c r="AS334">
        <f t="shared" si="178"/>
        <v>0</v>
      </c>
    </row>
    <row r="335" spans="6:45" ht="18" customHeight="1">
      <c r="F335" s="109">
        <v>44892</v>
      </c>
      <c r="G335">
        <f>B$5*'5 Year Rainfall Simulation'!B336/1000</f>
        <v>3</v>
      </c>
      <c r="H335">
        <f t="shared" si="150"/>
        <v>3</v>
      </c>
      <c r="I335">
        <f t="shared" si="149"/>
        <v>0.62</v>
      </c>
      <c r="J335">
        <f t="shared" si="151"/>
        <v>2.38</v>
      </c>
      <c r="K335">
        <f t="shared" si="169"/>
        <v>35</v>
      </c>
      <c r="L335">
        <f t="shared" si="152"/>
        <v>1.7734109692515414</v>
      </c>
      <c r="M335">
        <f t="shared" si="170"/>
        <v>0</v>
      </c>
      <c r="O335">
        <f>$B$5*'5 Year Rainfall Simulation'!C336/1000</f>
        <v>0</v>
      </c>
      <c r="P335">
        <f t="shared" si="153"/>
        <v>0</v>
      </c>
      <c r="Q335">
        <f t="shared" si="154"/>
        <v>0.62</v>
      </c>
      <c r="R335">
        <f t="shared" si="155"/>
        <v>-0.62</v>
      </c>
      <c r="S335">
        <f t="shared" si="171"/>
        <v>28.800000000000004</v>
      </c>
      <c r="T335">
        <f t="shared" si="156"/>
        <v>0</v>
      </c>
      <c r="U335">
        <f t="shared" si="172"/>
        <v>0</v>
      </c>
      <c r="W335">
        <f>$B$5*'5 Year Rainfall Simulation'!D336/1000</f>
        <v>1.1087380644397158</v>
      </c>
      <c r="X335">
        <f t="shared" si="157"/>
        <v>1.1087380644397158</v>
      </c>
      <c r="Y335">
        <f t="shared" si="158"/>
        <v>0.62</v>
      </c>
      <c r="Z335">
        <f t="shared" si="159"/>
        <v>0.48873806443971579</v>
      </c>
      <c r="AA335">
        <f t="shared" si="173"/>
        <v>35</v>
      </c>
      <c r="AB335">
        <f t="shared" si="160"/>
        <v>0.65541608183470479</v>
      </c>
      <c r="AC335">
        <f t="shared" si="174"/>
        <v>0</v>
      </c>
      <c r="AE335">
        <f>$B$5*'5 Year Rainfall Simulation'!E336/1000</f>
        <v>1.1686491294593539E-2</v>
      </c>
      <c r="AF335">
        <f t="shared" si="161"/>
        <v>1.1686491294593539E-2</v>
      </c>
      <c r="AG335">
        <f t="shared" si="162"/>
        <v>0.62</v>
      </c>
      <c r="AH335">
        <f t="shared" si="163"/>
        <v>-0.60831350870540646</v>
      </c>
      <c r="AI335">
        <f t="shared" si="175"/>
        <v>31.291686491294602</v>
      </c>
      <c r="AJ335">
        <f t="shared" si="164"/>
        <v>6.9083172846316097E-3</v>
      </c>
      <c r="AK335">
        <f t="shared" si="176"/>
        <v>0</v>
      </c>
      <c r="AM335">
        <f>$B$5*'5 Year Rainfall Simulation'!F336/1000</f>
        <v>0</v>
      </c>
      <c r="AN335">
        <f t="shared" si="165"/>
        <v>0</v>
      </c>
      <c r="AO335">
        <f t="shared" si="166"/>
        <v>0.62</v>
      </c>
      <c r="AP335">
        <f t="shared" si="167"/>
        <v>-0.62</v>
      </c>
      <c r="AQ335">
        <f t="shared" si="177"/>
        <v>34.380000000000003</v>
      </c>
      <c r="AR335">
        <f t="shared" si="168"/>
        <v>0</v>
      </c>
      <c r="AS335">
        <f t="shared" si="178"/>
        <v>0</v>
      </c>
    </row>
    <row r="336" spans="6:45" ht="18" customHeight="1">
      <c r="F336" s="109">
        <v>44893</v>
      </c>
      <c r="G336">
        <f>B$5*'5 Year Rainfall Simulation'!B337/1000</f>
        <v>0</v>
      </c>
      <c r="H336">
        <f t="shared" si="150"/>
        <v>0</v>
      </c>
      <c r="I336">
        <f t="shared" si="149"/>
        <v>0.62</v>
      </c>
      <c r="J336">
        <f t="shared" si="151"/>
        <v>-0.62</v>
      </c>
      <c r="K336">
        <f t="shared" si="169"/>
        <v>34.380000000000003</v>
      </c>
      <c r="L336">
        <f t="shared" si="152"/>
        <v>0</v>
      </c>
      <c r="M336">
        <f t="shared" si="170"/>
        <v>0</v>
      </c>
      <c r="O336">
        <f>$B$5*'5 Year Rainfall Simulation'!C337/1000</f>
        <v>0</v>
      </c>
      <c r="P336">
        <f t="shared" si="153"/>
        <v>0</v>
      </c>
      <c r="Q336">
        <f t="shared" si="154"/>
        <v>0.62</v>
      </c>
      <c r="R336">
        <f t="shared" si="155"/>
        <v>-0.62</v>
      </c>
      <c r="S336">
        <f t="shared" si="171"/>
        <v>28.180000000000003</v>
      </c>
      <c r="T336">
        <f t="shared" si="156"/>
        <v>0</v>
      </c>
      <c r="U336">
        <f t="shared" si="172"/>
        <v>0</v>
      </c>
      <c r="W336">
        <f>$B$5*'5 Year Rainfall Simulation'!D337/1000</f>
        <v>0</v>
      </c>
      <c r="X336">
        <f t="shared" si="157"/>
        <v>0</v>
      </c>
      <c r="Y336">
        <f t="shared" si="158"/>
        <v>0.62</v>
      </c>
      <c r="Z336">
        <f t="shared" si="159"/>
        <v>-0.62</v>
      </c>
      <c r="AA336">
        <f t="shared" si="173"/>
        <v>34.380000000000003</v>
      </c>
      <c r="AB336">
        <f t="shared" si="160"/>
        <v>0</v>
      </c>
      <c r="AC336">
        <f t="shared" si="174"/>
        <v>0</v>
      </c>
      <c r="AE336">
        <f>$B$5*'5 Year Rainfall Simulation'!E337/1000</f>
        <v>0</v>
      </c>
      <c r="AF336">
        <f t="shared" si="161"/>
        <v>0</v>
      </c>
      <c r="AG336">
        <f t="shared" si="162"/>
        <v>0.62</v>
      </c>
      <c r="AH336">
        <f t="shared" si="163"/>
        <v>-0.62</v>
      </c>
      <c r="AI336">
        <f t="shared" si="175"/>
        <v>30.671686491294601</v>
      </c>
      <c r="AJ336">
        <f t="shared" si="164"/>
        <v>0</v>
      </c>
      <c r="AK336">
        <f t="shared" si="176"/>
        <v>0</v>
      </c>
      <c r="AM336">
        <f>$B$5*'5 Year Rainfall Simulation'!F337/1000</f>
        <v>1.6171034891879066</v>
      </c>
      <c r="AN336">
        <f t="shared" si="165"/>
        <v>1.6171034891879066</v>
      </c>
      <c r="AO336">
        <f t="shared" si="166"/>
        <v>0.62</v>
      </c>
      <c r="AP336">
        <f t="shared" si="167"/>
        <v>0.99710348918790659</v>
      </c>
      <c r="AQ336">
        <f t="shared" si="177"/>
        <v>35</v>
      </c>
      <c r="AR336">
        <f t="shared" si="168"/>
        <v>0.95592968871359163</v>
      </c>
      <c r="AS336">
        <f t="shared" si="178"/>
        <v>0</v>
      </c>
    </row>
    <row r="337" spans="6:45" ht="18" customHeight="1">
      <c r="F337" s="109">
        <v>44894</v>
      </c>
      <c r="G337">
        <f>B$5*'5 Year Rainfall Simulation'!B338/1000</f>
        <v>0</v>
      </c>
      <c r="H337">
        <f t="shared" si="150"/>
        <v>0</v>
      </c>
      <c r="I337">
        <f t="shared" si="149"/>
        <v>0.62</v>
      </c>
      <c r="J337">
        <f t="shared" si="151"/>
        <v>-0.62</v>
      </c>
      <c r="K337">
        <f t="shared" si="169"/>
        <v>33.760000000000005</v>
      </c>
      <c r="L337">
        <f t="shared" si="152"/>
        <v>0</v>
      </c>
      <c r="M337">
        <f t="shared" si="170"/>
        <v>0</v>
      </c>
      <c r="O337">
        <f>$B$5*'5 Year Rainfall Simulation'!C338/1000</f>
        <v>0</v>
      </c>
      <c r="P337">
        <f t="shared" si="153"/>
        <v>0</v>
      </c>
      <c r="Q337">
        <f t="shared" si="154"/>
        <v>0.62</v>
      </c>
      <c r="R337">
        <f t="shared" si="155"/>
        <v>-0.62</v>
      </c>
      <c r="S337">
        <f t="shared" si="171"/>
        <v>27.560000000000002</v>
      </c>
      <c r="T337">
        <f t="shared" si="156"/>
        <v>0</v>
      </c>
      <c r="U337">
        <f t="shared" si="172"/>
        <v>0</v>
      </c>
      <c r="W337">
        <f>$B$5*'5 Year Rainfall Simulation'!D338/1000</f>
        <v>0.52976251379505457</v>
      </c>
      <c r="X337">
        <f t="shared" si="157"/>
        <v>0.52976251379505457</v>
      </c>
      <c r="Y337">
        <f t="shared" si="158"/>
        <v>0.62</v>
      </c>
      <c r="Z337">
        <f t="shared" si="159"/>
        <v>-9.0237486204945427E-2</v>
      </c>
      <c r="AA337">
        <f t="shared" si="173"/>
        <v>34.289762513795054</v>
      </c>
      <c r="AB337">
        <f t="shared" si="160"/>
        <v>0.3131622176874736</v>
      </c>
      <c r="AC337">
        <f t="shared" si="174"/>
        <v>0</v>
      </c>
      <c r="AE337">
        <f>$B$5*'5 Year Rainfall Simulation'!E338/1000</f>
        <v>0.60667495474476762</v>
      </c>
      <c r="AF337">
        <f t="shared" si="161"/>
        <v>0.60667495474476762</v>
      </c>
      <c r="AG337">
        <f t="shared" si="162"/>
        <v>0.62</v>
      </c>
      <c r="AH337">
        <f t="shared" si="163"/>
        <v>-1.3325045255232371E-2</v>
      </c>
      <c r="AI337">
        <f t="shared" si="175"/>
        <v>30.658361446039368</v>
      </c>
      <c r="AJ337">
        <f t="shared" si="164"/>
        <v>0.3586280065048511</v>
      </c>
      <c r="AK337">
        <f t="shared" si="176"/>
        <v>0</v>
      </c>
      <c r="AM337">
        <f>$B$5*'5 Year Rainfall Simulation'!F338/1000</f>
        <v>0.3479056443692346</v>
      </c>
      <c r="AN337">
        <f t="shared" si="165"/>
        <v>0.3479056443692346</v>
      </c>
      <c r="AO337">
        <f t="shared" si="166"/>
        <v>0.62</v>
      </c>
      <c r="AP337">
        <f t="shared" si="167"/>
        <v>-0.27209435563076539</v>
      </c>
      <c r="AQ337">
        <f t="shared" si="177"/>
        <v>34.727905644369237</v>
      </c>
      <c r="AR337">
        <f t="shared" si="168"/>
        <v>0.20565989532964213</v>
      </c>
      <c r="AS337">
        <f t="shared" si="178"/>
        <v>0</v>
      </c>
    </row>
    <row r="338" spans="6:45" ht="18" customHeight="1">
      <c r="F338" s="109">
        <v>44895</v>
      </c>
      <c r="G338">
        <f>B$5*'5 Year Rainfall Simulation'!B339/1000</f>
        <v>0</v>
      </c>
      <c r="H338">
        <f t="shared" si="150"/>
        <v>0</v>
      </c>
      <c r="I338">
        <f t="shared" si="149"/>
        <v>0.62</v>
      </c>
      <c r="J338">
        <f t="shared" si="151"/>
        <v>-0.62</v>
      </c>
      <c r="K338">
        <f t="shared" si="169"/>
        <v>33.140000000000008</v>
      </c>
      <c r="L338">
        <f t="shared" si="152"/>
        <v>0</v>
      </c>
      <c r="M338">
        <f t="shared" si="170"/>
        <v>0</v>
      </c>
      <c r="O338">
        <f>$B$5*'5 Year Rainfall Simulation'!C339/1000</f>
        <v>2.6</v>
      </c>
      <c r="P338">
        <f t="shared" si="153"/>
        <v>2.6</v>
      </c>
      <c r="Q338">
        <f t="shared" si="154"/>
        <v>0.62</v>
      </c>
      <c r="R338">
        <f t="shared" si="155"/>
        <v>1.98</v>
      </c>
      <c r="S338">
        <f t="shared" si="171"/>
        <v>29.540000000000003</v>
      </c>
      <c r="T338">
        <f t="shared" si="156"/>
        <v>1.5369561733513359</v>
      </c>
      <c r="U338">
        <f t="shared" si="172"/>
        <v>0</v>
      </c>
      <c r="W338">
        <f>$B$5*'5 Year Rainfall Simulation'!D339/1000</f>
        <v>0</v>
      </c>
      <c r="X338">
        <f t="shared" si="157"/>
        <v>0</v>
      </c>
      <c r="Y338">
        <f t="shared" si="158"/>
        <v>0.62</v>
      </c>
      <c r="Z338">
        <f t="shared" si="159"/>
        <v>-0.62</v>
      </c>
      <c r="AA338">
        <f t="shared" si="173"/>
        <v>33.669762513795057</v>
      </c>
      <c r="AB338">
        <f t="shared" si="160"/>
        <v>0</v>
      </c>
      <c r="AC338">
        <f t="shared" si="174"/>
        <v>0</v>
      </c>
      <c r="AE338">
        <f>$B$5*'5 Year Rainfall Simulation'!E339/1000</f>
        <v>2.5519625536557284</v>
      </c>
      <c r="AF338">
        <f t="shared" si="161"/>
        <v>2.5519625536557284</v>
      </c>
      <c r="AG338">
        <f t="shared" si="162"/>
        <v>0.62</v>
      </c>
      <c r="AH338">
        <f t="shared" si="163"/>
        <v>1.9319625536557283</v>
      </c>
      <c r="AI338">
        <f t="shared" si="175"/>
        <v>32.590323999695094</v>
      </c>
      <c r="AJ338">
        <f t="shared" si="164"/>
        <v>1.5085594619240812</v>
      </c>
      <c r="AK338">
        <f t="shared" si="176"/>
        <v>0</v>
      </c>
      <c r="AM338">
        <f>$B$5*'5 Year Rainfall Simulation'!F339/1000</f>
        <v>0</v>
      </c>
      <c r="AN338">
        <f t="shared" si="165"/>
        <v>0</v>
      </c>
      <c r="AO338">
        <f t="shared" si="166"/>
        <v>0.62</v>
      </c>
      <c r="AP338">
        <f t="shared" si="167"/>
        <v>-0.62</v>
      </c>
      <c r="AQ338">
        <f t="shared" si="177"/>
        <v>34.107905644369239</v>
      </c>
      <c r="AR338">
        <f t="shared" si="168"/>
        <v>0</v>
      </c>
      <c r="AS338">
        <f t="shared" si="178"/>
        <v>0</v>
      </c>
    </row>
    <row r="339" spans="6:45" ht="18" customHeight="1">
      <c r="F339" s="109">
        <v>44896</v>
      </c>
      <c r="G339">
        <f>B$5*'5 Year Rainfall Simulation'!B340/1000</f>
        <v>0</v>
      </c>
      <c r="H339">
        <f t="shared" si="150"/>
        <v>0</v>
      </c>
      <c r="I339">
        <f t="shared" si="149"/>
        <v>0.62</v>
      </c>
      <c r="J339">
        <f t="shared" si="151"/>
        <v>-0.62</v>
      </c>
      <c r="K339">
        <f t="shared" si="169"/>
        <v>32.52000000000001</v>
      </c>
      <c r="L339">
        <f t="shared" si="152"/>
        <v>0</v>
      </c>
      <c r="M339">
        <f t="shared" si="170"/>
        <v>0</v>
      </c>
      <c r="O339">
        <f>$B$5*'5 Year Rainfall Simulation'!C340/1000</f>
        <v>6.92</v>
      </c>
      <c r="P339">
        <f t="shared" si="153"/>
        <v>6.92</v>
      </c>
      <c r="Q339">
        <f t="shared" si="154"/>
        <v>0.62</v>
      </c>
      <c r="R339">
        <f t="shared" si="155"/>
        <v>6.3</v>
      </c>
      <c r="S339">
        <f t="shared" si="171"/>
        <v>35</v>
      </c>
      <c r="T339">
        <f t="shared" si="156"/>
        <v>4.0906679690735555</v>
      </c>
      <c r="U339">
        <f t="shared" si="172"/>
        <v>0</v>
      </c>
      <c r="W339">
        <f>$B$5*'5 Year Rainfall Simulation'!D340/1000</f>
        <v>0</v>
      </c>
      <c r="X339">
        <f t="shared" si="157"/>
        <v>0</v>
      </c>
      <c r="Y339">
        <f t="shared" si="158"/>
        <v>0.62</v>
      </c>
      <c r="Z339">
        <f t="shared" si="159"/>
        <v>-0.62</v>
      </c>
      <c r="AA339">
        <f t="shared" si="173"/>
        <v>33.049762513795059</v>
      </c>
      <c r="AB339">
        <f t="shared" si="160"/>
        <v>0</v>
      </c>
      <c r="AC339">
        <f t="shared" si="174"/>
        <v>0</v>
      </c>
      <c r="AE339">
        <f>$B$5*'5 Year Rainfall Simulation'!E340/1000</f>
        <v>7.9378501272263664</v>
      </c>
      <c r="AF339">
        <f t="shared" si="161"/>
        <v>7.9378501272263664</v>
      </c>
      <c r="AG339">
        <f t="shared" si="162"/>
        <v>0.62</v>
      </c>
      <c r="AH339">
        <f t="shared" si="163"/>
        <v>7.3178501272263663</v>
      </c>
      <c r="AI339">
        <f t="shared" si="175"/>
        <v>35</v>
      </c>
      <c r="AJ339">
        <f t="shared" si="164"/>
        <v>4.6923568292993272</v>
      </c>
      <c r="AK339">
        <f t="shared" si="176"/>
        <v>0</v>
      </c>
      <c r="AM339">
        <f>$B$5*'5 Year Rainfall Simulation'!F340/1000</f>
        <v>0</v>
      </c>
      <c r="AN339">
        <f t="shared" si="165"/>
        <v>0</v>
      </c>
      <c r="AO339">
        <f t="shared" si="166"/>
        <v>0.62</v>
      </c>
      <c r="AP339">
        <f t="shared" si="167"/>
        <v>-0.62</v>
      </c>
      <c r="AQ339">
        <f t="shared" si="177"/>
        <v>33.487905644369242</v>
      </c>
      <c r="AR339">
        <f t="shared" si="168"/>
        <v>0</v>
      </c>
      <c r="AS339">
        <f t="shared" si="178"/>
        <v>0</v>
      </c>
    </row>
    <row r="340" spans="6:45" ht="18" customHeight="1">
      <c r="F340" s="109">
        <v>44897</v>
      </c>
      <c r="G340">
        <f>B$5*'5 Year Rainfall Simulation'!B341/1000</f>
        <v>0</v>
      </c>
      <c r="H340">
        <f t="shared" si="150"/>
        <v>0</v>
      </c>
      <c r="I340">
        <f t="shared" si="149"/>
        <v>0.62</v>
      </c>
      <c r="J340">
        <f t="shared" si="151"/>
        <v>-0.62</v>
      </c>
      <c r="K340">
        <f t="shared" si="169"/>
        <v>31.900000000000009</v>
      </c>
      <c r="L340">
        <f t="shared" si="152"/>
        <v>0</v>
      </c>
      <c r="M340">
        <f t="shared" si="170"/>
        <v>0</v>
      </c>
      <c r="O340">
        <f>$B$5*'5 Year Rainfall Simulation'!C341/1000</f>
        <v>5.48</v>
      </c>
      <c r="P340">
        <f t="shared" si="153"/>
        <v>5.48</v>
      </c>
      <c r="Q340">
        <f t="shared" si="154"/>
        <v>0.62</v>
      </c>
      <c r="R340">
        <f t="shared" si="155"/>
        <v>4.8600000000000003</v>
      </c>
      <c r="S340">
        <f t="shared" si="171"/>
        <v>35</v>
      </c>
      <c r="T340">
        <f t="shared" si="156"/>
        <v>3.2394307038328156</v>
      </c>
      <c r="U340">
        <f t="shared" si="172"/>
        <v>0</v>
      </c>
      <c r="W340">
        <f>$B$5*'5 Year Rainfall Simulation'!D341/1000</f>
        <v>0.32667805249882564</v>
      </c>
      <c r="X340">
        <f t="shared" si="157"/>
        <v>0.32667805249882564</v>
      </c>
      <c r="Y340">
        <f t="shared" si="158"/>
        <v>0.62</v>
      </c>
      <c r="Z340">
        <f t="shared" si="159"/>
        <v>-0.29332194750117435</v>
      </c>
      <c r="AA340">
        <f t="shared" si="173"/>
        <v>32.756440566293882</v>
      </c>
      <c r="AB340">
        <f t="shared" si="160"/>
        <v>0.19311148057171609</v>
      </c>
      <c r="AC340">
        <f t="shared" si="174"/>
        <v>0</v>
      </c>
      <c r="AE340">
        <f>$B$5*'5 Year Rainfall Simulation'!E341/1000</f>
        <v>5.7498374384115181</v>
      </c>
      <c r="AF340">
        <f t="shared" si="161"/>
        <v>5.7498374384115181</v>
      </c>
      <c r="AG340">
        <f t="shared" si="162"/>
        <v>0.62</v>
      </c>
      <c r="AH340">
        <f t="shared" si="163"/>
        <v>5.129837438411518</v>
      </c>
      <c r="AI340">
        <f t="shared" si="175"/>
        <v>35</v>
      </c>
      <c r="AJ340">
        <f t="shared" si="164"/>
        <v>3.3989415948973898</v>
      </c>
      <c r="AK340">
        <f t="shared" si="176"/>
        <v>0</v>
      </c>
      <c r="AM340">
        <f>$B$5*'5 Year Rainfall Simulation'!F341/1000</f>
        <v>1.135209096336026</v>
      </c>
      <c r="AN340">
        <f t="shared" si="165"/>
        <v>1.135209096336026</v>
      </c>
      <c r="AO340">
        <f t="shared" si="166"/>
        <v>0.62</v>
      </c>
      <c r="AP340">
        <f t="shared" si="167"/>
        <v>0.51520909633602596</v>
      </c>
      <c r="AQ340">
        <f t="shared" si="177"/>
        <v>34.003114740705271</v>
      </c>
      <c r="AR340">
        <f t="shared" si="168"/>
        <v>0.67106408794547934</v>
      </c>
      <c r="AS340">
        <f t="shared" si="178"/>
        <v>0</v>
      </c>
    </row>
    <row r="341" spans="6:45" ht="18" customHeight="1">
      <c r="F341" s="109">
        <v>44898</v>
      </c>
      <c r="G341">
        <f>B$5*'5 Year Rainfall Simulation'!B342/1000</f>
        <v>0</v>
      </c>
      <c r="H341">
        <f t="shared" si="150"/>
        <v>0</v>
      </c>
      <c r="I341">
        <f t="shared" si="149"/>
        <v>0.62</v>
      </c>
      <c r="J341">
        <f t="shared" si="151"/>
        <v>-0.62</v>
      </c>
      <c r="K341">
        <f t="shared" si="169"/>
        <v>31.280000000000008</v>
      </c>
      <c r="L341">
        <f t="shared" si="152"/>
        <v>0</v>
      </c>
      <c r="M341">
        <f t="shared" si="170"/>
        <v>0</v>
      </c>
      <c r="O341">
        <f>$B$5*'5 Year Rainfall Simulation'!C342/1000</f>
        <v>6.52</v>
      </c>
      <c r="P341">
        <f t="shared" si="153"/>
        <v>6.52</v>
      </c>
      <c r="Q341">
        <f t="shared" si="154"/>
        <v>0.62</v>
      </c>
      <c r="R341">
        <f t="shared" si="155"/>
        <v>5.8999999999999995</v>
      </c>
      <c r="S341">
        <f t="shared" si="171"/>
        <v>35</v>
      </c>
      <c r="T341">
        <f t="shared" si="156"/>
        <v>3.8542131731733495</v>
      </c>
      <c r="U341">
        <f t="shared" si="172"/>
        <v>0</v>
      </c>
      <c r="W341">
        <f>$B$5*'5 Year Rainfall Simulation'!D342/1000</f>
        <v>0</v>
      </c>
      <c r="X341">
        <f t="shared" si="157"/>
        <v>0</v>
      </c>
      <c r="Y341">
        <f t="shared" si="158"/>
        <v>0.62</v>
      </c>
      <c r="Z341">
        <f t="shared" si="159"/>
        <v>-0.62</v>
      </c>
      <c r="AA341">
        <f t="shared" si="173"/>
        <v>32.136440566293885</v>
      </c>
      <c r="AB341">
        <f t="shared" si="160"/>
        <v>0</v>
      </c>
      <c r="AC341">
        <f t="shared" si="174"/>
        <v>0</v>
      </c>
      <c r="AE341">
        <f>$B$5*'5 Year Rainfall Simulation'!E342/1000</f>
        <v>3.8169754426734279</v>
      </c>
      <c r="AF341">
        <f t="shared" si="161"/>
        <v>3.8169754426734279</v>
      </c>
      <c r="AG341">
        <f t="shared" si="162"/>
        <v>0.62</v>
      </c>
      <c r="AH341">
        <f t="shared" si="163"/>
        <v>3.1969754426734278</v>
      </c>
      <c r="AI341">
        <f t="shared" si="175"/>
        <v>35</v>
      </c>
      <c r="AJ341">
        <f t="shared" si="164"/>
        <v>2.256355373133605</v>
      </c>
      <c r="AK341">
        <f t="shared" si="176"/>
        <v>0</v>
      </c>
      <c r="AM341">
        <f>$B$5*'5 Year Rainfall Simulation'!F342/1000</f>
        <v>0</v>
      </c>
      <c r="AN341">
        <f t="shared" si="165"/>
        <v>0</v>
      </c>
      <c r="AO341">
        <f t="shared" si="166"/>
        <v>0.62</v>
      </c>
      <c r="AP341">
        <f t="shared" si="167"/>
        <v>-0.62</v>
      </c>
      <c r="AQ341">
        <f t="shared" si="177"/>
        <v>33.383114740705274</v>
      </c>
      <c r="AR341">
        <f t="shared" si="168"/>
        <v>0</v>
      </c>
      <c r="AS341">
        <f t="shared" si="178"/>
        <v>0</v>
      </c>
    </row>
    <row r="342" spans="6:45" ht="18" customHeight="1">
      <c r="F342" s="109">
        <v>44899</v>
      </c>
      <c r="G342">
        <f>B$5*'5 Year Rainfall Simulation'!B343/1000</f>
        <v>0.24</v>
      </c>
      <c r="H342">
        <f t="shared" si="150"/>
        <v>0.24</v>
      </c>
      <c r="I342">
        <f t="shared" si="149"/>
        <v>0.62</v>
      </c>
      <c r="J342">
        <f t="shared" si="151"/>
        <v>-0.38</v>
      </c>
      <c r="K342">
        <f t="shared" si="169"/>
        <v>30.900000000000009</v>
      </c>
      <c r="L342">
        <f t="shared" si="152"/>
        <v>0.14187287754012329</v>
      </c>
      <c r="M342">
        <f t="shared" si="170"/>
        <v>0</v>
      </c>
      <c r="O342">
        <f>$B$5*'5 Year Rainfall Simulation'!C343/1000</f>
        <v>5.44</v>
      </c>
      <c r="P342">
        <f t="shared" si="153"/>
        <v>5.44</v>
      </c>
      <c r="Q342">
        <f t="shared" si="154"/>
        <v>0.62</v>
      </c>
      <c r="R342">
        <f t="shared" si="155"/>
        <v>4.82</v>
      </c>
      <c r="S342">
        <f t="shared" si="171"/>
        <v>35</v>
      </c>
      <c r="T342">
        <f t="shared" si="156"/>
        <v>3.2157852242427953</v>
      </c>
      <c r="U342">
        <f t="shared" si="172"/>
        <v>0</v>
      </c>
      <c r="W342">
        <f>$B$5*'5 Year Rainfall Simulation'!D343/1000</f>
        <v>0</v>
      </c>
      <c r="X342">
        <f t="shared" si="157"/>
        <v>0</v>
      </c>
      <c r="Y342">
        <f t="shared" si="158"/>
        <v>0.62</v>
      </c>
      <c r="Z342">
        <f t="shared" si="159"/>
        <v>-0.62</v>
      </c>
      <c r="AA342">
        <f t="shared" si="173"/>
        <v>31.516440566293884</v>
      </c>
      <c r="AB342">
        <f t="shared" si="160"/>
        <v>0</v>
      </c>
      <c r="AC342">
        <f t="shared" si="174"/>
        <v>0</v>
      </c>
      <c r="AE342">
        <f>$B$5*'5 Year Rainfall Simulation'!E343/1000</f>
        <v>5.8222655053686774</v>
      </c>
      <c r="AF342">
        <f t="shared" si="161"/>
        <v>5.8222655053686774</v>
      </c>
      <c r="AG342">
        <f t="shared" si="162"/>
        <v>0.62</v>
      </c>
      <c r="AH342">
        <f t="shared" si="163"/>
        <v>5.2022655053686773</v>
      </c>
      <c r="AI342">
        <f t="shared" si="175"/>
        <v>35</v>
      </c>
      <c r="AJ342">
        <f t="shared" si="164"/>
        <v>3.4417565043718938</v>
      </c>
      <c r="AK342">
        <f t="shared" si="176"/>
        <v>0</v>
      </c>
      <c r="AM342">
        <f>$B$5*'5 Year Rainfall Simulation'!F343/1000</f>
        <v>0</v>
      </c>
      <c r="AN342">
        <f t="shared" si="165"/>
        <v>0</v>
      </c>
      <c r="AO342">
        <f t="shared" si="166"/>
        <v>0.62</v>
      </c>
      <c r="AP342">
        <f t="shared" si="167"/>
        <v>-0.62</v>
      </c>
      <c r="AQ342">
        <f t="shared" si="177"/>
        <v>32.763114740705277</v>
      </c>
      <c r="AR342">
        <f t="shared" si="168"/>
        <v>0</v>
      </c>
      <c r="AS342">
        <f t="shared" si="178"/>
        <v>0</v>
      </c>
    </row>
    <row r="343" spans="6:45" ht="18" customHeight="1">
      <c r="F343" s="109">
        <v>44900</v>
      </c>
      <c r="G343">
        <f>B$5*'5 Year Rainfall Simulation'!B344/1000</f>
        <v>9.08</v>
      </c>
      <c r="H343">
        <f t="shared" si="150"/>
        <v>9.08</v>
      </c>
      <c r="I343">
        <f t="shared" si="149"/>
        <v>0.62</v>
      </c>
      <c r="J343">
        <f t="shared" si="151"/>
        <v>8.4600000000000009</v>
      </c>
      <c r="K343">
        <f t="shared" si="169"/>
        <v>35</v>
      </c>
      <c r="L343">
        <f t="shared" si="152"/>
        <v>5.3675238669346648</v>
      </c>
      <c r="M343">
        <f t="shared" si="170"/>
        <v>0</v>
      </c>
      <c r="O343">
        <f>$B$5*'5 Year Rainfall Simulation'!C344/1000</f>
        <v>6.7599999999999989</v>
      </c>
      <c r="P343">
        <f t="shared" si="153"/>
        <v>6.7599999999999989</v>
      </c>
      <c r="Q343">
        <f t="shared" si="154"/>
        <v>0.62</v>
      </c>
      <c r="R343">
        <f t="shared" si="155"/>
        <v>6.1399999999999988</v>
      </c>
      <c r="S343">
        <f t="shared" si="171"/>
        <v>35</v>
      </c>
      <c r="T343">
        <f t="shared" si="156"/>
        <v>3.9960860507134726</v>
      </c>
      <c r="U343">
        <f t="shared" si="172"/>
        <v>0</v>
      </c>
      <c r="W343">
        <f>$B$5*'5 Year Rainfall Simulation'!D344/1000</f>
        <v>9.6449900657568737</v>
      </c>
      <c r="X343">
        <f t="shared" si="157"/>
        <v>9.6449900657568737</v>
      </c>
      <c r="Y343">
        <f t="shared" si="158"/>
        <v>0.62</v>
      </c>
      <c r="Z343">
        <f t="shared" si="159"/>
        <v>9.0249900657568745</v>
      </c>
      <c r="AA343">
        <f t="shared" si="173"/>
        <v>35</v>
      </c>
      <c r="AB343">
        <f t="shared" si="160"/>
        <v>5.7015103936451279</v>
      </c>
      <c r="AC343">
        <f t="shared" si="174"/>
        <v>0</v>
      </c>
      <c r="AE343">
        <f>$B$5*'5 Year Rainfall Simulation'!E344/1000</f>
        <v>7.362384444214511</v>
      </c>
      <c r="AF343">
        <f t="shared" si="161"/>
        <v>7.362384444214511</v>
      </c>
      <c r="AG343">
        <f t="shared" si="162"/>
        <v>0.62</v>
      </c>
      <c r="AH343">
        <f t="shared" si="163"/>
        <v>6.7423844442145109</v>
      </c>
      <c r="AI343">
        <f t="shared" si="175"/>
        <v>35</v>
      </c>
      <c r="AJ343">
        <f t="shared" si="164"/>
        <v>4.3521777777389756</v>
      </c>
      <c r="AK343">
        <f t="shared" si="176"/>
        <v>0</v>
      </c>
      <c r="AM343">
        <f>$B$5*'5 Year Rainfall Simulation'!F344/1000</f>
        <v>6.8430356621340804</v>
      </c>
      <c r="AN343">
        <f t="shared" si="165"/>
        <v>6.8430356621340804</v>
      </c>
      <c r="AO343">
        <f t="shared" si="166"/>
        <v>0.62</v>
      </c>
      <c r="AP343">
        <f t="shared" si="167"/>
        <v>6.2230356621340803</v>
      </c>
      <c r="AQ343">
        <f t="shared" si="177"/>
        <v>35</v>
      </c>
      <c r="AR343">
        <f t="shared" si="168"/>
        <v>4.0451715020693539</v>
      </c>
      <c r="AS343">
        <f t="shared" si="178"/>
        <v>0</v>
      </c>
    </row>
    <row r="344" spans="6:45" ht="18" customHeight="1">
      <c r="F344" s="109">
        <v>44901</v>
      </c>
      <c r="G344">
        <f>B$5*'5 Year Rainfall Simulation'!B345/1000</f>
        <v>0.16</v>
      </c>
      <c r="H344">
        <f t="shared" si="150"/>
        <v>0.16</v>
      </c>
      <c r="I344">
        <f t="shared" si="149"/>
        <v>0.62</v>
      </c>
      <c r="J344">
        <f t="shared" si="151"/>
        <v>-0.45999999999999996</v>
      </c>
      <c r="K344">
        <f t="shared" si="169"/>
        <v>34.54</v>
      </c>
      <c r="L344">
        <f t="shared" si="152"/>
        <v>9.4581918360082201E-2</v>
      </c>
      <c r="M344">
        <f t="shared" si="170"/>
        <v>0</v>
      </c>
      <c r="O344">
        <f>$B$5*'5 Year Rainfall Simulation'!C345/1000</f>
        <v>4.4800000000000004</v>
      </c>
      <c r="P344">
        <f t="shared" si="153"/>
        <v>4.4800000000000004</v>
      </c>
      <c r="Q344">
        <f t="shared" si="154"/>
        <v>0.62</v>
      </c>
      <c r="R344">
        <f t="shared" si="155"/>
        <v>3.8600000000000003</v>
      </c>
      <c r="S344">
        <f t="shared" si="171"/>
        <v>35</v>
      </c>
      <c r="T344">
        <f t="shared" si="156"/>
        <v>2.648293714082302</v>
      </c>
      <c r="U344">
        <f t="shared" si="172"/>
        <v>0</v>
      </c>
      <c r="W344">
        <f>$B$5*'5 Year Rainfall Simulation'!D345/1000</f>
        <v>0</v>
      </c>
      <c r="X344">
        <f t="shared" si="157"/>
        <v>0</v>
      </c>
      <c r="Y344">
        <f t="shared" si="158"/>
        <v>0.62</v>
      </c>
      <c r="Z344">
        <f t="shared" si="159"/>
        <v>-0.62</v>
      </c>
      <c r="AA344">
        <f t="shared" si="173"/>
        <v>34.380000000000003</v>
      </c>
      <c r="AB344">
        <f t="shared" si="160"/>
        <v>0</v>
      </c>
      <c r="AC344">
        <f t="shared" si="174"/>
        <v>0</v>
      </c>
      <c r="AE344">
        <f>$B$5*'5 Year Rainfall Simulation'!E345/1000</f>
        <v>3.4021921135507176</v>
      </c>
      <c r="AF344">
        <f t="shared" si="161"/>
        <v>3.4021921135507176</v>
      </c>
      <c r="AG344">
        <f t="shared" si="162"/>
        <v>0.62</v>
      </c>
      <c r="AH344">
        <f t="shared" si="163"/>
        <v>2.7821921135507175</v>
      </c>
      <c r="AI344">
        <f t="shared" si="175"/>
        <v>35</v>
      </c>
      <c r="AJ344">
        <f t="shared" si="164"/>
        <v>2.0111616045573095</v>
      </c>
      <c r="AK344">
        <f t="shared" si="176"/>
        <v>0</v>
      </c>
      <c r="AM344">
        <f>$B$5*'5 Year Rainfall Simulation'!F345/1000</f>
        <v>0</v>
      </c>
      <c r="AN344">
        <f t="shared" si="165"/>
        <v>0</v>
      </c>
      <c r="AO344">
        <f t="shared" si="166"/>
        <v>0.62</v>
      </c>
      <c r="AP344">
        <f t="shared" si="167"/>
        <v>-0.62</v>
      </c>
      <c r="AQ344">
        <f t="shared" si="177"/>
        <v>34.380000000000003</v>
      </c>
      <c r="AR344">
        <f t="shared" si="168"/>
        <v>0</v>
      </c>
      <c r="AS344">
        <f t="shared" si="178"/>
        <v>0</v>
      </c>
    </row>
    <row r="345" spans="6:45" ht="18" customHeight="1">
      <c r="F345" s="109">
        <v>44902</v>
      </c>
      <c r="G345">
        <f>B$5*'5 Year Rainfall Simulation'!B346/1000</f>
        <v>3.04</v>
      </c>
      <c r="H345">
        <f t="shared" si="150"/>
        <v>3.04</v>
      </c>
      <c r="I345">
        <f t="shared" si="149"/>
        <v>0.62</v>
      </c>
      <c r="J345">
        <f t="shared" si="151"/>
        <v>2.42</v>
      </c>
      <c r="K345">
        <f t="shared" si="169"/>
        <v>35</v>
      </c>
      <c r="L345">
        <f t="shared" si="152"/>
        <v>1.7970564488415619</v>
      </c>
      <c r="M345">
        <f t="shared" si="170"/>
        <v>0</v>
      </c>
      <c r="O345">
        <f>$B$5*'5 Year Rainfall Simulation'!C346/1000</f>
        <v>7.4400000000000013</v>
      </c>
      <c r="P345">
        <f t="shared" si="153"/>
        <v>7.4400000000000013</v>
      </c>
      <c r="Q345">
        <f t="shared" si="154"/>
        <v>0.62</v>
      </c>
      <c r="R345">
        <f t="shared" si="155"/>
        <v>6.8200000000000012</v>
      </c>
      <c r="S345">
        <f t="shared" si="171"/>
        <v>35</v>
      </c>
      <c r="T345">
        <f t="shared" si="156"/>
        <v>4.3980592037438235</v>
      </c>
      <c r="U345">
        <f t="shared" si="172"/>
        <v>0</v>
      </c>
      <c r="W345">
        <f>$B$5*'5 Year Rainfall Simulation'!D346/1000</f>
        <v>3.4665283116355923</v>
      </c>
      <c r="X345">
        <f t="shared" si="157"/>
        <v>3.4665283116355923</v>
      </c>
      <c r="Y345">
        <f t="shared" si="158"/>
        <v>0.62</v>
      </c>
      <c r="Z345">
        <f t="shared" si="159"/>
        <v>2.8465283116355922</v>
      </c>
      <c r="AA345">
        <f t="shared" si="173"/>
        <v>35</v>
      </c>
      <c r="AB345">
        <f t="shared" si="160"/>
        <v>2.0491931110251951</v>
      </c>
      <c r="AC345">
        <f t="shared" si="174"/>
        <v>0</v>
      </c>
      <c r="AE345">
        <f>$B$5*'5 Year Rainfall Simulation'!E346/1000</f>
        <v>8.8671033804985164</v>
      </c>
      <c r="AF345">
        <f t="shared" si="161"/>
        <v>8.8671033804985164</v>
      </c>
      <c r="AG345">
        <f t="shared" si="162"/>
        <v>0.62</v>
      </c>
      <c r="AH345">
        <f t="shared" si="163"/>
        <v>8.2471033804985172</v>
      </c>
      <c r="AI345">
        <f t="shared" si="175"/>
        <v>35</v>
      </c>
      <c r="AJ345">
        <f t="shared" si="164"/>
        <v>5.2416728001544977</v>
      </c>
      <c r="AK345">
        <f t="shared" si="176"/>
        <v>0</v>
      </c>
      <c r="AM345">
        <f>$B$5*'5 Year Rainfall Simulation'!F346/1000</f>
        <v>2.4122646104340637</v>
      </c>
      <c r="AN345">
        <f t="shared" si="165"/>
        <v>2.4122646104340637</v>
      </c>
      <c r="AO345">
        <f t="shared" si="166"/>
        <v>0.62</v>
      </c>
      <c r="AP345">
        <f t="shared" si="167"/>
        <v>1.7922646104340636</v>
      </c>
      <c r="AQ345">
        <f t="shared" si="177"/>
        <v>35</v>
      </c>
      <c r="AR345">
        <f t="shared" si="168"/>
        <v>1.4259788402936882</v>
      </c>
      <c r="AS345">
        <f t="shared" si="178"/>
        <v>0</v>
      </c>
    </row>
    <row r="346" spans="6:45" ht="18" customHeight="1">
      <c r="F346" s="109">
        <v>44903</v>
      </c>
      <c r="G346">
        <f>B$5*'5 Year Rainfall Simulation'!B347/1000</f>
        <v>9.7200000000000006</v>
      </c>
      <c r="H346">
        <f t="shared" si="150"/>
        <v>9.7200000000000006</v>
      </c>
      <c r="I346">
        <f t="shared" si="149"/>
        <v>0.62</v>
      </c>
      <c r="J346">
        <f t="shared" si="151"/>
        <v>9.1000000000000014</v>
      </c>
      <c r="K346">
        <f t="shared" si="169"/>
        <v>35</v>
      </c>
      <c r="L346">
        <f t="shared" si="152"/>
        <v>5.7458515403749946</v>
      </c>
      <c r="M346">
        <f t="shared" si="170"/>
        <v>0</v>
      </c>
      <c r="O346">
        <f>$B$5*'5 Year Rainfall Simulation'!C347/1000</f>
        <v>5.4</v>
      </c>
      <c r="P346">
        <f t="shared" si="153"/>
        <v>5.4</v>
      </c>
      <c r="Q346">
        <f t="shared" si="154"/>
        <v>0.62</v>
      </c>
      <c r="R346">
        <f t="shared" si="155"/>
        <v>4.78</v>
      </c>
      <c r="S346">
        <f t="shared" si="171"/>
        <v>35</v>
      </c>
      <c r="T346">
        <f t="shared" si="156"/>
        <v>3.1921397446527746</v>
      </c>
      <c r="U346">
        <f t="shared" si="172"/>
        <v>0</v>
      </c>
      <c r="W346">
        <f>$B$5*'5 Year Rainfall Simulation'!D347/1000</f>
        <v>9.3661665327893999</v>
      </c>
      <c r="X346">
        <f t="shared" si="157"/>
        <v>9.3661665327893999</v>
      </c>
      <c r="Y346">
        <f t="shared" si="158"/>
        <v>0.62</v>
      </c>
      <c r="Z346">
        <f t="shared" si="159"/>
        <v>8.7461665327894007</v>
      </c>
      <c r="AA346">
        <f t="shared" si="173"/>
        <v>35</v>
      </c>
      <c r="AB346">
        <f t="shared" si="160"/>
        <v>5.536687489695133</v>
      </c>
      <c r="AC346">
        <f t="shared" si="174"/>
        <v>0</v>
      </c>
      <c r="AE346">
        <f>$B$5*'5 Year Rainfall Simulation'!E347/1000</f>
        <v>6.2671094660539257</v>
      </c>
      <c r="AF346">
        <f t="shared" si="161"/>
        <v>6.2671094660539257</v>
      </c>
      <c r="AG346">
        <f t="shared" si="162"/>
        <v>0.62</v>
      </c>
      <c r="AH346">
        <f t="shared" si="163"/>
        <v>5.6471094660539256</v>
      </c>
      <c r="AI346">
        <f t="shared" si="175"/>
        <v>35</v>
      </c>
      <c r="AJ346">
        <f t="shared" si="164"/>
        <v>3.7047202242000674</v>
      </c>
      <c r="AK346">
        <f t="shared" si="176"/>
        <v>0</v>
      </c>
      <c r="AM346">
        <f>$B$5*'5 Year Rainfall Simulation'!F347/1000</f>
        <v>6.3489521357738683</v>
      </c>
      <c r="AN346">
        <f t="shared" si="165"/>
        <v>6.3489521357738683</v>
      </c>
      <c r="AO346">
        <f t="shared" si="166"/>
        <v>0.62</v>
      </c>
      <c r="AP346">
        <f t="shared" si="167"/>
        <v>5.7289521357738682</v>
      </c>
      <c r="AQ346">
        <f t="shared" si="177"/>
        <v>35</v>
      </c>
      <c r="AR346">
        <f t="shared" si="168"/>
        <v>3.7531004536114598</v>
      </c>
      <c r="AS346">
        <f t="shared" si="178"/>
        <v>0</v>
      </c>
    </row>
    <row r="347" spans="6:45" ht="18" customHeight="1">
      <c r="F347" s="109">
        <v>44904</v>
      </c>
      <c r="G347">
        <f>B$5*'5 Year Rainfall Simulation'!B348/1000</f>
        <v>6.8400000000000007</v>
      </c>
      <c r="H347">
        <f t="shared" si="150"/>
        <v>6.8400000000000007</v>
      </c>
      <c r="I347">
        <f t="shared" si="149"/>
        <v>0.62</v>
      </c>
      <c r="J347">
        <f t="shared" si="151"/>
        <v>6.2200000000000006</v>
      </c>
      <c r="K347">
        <f t="shared" si="169"/>
        <v>35</v>
      </c>
      <c r="L347">
        <f t="shared" si="152"/>
        <v>4.0433770098935149</v>
      </c>
      <c r="M347">
        <f t="shared" si="170"/>
        <v>0</v>
      </c>
      <c r="O347">
        <f>$B$5*'5 Year Rainfall Simulation'!C348/1000</f>
        <v>0.96</v>
      </c>
      <c r="P347">
        <f t="shared" si="153"/>
        <v>0.96</v>
      </c>
      <c r="Q347">
        <f t="shared" si="154"/>
        <v>0.62</v>
      </c>
      <c r="R347">
        <f t="shared" si="155"/>
        <v>0.33999999999999997</v>
      </c>
      <c r="S347">
        <f t="shared" si="171"/>
        <v>35</v>
      </c>
      <c r="T347">
        <f t="shared" si="156"/>
        <v>0.56749151016049315</v>
      </c>
      <c r="U347">
        <f t="shared" si="172"/>
        <v>0</v>
      </c>
      <c r="W347">
        <f>$B$5*'5 Year Rainfall Simulation'!D348/1000</f>
        <v>4.4586591419122845</v>
      </c>
      <c r="X347">
        <f t="shared" si="157"/>
        <v>4.4586591419122845</v>
      </c>
      <c r="Y347">
        <f t="shared" si="158"/>
        <v>0.62</v>
      </c>
      <c r="Z347">
        <f t="shared" si="159"/>
        <v>3.8386591419122844</v>
      </c>
      <c r="AA347">
        <f t="shared" si="173"/>
        <v>35</v>
      </c>
      <c r="AB347">
        <f t="shared" si="160"/>
        <v>2.6356783434736366</v>
      </c>
      <c r="AC347">
        <f t="shared" si="174"/>
        <v>0</v>
      </c>
      <c r="AE347">
        <f>$B$5*'5 Year Rainfall Simulation'!E348/1000</f>
        <v>1.6637764348694439</v>
      </c>
      <c r="AF347">
        <f t="shared" si="161"/>
        <v>1.6637764348694439</v>
      </c>
      <c r="AG347">
        <f t="shared" si="162"/>
        <v>0.62</v>
      </c>
      <c r="AH347">
        <f t="shared" si="163"/>
        <v>1.0437764348694438</v>
      </c>
      <c r="AI347">
        <f t="shared" si="175"/>
        <v>35</v>
      </c>
      <c r="AJ347">
        <f t="shared" si="164"/>
        <v>0.98351979332656481</v>
      </c>
      <c r="AK347">
        <f t="shared" si="176"/>
        <v>0</v>
      </c>
      <c r="AM347">
        <f>$B$5*'5 Year Rainfall Simulation'!F348/1000</f>
        <v>2.901484256126412</v>
      </c>
      <c r="AN347">
        <f t="shared" si="165"/>
        <v>2.901484256126412</v>
      </c>
      <c r="AO347">
        <f t="shared" si="166"/>
        <v>0.62</v>
      </c>
      <c r="AP347">
        <f t="shared" si="167"/>
        <v>2.2814842561264119</v>
      </c>
      <c r="AQ347">
        <f t="shared" si="177"/>
        <v>35</v>
      </c>
      <c r="AR347">
        <f t="shared" si="168"/>
        <v>1.715174668975076</v>
      </c>
      <c r="AS347">
        <f t="shared" si="178"/>
        <v>0</v>
      </c>
    </row>
    <row r="348" spans="6:45" ht="18" customHeight="1">
      <c r="F348" s="109">
        <v>44905</v>
      </c>
      <c r="G348">
        <f>B$5*'5 Year Rainfall Simulation'!B349/1000</f>
        <v>0.88000000000000012</v>
      </c>
      <c r="H348">
        <f t="shared" si="150"/>
        <v>0.88000000000000012</v>
      </c>
      <c r="I348">
        <f t="shared" si="149"/>
        <v>0.62</v>
      </c>
      <c r="J348">
        <f t="shared" si="151"/>
        <v>0.26000000000000012</v>
      </c>
      <c r="K348">
        <f t="shared" si="169"/>
        <v>35</v>
      </c>
      <c r="L348">
        <f t="shared" si="152"/>
        <v>0.52020055098045215</v>
      </c>
      <c r="M348">
        <f t="shared" si="170"/>
        <v>0</v>
      </c>
      <c r="O348">
        <f>$B$5*'5 Year Rainfall Simulation'!C349/1000</f>
        <v>2.44</v>
      </c>
      <c r="P348">
        <f t="shared" si="153"/>
        <v>2.44</v>
      </c>
      <c r="Q348">
        <f t="shared" si="154"/>
        <v>0.62</v>
      </c>
      <c r="R348">
        <f t="shared" si="155"/>
        <v>1.8199999999999998</v>
      </c>
      <c r="S348">
        <f t="shared" si="171"/>
        <v>35</v>
      </c>
      <c r="T348">
        <f t="shared" si="156"/>
        <v>1.4423742549912535</v>
      </c>
      <c r="U348">
        <f t="shared" si="172"/>
        <v>0</v>
      </c>
      <c r="W348">
        <f>$B$5*'5 Year Rainfall Simulation'!D349/1000</f>
        <v>0.70370037605096347</v>
      </c>
      <c r="X348">
        <f t="shared" si="157"/>
        <v>0.70370037605096347</v>
      </c>
      <c r="Y348">
        <f t="shared" si="158"/>
        <v>0.62</v>
      </c>
      <c r="Z348">
        <f t="shared" si="159"/>
        <v>8.3700376050963476E-2</v>
      </c>
      <c r="AA348">
        <f t="shared" si="173"/>
        <v>35</v>
      </c>
      <c r="AB348">
        <f t="shared" si="160"/>
        <v>0.4159833219850711</v>
      </c>
      <c r="AC348">
        <f t="shared" si="174"/>
        <v>0</v>
      </c>
      <c r="AE348">
        <f>$B$5*'5 Year Rainfall Simulation'!E349/1000</f>
        <v>2.021551379054102</v>
      </c>
      <c r="AF348">
        <f t="shared" si="161"/>
        <v>2.021551379054102</v>
      </c>
      <c r="AG348">
        <f t="shared" si="162"/>
        <v>0.62</v>
      </c>
      <c r="AH348">
        <f t="shared" si="163"/>
        <v>1.4015513790541019</v>
      </c>
      <c r="AI348">
        <f t="shared" si="175"/>
        <v>35</v>
      </c>
      <c r="AJ348">
        <f t="shared" si="164"/>
        <v>1.1950137968400416</v>
      </c>
      <c r="AK348">
        <f t="shared" si="176"/>
        <v>0</v>
      </c>
      <c r="AM348">
        <f>$B$5*'5 Year Rainfall Simulation'!F349/1000</f>
        <v>0</v>
      </c>
      <c r="AN348">
        <f t="shared" si="165"/>
        <v>0</v>
      </c>
      <c r="AO348">
        <f t="shared" si="166"/>
        <v>0.62</v>
      </c>
      <c r="AP348">
        <f t="shared" si="167"/>
        <v>-0.62</v>
      </c>
      <c r="AQ348">
        <f t="shared" si="177"/>
        <v>34.380000000000003</v>
      </c>
      <c r="AR348">
        <f t="shared" si="168"/>
        <v>0</v>
      </c>
      <c r="AS348">
        <f t="shared" si="178"/>
        <v>0</v>
      </c>
    </row>
    <row r="349" spans="6:45" ht="18" customHeight="1">
      <c r="F349" s="109">
        <v>44906</v>
      </c>
      <c r="G349">
        <f>B$5*'5 Year Rainfall Simulation'!B350/1000</f>
        <v>3.56</v>
      </c>
      <c r="H349">
        <f t="shared" si="150"/>
        <v>3.56</v>
      </c>
      <c r="I349">
        <f t="shared" si="149"/>
        <v>0.62</v>
      </c>
      <c r="J349">
        <f t="shared" si="151"/>
        <v>2.94</v>
      </c>
      <c r="K349">
        <f t="shared" si="169"/>
        <v>35</v>
      </c>
      <c r="L349">
        <f t="shared" si="152"/>
        <v>2.1044476835118289</v>
      </c>
      <c r="M349">
        <f t="shared" si="170"/>
        <v>0</v>
      </c>
      <c r="O349">
        <f>$B$5*'5 Year Rainfall Simulation'!C350/1000</f>
        <v>0.68</v>
      </c>
      <c r="P349">
        <f t="shared" si="153"/>
        <v>0.68</v>
      </c>
      <c r="Q349">
        <f t="shared" si="154"/>
        <v>0.62</v>
      </c>
      <c r="R349">
        <f t="shared" si="155"/>
        <v>6.0000000000000053E-2</v>
      </c>
      <c r="S349">
        <f t="shared" si="171"/>
        <v>35</v>
      </c>
      <c r="T349">
        <f t="shared" si="156"/>
        <v>0.40197315303034942</v>
      </c>
      <c r="U349">
        <f t="shared" si="172"/>
        <v>0</v>
      </c>
      <c r="W349">
        <f>$B$5*'5 Year Rainfall Simulation'!D350/1000</f>
        <v>0.35209066994244659</v>
      </c>
      <c r="X349">
        <f t="shared" si="157"/>
        <v>0.35209066994244659</v>
      </c>
      <c r="Y349">
        <f t="shared" si="158"/>
        <v>0.62</v>
      </c>
      <c r="Z349">
        <f t="shared" si="159"/>
        <v>-0.26790933005755341</v>
      </c>
      <c r="AA349">
        <f t="shared" si="173"/>
        <v>34.732090669942444</v>
      </c>
      <c r="AB349">
        <f t="shared" si="160"/>
        <v>0.20813381874901957</v>
      </c>
      <c r="AC349">
        <f t="shared" si="174"/>
        <v>0</v>
      </c>
      <c r="AE349">
        <f>$B$5*'5 Year Rainfall Simulation'!E350/1000</f>
        <v>1.0288678214771101</v>
      </c>
      <c r="AF349">
        <f t="shared" si="161"/>
        <v>1.0288678214771101</v>
      </c>
      <c r="AG349">
        <f t="shared" si="162"/>
        <v>0.62</v>
      </c>
      <c r="AH349">
        <f t="shared" si="163"/>
        <v>0.40886782147711009</v>
      </c>
      <c r="AI349">
        <f t="shared" si="175"/>
        <v>35</v>
      </c>
      <c r="AJ349">
        <f t="shared" si="164"/>
        <v>0.60820182683914792</v>
      </c>
      <c r="AK349">
        <f t="shared" si="176"/>
        <v>0</v>
      </c>
      <c r="AM349">
        <f>$B$5*'5 Year Rainfall Simulation'!F350/1000</f>
        <v>0.10234145592210098</v>
      </c>
      <c r="AN349">
        <f t="shared" si="165"/>
        <v>0.10234145592210098</v>
      </c>
      <c r="AO349">
        <f t="shared" si="166"/>
        <v>0.62</v>
      </c>
      <c r="AP349">
        <f t="shared" si="167"/>
        <v>-0.51765854407789902</v>
      </c>
      <c r="AQ349">
        <f t="shared" si="177"/>
        <v>33.862341455922106</v>
      </c>
      <c r="AR349">
        <f t="shared" si="168"/>
        <v>6.0497820180475663E-2</v>
      </c>
      <c r="AS349">
        <f t="shared" si="178"/>
        <v>0</v>
      </c>
    </row>
    <row r="350" spans="6:45" ht="18" customHeight="1">
      <c r="F350" s="109">
        <v>44907</v>
      </c>
      <c r="G350">
        <f>B$5*'5 Year Rainfall Simulation'!B351/1000</f>
        <v>0.28000000000000003</v>
      </c>
      <c r="H350">
        <f t="shared" si="150"/>
        <v>0.28000000000000003</v>
      </c>
      <c r="I350">
        <f t="shared" si="149"/>
        <v>0.62</v>
      </c>
      <c r="J350">
        <f t="shared" si="151"/>
        <v>-0.33999999999999997</v>
      </c>
      <c r="K350">
        <f t="shared" si="169"/>
        <v>34.659999999999997</v>
      </c>
      <c r="L350">
        <f t="shared" si="152"/>
        <v>0.16551835713014387</v>
      </c>
      <c r="M350">
        <f t="shared" si="170"/>
        <v>0</v>
      </c>
      <c r="O350">
        <f>$B$5*'5 Year Rainfall Simulation'!C351/1000</f>
        <v>4.76</v>
      </c>
      <c r="P350">
        <f t="shared" si="153"/>
        <v>4.76</v>
      </c>
      <c r="Q350">
        <f t="shared" si="154"/>
        <v>0.62</v>
      </c>
      <c r="R350">
        <f t="shared" si="155"/>
        <v>4.1399999999999997</v>
      </c>
      <c r="S350">
        <f t="shared" si="171"/>
        <v>35</v>
      </c>
      <c r="T350">
        <f t="shared" si="156"/>
        <v>2.8138120712124453</v>
      </c>
      <c r="U350">
        <f t="shared" si="172"/>
        <v>0</v>
      </c>
      <c r="W350">
        <f>$B$5*'5 Year Rainfall Simulation'!D351/1000</f>
        <v>0</v>
      </c>
      <c r="X350">
        <f t="shared" si="157"/>
        <v>0</v>
      </c>
      <c r="Y350">
        <f t="shared" si="158"/>
        <v>0.62</v>
      </c>
      <c r="Z350">
        <f t="shared" si="159"/>
        <v>-0.62</v>
      </c>
      <c r="AA350">
        <f t="shared" si="173"/>
        <v>34.112090669942447</v>
      </c>
      <c r="AB350">
        <f t="shared" si="160"/>
        <v>0</v>
      </c>
      <c r="AC350">
        <f t="shared" si="174"/>
        <v>0</v>
      </c>
      <c r="AE350">
        <f>$B$5*'5 Year Rainfall Simulation'!E351/1000</f>
        <v>1.9513244621909804</v>
      </c>
      <c r="AF350">
        <f t="shared" si="161"/>
        <v>1.9513244621909804</v>
      </c>
      <c r="AG350">
        <f t="shared" si="162"/>
        <v>0.62</v>
      </c>
      <c r="AH350">
        <f t="shared" si="163"/>
        <v>1.3313244621909806</v>
      </c>
      <c r="AI350">
        <f t="shared" si="175"/>
        <v>35</v>
      </c>
      <c r="AJ350">
        <f t="shared" si="164"/>
        <v>1.1535000686061163</v>
      </c>
      <c r="AK350">
        <f t="shared" si="176"/>
        <v>0</v>
      </c>
      <c r="AM350">
        <f>$B$5*'5 Year Rainfall Simulation'!F351/1000</f>
        <v>0.80271814173323186</v>
      </c>
      <c r="AN350">
        <f t="shared" si="165"/>
        <v>0.80271814173323186</v>
      </c>
      <c r="AO350">
        <f t="shared" si="166"/>
        <v>0.62</v>
      </c>
      <c r="AP350">
        <f t="shared" si="167"/>
        <v>0.18271814173323186</v>
      </c>
      <c r="AQ350">
        <f t="shared" si="177"/>
        <v>34.045059597655339</v>
      </c>
      <c r="AR350">
        <f t="shared" si="168"/>
        <v>0.47451638592230894</v>
      </c>
      <c r="AS350">
        <f t="shared" si="178"/>
        <v>0</v>
      </c>
    </row>
    <row r="351" spans="6:45" ht="18" customHeight="1">
      <c r="F351" s="109">
        <v>44908</v>
      </c>
      <c r="G351">
        <f>B$5*'5 Year Rainfall Simulation'!B352/1000</f>
        <v>0.2</v>
      </c>
      <c r="H351">
        <f t="shared" si="150"/>
        <v>0.2</v>
      </c>
      <c r="I351">
        <f t="shared" si="149"/>
        <v>0.62</v>
      </c>
      <c r="J351">
        <f t="shared" si="151"/>
        <v>-0.42</v>
      </c>
      <c r="K351">
        <f t="shared" si="169"/>
        <v>34.239999999999995</v>
      </c>
      <c r="L351">
        <f t="shared" si="152"/>
        <v>0.11822739795010276</v>
      </c>
      <c r="M351">
        <f t="shared" si="170"/>
        <v>0</v>
      </c>
      <c r="O351">
        <f>$B$5*'5 Year Rainfall Simulation'!C352/1000</f>
        <v>0</v>
      </c>
      <c r="P351">
        <f t="shared" si="153"/>
        <v>0</v>
      </c>
      <c r="Q351">
        <f t="shared" si="154"/>
        <v>0.62</v>
      </c>
      <c r="R351">
        <f t="shared" si="155"/>
        <v>-0.62</v>
      </c>
      <c r="S351">
        <f t="shared" si="171"/>
        <v>34.380000000000003</v>
      </c>
      <c r="T351">
        <f t="shared" si="156"/>
        <v>0</v>
      </c>
      <c r="U351">
        <f t="shared" si="172"/>
        <v>0</v>
      </c>
      <c r="W351">
        <f>$B$5*'5 Year Rainfall Simulation'!D352/1000</f>
        <v>0</v>
      </c>
      <c r="X351">
        <f t="shared" si="157"/>
        <v>0</v>
      </c>
      <c r="Y351">
        <f t="shared" si="158"/>
        <v>0.62</v>
      </c>
      <c r="Z351">
        <f t="shared" si="159"/>
        <v>-0.62</v>
      </c>
      <c r="AA351">
        <f t="shared" si="173"/>
        <v>33.492090669942449</v>
      </c>
      <c r="AB351">
        <f t="shared" si="160"/>
        <v>0</v>
      </c>
      <c r="AC351">
        <f t="shared" si="174"/>
        <v>0</v>
      </c>
      <c r="AE351">
        <f>$B$5*'5 Year Rainfall Simulation'!E352/1000</f>
        <v>0</v>
      </c>
      <c r="AF351">
        <f t="shared" si="161"/>
        <v>0</v>
      </c>
      <c r="AG351">
        <f t="shared" si="162"/>
        <v>0.62</v>
      </c>
      <c r="AH351">
        <f t="shared" si="163"/>
        <v>-0.62</v>
      </c>
      <c r="AI351">
        <f t="shared" si="175"/>
        <v>34.380000000000003</v>
      </c>
      <c r="AJ351">
        <f t="shared" si="164"/>
        <v>0</v>
      </c>
      <c r="AK351">
        <f t="shared" si="176"/>
        <v>0</v>
      </c>
      <c r="AM351">
        <f>$B$5*'5 Year Rainfall Simulation'!F352/1000</f>
        <v>0</v>
      </c>
      <c r="AN351">
        <f t="shared" si="165"/>
        <v>0</v>
      </c>
      <c r="AO351">
        <f t="shared" si="166"/>
        <v>0.62</v>
      </c>
      <c r="AP351">
        <f t="shared" si="167"/>
        <v>-0.62</v>
      </c>
      <c r="AQ351">
        <f t="shared" si="177"/>
        <v>33.425059597655341</v>
      </c>
      <c r="AR351">
        <f t="shared" si="168"/>
        <v>0</v>
      </c>
      <c r="AS351">
        <f t="shared" si="178"/>
        <v>0</v>
      </c>
    </row>
    <row r="352" spans="6:45" ht="18" customHeight="1">
      <c r="F352" s="109">
        <v>44909</v>
      </c>
      <c r="G352">
        <f>B$5*'5 Year Rainfall Simulation'!B353/1000</f>
        <v>0</v>
      </c>
      <c r="H352">
        <f t="shared" si="150"/>
        <v>0</v>
      </c>
      <c r="I352">
        <f t="shared" si="149"/>
        <v>0.62</v>
      </c>
      <c r="J352">
        <f t="shared" si="151"/>
        <v>-0.62</v>
      </c>
      <c r="K352">
        <f t="shared" si="169"/>
        <v>33.619999999999997</v>
      </c>
      <c r="L352">
        <f t="shared" si="152"/>
        <v>0</v>
      </c>
      <c r="M352">
        <f t="shared" si="170"/>
        <v>0</v>
      </c>
      <c r="O352">
        <f>$B$5*'5 Year Rainfall Simulation'!C353/1000</f>
        <v>0.48</v>
      </c>
      <c r="P352">
        <f t="shared" si="153"/>
        <v>0.48</v>
      </c>
      <c r="Q352">
        <f t="shared" si="154"/>
        <v>0.62</v>
      </c>
      <c r="R352">
        <f t="shared" si="155"/>
        <v>-0.14000000000000001</v>
      </c>
      <c r="S352">
        <f t="shared" si="171"/>
        <v>34.24</v>
      </c>
      <c r="T352">
        <f t="shared" si="156"/>
        <v>0.28374575508024658</v>
      </c>
      <c r="U352">
        <f t="shared" si="172"/>
        <v>0</v>
      </c>
      <c r="W352">
        <f>$B$5*'5 Year Rainfall Simulation'!D353/1000</f>
        <v>0</v>
      </c>
      <c r="X352">
        <f t="shared" si="157"/>
        <v>0</v>
      </c>
      <c r="Y352">
        <f t="shared" si="158"/>
        <v>0.62</v>
      </c>
      <c r="Z352">
        <f t="shared" si="159"/>
        <v>-0.62</v>
      </c>
      <c r="AA352">
        <f t="shared" si="173"/>
        <v>32.872090669942452</v>
      </c>
      <c r="AB352">
        <f t="shared" si="160"/>
        <v>0</v>
      </c>
      <c r="AC352">
        <f t="shared" si="174"/>
        <v>0</v>
      </c>
      <c r="AE352">
        <f>$B$5*'5 Year Rainfall Simulation'!E353/1000</f>
        <v>0.72216710459144706</v>
      </c>
      <c r="AF352">
        <f t="shared" si="161"/>
        <v>0.72216710459144706</v>
      </c>
      <c r="AG352">
        <f t="shared" si="162"/>
        <v>0.62</v>
      </c>
      <c r="AH352">
        <f t="shared" si="163"/>
        <v>0.10216710459144707</v>
      </c>
      <c r="AI352">
        <f t="shared" si="175"/>
        <v>34.482167104591447</v>
      </c>
      <c r="AJ352">
        <f t="shared" si="164"/>
        <v>0.42689968830503244</v>
      </c>
      <c r="AK352">
        <f t="shared" si="176"/>
        <v>0</v>
      </c>
      <c r="AM352">
        <f>$B$5*'5 Year Rainfall Simulation'!F353/1000</f>
        <v>0</v>
      </c>
      <c r="AN352">
        <f t="shared" si="165"/>
        <v>0</v>
      </c>
      <c r="AO352">
        <f t="shared" si="166"/>
        <v>0.62</v>
      </c>
      <c r="AP352">
        <f t="shared" si="167"/>
        <v>-0.62</v>
      </c>
      <c r="AQ352">
        <f t="shared" si="177"/>
        <v>32.805059597655344</v>
      </c>
      <c r="AR352">
        <f t="shared" si="168"/>
        <v>0</v>
      </c>
      <c r="AS352">
        <f t="shared" si="178"/>
        <v>0</v>
      </c>
    </row>
    <row r="353" spans="6:45" ht="18" customHeight="1">
      <c r="F353" s="109">
        <v>44910</v>
      </c>
      <c r="G353">
        <f>B$5*'5 Year Rainfall Simulation'!B354/1000</f>
        <v>1.8</v>
      </c>
      <c r="H353">
        <f t="shared" si="150"/>
        <v>1.8</v>
      </c>
      <c r="I353">
        <f t="shared" si="149"/>
        <v>0.62</v>
      </c>
      <c r="J353">
        <f t="shared" si="151"/>
        <v>1.1800000000000002</v>
      </c>
      <c r="K353">
        <f t="shared" si="169"/>
        <v>34.799999999999997</v>
      </c>
      <c r="L353">
        <f t="shared" si="152"/>
        <v>1.0640465815509248</v>
      </c>
      <c r="M353">
        <f t="shared" si="170"/>
        <v>0</v>
      </c>
      <c r="O353">
        <f>$B$5*'5 Year Rainfall Simulation'!C354/1000</f>
        <v>0.6</v>
      </c>
      <c r="P353">
        <f t="shared" si="153"/>
        <v>0.6</v>
      </c>
      <c r="Q353">
        <f t="shared" si="154"/>
        <v>0.62</v>
      </c>
      <c r="R353">
        <f t="shared" si="155"/>
        <v>-2.0000000000000018E-2</v>
      </c>
      <c r="S353">
        <f t="shared" si="171"/>
        <v>34.22</v>
      </c>
      <c r="T353">
        <f t="shared" si="156"/>
        <v>0.35468219385030825</v>
      </c>
      <c r="U353">
        <f t="shared" si="172"/>
        <v>0</v>
      </c>
      <c r="W353">
        <f>$B$5*'5 Year Rainfall Simulation'!D354/1000</f>
        <v>2.4053369293003999</v>
      </c>
      <c r="X353">
        <f t="shared" si="157"/>
        <v>2.4053369293003999</v>
      </c>
      <c r="Y353">
        <f t="shared" si="158"/>
        <v>0.62</v>
      </c>
      <c r="Z353">
        <f t="shared" si="159"/>
        <v>1.7853369293003998</v>
      </c>
      <c r="AA353">
        <f t="shared" si="173"/>
        <v>34.657427599242851</v>
      </c>
      <c r="AB353">
        <f t="shared" si="160"/>
        <v>1.4218836317223829</v>
      </c>
      <c r="AC353">
        <f t="shared" si="174"/>
        <v>0</v>
      </c>
      <c r="AE353">
        <f>$B$5*'5 Year Rainfall Simulation'!E354/1000</f>
        <v>0</v>
      </c>
      <c r="AF353">
        <f t="shared" si="161"/>
        <v>0</v>
      </c>
      <c r="AG353">
        <f t="shared" si="162"/>
        <v>0.62</v>
      </c>
      <c r="AH353">
        <f t="shared" si="163"/>
        <v>-0.62</v>
      </c>
      <c r="AI353">
        <f t="shared" si="175"/>
        <v>33.86216710459145</v>
      </c>
      <c r="AJ353">
        <f t="shared" si="164"/>
        <v>0</v>
      </c>
      <c r="AK353">
        <f t="shared" si="176"/>
        <v>0</v>
      </c>
      <c r="AM353">
        <f>$B$5*'5 Year Rainfall Simulation'!F354/1000</f>
        <v>0.9853471835356481</v>
      </c>
      <c r="AN353">
        <f t="shared" si="165"/>
        <v>0.9853471835356481</v>
      </c>
      <c r="AO353">
        <f t="shared" si="166"/>
        <v>0.62</v>
      </c>
      <c r="AP353">
        <f t="shared" si="167"/>
        <v>0.3653471835356481</v>
      </c>
      <c r="AQ353">
        <f t="shared" si="177"/>
        <v>33.170406781190991</v>
      </c>
      <c r="AR353">
        <f t="shared" si="168"/>
        <v>0.58247516793441001</v>
      </c>
      <c r="AS353">
        <f t="shared" si="178"/>
        <v>0</v>
      </c>
    </row>
    <row r="354" spans="6:45" ht="18" customHeight="1">
      <c r="F354" s="109">
        <v>44911</v>
      </c>
      <c r="G354">
        <f>B$5*'5 Year Rainfall Simulation'!B355/1000</f>
        <v>4.04</v>
      </c>
      <c r="H354">
        <f t="shared" si="150"/>
        <v>4.04</v>
      </c>
      <c r="I354">
        <f t="shared" si="149"/>
        <v>0.62</v>
      </c>
      <c r="J354">
        <f t="shared" si="151"/>
        <v>3.42</v>
      </c>
      <c r="K354">
        <f t="shared" si="169"/>
        <v>35</v>
      </c>
      <c r="L354">
        <f t="shared" si="152"/>
        <v>2.3881934385920758</v>
      </c>
      <c r="M354">
        <f t="shared" si="170"/>
        <v>0</v>
      </c>
      <c r="O354">
        <f>$B$5*'5 Year Rainfall Simulation'!C355/1000</f>
        <v>0.44000000000000006</v>
      </c>
      <c r="P354">
        <f t="shared" si="153"/>
        <v>0.44000000000000006</v>
      </c>
      <c r="Q354">
        <f t="shared" si="154"/>
        <v>0.62</v>
      </c>
      <c r="R354">
        <f t="shared" si="155"/>
        <v>-0.17999999999999994</v>
      </c>
      <c r="S354">
        <f t="shared" si="171"/>
        <v>34.04</v>
      </c>
      <c r="T354">
        <f t="shared" si="156"/>
        <v>0.26010027549022607</v>
      </c>
      <c r="U354">
        <f t="shared" si="172"/>
        <v>0</v>
      </c>
      <c r="W354">
        <f>$B$5*'5 Year Rainfall Simulation'!D355/1000</f>
        <v>5.2899013736801921</v>
      </c>
      <c r="X354">
        <f t="shared" si="157"/>
        <v>5.2899013736801921</v>
      </c>
      <c r="Y354">
        <f t="shared" si="158"/>
        <v>0.62</v>
      </c>
      <c r="Z354">
        <f t="shared" si="159"/>
        <v>4.669901373680192</v>
      </c>
      <c r="AA354">
        <f t="shared" si="173"/>
        <v>35</v>
      </c>
      <c r="AB354">
        <f t="shared" si="160"/>
        <v>3.1270563741144164</v>
      </c>
      <c r="AC354">
        <f t="shared" si="174"/>
        <v>0</v>
      </c>
      <c r="AE354">
        <f>$B$5*'5 Year Rainfall Simulation'!E355/1000</f>
        <v>0</v>
      </c>
      <c r="AF354">
        <f t="shared" si="161"/>
        <v>0</v>
      </c>
      <c r="AG354">
        <f t="shared" si="162"/>
        <v>0.62</v>
      </c>
      <c r="AH354">
        <f t="shared" si="163"/>
        <v>-0.62</v>
      </c>
      <c r="AI354">
        <f t="shared" si="175"/>
        <v>33.242167104591452</v>
      </c>
      <c r="AJ354">
        <f t="shared" si="164"/>
        <v>0</v>
      </c>
      <c r="AK354">
        <f t="shared" si="176"/>
        <v>0</v>
      </c>
      <c r="AM354">
        <f>$B$5*'5 Year Rainfall Simulation'!F355/1000</f>
        <v>2.5954495227106862</v>
      </c>
      <c r="AN354">
        <f t="shared" si="165"/>
        <v>2.5954495227106862</v>
      </c>
      <c r="AO354">
        <f t="shared" si="166"/>
        <v>0.62</v>
      </c>
      <c r="AP354">
        <f t="shared" si="167"/>
        <v>1.9754495227106861</v>
      </c>
      <c r="AQ354">
        <f t="shared" si="177"/>
        <v>35</v>
      </c>
      <c r="AR354">
        <f t="shared" si="168"/>
        <v>1.5342662179046027</v>
      </c>
      <c r="AS354">
        <f t="shared" si="178"/>
        <v>0</v>
      </c>
    </row>
    <row r="355" spans="6:45" ht="18" customHeight="1">
      <c r="F355" s="109">
        <v>44912</v>
      </c>
      <c r="G355">
        <f>B$5*'5 Year Rainfall Simulation'!B356/1000</f>
        <v>0.16</v>
      </c>
      <c r="H355">
        <f t="shared" si="150"/>
        <v>0.16</v>
      </c>
      <c r="I355">
        <f t="shared" si="149"/>
        <v>0.62</v>
      </c>
      <c r="J355">
        <f t="shared" si="151"/>
        <v>-0.45999999999999996</v>
      </c>
      <c r="K355">
        <f t="shared" si="169"/>
        <v>34.54</v>
      </c>
      <c r="L355">
        <f t="shared" si="152"/>
        <v>9.4581918360082201E-2</v>
      </c>
      <c r="M355">
        <f t="shared" si="170"/>
        <v>0</v>
      </c>
      <c r="O355">
        <f>$B$5*'5 Year Rainfall Simulation'!C356/1000</f>
        <v>4.3600000000000003</v>
      </c>
      <c r="P355">
        <f t="shared" si="153"/>
        <v>4.3600000000000003</v>
      </c>
      <c r="Q355">
        <f t="shared" si="154"/>
        <v>0.62</v>
      </c>
      <c r="R355">
        <f t="shared" si="155"/>
        <v>3.74</v>
      </c>
      <c r="S355">
        <f t="shared" si="171"/>
        <v>35</v>
      </c>
      <c r="T355">
        <f t="shared" si="156"/>
        <v>2.5773572753122402</v>
      </c>
      <c r="U355">
        <f t="shared" si="172"/>
        <v>0</v>
      </c>
      <c r="W355">
        <f>$B$5*'5 Year Rainfall Simulation'!D356/1000</f>
        <v>0</v>
      </c>
      <c r="X355">
        <f t="shared" si="157"/>
        <v>0</v>
      </c>
      <c r="Y355">
        <f t="shared" si="158"/>
        <v>0.62</v>
      </c>
      <c r="Z355">
        <f t="shared" si="159"/>
        <v>-0.62</v>
      </c>
      <c r="AA355">
        <f t="shared" si="173"/>
        <v>34.380000000000003</v>
      </c>
      <c r="AB355">
        <f t="shared" si="160"/>
        <v>0</v>
      </c>
      <c r="AC355">
        <f t="shared" si="174"/>
        <v>0</v>
      </c>
      <c r="AE355">
        <f>$B$5*'5 Year Rainfall Simulation'!E356/1000</f>
        <v>3.3634352711053537</v>
      </c>
      <c r="AF355">
        <f t="shared" si="161"/>
        <v>3.3634352711053537</v>
      </c>
      <c r="AG355">
        <f t="shared" si="162"/>
        <v>0.62</v>
      </c>
      <c r="AH355">
        <f t="shared" si="163"/>
        <v>2.7434352711053536</v>
      </c>
      <c r="AI355">
        <f t="shared" si="175"/>
        <v>35</v>
      </c>
      <c r="AJ355">
        <f t="shared" si="164"/>
        <v>1.9882510013819219</v>
      </c>
      <c r="AK355">
        <f t="shared" si="176"/>
        <v>0</v>
      </c>
      <c r="AM355">
        <f>$B$5*'5 Year Rainfall Simulation'!F356/1000</f>
        <v>1.1424888142481038</v>
      </c>
      <c r="AN355">
        <f t="shared" si="165"/>
        <v>1.1424888142481038</v>
      </c>
      <c r="AO355">
        <f t="shared" si="166"/>
        <v>0.62</v>
      </c>
      <c r="AP355">
        <f t="shared" si="167"/>
        <v>0.52248881424810378</v>
      </c>
      <c r="AQ355">
        <f t="shared" si="177"/>
        <v>35</v>
      </c>
      <c r="AR355">
        <f t="shared" si="168"/>
        <v>0.675367398478258</v>
      </c>
      <c r="AS355">
        <f t="shared" si="178"/>
        <v>0</v>
      </c>
    </row>
    <row r="356" spans="6:45" ht="18" customHeight="1">
      <c r="F356" s="109">
        <v>44913</v>
      </c>
      <c r="G356">
        <f>B$5*'5 Year Rainfall Simulation'!B357/1000</f>
        <v>4.92</v>
      </c>
      <c r="H356">
        <f t="shared" si="150"/>
        <v>4.92</v>
      </c>
      <c r="I356">
        <f t="shared" ref="I356:I369" si="179">$B$4</f>
        <v>0.62</v>
      </c>
      <c r="J356">
        <f t="shared" si="151"/>
        <v>4.3</v>
      </c>
      <c r="K356">
        <f t="shared" si="169"/>
        <v>35</v>
      </c>
      <c r="L356">
        <f t="shared" si="152"/>
        <v>2.9083939895725277</v>
      </c>
      <c r="M356">
        <f t="shared" si="170"/>
        <v>0</v>
      </c>
      <c r="O356">
        <f>$B$5*'5 Year Rainfall Simulation'!C357/1000</f>
        <v>5.0999999999999996</v>
      </c>
      <c r="P356">
        <f t="shared" si="153"/>
        <v>5.0999999999999996</v>
      </c>
      <c r="Q356">
        <f t="shared" si="154"/>
        <v>0.62</v>
      </c>
      <c r="R356">
        <f t="shared" si="155"/>
        <v>4.4799999999999995</v>
      </c>
      <c r="S356">
        <f t="shared" si="171"/>
        <v>35</v>
      </c>
      <c r="T356">
        <f t="shared" si="156"/>
        <v>3.0147986477276199</v>
      </c>
      <c r="U356">
        <f t="shared" si="172"/>
        <v>0</v>
      </c>
      <c r="W356">
        <f>$B$5*'5 Year Rainfall Simulation'!D357/1000</f>
        <v>2.9157607591867376</v>
      </c>
      <c r="X356">
        <f t="shared" si="157"/>
        <v>2.9157607591867376</v>
      </c>
      <c r="Y356">
        <f t="shared" si="158"/>
        <v>0.62</v>
      </c>
      <c r="Z356">
        <f t="shared" si="159"/>
        <v>2.2957607591867375</v>
      </c>
      <c r="AA356">
        <f t="shared" si="173"/>
        <v>35</v>
      </c>
      <c r="AB356">
        <f t="shared" si="160"/>
        <v>1.7236140380183207</v>
      </c>
      <c r="AC356">
        <f t="shared" si="174"/>
        <v>0</v>
      </c>
      <c r="AE356">
        <f>$B$5*'5 Year Rainfall Simulation'!E357/1000</f>
        <v>6.0094761400776662</v>
      </c>
      <c r="AF356">
        <f t="shared" si="161"/>
        <v>6.0094761400776662</v>
      </c>
      <c r="AG356">
        <f t="shared" si="162"/>
        <v>0.62</v>
      </c>
      <c r="AH356">
        <f t="shared" si="163"/>
        <v>5.3894761400776661</v>
      </c>
      <c r="AI356">
        <f t="shared" si="175"/>
        <v>35</v>
      </c>
      <c r="AJ356">
        <f t="shared" si="164"/>
        <v>3.5524236354230485</v>
      </c>
      <c r="AK356">
        <f t="shared" si="176"/>
        <v>0</v>
      </c>
      <c r="AM356">
        <f>$B$5*'5 Year Rainfall Simulation'!F357/1000</f>
        <v>4.0332569854992819</v>
      </c>
      <c r="AN356">
        <f t="shared" si="165"/>
        <v>4.0332569854992819</v>
      </c>
      <c r="AO356">
        <f t="shared" si="166"/>
        <v>0.62</v>
      </c>
      <c r="AP356">
        <f t="shared" si="167"/>
        <v>3.4132569854992818</v>
      </c>
      <c r="AQ356">
        <f t="shared" si="177"/>
        <v>35</v>
      </c>
      <c r="AR356">
        <f t="shared" si="168"/>
        <v>2.384207393298277</v>
      </c>
      <c r="AS356">
        <f t="shared" si="178"/>
        <v>0</v>
      </c>
    </row>
    <row r="357" spans="6:45" ht="18" customHeight="1">
      <c r="F357" s="109">
        <v>44914</v>
      </c>
      <c r="G357">
        <f>B$5*'5 Year Rainfall Simulation'!B358/1000</f>
        <v>0</v>
      </c>
      <c r="H357">
        <f t="shared" si="150"/>
        <v>0</v>
      </c>
      <c r="I357">
        <f t="shared" si="179"/>
        <v>0.62</v>
      </c>
      <c r="J357">
        <f t="shared" si="151"/>
        <v>-0.62</v>
      </c>
      <c r="K357">
        <f t="shared" si="169"/>
        <v>34.380000000000003</v>
      </c>
      <c r="L357">
        <f t="shared" si="152"/>
        <v>0</v>
      </c>
      <c r="M357">
        <f t="shared" si="170"/>
        <v>0</v>
      </c>
      <c r="O357">
        <f>$B$5*'5 Year Rainfall Simulation'!C358/1000</f>
        <v>6.36</v>
      </c>
      <c r="P357">
        <f t="shared" si="153"/>
        <v>6.36</v>
      </c>
      <c r="Q357">
        <f t="shared" si="154"/>
        <v>0.62</v>
      </c>
      <c r="R357">
        <f t="shared" si="155"/>
        <v>5.74</v>
      </c>
      <c r="S357">
        <f t="shared" si="171"/>
        <v>35</v>
      </c>
      <c r="T357">
        <f t="shared" si="156"/>
        <v>3.759631254813268</v>
      </c>
      <c r="U357">
        <f t="shared" si="172"/>
        <v>0</v>
      </c>
      <c r="W357">
        <f>$B$5*'5 Year Rainfall Simulation'!D358/1000</f>
        <v>0</v>
      </c>
      <c r="X357">
        <f t="shared" si="157"/>
        <v>0</v>
      </c>
      <c r="Y357">
        <f t="shared" si="158"/>
        <v>0.62</v>
      </c>
      <c r="Z357">
        <f t="shared" si="159"/>
        <v>-0.62</v>
      </c>
      <c r="AA357">
        <f t="shared" si="173"/>
        <v>34.380000000000003</v>
      </c>
      <c r="AB357">
        <f t="shared" si="160"/>
        <v>0</v>
      </c>
      <c r="AC357">
        <f t="shared" si="174"/>
        <v>0</v>
      </c>
      <c r="AE357">
        <f>$B$5*'5 Year Rainfall Simulation'!E358/1000</f>
        <v>8.1067564033981334</v>
      </c>
      <c r="AF357">
        <f t="shared" si="161"/>
        <v>8.1067564033981334</v>
      </c>
      <c r="AG357">
        <f t="shared" si="162"/>
        <v>0.62</v>
      </c>
      <c r="AH357">
        <f t="shared" si="163"/>
        <v>7.4867564033981333</v>
      </c>
      <c r="AI357">
        <f t="shared" si="175"/>
        <v>35</v>
      </c>
      <c r="AJ357">
        <f t="shared" si="164"/>
        <v>4.7922035769454743</v>
      </c>
      <c r="AK357">
        <f t="shared" si="176"/>
        <v>0</v>
      </c>
      <c r="AM357">
        <f>$B$5*'5 Year Rainfall Simulation'!F358/1000</f>
        <v>1.6964458802379661</v>
      </c>
      <c r="AN357">
        <f t="shared" si="165"/>
        <v>1.6964458802379661</v>
      </c>
      <c r="AO357">
        <f t="shared" si="166"/>
        <v>0.62</v>
      </c>
      <c r="AP357">
        <f t="shared" si="167"/>
        <v>1.0764458802379662</v>
      </c>
      <c r="AQ357">
        <f t="shared" si="177"/>
        <v>35</v>
      </c>
      <c r="AR357">
        <f t="shared" si="168"/>
        <v>1.002831910918532</v>
      </c>
      <c r="AS357">
        <f t="shared" si="178"/>
        <v>0</v>
      </c>
    </row>
    <row r="358" spans="6:45" ht="18" customHeight="1">
      <c r="F358" s="109">
        <v>44915</v>
      </c>
      <c r="G358">
        <f>B$5*'5 Year Rainfall Simulation'!B359/1000</f>
        <v>0</v>
      </c>
      <c r="H358">
        <f t="shared" si="150"/>
        <v>0</v>
      </c>
      <c r="I358">
        <f t="shared" si="179"/>
        <v>0.62</v>
      </c>
      <c r="J358">
        <f t="shared" si="151"/>
        <v>-0.62</v>
      </c>
      <c r="K358">
        <f t="shared" si="169"/>
        <v>33.760000000000005</v>
      </c>
      <c r="L358">
        <f t="shared" si="152"/>
        <v>0</v>
      </c>
      <c r="M358">
        <f t="shared" si="170"/>
        <v>0</v>
      </c>
      <c r="O358">
        <f>$B$5*'5 Year Rainfall Simulation'!C359/1000</f>
        <v>4.5199999999999996</v>
      </c>
      <c r="P358">
        <f t="shared" si="153"/>
        <v>4.5199999999999996</v>
      </c>
      <c r="Q358">
        <f t="shared" si="154"/>
        <v>0.62</v>
      </c>
      <c r="R358">
        <f t="shared" si="155"/>
        <v>3.8999999999999995</v>
      </c>
      <c r="S358">
        <f t="shared" si="171"/>
        <v>35</v>
      </c>
      <c r="T358">
        <f t="shared" si="156"/>
        <v>2.6719391936723218</v>
      </c>
      <c r="U358">
        <f t="shared" si="172"/>
        <v>0</v>
      </c>
      <c r="W358">
        <f>$B$5*'5 Year Rainfall Simulation'!D359/1000</f>
        <v>0</v>
      </c>
      <c r="X358">
        <f t="shared" si="157"/>
        <v>0</v>
      </c>
      <c r="Y358">
        <f t="shared" si="158"/>
        <v>0.62</v>
      </c>
      <c r="Z358">
        <f t="shared" si="159"/>
        <v>-0.62</v>
      </c>
      <c r="AA358">
        <f t="shared" si="173"/>
        <v>33.760000000000005</v>
      </c>
      <c r="AB358">
        <f t="shared" si="160"/>
        <v>0</v>
      </c>
      <c r="AC358">
        <f t="shared" si="174"/>
        <v>0</v>
      </c>
      <c r="AE358">
        <f>$B$5*'5 Year Rainfall Simulation'!E359/1000</f>
        <v>1.8529237070807887</v>
      </c>
      <c r="AF358">
        <f t="shared" si="161"/>
        <v>1.8529237070807887</v>
      </c>
      <c r="AG358">
        <f t="shared" si="162"/>
        <v>0.62</v>
      </c>
      <c r="AH358">
        <f t="shared" si="163"/>
        <v>1.2329237070807886</v>
      </c>
      <c r="AI358">
        <f t="shared" si="175"/>
        <v>35</v>
      </c>
      <c r="AJ358">
        <f t="shared" si="164"/>
        <v>1.0953317424411002</v>
      </c>
      <c r="AK358">
        <f t="shared" si="176"/>
        <v>0</v>
      </c>
      <c r="AM358">
        <f>$B$5*'5 Year Rainfall Simulation'!F359/1000</f>
        <v>0</v>
      </c>
      <c r="AN358">
        <f t="shared" si="165"/>
        <v>0</v>
      </c>
      <c r="AO358">
        <f t="shared" si="166"/>
        <v>0.62</v>
      </c>
      <c r="AP358">
        <f t="shared" si="167"/>
        <v>-0.62</v>
      </c>
      <c r="AQ358">
        <f t="shared" si="177"/>
        <v>34.380000000000003</v>
      </c>
      <c r="AR358">
        <f t="shared" si="168"/>
        <v>0</v>
      </c>
      <c r="AS358">
        <f t="shared" si="178"/>
        <v>0</v>
      </c>
    </row>
    <row r="359" spans="6:45" ht="18" customHeight="1">
      <c r="F359" s="109">
        <v>44916</v>
      </c>
      <c r="G359">
        <f>B$5*'5 Year Rainfall Simulation'!B360/1000</f>
        <v>1.7600000000000002</v>
      </c>
      <c r="H359">
        <f t="shared" si="150"/>
        <v>1.7600000000000002</v>
      </c>
      <c r="I359">
        <f t="shared" si="179"/>
        <v>0.62</v>
      </c>
      <c r="J359">
        <f t="shared" si="151"/>
        <v>1.1400000000000001</v>
      </c>
      <c r="K359">
        <f t="shared" si="169"/>
        <v>34.900000000000006</v>
      </c>
      <c r="L359">
        <f t="shared" si="152"/>
        <v>1.0404011019609043</v>
      </c>
      <c r="M359">
        <f t="shared" si="170"/>
        <v>0</v>
      </c>
      <c r="O359">
        <f>$B$5*'5 Year Rainfall Simulation'!C360/1000</f>
        <v>1.8</v>
      </c>
      <c r="P359">
        <f t="shared" si="153"/>
        <v>1.8</v>
      </c>
      <c r="Q359">
        <f t="shared" si="154"/>
        <v>0.62</v>
      </c>
      <c r="R359">
        <f t="shared" si="155"/>
        <v>1.1800000000000002</v>
      </c>
      <c r="S359">
        <f t="shared" si="171"/>
        <v>35</v>
      </c>
      <c r="T359">
        <f t="shared" si="156"/>
        <v>1.0640465815509248</v>
      </c>
      <c r="U359">
        <f t="shared" si="172"/>
        <v>0</v>
      </c>
      <c r="W359">
        <f>$B$5*'5 Year Rainfall Simulation'!D360/1000</f>
        <v>0</v>
      </c>
      <c r="X359">
        <f t="shared" si="157"/>
        <v>0</v>
      </c>
      <c r="Y359">
        <f t="shared" si="158"/>
        <v>0.62</v>
      </c>
      <c r="Z359">
        <f t="shared" si="159"/>
        <v>-0.62</v>
      </c>
      <c r="AA359">
        <f t="shared" si="173"/>
        <v>33.140000000000008</v>
      </c>
      <c r="AB359">
        <f t="shared" si="160"/>
        <v>0</v>
      </c>
      <c r="AC359">
        <f t="shared" si="174"/>
        <v>0</v>
      </c>
      <c r="AE359">
        <f>$B$5*'5 Year Rainfall Simulation'!E360/1000</f>
        <v>2.5161725723115542</v>
      </c>
      <c r="AF359">
        <f t="shared" si="161"/>
        <v>2.5161725723115542</v>
      </c>
      <c r="AG359">
        <f t="shared" si="162"/>
        <v>0.62</v>
      </c>
      <c r="AH359">
        <f t="shared" si="163"/>
        <v>1.8961725723115541</v>
      </c>
      <c r="AI359">
        <f t="shared" si="175"/>
        <v>35</v>
      </c>
      <c r="AJ359">
        <f t="shared" si="164"/>
        <v>1.4874026800890592</v>
      </c>
      <c r="AK359">
        <f t="shared" si="176"/>
        <v>0</v>
      </c>
      <c r="AM359">
        <f>$B$5*'5 Year Rainfall Simulation'!F360/1000</f>
        <v>0</v>
      </c>
      <c r="AN359">
        <f t="shared" si="165"/>
        <v>0</v>
      </c>
      <c r="AO359">
        <f t="shared" si="166"/>
        <v>0.62</v>
      </c>
      <c r="AP359">
        <f t="shared" si="167"/>
        <v>-0.62</v>
      </c>
      <c r="AQ359">
        <f t="shared" si="177"/>
        <v>33.760000000000005</v>
      </c>
      <c r="AR359">
        <f t="shared" si="168"/>
        <v>0</v>
      </c>
      <c r="AS359">
        <f t="shared" si="178"/>
        <v>0</v>
      </c>
    </row>
    <row r="360" spans="6:45" ht="18" customHeight="1">
      <c r="F360" s="109">
        <v>44917</v>
      </c>
      <c r="G360">
        <f>B$5*'5 Year Rainfall Simulation'!B361/1000</f>
        <v>2.3199999999999998</v>
      </c>
      <c r="H360">
        <f t="shared" si="150"/>
        <v>2.3199999999999998</v>
      </c>
      <c r="I360">
        <f t="shared" si="179"/>
        <v>0.62</v>
      </c>
      <c r="J360">
        <f t="shared" si="151"/>
        <v>1.6999999999999997</v>
      </c>
      <c r="K360">
        <f t="shared" si="169"/>
        <v>35</v>
      </c>
      <c r="L360">
        <f t="shared" si="152"/>
        <v>1.3714378162211918</v>
      </c>
      <c r="M360">
        <f t="shared" si="170"/>
        <v>0</v>
      </c>
      <c r="O360">
        <f>$B$5*'5 Year Rainfall Simulation'!C361/1000</f>
        <v>7.1599999999999993</v>
      </c>
      <c r="P360">
        <f t="shared" si="153"/>
        <v>7.1599999999999993</v>
      </c>
      <c r="Q360">
        <f t="shared" si="154"/>
        <v>0.62</v>
      </c>
      <c r="R360">
        <f t="shared" si="155"/>
        <v>6.5399999999999991</v>
      </c>
      <c r="S360">
        <f t="shared" si="171"/>
        <v>35</v>
      </c>
      <c r="T360">
        <f t="shared" si="156"/>
        <v>4.232540846613678</v>
      </c>
      <c r="U360">
        <f t="shared" si="172"/>
        <v>0</v>
      </c>
      <c r="W360">
        <f>$B$5*'5 Year Rainfall Simulation'!D361/1000</f>
        <v>3.1735295555212177</v>
      </c>
      <c r="X360">
        <f t="shared" si="157"/>
        <v>3.1735295555212177</v>
      </c>
      <c r="Y360">
        <f t="shared" si="158"/>
        <v>0.62</v>
      </c>
      <c r="Z360">
        <f t="shared" si="159"/>
        <v>2.5535295555212176</v>
      </c>
      <c r="AA360">
        <f t="shared" si="173"/>
        <v>35</v>
      </c>
      <c r="AB360">
        <f t="shared" si="160"/>
        <v>1.8759907083350986</v>
      </c>
      <c r="AC360">
        <f t="shared" si="174"/>
        <v>0</v>
      </c>
      <c r="AE360">
        <f>$B$5*'5 Year Rainfall Simulation'!E361/1000</f>
        <v>8.4872839667386053</v>
      </c>
      <c r="AF360">
        <f t="shared" si="161"/>
        <v>8.4872839667386053</v>
      </c>
      <c r="AG360">
        <f t="shared" si="162"/>
        <v>0.62</v>
      </c>
      <c r="AH360">
        <f t="shared" si="163"/>
        <v>7.8672839667386052</v>
      </c>
      <c r="AI360">
        <f t="shared" si="175"/>
        <v>35</v>
      </c>
      <c r="AJ360">
        <f t="shared" si="164"/>
        <v>5.0171474952556592</v>
      </c>
      <c r="AK360">
        <f t="shared" si="176"/>
        <v>0</v>
      </c>
      <c r="AM360">
        <f>$B$5*'5 Year Rainfall Simulation'!F361/1000</f>
        <v>1.670433993672382</v>
      </c>
      <c r="AN360">
        <f t="shared" si="165"/>
        <v>1.670433993672382</v>
      </c>
      <c r="AO360">
        <f t="shared" si="166"/>
        <v>0.62</v>
      </c>
      <c r="AP360">
        <f t="shared" si="167"/>
        <v>1.0504339936723821</v>
      </c>
      <c r="AQ360">
        <f t="shared" si="177"/>
        <v>34.81043399367239</v>
      </c>
      <c r="AR360">
        <f t="shared" si="168"/>
        <v>0.98745532259642066</v>
      </c>
      <c r="AS360">
        <f t="shared" si="178"/>
        <v>0</v>
      </c>
    </row>
    <row r="361" spans="6:45" ht="18" customHeight="1">
      <c r="F361" s="109">
        <v>44918</v>
      </c>
      <c r="G361">
        <f>B$5*'5 Year Rainfall Simulation'!B362/1000</f>
        <v>2</v>
      </c>
      <c r="H361">
        <f t="shared" si="150"/>
        <v>2</v>
      </c>
      <c r="I361">
        <f t="shared" si="179"/>
        <v>0.62</v>
      </c>
      <c r="J361">
        <f t="shared" si="151"/>
        <v>1.38</v>
      </c>
      <c r="K361">
        <f t="shared" si="169"/>
        <v>35</v>
      </c>
      <c r="L361">
        <f t="shared" si="152"/>
        <v>1.1822739795010275</v>
      </c>
      <c r="M361">
        <f t="shared" si="170"/>
        <v>0</v>
      </c>
      <c r="O361">
        <f>$B$5*'5 Year Rainfall Simulation'!C362/1000</f>
        <v>1.88</v>
      </c>
      <c r="P361">
        <f t="shared" si="153"/>
        <v>1.88</v>
      </c>
      <c r="Q361">
        <f t="shared" si="154"/>
        <v>0.62</v>
      </c>
      <c r="R361">
        <f t="shared" si="155"/>
        <v>1.2599999999999998</v>
      </c>
      <c r="S361">
        <f t="shared" si="171"/>
        <v>35</v>
      </c>
      <c r="T361">
        <f t="shared" si="156"/>
        <v>1.1113375407309658</v>
      </c>
      <c r="U361">
        <f t="shared" si="172"/>
        <v>0</v>
      </c>
      <c r="W361">
        <f>$B$5*'5 Year Rainfall Simulation'!D362/1000</f>
        <v>0.39544566443943702</v>
      </c>
      <c r="X361">
        <f t="shared" si="157"/>
        <v>0.39544566443943702</v>
      </c>
      <c r="Y361">
        <f t="shared" si="158"/>
        <v>0.62</v>
      </c>
      <c r="Z361">
        <f t="shared" si="159"/>
        <v>-0.22455433556056298</v>
      </c>
      <c r="AA361">
        <f t="shared" si="173"/>
        <v>34.775445664439438</v>
      </c>
      <c r="AB361">
        <f t="shared" si="160"/>
        <v>0.2337625596866206</v>
      </c>
      <c r="AC361">
        <f t="shared" si="174"/>
        <v>0</v>
      </c>
      <c r="AE361">
        <f>$B$5*'5 Year Rainfall Simulation'!E362/1000</f>
        <v>0</v>
      </c>
      <c r="AF361">
        <f t="shared" si="161"/>
        <v>0</v>
      </c>
      <c r="AG361">
        <f t="shared" si="162"/>
        <v>0.62</v>
      </c>
      <c r="AH361">
        <f t="shared" si="163"/>
        <v>-0.62</v>
      </c>
      <c r="AI361">
        <f t="shared" si="175"/>
        <v>34.380000000000003</v>
      </c>
      <c r="AJ361">
        <f t="shared" si="164"/>
        <v>0</v>
      </c>
      <c r="AK361">
        <f t="shared" si="176"/>
        <v>0</v>
      </c>
      <c r="AM361">
        <f>$B$5*'5 Year Rainfall Simulation'!F362/1000</f>
        <v>0</v>
      </c>
      <c r="AN361">
        <f t="shared" si="165"/>
        <v>0</v>
      </c>
      <c r="AO361">
        <f t="shared" si="166"/>
        <v>0.62</v>
      </c>
      <c r="AP361">
        <f t="shared" si="167"/>
        <v>-0.62</v>
      </c>
      <c r="AQ361">
        <f t="shared" si="177"/>
        <v>34.190433993672393</v>
      </c>
      <c r="AR361">
        <f t="shared" si="168"/>
        <v>0</v>
      </c>
      <c r="AS361">
        <f t="shared" si="178"/>
        <v>0</v>
      </c>
    </row>
    <row r="362" spans="6:45" ht="18" customHeight="1">
      <c r="F362" s="109">
        <v>44919</v>
      </c>
      <c r="G362">
        <f>B$5*'5 Year Rainfall Simulation'!B363/1000</f>
        <v>0.44000000000000006</v>
      </c>
      <c r="H362">
        <f t="shared" si="150"/>
        <v>0.44000000000000006</v>
      </c>
      <c r="I362">
        <f t="shared" si="179"/>
        <v>0.62</v>
      </c>
      <c r="J362">
        <f t="shared" si="151"/>
        <v>-0.17999999999999994</v>
      </c>
      <c r="K362">
        <f t="shared" si="169"/>
        <v>34.82</v>
      </c>
      <c r="L362">
        <f t="shared" si="152"/>
        <v>0.26010027549022607</v>
      </c>
      <c r="M362">
        <f t="shared" si="170"/>
        <v>0</v>
      </c>
      <c r="O362">
        <f>$B$5*'5 Year Rainfall Simulation'!C363/1000</f>
        <v>0</v>
      </c>
      <c r="P362">
        <f t="shared" si="153"/>
        <v>0</v>
      </c>
      <c r="Q362">
        <f t="shared" si="154"/>
        <v>0.62</v>
      </c>
      <c r="R362">
        <f t="shared" si="155"/>
        <v>-0.62</v>
      </c>
      <c r="S362">
        <f t="shared" si="171"/>
        <v>34.380000000000003</v>
      </c>
      <c r="T362">
        <f t="shared" si="156"/>
        <v>0</v>
      </c>
      <c r="U362">
        <f t="shared" si="172"/>
        <v>0</v>
      </c>
      <c r="W362">
        <f>$B$5*'5 Year Rainfall Simulation'!D363/1000</f>
        <v>0.88743915552061092</v>
      </c>
      <c r="X362">
        <f t="shared" si="157"/>
        <v>0.88743915552061092</v>
      </c>
      <c r="Y362">
        <f t="shared" si="158"/>
        <v>0.62</v>
      </c>
      <c r="Z362">
        <f t="shared" si="159"/>
        <v>0.26743915552061093</v>
      </c>
      <c r="AA362">
        <f t="shared" si="173"/>
        <v>35</v>
      </c>
      <c r="AB362">
        <f t="shared" si="160"/>
        <v>0.52459811098119202</v>
      </c>
      <c r="AC362">
        <f t="shared" si="174"/>
        <v>0</v>
      </c>
      <c r="AE362">
        <f>$B$5*'5 Year Rainfall Simulation'!E363/1000</f>
        <v>0.69866267142954963</v>
      </c>
      <c r="AF362">
        <f t="shared" si="161"/>
        <v>0.69866267142954963</v>
      </c>
      <c r="AG362">
        <f t="shared" si="162"/>
        <v>0.62</v>
      </c>
      <c r="AH362">
        <f t="shared" si="163"/>
        <v>7.8662671429549635E-2</v>
      </c>
      <c r="AI362">
        <f t="shared" si="175"/>
        <v>34.458662671429551</v>
      </c>
      <c r="AJ362">
        <f t="shared" si="164"/>
        <v>0.41300534843991626</v>
      </c>
      <c r="AK362">
        <f t="shared" si="176"/>
        <v>0</v>
      </c>
      <c r="AM362">
        <f>$B$5*'5 Year Rainfall Simulation'!F363/1000</f>
        <v>1.3458070234268069</v>
      </c>
      <c r="AN362">
        <f t="shared" si="165"/>
        <v>1.3458070234268069</v>
      </c>
      <c r="AO362">
        <f t="shared" si="166"/>
        <v>0.62</v>
      </c>
      <c r="AP362">
        <f t="shared" si="167"/>
        <v>0.72580702342680692</v>
      </c>
      <c r="AQ362">
        <f t="shared" si="177"/>
        <v>34.916241017099203</v>
      </c>
      <c r="AR362">
        <f t="shared" si="168"/>
        <v>0.79555631261362181</v>
      </c>
      <c r="AS362">
        <f t="shared" si="178"/>
        <v>0</v>
      </c>
    </row>
    <row r="363" spans="6:45" ht="18" customHeight="1">
      <c r="F363" s="109">
        <v>44920</v>
      </c>
      <c r="G363">
        <f>B$5*'5 Year Rainfall Simulation'!B364/1000</f>
        <v>0.12</v>
      </c>
      <c r="H363">
        <f t="shared" si="150"/>
        <v>0.12</v>
      </c>
      <c r="I363">
        <f t="shared" si="179"/>
        <v>0.62</v>
      </c>
      <c r="J363">
        <f t="shared" si="151"/>
        <v>-0.5</v>
      </c>
      <c r="K363">
        <f t="shared" si="169"/>
        <v>34.32</v>
      </c>
      <c r="L363">
        <f t="shared" si="152"/>
        <v>7.0936438770061644E-2</v>
      </c>
      <c r="M363">
        <f t="shared" si="170"/>
        <v>0</v>
      </c>
      <c r="O363">
        <f>$B$5*'5 Year Rainfall Simulation'!C364/1000</f>
        <v>0</v>
      </c>
      <c r="P363">
        <f t="shared" si="153"/>
        <v>0</v>
      </c>
      <c r="Q363">
        <f t="shared" si="154"/>
        <v>0.62</v>
      </c>
      <c r="R363">
        <f t="shared" si="155"/>
        <v>-0.62</v>
      </c>
      <c r="S363">
        <f t="shared" si="171"/>
        <v>33.760000000000005</v>
      </c>
      <c r="T363">
        <f t="shared" si="156"/>
        <v>0</v>
      </c>
      <c r="U363">
        <f t="shared" si="172"/>
        <v>0</v>
      </c>
      <c r="W363">
        <f>$B$5*'5 Year Rainfall Simulation'!D364/1000</f>
        <v>0.57635170666063196</v>
      </c>
      <c r="X363">
        <f t="shared" si="157"/>
        <v>0.57635170666063196</v>
      </c>
      <c r="Y363">
        <f t="shared" si="158"/>
        <v>0.62</v>
      </c>
      <c r="Z363">
        <f t="shared" si="159"/>
        <v>-4.3648293339368038E-2</v>
      </c>
      <c r="AA363">
        <f t="shared" si="173"/>
        <v>34.956351706660634</v>
      </c>
      <c r="AB363">
        <f t="shared" si="160"/>
        <v>0.34070281291293714</v>
      </c>
      <c r="AC363">
        <f t="shared" si="174"/>
        <v>0</v>
      </c>
      <c r="AE363">
        <f>$B$5*'5 Year Rainfall Simulation'!E364/1000</f>
        <v>0</v>
      </c>
      <c r="AF363">
        <f t="shared" si="161"/>
        <v>0</v>
      </c>
      <c r="AG363">
        <f t="shared" si="162"/>
        <v>0.62</v>
      </c>
      <c r="AH363">
        <f t="shared" si="163"/>
        <v>-0.62</v>
      </c>
      <c r="AI363">
        <f t="shared" si="175"/>
        <v>33.838662671429553</v>
      </c>
      <c r="AJ363">
        <f t="shared" si="164"/>
        <v>0</v>
      </c>
      <c r="AK363">
        <f t="shared" si="176"/>
        <v>0</v>
      </c>
      <c r="AM363">
        <f>$B$5*'5 Year Rainfall Simulation'!F364/1000</f>
        <v>0</v>
      </c>
      <c r="AN363">
        <f t="shared" si="165"/>
        <v>0</v>
      </c>
      <c r="AO363">
        <f t="shared" si="166"/>
        <v>0.62</v>
      </c>
      <c r="AP363">
        <f t="shared" si="167"/>
        <v>-0.62</v>
      </c>
      <c r="AQ363">
        <f t="shared" si="177"/>
        <v>34.296241017099206</v>
      </c>
      <c r="AR363">
        <f t="shared" si="168"/>
        <v>0</v>
      </c>
      <c r="AS363">
        <f t="shared" si="178"/>
        <v>0</v>
      </c>
    </row>
    <row r="364" spans="6:45" ht="18" customHeight="1">
      <c r="F364" s="109">
        <v>44921</v>
      </c>
      <c r="G364">
        <f>B$5*'5 Year Rainfall Simulation'!B365/1000</f>
        <v>2.0399999999999996</v>
      </c>
      <c r="H364">
        <f t="shared" si="150"/>
        <v>2.0399999999999996</v>
      </c>
      <c r="I364">
        <f t="shared" si="179"/>
        <v>0.62</v>
      </c>
      <c r="J364">
        <f t="shared" si="151"/>
        <v>1.4199999999999995</v>
      </c>
      <c r="K364">
        <f t="shared" si="169"/>
        <v>35</v>
      </c>
      <c r="L364">
        <f t="shared" si="152"/>
        <v>1.2059194590910478</v>
      </c>
      <c r="M364">
        <f t="shared" si="170"/>
        <v>0</v>
      </c>
      <c r="O364">
        <f>$B$5*'5 Year Rainfall Simulation'!C365/1000</f>
        <v>5.24</v>
      </c>
      <c r="P364">
        <f t="shared" si="153"/>
        <v>5.24</v>
      </c>
      <c r="Q364">
        <f t="shared" si="154"/>
        <v>0.62</v>
      </c>
      <c r="R364">
        <f t="shared" si="155"/>
        <v>4.62</v>
      </c>
      <c r="S364">
        <f t="shared" si="171"/>
        <v>35</v>
      </c>
      <c r="T364">
        <f t="shared" si="156"/>
        <v>3.0975578262926922</v>
      </c>
      <c r="U364">
        <f t="shared" si="172"/>
        <v>0</v>
      </c>
      <c r="W364">
        <f>$B$5*'5 Year Rainfall Simulation'!D365/1000</f>
        <v>0</v>
      </c>
      <c r="X364">
        <f t="shared" si="157"/>
        <v>0</v>
      </c>
      <c r="Y364">
        <f t="shared" si="158"/>
        <v>0.62</v>
      </c>
      <c r="Z364">
        <f t="shared" si="159"/>
        <v>-0.62</v>
      </c>
      <c r="AA364">
        <f t="shared" si="173"/>
        <v>34.336351706660636</v>
      </c>
      <c r="AB364">
        <f t="shared" si="160"/>
        <v>0</v>
      </c>
      <c r="AC364">
        <f t="shared" si="174"/>
        <v>0</v>
      </c>
      <c r="AE364">
        <f>$B$5*'5 Year Rainfall Simulation'!E365/1000</f>
        <v>6.1142550600102021</v>
      </c>
      <c r="AF364">
        <f t="shared" si="161"/>
        <v>6.1142550600102021</v>
      </c>
      <c r="AG364">
        <f t="shared" si="162"/>
        <v>0.62</v>
      </c>
      <c r="AH364">
        <f t="shared" si="163"/>
        <v>5.494255060010202</v>
      </c>
      <c r="AI364">
        <f t="shared" si="175"/>
        <v>35</v>
      </c>
      <c r="AJ364">
        <f t="shared" si="164"/>
        <v>3.6143623307412778</v>
      </c>
      <c r="AK364">
        <f t="shared" si="176"/>
        <v>0</v>
      </c>
      <c r="AM364">
        <f>$B$5*'5 Year Rainfall Simulation'!F365/1000</f>
        <v>0</v>
      </c>
      <c r="AN364">
        <f t="shared" si="165"/>
        <v>0</v>
      </c>
      <c r="AO364">
        <f t="shared" si="166"/>
        <v>0.62</v>
      </c>
      <c r="AP364">
        <f t="shared" si="167"/>
        <v>-0.62</v>
      </c>
      <c r="AQ364">
        <f t="shared" si="177"/>
        <v>33.676241017099208</v>
      </c>
      <c r="AR364">
        <f t="shared" si="168"/>
        <v>0</v>
      </c>
      <c r="AS364">
        <f t="shared" si="178"/>
        <v>0</v>
      </c>
    </row>
    <row r="365" spans="6:45" ht="18" customHeight="1">
      <c r="F365" s="109">
        <v>44922</v>
      </c>
      <c r="G365">
        <f>B$5*'5 Year Rainfall Simulation'!B366/1000</f>
        <v>1.08</v>
      </c>
      <c r="H365">
        <f t="shared" si="150"/>
        <v>1.08</v>
      </c>
      <c r="I365">
        <f t="shared" si="179"/>
        <v>0.62</v>
      </c>
      <c r="J365">
        <f t="shared" si="151"/>
        <v>0.46000000000000008</v>
      </c>
      <c r="K365">
        <f t="shared" si="169"/>
        <v>35</v>
      </c>
      <c r="L365">
        <f t="shared" si="152"/>
        <v>0.63842794893055488</v>
      </c>
      <c r="M365">
        <f t="shared" si="170"/>
        <v>0</v>
      </c>
      <c r="O365">
        <f>$B$5*'5 Year Rainfall Simulation'!C366/1000</f>
        <v>0.32</v>
      </c>
      <c r="P365">
        <f t="shared" si="153"/>
        <v>0.32</v>
      </c>
      <c r="Q365">
        <f t="shared" si="154"/>
        <v>0.62</v>
      </c>
      <c r="R365">
        <f t="shared" si="155"/>
        <v>-0.3</v>
      </c>
      <c r="S365">
        <f t="shared" si="171"/>
        <v>34.700000000000003</v>
      </c>
      <c r="T365">
        <f t="shared" si="156"/>
        <v>0.1891638367201644</v>
      </c>
      <c r="U365">
        <f t="shared" si="172"/>
        <v>0</v>
      </c>
      <c r="W365">
        <f>$B$5*'5 Year Rainfall Simulation'!D366/1000</f>
        <v>0</v>
      </c>
      <c r="X365">
        <f t="shared" si="157"/>
        <v>0</v>
      </c>
      <c r="Y365">
        <f t="shared" si="158"/>
        <v>0.62</v>
      </c>
      <c r="Z365">
        <f t="shared" si="159"/>
        <v>-0.62</v>
      </c>
      <c r="AA365">
        <f t="shared" si="173"/>
        <v>33.716351706660639</v>
      </c>
      <c r="AB365">
        <f t="shared" si="160"/>
        <v>0</v>
      </c>
      <c r="AC365">
        <f t="shared" si="174"/>
        <v>0</v>
      </c>
      <c r="AE365">
        <f>$B$5*'5 Year Rainfall Simulation'!E366/1000</f>
        <v>0</v>
      </c>
      <c r="AF365">
        <f t="shared" si="161"/>
        <v>0</v>
      </c>
      <c r="AG365">
        <f t="shared" si="162"/>
        <v>0.62</v>
      </c>
      <c r="AH365">
        <f t="shared" si="163"/>
        <v>-0.62</v>
      </c>
      <c r="AI365">
        <f t="shared" si="175"/>
        <v>34.380000000000003</v>
      </c>
      <c r="AJ365">
        <f t="shared" si="164"/>
        <v>0</v>
      </c>
      <c r="AK365">
        <f t="shared" si="176"/>
        <v>0</v>
      </c>
      <c r="AM365">
        <f>$B$5*'5 Year Rainfall Simulation'!F366/1000</f>
        <v>1.6257670985291421</v>
      </c>
      <c r="AN365">
        <f t="shared" si="165"/>
        <v>1.6257670985291421</v>
      </c>
      <c r="AO365">
        <f t="shared" si="166"/>
        <v>0.62</v>
      </c>
      <c r="AP365">
        <f t="shared" si="167"/>
        <v>1.0057670985291423</v>
      </c>
      <c r="AQ365">
        <f t="shared" si="177"/>
        <v>34.682008115628349</v>
      </c>
      <c r="AR365">
        <f t="shared" si="168"/>
        <v>0.96105106865994405</v>
      </c>
      <c r="AS365">
        <f t="shared" si="178"/>
        <v>0</v>
      </c>
    </row>
    <row r="366" spans="6:45" ht="18" customHeight="1">
      <c r="F366" s="109">
        <v>44923</v>
      </c>
      <c r="G366">
        <f>B$5*'5 Year Rainfall Simulation'!B367/1000</f>
        <v>0</v>
      </c>
      <c r="H366">
        <f t="shared" si="150"/>
        <v>0</v>
      </c>
      <c r="I366">
        <f t="shared" si="179"/>
        <v>0.62</v>
      </c>
      <c r="J366">
        <f t="shared" si="151"/>
        <v>-0.62</v>
      </c>
      <c r="K366">
        <f t="shared" si="169"/>
        <v>34.380000000000003</v>
      </c>
      <c r="L366">
        <f t="shared" si="152"/>
        <v>0</v>
      </c>
      <c r="M366">
        <f t="shared" si="170"/>
        <v>0</v>
      </c>
      <c r="O366">
        <f>$B$5*'5 Year Rainfall Simulation'!C367/1000</f>
        <v>0.04</v>
      </c>
      <c r="P366">
        <f t="shared" si="153"/>
        <v>0.04</v>
      </c>
      <c r="Q366">
        <f t="shared" si="154"/>
        <v>0.62</v>
      </c>
      <c r="R366">
        <f t="shared" si="155"/>
        <v>-0.57999999999999996</v>
      </c>
      <c r="S366">
        <f t="shared" si="171"/>
        <v>34.120000000000005</v>
      </c>
      <c r="T366">
        <f t="shared" si="156"/>
        <v>2.364547959002055E-2</v>
      </c>
      <c r="U366">
        <f t="shared" si="172"/>
        <v>0</v>
      </c>
      <c r="W366">
        <f>$B$5*'5 Year Rainfall Simulation'!D367/1000</f>
        <v>0</v>
      </c>
      <c r="X366">
        <f t="shared" si="157"/>
        <v>0</v>
      </c>
      <c r="Y366">
        <f t="shared" si="158"/>
        <v>0.62</v>
      </c>
      <c r="Z366">
        <f t="shared" si="159"/>
        <v>-0.62</v>
      </c>
      <c r="AA366">
        <f t="shared" si="173"/>
        <v>33.096351706660641</v>
      </c>
      <c r="AB366">
        <f t="shared" si="160"/>
        <v>0</v>
      </c>
      <c r="AC366">
        <f t="shared" si="174"/>
        <v>0</v>
      </c>
      <c r="AE366">
        <f>$B$5*'5 Year Rainfall Simulation'!E367/1000</f>
        <v>0</v>
      </c>
      <c r="AF366">
        <f t="shared" si="161"/>
        <v>0</v>
      </c>
      <c r="AG366">
        <f t="shared" si="162"/>
        <v>0.62</v>
      </c>
      <c r="AH366">
        <f t="shared" si="163"/>
        <v>-0.62</v>
      </c>
      <c r="AI366">
        <f t="shared" si="175"/>
        <v>33.760000000000005</v>
      </c>
      <c r="AJ366">
        <f t="shared" si="164"/>
        <v>0</v>
      </c>
      <c r="AK366">
        <f t="shared" si="176"/>
        <v>0</v>
      </c>
      <c r="AM366">
        <f>$B$5*'5 Year Rainfall Simulation'!F367/1000</f>
        <v>0</v>
      </c>
      <c r="AN366">
        <f t="shared" si="165"/>
        <v>0</v>
      </c>
      <c r="AO366">
        <f t="shared" si="166"/>
        <v>0.62</v>
      </c>
      <c r="AP366">
        <f t="shared" si="167"/>
        <v>-0.62</v>
      </c>
      <c r="AQ366">
        <f t="shared" si="177"/>
        <v>34.062008115628352</v>
      </c>
      <c r="AR366">
        <f t="shared" si="168"/>
        <v>0</v>
      </c>
      <c r="AS366">
        <f t="shared" si="178"/>
        <v>0</v>
      </c>
    </row>
    <row r="367" spans="6:45" ht="18" customHeight="1">
      <c r="F367" s="109">
        <v>44924</v>
      </c>
      <c r="G367">
        <f>B$5*'5 Year Rainfall Simulation'!B368/1000</f>
        <v>0</v>
      </c>
      <c r="H367">
        <f t="shared" si="150"/>
        <v>0</v>
      </c>
      <c r="I367">
        <f t="shared" si="179"/>
        <v>0.62</v>
      </c>
      <c r="J367">
        <f t="shared" si="151"/>
        <v>-0.62</v>
      </c>
      <c r="K367">
        <f t="shared" si="169"/>
        <v>33.760000000000005</v>
      </c>
      <c r="L367">
        <f t="shared" si="152"/>
        <v>0</v>
      </c>
      <c r="M367">
        <f t="shared" si="170"/>
        <v>0</v>
      </c>
      <c r="O367">
        <f>$B$5*'5 Year Rainfall Simulation'!C368/1000</f>
        <v>0</v>
      </c>
      <c r="P367">
        <f t="shared" si="153"/>
        <v>0</v>
      </c>
      <c r="Q367">
        <f t="shared" si="154"/>
        <v>0.62</v>
      </c>
      <c r="R367">
        <f t="shared" si="155"/>
        <v>-0.62</v>
      </c>
      <c r="S367">
        <f t="shared" si="171"/>
        <v>33.500000000000007</v>
      </c>
      <c r="T367">
        <f t="shared" si="156"/>
        <v>0</v>
      </c>
      <c r="U367">
        <f t="shared" si="172"/>
        <v>0</v>
      </c>
      <c r="W367">
        <f>$B$5*'5 Year Rainfall Simulation'!D368/1000</f>
        <v>0</v>
      </c>
      <c r="X367">
        <f t="shared" si="157"/>
        <v>0</v>
      </c>
      <c r="Y367">
        <f t="shared" si="158"/>
        <v>0.62</v>
      </c>
      <c r="Z367">
        <f t="shared" si="159"/>
        <v>-0.62</v>
      </c>
      <c r="AA367">
        <f t="shared" si="173"/>
        <v>32.476351706660644</v>
      </c>
      <c r="AB367">
        <f t="shared" si="160"/>
        <v>0</v>
      </c>
      <c r="AC367">
        <f t="shared" si="174"/>
        <v>0</v>
      </c>
      <c r="AE367">
        <f>$B$5*'5 Year Rainfall Simulation'!E368/1000</f>
        <v>1.5951500042091096</v>
      </c>
      <c r="AF367">
        <f t="shared" si="161"/>
        <v>1.5951500042091096</v>
      </c>
      <c r="AG367">
        <f t="shared" si="162"/>
        <v>0.62</v>
      </c>
      <c r="AH367">
        <f t="shared" si="163"/>
        <v>0.97515000420910958</v>
      </c>
      <c r="AI367">
        <f t="shared" si="175"/>
        <v>34.735150004209117</v>
      </c>
      <c r="AJ367">
        <f t="shared" si="164"/>
        <v>0.94295217168869239</v>
      </c>
      <c r="AK367">
        <f t="shared" si="176"/>
        <v>0</v>
      </c>
      <c r="AM367">
        <f>$B$5*'5 Year Rainfall Simulation'!F368/1000</f>
        <v>1.34099861465773</v>
      </c>
      <c r="AN367">
        <f t="shared" si="165"/>
        <v>1.34099861465773</v>
      </c>
      <c r="AO367">
        <f t="shared" si="166"/>
        <v>0.62</v>
      </c>
      <c r="AP367">
        <f t="shared" si="167"/>
        <v>0.72099861465772996</v>
      </c>
      <c r="AQ367">
        <f t="shared" si="177"/>
        <v>34.783006730286083</v>
      </c>
      <c r="AR367">
        <f t="shared" si="168"/>
        <v>0.79271388432837964</v>
      </c>
      <c r="AS367">
        <f t="shared" si="178"/>
        <v>0</v>
      </c>
    </row>
    <row r="368" spans="6:45" ht="18" customHeight="1">
      <c r="F368" s="109">
        <v>44925</v>
      </c>
      <c r="G368">
        <f>B$5*'5 Year Rainfall Simulation'!B369/1000</f>
        <v>0</v>
      </c>
      <c r="H368">
        <f t="shared" si="150"/>
        <v>0</v>
      </c>
      <c r="I368">
        <f t="shared" si="179"/>
        <v>0.62</v>
      </c>
      <c r="J368">
        <f t="shared" si="151"/>
        <v>-0.62</v>
      </c>
      <c r="K368">
        <f t="shared" si="169"/>
        <v>33.140000000000008</v>
      </c>
      <c r="L368">
        <f t="shared" si="152"/>
        <v>0</v>
      </c>
      <c r="M368">
        <f t="shared" si="170"/>
        <v>0</v>
      </c>
      <c r="O368">
        <f>$B$5*'5 Year Rainfall Simulation'!C369/1000</f>
        <v>0</v>
      </c>
      <c r="P368">
        <f t="shared" si="153"/>
        <v>0</v>
      </c>
      <c r="Q368">
        <f t="shared" si="154"/>
        <v>0.62</v>
      </c>
      <c r="R368">
        <f t="shared" si="155"/>
        <v>-0.62</v>
      </c>
      <c r="S368">
        <f t="shared" si="171"/>
        <v>32.88000000000001</v>
      </c>
      <c r="T368">
        <f t="shared" si="156"/>
        <v>0</v>
      </c>
      <c r="U368">
        <f t="shared" si="172"/>
        <v>0</v>
      </c>
      <c r="W368">
        <f>$B$5*'5 Year Rainfall Simulation'!D369/1000</f>
        <v>0</v>
      </c>
      <c r="X368">
        <f t="shared" si="157"/>
        <v>0</v>
      </c>
      <c r="Y368">
        <f t="shared" si="158"/>
        <v>0.62</v>
      </c>
      <c r="Z368">
        <f t="shared" si="159"/>
        <v>-0.62</v>
      </c>
      <c r="AA368">
        <f t="shared" si="173"/>
        <v>31.856351706660643</v>
      </c>
      <c r="AB368">
        <f t="shared" si="160"/>
        <v>0</v>
      </c>
      <c r="AC368">
        <f t="shared" si="174"/>
        <v>0</v>
      </c>
      <c r="AE368">
        <f>$B$5*'5 Year Rainfall Simulation'!E369/1000</f>
        <v>0</v>
      </c>
      <c r="AF368">
        <f t="shared" si="161"/>
        <v>0</v>
      </c>
      <c r="AG368">
        <f t="shared" si="162"/>
        <v>0.62</v>
      </c>
      <c r="AH368">
        <f t="shared" si="163"/>
        <v>-0.62</v>
      </c>
      <c r="AI368">
        <f t="shared" si="175"/>
        <v>34.11515000420912</v>
      </c>
      <c r="AJ368">
        <f t="shared" si="164"/>
        <v>0</v>
      </c>
      <c r="AK368">
        <f t="shared" si="176"/>
        <v>0</v>
      </c>
      <c r="AM368">
        <f>$B$5*'5 Year Rainfall Simulation'!F369/1000</f>
        <v>0.27948930160133778</v>
      </c>
      <c r="AN368">
        <f t="shared" si="165"/>
        <v>0.27948930160133778</v>
      </c>
      <c r="AO368">
        <f t="shared" si="166"/>
        <v>0.62</v>
      </c>
      <c r="AP368">
        <f t="shared" si="167"/>
        <v>-0.34051069839866221</v>
      </c>
      <c r="AQ368">
        <f t="shared" si="177"/>
        <v>34.442496031887423</v>
      </c>
      <c r="AR368">
        <f t="shared" si="168"/>
        <v>0.16521646441608825</v>
      </c>
      <c r="AS368">
        <f t="shared" si="178"/>
        <v>0</v>
      </c>
    </row>
    <row r="369" spans="6:45" ht="18" customHeight="1">
      <c r="F369" s="109">
        <v>44926</v>
      </c>
      <c r="G369">
        <f>B$5*'5 Year Rainfall Simulation'!B370/1000</f>
        <v>0</v>
      </c>
      <c r="H369">
        <f t="shared" si="150"/>
        <v>0</v>
      </c>
      <c r="I369">
        <f t="shared" si="179"/>
        <v>0.62</v>
      </c>
      <c r="J369">
        <f t="shared" si="151"/>
        <v>-0.62</v>
      </c>
      <c r="K369">
        <f t="shared" si="169"/>
        <v>32.52000000000001</v>
      </c>
      <c r="L369">
        <f t="shared" si="152"/>
        <v>0</v>
      </c>
      <c r="M369">
        <f t="shared" si="170"/>
        <v>0</v>
      </c>
      <c r="O369">
        <f>$B$5*'5 Year Rainfall Simulation'!C370/1000</f>
        <v>0</v>
      </c>
      <c r="P369">
        <f t="shared" si="153"/>
        <v>0</v>
      </c>
      <c r="Q369">
        <f t="shared" si="154"/>
        <v>0.62</v>
      </c>
      <c r="R369">
        <f t="shared" si="155"/>
        <v>-0.62</v>
      </c>
      <c r="S369">
        <f t="shared" si="171"/>
        <v>32.260000000000012</v>
      </c>
      <c r="T369">
        <f t="shared" si="156"/>
        <v>0</v>
      </c>
      <c r="U369">
        <f t="shared" si="172"/>
        <v>0</v>
      </c>
      <c r="W369">
        <f>$B$5*'5 Year Rainfall Simulation'!D370/1000</f>
        <v>0</v>
      </c>
      <c r="X369">
        <f t="shared" si="157"/>
        <v>0</v>
      </c>
      <c r="Y369">
        <f t="shared" si="158"/>
        <v>0.62</v>
      </c>
      <c r="Z369">
        <f t="shared" si="159"/>
        <v>-0.62</v>
      </c>
      <c r="AA369">
        <f t="shared" si="173"/>
        <v>31.236351706660642</v>
      </c>
      <c r="AB369">
        <f t="shared" si="160"/>
        <v>0</v>
      </c>
      <c r="AC369">
        <f t="shared" si="174"/>
        <v>0</v>
      </c>
      <c r="AE369">
        <f>$B$5*'5 Year Rainfall Simulation'!E370/1000</f>
        <v>0.99414783116581484</v>
      </c>
      <c r="AF369">
        <f t="shared" si="161"/>
        <v>0.99414783116581484</v>
      </c>
      <c r="AG369">
        <f t="shared" si="162"/>
        <v>0.62</v>
      </c>
      <c r="AH369">
        <f t="shared" si="163"/>
        <v>0.37414783116581485</v>
      </c>
      <c r="AI369">
        <f t="shared" si="175"/>
        <v>34.489297835374934</v>
      </c>
      <c r="AJ369">
        <f t="shared" si="164"/>
        <v>0.58767755628236173</v>
      </c>
      <c r="AK369">
        <f t="shared" si="176"/>
        <v>0</v>
      </c>
      <c r="AM369">
        <f>$B$5*'5 Year Rainfall Simulation'!F370/1000</f>
        <v>0</v>
      </c>
      <c r="AN369">
        <f t="shared" si="165"/>
        <v>0</v>
      </c>
      <c r="AO369">
        <f t="shared" si="166"/>
        <v>0.62</v>
      </c>
      <c r="AP369">
        <f t="shared" si="167"/>
        <v>-0.62</v>
      </c>
      <c r="AQ369">
        <f t="shared" si="177"/>
        <v>33.822496031887425</v>
      </c>
      <c r="AR369">
        <f t="shared" si="168"/>
        <v>0</v>
      </c>
      <c r="AS369">
        <f t="shared" si="17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31"/>
  <sheetViews>
    <sheetView topLeftCell="D1" workbookViewId="0">
      <selection activeCell="I11" sqref="I11"/>
    </sheetView>
  </sheetViews>
  <sheetFormatPr defaultColWidth="18.88671875" defaultRowHeight="18" customHeight="1"/>
  <sheetData>
    <row r="2" spans="1:13" ht="18" customHeight="1">
      <c r="A2" t="s">
        <v>104</v>
      </c>
      <c r="E2" t="s">
        <v>58</v>
      </c>
      <c r="H2" t="s">
        <v>19</v>
      </c>
      <c r="K2" t="s">
        <v>19</v>
      </c>
    </row>
    <row r="3" spans="1:13" ht="18" customHeight="1">
      <c r="E3" t="s">
        <v>131</v>
      </c>
      <c r="F3">
        <v>-1.72E-2</v>
      </c>
      <c r="H3" t="s">
        <v>131</v>
      </c>
      <c r="I3">
        <v>-3.8999999999999998E-3</v>
      </c>
      <c r="K3" t="s">
        <v>131</v>
      </c>
      <c r="L3">
        <v>-1.5100000000000001E-2</v>
      </c>
    </row>
    <row r="4" spans="1:13" ht="18" customHeight="1">
      <c r="A4" t="s">
        <v>51</v>
      </c>
      <c r="B4">
        <f>'Parameters and Satisfaction'!B2/1000</f>
        <v>0.62</v>
      </c>
      <c r="C4" t="s">
        <v>114</v>
      </c>
      <c r="E4" t="s">
        <v>132</v>
      </c>
      <c r="F4">
        <v>-0.36049999999999999</v>
      </c>
      <c r="H4" t="s">
        <v>132</v>
      </c>
      <c r="I4">
        <v>-9.6000000000000002E-2</v>
      </c>
      <c r="K4" t="s">
        <v>132</v>
      </c>
      <c r="L4">
        <v>-0.55159999999999998</v>
      </c>
    </row>
    <row r="5" spans="1:13" ht="18" customHeight="1">
      <c r="A5" t="s">
        <v>120</v>
      </c>
      <c r="B5">
        <f>IF('Parameters and Satisfaction'!C5="Full Roof",100,IF('Parameters and Satisfaction'!C5="Half Roof",50,"Invalid Input"))+'Parameters and Satisfaction'!C6</f>
        <v>200</v>
      </c>
      <c r="C5" t="s">
        <v>121</v>
      </c>
      <c r="E5" t="s">
        <v>133</v>
      </c>
      <c r="F5">
        <v>150.9</v>
      </c>
      <c r="H5" t="s">
        <v>133</v>
      </c>
      <c r="I5">
        <v>273.86</v>
      </c>
      <c r="K5" t="s">
        <v>133</v>
      </c>
      <c r="L5">
        <v>356.8</v>
      </c>
    </row>
    <row r="6" spans="1:13" ht="18" customHeight="1">
      <c r="A6" t="s">
        <v>11</v>
      </c>
      <c r="B6">
        <f>'Parameters and Satisfaction'!C7/1000</f>
        <v>10</v>
      </c>
      <c r="C6" t="s">
        <v>114</v>
      </c>
    </row>
    <row r="7" spans="1:13" ht="18" customHeight="1">
      <c r="A7" t="s">
        <v>13</v>
      </c>
      <c r="B7">
        <f>'Parameters and Satisfaction'!C8</f>
        <v>35</v>
      </c>
      <c r="C7" t="s">
        <v>114</v>
      </c>
      <c r="E7" t="s">
        <v>134</v>
      </c>
      <c r="F7">
        <f>($B12*$B15*$B10)/(2*$B16)+($B9*$B10)/2-(F3*$B18^2)*1000</f>
        <v>53574.478423812114</v>
      </c>
      <c r="H7" t="s">
        <v>134</v>
      </c>
      <c r="I7">
        <f>($B12*$B15*$B10)/(2*$B16)+($B9*$B10)/2-(I3*$B18^2)*1000</f>
        <v>48848.911836570529</v>
      </c>
      <c r="K7" t="s">
        <v>134</v>
      </c>
      <c r="L7">
        <f>($B12*$B15*$B10)/(2*$B16)+($B9*$B10)/2-(L3*$B18^2)*1000</f>
        <v>52828.336331089755</v>
      </c>
    </row>
    <row r="8" spans="1:13" ht="18" customHeight="1">
      <c r="A8" t="s">
        <v>123</v>
      </c>
      <c r="B8">
        <f>'Water Stuff'!B8</f>
        <v>0</v>
      </c>
      <c r="E8" t="s">
        <v>135</v>
      </c>
      <c r="F8">
        <f>$B8-(F4*$B18)*1000</f>
        <v>6795.2649097147223</v>
      </c>
      <c r="H8" t="s">
        <v>135</v>
      </c>
      <c r="I8">
        <f>$B8-(I4*$B18)*1000</f>
        <v>1809.5573684677208</v>
      </c>
      <c r="K8" t="s">
        <v>135</v>
      </c>
      <c r="L8">
        <f>$B8-(L4*$B18)*1000</f>
        <v>10397.415046320779</v>
      </c>
    </row>
    <row r="9" spans="1:13" ht="18" customHeight="1">
      <c r="A9" t="s">
        <v>124</v>
      </c>
      <c r="B9">
        <v>10</v>
      </c>
      <c r="E9" t="s">
        <v>136</v>
      </c>
      <c r="F9">
        <f>$B10*$B11*$B14-F5*1000</f>
        <v>10965</v>
      </c>
      <c r="H9" t="s">
        <v>136</v>
      </c>
      <c r="I9">
        <f>$B10*$B11*$B14-I5*1000</f>
        <v>-111995</v>
      </c>
      <c r="K9" t="s">
        <v>136</v>
      </c>
      <c r="L9">
        <f>$B10*$B11*$B14-L5*1000</f>
        <v>-194935</v>
      </c>
    </row>
    <row r="10" spans="1:13" ht="18" customHeight="1">
      <c r="A10" t="s">
        <v>125</v>
      </c>
      <c r="B10">
        <v>1000</v>
      </c>
      <c r="C10" t="s">
        <v>137</v>
      </c>
    </row>
    <row r="11" spans="1:13" ht="18" customHeight="1">
      <c r="A11" t="s">
        <v>126</v>
      </c>
      <c r="B11">
        <v>9.81</v>
      </c>
      <c r="C11" t="s">
        <v>138</v>
      </c>
      <c r="E11" t="s">
        <v>139</v>
      </c>
      <c r="F11" t="e">
        <f>(-F8+SQRT(F8^2-4*F7*F9))/(2*F7)</f>
        <v>#NUM!</v>
      </c>
      <c r="G11" t="s">
        <v>140</v>
      </c>
      <c r="H11" t="s">
        <v>139</v>
      </c>
      <c r="I11">
        <f>(-I8+SQRT(I8^2-4*I7*I9))/(2*I7)</f>
        <v>1.4957516508338902</v>
      </c>
      <c r="J11" t="s">
        <v>140</v>
      </c>
      <c r="K11" t="s">
        <v>139</v>
      </c>
      <c r="L11">
        <f>(-L8+SQRT(L8^2-4*L7*L9))/(2*L7)</f>
        <v>1.8250410379105364</v>
      </c>
      <c r="M11" t="s">
        <v>140</v>
      </c>
    </row>
    <row r="12" spans="1:13" ht="18" customHeight="1">
      <c r="A12" t="s">
        <v>141</v>
      </c>
      <c r="B12">
        <v>0.05</v>
      </c>
      <c r="E12" t="s">
        <v>142</v>
      </c>
      <c r="F12" t="e">
        <f>((F11*$B17))*60*60</f>
        <v>#NUM!</v>
      </c>
      <c r="G12" t="s">
        <v>143</v>
      </c>
      <c r="H12" t="s">
        <v>142</v>
      </c>
      <c r="I12">
        <f>((I11*$B17))*60*60</f>
        <v>1.6916552632276398</v>
      </c>
      <c r="J12" t="s">
        <v>143</v>
      </c>
      <c r="K12" t="s">
        <v>142</v>
      </c>
      <c r="L12">
        <f>((L11*$B17))*60*60</f>
        <v>2.0640727861918675</v>
      </c>
      <c r="M12" t="s">
        <v>143</v>
      </c>
    </row>
    <row r="13" spans="1:13" ht="18" customHeight="1">
      <c r="E13" t="s">
        <v>144</v>
      </c>
      <c r="F13" t="e">
        <f>F11*60*60*24*$B17</f>
        <v>#NUM!</v>
      </c>
      <c r="H13" t="s">
        <v>144</v>
      </c>
      <c r="I13">
        <f>I11*60*60*24*$B17</f>
        <v>40.599726317463357</v>
      </c>
      <c r="K13" t="s">
        <v>144</v>
      </c>
      <c r="L13">
        <f>L11*60*60*24*$B17</f>
        <v>49.53774686860482</v>
      </c>
      <c r="M13" t="s">
        <v>144</v>
      </c>
    </row>
    <row r="14" spans="1:13" ht="18" customHeight="1">
      <c r="A14" t="s">
        <v>145</v>
      </c>
      <c r="B14">
        <f>'Parameters and Satisfaction'!C11+'Parameters and Satisfaction'!C12+1.5</f>
        <v>16.5</v>
      </c>
      <c r="C14" t="s">
        <v>146</v>
      </c>
      <c r="E14" t="s">
        <v>147</v>
      </c>
      <c r="F14" t="e">
        <f>(B17*F11)*1000*60</f>
        <v>#NUM!</v>
      </c>
      <c r="G14" t="s">
        <v>67</v>
      </c>
    </row>
    <row r="15" spans="1:13" ht="18" customHeight="1">
      <c r="A15" t="s">
        <v>128</v>
      </c>
      <c r="B15">
        <f>SQRT('Parameters and Satisfaction'!C9^2+'Parameters and Satisfaction'!C10^2+'Parameters and Satisfaction'!C11^2)</f>
        <v>33.97057550292606</v>
      </c>
      <c r="C15" t="s">
        <v>146</v>
      </c>
    </row>
    <row r="16" spans="1:13" ht="18" customHeight="1">
      <c r="A16" t="s">
        <v>148</v>
      </c>
      <c r="B16">
        <v>0.02</v>
      </c>
      <c r="C16" t="s">
        <v>121</v>
      </c>
      <c r="E16" t="s">
        <v>149</v>
      </c>
      <c r="F16" t="e">
        <f>F3*((($B$17*F11)*1000)*60)^2+((($B$17*F11)*1000)*60)*F4+F5</f>
        <v>#NUM!</v>
      </c>
      <c r="H16" t="s">
        <v>149</v>
      </c>
      <c r="I16">
        <f>I3*((($B$17*I11)*1000)*60)^2+((($B$17*I11)*1000)*60)*I4+I5</f>
        <v>268.05317925509621</v>
      </c>
      <c r="K16" t="s">
        <v>149</v>
      </c>
      <c r="L16">
        <f>L3*((($B$17*L11)*1000)*60)^2+((($B$17*L11)*1000)*60)*L4+L5</f>
        <v>319.95429456140454</v>
      </c>
    </row>
    <row r="17" spans="1:12" ht="18" customHeight="1">
      <c r="A17" t="s">
        <v>150</v>
      </c>
      <c r="B17">
        <f>PI()*((B16/2)^2)</f>
        <v>3.1415926535897931E-4</v>
      </c>
      <c r="C17" t="s">
        <v>121</v>
      </c>
      <c r="E17" t="s">
        <v>151</v>
      </c>
      <c r="F17" t="e">
        <f>$B$11*$B$10*$B$14+F18</f>
        <v>#NUM!</v>
      </c>
      <c r="I17">
        <f>$B$11*$B$10*$B$14+I18</f>
        <v>268053.17925509624</v>
      </c>
      <c r="L17">
        <f>$B$11*$B$10*$B$14+L18</f>
        <v>319954.2945614045</v>
      </c>
    </row>
    <row r="18" spans="1:12" ht="18" customHeight="1">
      <c r="A18" t="s">
        <v>152</v>
      </c>
      <c r="B18">
        <f>B17*1000*60</f>
        <v>18.849555921538759</v>
      </c>
      <c r="C18" t="s">
        <v>153</v>
      </c>
      <c r="E18" t="s">
        <v>154</v>
      </c>
      <c r="F18" t="e">
        <f>($B$12*$B$15*$B$10*F11^2)/($B$16*2)+($B$9*$B$10*F11^2)/2+$B$8*F11</f>
        <v>#NUM!</v>
      </c>
      <c r="H18" t="s">
        <v>154</v>
      </c>
      <c r="I18">
        <f>($B12*$B15*$B10*I11^2)/($B16*2)+($B9*$B10*I11^2)/2+$B8*I11</f>
        <v>106188.17925509623</v>
      </c>
      <c r="K18" t="s">
        <v>154</v>
      </c>
      <c r="L18">
        <f>($B12*$B15*$B10*L11^2)/($B16*2)+($B9*$B10*L11^2)/2+$B8*L11</f>
        <v>158089.2945614045</v>
      </c>
    </row>
    <row r="20" spans="1:12" ht="18" customHeight="1">
      <c r="E20" t="s">
        <v>155</v>
      </c>
    </row>
    <row r="21" spans="1:12" ht="18" customHeight="1">
      <c r="E21" t="s">
        <v>156</v>
      </c>
      <c r="F21">
        <f>($B12*$B15*$B10)/(2*$B16)+($B9*$B10)/2</f>
        <v>47463.219378657581</v>
      </c>
    </row>
    <row r="22" spans="1:12" ht="18" customHeight="1">
      <c r="E22" t="s">
        <v>157</v>
      </c>
      <c r="F22">
        <f>$B8</f>
        <v>0</v>
      </c>
    </row>
    <row r="23" spans="1:12" ht="18" customHeight="1">
      <c r="E23" t="s">
        <v>158</v>
      </c>
      <c r="F23">
        <f>$B10*$B11*$B14-125.6*1000</f>
        <v>36265</v>
      </c>
    </row>
    <row r="25" spans="1:12" ht="18" customHeight="1">
      <c r="E25" t="s">
        <v>139</v>
      </c>
      <c r="F25" t="e">
        <f>(-F22+SQRT(F22^2-4*F21*F23))/(2*F21)</f>
        <v>#NUM!</v>
      </c>
    </row>
    <row r="26" spans="1:12" ht="18" customHeight="1">
      <c r="E26" t="s">
        <v>142</v>
      </c>
      <c r="F26" t="e">
        <f>((F25*$B17))*60*60</f>
        <v>#NUM!</v>
      </c>
    </row>
    <row r="27" spans="1:12" ht="18" customHeight="1">
      <c r="E27" t="s">
        <v>144</v>
      </c>
      <c r="F27" t="e">
        <f>F25*60*60*24*$B17</f>
        <v>#NUM!</v>
      </c>
    </row>
    <row r="29" spans="1:12" ht="18" customHeight="1">
      <c r="E29" t="s">
        <v>159</v>
      </c>
      <c r="F29" t="e">
        <f>($B$12*$B$15*$B$10*F25^2)/($B$16*2)+($B$9*$B$10*F25^2)/2+$B$8*F25</f>
        <v>#NUM!</v>
      </c>
    </row>
    <row r="31" spans="1:12" ht="18" customHeight="1">
      <c r="E31" t="s">
        <v>160</v>
      </c>
      <c r="F31" t="e">
        <f>F29+B10*B11*B14</f>
        <v>#NUM!</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13"/>
  <sheetViews>
    <sheetView topLeftCell="E1" workbookViewId="0">
      <selection activeCell="G3" sqref="G3"/>
    </sheetView>
  </sheetViews>
  <sheetFormatPr defaultRowHeight="14.4"/>
  <cols>
    <col min="2" max="2" width="24" style="195" customWidth="1"/>
    <col min="4" max="4" width="12" style="195" customWidth="1"/>
    <col min="5" max="5" width="19.33203125" style="195" customWidth="1"/>
  </cols>
  <sheetData>
    <row r="2" spans="2:7">
      <c r="B2" t="s">
        <v>161</v>
      </c>
      <c r="C2" t="s">
        <v>146</v>
      </c>
      <c r="D2" t="s">
        <v>162</v>
      </c>
      <c r="E2" t="s">
        <v>163</v>
      </c>
      <c r="G2" t="s">
        <v>164</v>
      </c>
    </row>
    <row r="3" spans="2:7">
      <c r="B3" t="s">
        <v>165</v>
      </c>
      <c r="C3">
        <f>'Parameters and Satisfaction'!C9</f>
        <v>20</v>
      </c>
      <c r="D3">
        <v>25</v>
      </c>
      <c r="E3">
        <f>IF(C3&lt;5,-10,IF(C3&lt;20,-7.5,IF(C3&lt;35,-5,IF(C3&lt;77.5,0,IF(C3&lt;85,2.5,IF(C3&lt;95,5,7.5))))))</f>
        <v>-5</v>
      </c>
      <c r="G3">
        <f>IF(C4&lt;-20,E13,IF(C4&lt;-15,E12,IF(C4&lt;-10,E11,IF(C4&lt;-5,E10,IF(C4&lt;0,E9,IF(C4&lt;5,E8,IF(C4&lt;10,E7,IF(C4&lt;15,E6,IF(C4&lt;20,E5,IF(C4&lt;25,E4,E3))))))))))</f>
        <v>15</v>
      </c>
    </row>
    <row r="4" spans="2:7">
      <c r="B4" t="s">
        <v>166</v>
      </c>
      <c r="C4">
        <f>'Parameters and Satisfaction'!C10</f>
        <v>-23</v>
      </c>
      <c r="D4">
        <v>20</v>
      </c>
      <c r="E4">
        <f>IF(C3&lt;-12.5,-7.5,IF(C3&lt;-2.5,-5,IF(C3&lt;12.5,-2.5,IF(C3&lt;40,0,IF(C3&lt;65,2.5,IF(C3&lt;77.5,5,IF(C3&lt;85,7.5,IF(C3&lt;97.5,10,12.5))))))))</f>
        <v>0</v>
      </c>
    </row>
    <row r="5" spans="2:7">
      <c r="D5">
        <v>15</v>
      </c>
      <c r="E5">
        <f>IF(C3&lt;-18.5,-5,IF(C3&lt;-10,-2.5,IF(C3&lt;5,0,IF(C3&lt;10,2.5,IF(C3&lt;22.5,5,IF(C3&lt;50,7.5,IF(C3&lt;70,10,IF(C3&lt;80,12.5,IF(C3&lt;90,15,17.5)))))))))</f>
        <v>5</v>
      </c>
    </row>
    <row r="6" spans="2:7">
      <c r="D6">
        <v>10</v>
      </c>
      <c r="E6">
        <f>IF(C3&lt;-10,-2.5,IF(C3&lt;0,0,IF(C3&lt;10,2.5,IF(C3&lt;17.5,5,IF(C3&lt;30,7.5,IF(C3&lt;47.5,10,IF(C3&lt;67.5,12.5,IF(C3&lt;85,15,IF(C3&lt;92.5,17.5,20)))))))))</f>
        <v>7.5</v>
      </c>
    </row>
    <row r="7" spans="2:7">
      <c r="D7">
        <v>5</v>
      </c>
      <c r="E7">
        <f>IF(C3&lt;-20,-5,IF(C3&lt;-2.5,-2.5,IF(C3&lt;2.5,0,IF(C3&lt;10,2.5,IF(C3&lt;17.5,5,IF(C3&lt;30,7.5,IF(C3&lt;50,10,IF(C3&lt;70,12.5,IF(C3&lt;85,15,IF(C3&lt;95,17.5,20))))))))))</f>
        <v>7.5</v>
      </c>
    </row>
    <row r="8" spans="2:7">
      <c r="D8">
        <v>0</v>
      </c>
      <c r="E8">
        <f>IF(C3&lt;-18,-7.5,IF(C3&lt;-10,-5,IF(C3&lt;0,-2.5,IF(C3&lt;5,0,IF(C3&lt;17.5,2.5,IF(C3&lt;25,5,IF(C3&lt;45,7.5,IF(C3&lt;65.5,10,IF(C3&lt;80,12.5,IF(C3&lt;95,15,17.5))))))))))</f>
        <v>5</v>
      </c>
    </row>
    <row r="9" spans="2:7">
      <c r="D9">
        <v>-5</v>
      </c>
      <c r="E9">
        <f>IF(C3&lt;-20,-10,IF(C3&lt;-10,-7.5,IF(C3&lt;-2.5,-5,IF(C3&lt;2.5,-2.5,IF(C3&lt;12.5,0,IF(C3&lt;22.5,2.5,IF(C3&lt;35,5,IF(C3&lt;60,7.5,IF(C3&lt;77.5,10,IF(C3&lt;90,12.5,15))))))))))</f>
        <v>2.5</v>
      </c>
    </row>
    <row r="10" spans="2:7">
      <c r="D10">
        <v>-10</v>
      </c>
      <c r="E10">
        <f>IF(C3&lt;-17.5,-10,IF(C3&lt;-5,-7.5,IF(C3&lt;0,-5,IF(C3&lt;7.5,-2.5,IF(C3&lt;15,0,IF(C3&lt;25,2.5,IF(C3&lt;40,5,IF(C3&lt;65,7.5,IF(C3&lt;82.5,10,IF(C3&lt;92.5,12.5,15))))))))))</f>
        <v>2.5</v>
      </c>
    </row>
    <row r="11" spans="2:7">
      <c r="D11">
        <v>-15</v>
      </c>
      <c r="E11">
        <f>IF(C3&lt;-10,-7.5,IF(C3&lt;-2.5,-5,IF(C3&lt;5,-2.5,IF(C3&lt;15,0,IF(C3&lt;22.5,2.5,IF(C3&lt;35,5,IF(C3&lt;60,7.5,IF(C3&lt;77.5,10,IF(C3&lt;90,12.5,15)))))))))</f>
        <v>2.5</v>
      </c>
    </row>
    <row r="12" spans="2:7">
      <c r="D12">
        <v>-20</v>
      </c>
      <c r="E12">
        <f>IF(C3&lt;-20,-7.5,IF(C3&lt;-10,-5,IF(C3&lt;0,-2.5,IF(C3&lt;2.5,0,IF(C3&lt;10,2.5,IF(C3&lt;30,7.5,IF(C3&lt;50,10,IF(C3&lt;70,12.5,IF(C3&lt;82.5,15,17.5)))))))))</f>
        <v>7.5</v>
      </c>
    </row>
    <row r="13" spans="2:7">
      <c r="D13">
        <v>-25</v>
      </c>
      <c r="E13">
        <f>IF(C3&lt;-20,0,IF(C3&lt;-10,2.5,IF(C3&lt;-2.5,5,IF(C3&lt;2.5,7.5,IF(C3&lt;12.5,10,IF(C3&lt;20,12.5,IF(C3&lt;30,15,IF(C3&lt;50,17.5,IF(C3&lt;77.5,20,IF(C3&lt;90,22.5,25))))))))))</f>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764"/>
  <sheetViews>
    <sheetView tabSelected="1" topLeftCell="A9" zoomScale="70" zoomScaleNormal="70" workbookViewId="0">
      <selection activeCell="J21" sqref="J21"/>
    </sheetView>
  </sheetViews>
  <sheetFormatPr defaultRowHeight="14.4"/>
  <cols>
    <col min="1" max="1" width="27.109375" style="195" customWidth="1"/>
    <col min="2" max="2" width="17.88671875" style="195" bestFit="1" customWidth="1"/>
    <col min="3" max="3" width="16.33203125" style="195" bestFit="1" customWidth="1"/>
    <col min="4" max="4" width="18.88671875" style="195" bestFit="1" customWidth="1"/>
    <col min="5" max="5" width="28.33203125" style="195" bestFit="1" customWidth="1"/>
    <col min="6" max="6" width="39.33203125" style="195" customWidth="1"/>
    <col min="7" max="7" width="19" style="195" bestFit="1" customWidth="1"/>
    <col min="8" max="8" width="18.44140625" style="195" customWidth="1"/>
    <col min="9" max="9" width="28.33203125" style="195" bestFit="1" customWidth="1"/>
    <col min="10" max="10" width="17.88671875" style="195" bestFit="1" customWidth="1"/>
    <col min="11" max="11" width="16.33203125" style="195" bestFit="1" customWidth="1"/>
    <col min="12" max="12" width="18.88671875" style="195" bestFit="1" customWidth="1"/>
    <col min="25" max="25" width="11.88671875" style="195" bestFit="1" customWidth="1"/>
    <col min="32" max="32" width="8.88671875" style="195" customWidth="1"/>
  </cols>
  <sheetData>
    <row r="1" spans="1:15">
      <c r="A1" s="118" t="s">
        <v>167</v>
      </c>
      <c r="B1" s="118"/>
      <c r="C1" s="118"/>
      <c r="D1" s="118"/>
      <c r="E1" s="118"/>
      <c r="F1" s="118"/>
      <c r="G1" s="118"/>
      <c r="H1" s="118"/>
      <c r="I1" s="118"/>
      <c r="J1" s="118"/>
      <c r="K1" s="118"/>
      <c r="L1" s="118"/>
      <c r="M1" s="118"/>
      <c r="N1" s="118"/>
      <c r="O1" s="118"/>
    </row>
    <row r="2" spans="1:15" ht="15.6" customHeight="1">
      <c r="A2" s="183" t="s">
        <v>61</v>
      </c>
      <c r="B2" s="118"/>
      <c r="C2" s="118"/>
      <c r="D2" s="118"/>
      <c r="E2" s="118"/>
      <c r="F2" s="131" t="s">
        <v>168</v>
      </c>
      <c r="G2" s="118"/>
      <c r="H2" s="118"/>
      <c r="I2" s="118"/>
      <c r="J2" s="118"/>
      <c r="K2" s="118"/>
      <c r="L2" s="118"/>
      <c r="M2" s="118"/>
      <c r="N2" s="118"/>
      <c r="O2" s="118"/>
    </row>
    <row r="3" spans="1:15">
      <c r="A3" s="118" t="s">
        <v>5</v>
      </c>
      <c r="B3" s="118" t="s">
        <v>62</v>
      </c>
      <c r="C3" s="118" t="s">
        <v>169</v>
      </c>
      <c r="D3" s="118" t="s">
        <v>170</v>
      </c>
      <c r="E3" s="118"/>
      <c r="F3" s="118" t="s">
        <v>171</v>
      </c>
      <c r="G3" s="118">
        <v>20</v>
      </c>
      <c r="H3" s="118"/>
      <c r="I3" s="118"/>
      <c r="J3" s="118"/>
      <c r="K3" s="118"/>
      <c r="L3" s="118"/>
      <c r="M3" s="118"/>
      <c r="N3" s="118"/>
      <c r="O3" s="118"/>
    </row>
    <row r="4" spans="1:15">
      <c r="A4" s="118" t="s">
        <v>172</v>
      </c>
      <c r="B4" s="118">
        <v>1.6</v>
      </c>
      <c r="C4" s="118">
        <v>0.62</v>
      </c>
      <c r="D4" s="118">
        <v>2</v>
      </c>
      <c r="E4" s="118"/>
      <c r="F4" s="118" t="s">
        <v>173</v>
      </c>
      <c r="G4" s="118" t="s">
        <v>169</v>
      </c>
      <c r="H4" s="118"/>
      <c r="I4" s="118"/>
      <c r="J4" s="118"/>
      <c r="K4" s="118"/>
      <c r="L4" s="118"/>
      <c r="M4" s="118"/>
      <c r="N4" s="118"/>
      <c r="O4" s="118"/>
    </row>
    <row r="5" spans="1:15">
      <c r="A5" s="118" t="s">
        <v>174</v>
      </c>
      <c r="B5" s="182">
        <v>500</v>
      </c>
      <c r="C5" s="182">
        <v>205</v>
      </c>
      <c r="D5" s="182">
        <v>450</v>
      </c>
      <c r="E5" s="118"/>
      <c r="F5" s="118" t="s">
        <v>175</v>
      </c>
      <c r="G5" s="118">
        <v>0</v>
      </c>
      <c r="H5" s="118"/>
      <c r="I5" s="118"/>
      <c r="J5" s="118"/>
      <c r="K5" s="118"/>
      <c r="L5" s="118"/>
      <c r="M5" s="118"/>
      <c r="N5" s="118"/>
      <c r="O5" s="118"/>
    </row>
    <row r="6" spans="1:15">
      <c r="A6" s="118" t="s">
        <v>176</v>
      </c>
      <c r="B6" s="184">
        <v>0.17</v>
      </c>
      <c r="C6" s="184">
        <v>0.15</v>
      </c>
      <c r="D6" s="184">
        <v>0.13</v>
      </c>
      <c r="E6" s="118"/>
      <c r="F6" s="118" t="s">
        <v>177</v>
      </c>
      <c r="G6" s="118">
        <v>0</v>
      </c>
      <c r="H6" s="118"/>
      <c r="I6" s="118"/>
      <c r="J6" s="118"/>
      <c r="K6" s="118"/>
      <c r="L6" s="118"/>
      <c r="M6" s="118"/>
      <c r="N6" s="118"/>
      <c r="O6" s="118"/>
    </row>
    <row r="7" spans="1:15" ht="28.8" customHeight="1">
      <c r="A7" s="118" t="s">
        <v>178</v>
      </c>
      <c r="B7" s="118">
        <v>496</v>
      </c>
      <c r="C7" s="118">
        <v>192</v>
      </c>
      <c r="D7" s="118">
        <v>620</v>
      </c>
      <c r="E7" s="118"/>
      <c r="F7" s="118"/>
      <c r="G7" s="118"/>
      <c r="H7" s="118"/>
      <c r="I7" s="118"/>
      <c r="J7" s="118"/>
      <c r="K7" s="118"/>
      <c r="L7" s="118"/>
      <c r="M7" s="118"/>
      <c r="N7" s="118"/>
      <c r="O7" s="118"/>
    </row>
    <row r="8" spans="1:15">
      <c r="A8" s="118" t="s">
        <v>179</v>
      </c>
      <c r="B8" s="118" t="s">
        <v>180</v>
      </c>
      <c r="C8" s="118"/>
      <c r="D8" s="118"/>
      <c r="E8" s="118"/>
      <c r="F8" s="118"/>
      <c r="G8" s="118"/>
      <c r="H8" s="118"/>
      <c r="I8" s="118"/>
      <c r="J8" s="118"/>
      <c r="K8" s="118"/>
      <c r="L8" s="118"/>
      <c r="M8" s="118"/>
      <c r="N8" s="118"/>
      <c r="O8" s="118"/>
    </row>
    <row r="9" spans="1:15">
      <c r="A9" s="118" t="s">
        <v>181</v>
      </c>
      <c r="B9" s="118">
        <v>350</v>
      </c>
      <c r="C9" s="118"/>
      <c r="D9" s="118"/>
      <c r="E9" s="118"/>
      <c r="F9" s="118" t="s">
        <v>182</v>
      </c>
      <c r="G9" s="118">
        <f>G3*IF(G4=B3,B4,IF(G4=C3,C4,IF(G4=D3,D4,"Errorr")))</f>
        <v>12.4</v>
      </c>
      <c r="H9" s="118"/>
      <c r="I9" s="118"/>
      <c r="J9" s="118"/>
      <c r="K9" s="118"/>
      <c r="L9" s="118"/>
      <c r="M9" s="118"/>
      <c r="N9" s="118"/>
      <c r="O9" s="118"/>
    </row>
    <row r="10" spans="1:15" ht="15.6" customHeight="1">
      <c r="A10" s="183" t="s">
        <v>183</v>
      </c>
      <c r="B10" s="118"/>
      <c r="C10" s="182"/>
      <c r="D10" s="184"/>
      <c r="E10" s="118"/>
      <c r="F10" s="118" t="s">
        <v>184</v>
      </c>
      <c r="G10" s="118">
        <f>IF(G4=B3,B6,IF(G4=C3,C6,IF(G4=D3,D6,"Error")))*G3*B9*G9</f>
        <v>13020</v>
      </c>
      <c r="H10" s="118"/>
      <c r="I10" s="118"/>
      <c r="J10" s="182"/>
      <c r="K10" s="118"/>
      <c r="L10" s="182"/>
      <c r="M10" s="118"/>
      <c r="N10" s="118"/>
      <c r="O10" s="118"/>
    </row>
    <row r="11" spans="1:15">
      <c r="A11" s="118" t="s">
        <v>185</v>
      </c>
      <c r="B11" s="118">
        <v>12</v>
      </c>
      <c r="C11" s="118"/>
      <c r="D11" s="118"/>
      <c r="E11" s="118"/>
      <c r="F11" s="118"/>
      <c r="G11" s="118"/>
      <c r="H11" s="118"/>
      <c r="I11" s="118"/>
      <c r="J11" s="118"/>
      <c r="K11" s="118"/>
      <c r="L11" s="118"/>
      <c r="M11" s="118"/>
      <c r="N11" s="118"/>
      <c r="O11" s="118"/>
    </row>
    <row r="12" spans="1:15">
      <c r="A12" s="118" t="s">
        <v>186</v>
      </c>
      <c r="B12" s="118">
        <v>2000</v>
      </c>
      <c r="C12" s="118"/>
      <c r="D12" s="118"/>
      <c r="E12" s="118"/>
      <c r="F12" s="118"/>
      <c r="G12" s="118"/>
      <c r="H12" s="118"/>
      <c r="I12" s="118"/>
      <c r="J12" s="118"/>
      <c r="K12" s="118"/>
      <c r="L12" s="118"/>
      <c r="M12" s="118"/>
      <c r="N12" s="118"/>
      <c r="O12" s="118"/>
    </row>
    <row r="13" spans="1:15">
      <c r="A13" s="118" t="s">
        <v>77</v>
      </c>
      <c r="B13" s="182">
        <v>390</v>
      </c>
      <c r="C13" s="118"/>
      <c r="D13" s="118"/>
      <c r="E13" s="118"/>
      <c r="F13" s="118"/>
      <c r="G13" s="118"/>
      <c r="H13" s="118"/>
      <c r="I13" s="118"/>
      <c r="J13" s="118"/>
      <c r="K13" s="118"/>
      <c r="L13" s="118"/>
      <c r="M13" s="118"/>
      <c r="N13" s="118"/>
      <c r="O13" s="118"/>
    </row>
    <row r="14" spans="1:15">
      <c r="A14" s="118" t="s">
        <v>176</v>
      </c>
      <c r="B14" s="184">
        <v>0.96</v>
      </c>
      <c r="C14" s="118"/>
      <c r="D14" s="118"/>
      <c r="E14" s="118"/>
      <c r="F14" s="118"/>
      <c r="G14" s="118"/>
      <c r="H14" s="118"/>
      <c r="I14" s="118"/>
      <c r="J14" s="118"/>
      <c r="K14" s="118"/>
      <c r="L14" s="118"/>
      <c r="M14" s="118"/>
      <c r="N14" s="118"/>
      <c r="O14" s="118"/>
    </row>
    <row r="15" spans="1:15" ht="15" customHeight="1" thickBot="1">
      <c r="A15" s="118" t="s">
        <v>187</v>
      </c>
      <c r="B15" s="118">
        <v>240</v>
      </c>
      <c r="C15" s="118"/>
      <c r="D15" s="118"/>
      <c r="E15" s="118"/>
      <c r="F15" s="118"/>
      <c r="G15" s="118"/>
      <c r="H15" s="118"/>
      <c r="I15" s="118"/>
      <c r="J15" s="118"/>
      <c r="K15" s="118"/>
      <c r="L15" s="118"/>
      <c r="M15" s="118"/>
      <c r="N15" s="118"/>
      <c r="O15" s="118"/>
    </row>
    <row r="16" spans="1:15" ht="16.2" customHeight="1" thickBot="1">
      <c r="A16" s="183" t="s">
        <v>188</v>
      </c>
      <c r="B16" s="118"/>
      <c r="C16" s="118"/>
      <c r="D16" s="118"/>
      <c r="E16" s="118"/>
      <c r="F16" s="215" t="s">
        <v>189</v>
      </c>
      <c r="G16" s="216"/>
      <c r="H16" s="217"/>
      <c r="I16" s="118"/>
      <c r="J16" s="215" t="s">
        <v>190</v>
      </c>
      <c r="K16" s="216"/>
      <c r="L16" s="217"/>
      <c r="M16" s="118"/>
      <c r="N16" s="118"/>
      <c r="O16" s="118"/>
    </row>
    <row r="17" spans="1:33" ht="28.8" customHeight="1">
      <c r="A17" s="118" t="s">
        <v>185</v>
      </c>
      <c r="B17" s="118">
        <v>12</v>
      </c>
      <c r="C17" s="118"/>
      <c r="D17" s="118"/>
      <c r="E17" s="118"/>
      <c r="F17" s="118" t="s">
        <v>191</v>
      </c>
      <c r="G17" s="118">
        <f>SUM(Z71:AD435)/5</f>
        <v>134.44945468643056</v>
      </c>
      <c r="H17" s="118" t="s">
        <v>192</v>
      </c>
      <c r="I17" s="118"/>
      <c r="J17" s="118" t="s">
        <v>193</v>
      </c>
      <c r="K17" s="118">
        <f>MAX(T71:X435)</f>
        <v>8410460.8229874484</v>
      </c>
      <c r="L17" s="118" t="s">
        <v>194</v>
      </c>
      <c r="M17" s="118"/>
      <c r="N17" s="118"/>
      <c r="O17" s="118"/>
    </row>
    <row r="18" spans="1:33">
      <c r="A18" s="118" t="s">
        <v>195</v>
      </c>
      <c r="B18" s="118">
        <v>2800</v>
      </c>
      <c r="C18" s="118"/>
      <c r="D18" s="118"/>
      <c r="E18" s="118"/>
      <c r="F18" s="118" t="s">
        <v>196</v>
      </c>
      <c r="G18" s="118">
        <f>G17/100</f>
        <v>1.3444945468643055</v>
      </c>
      <c r="H18" s="118" t="s">
        <v>197</v>
      </c>
      <c r="I18" s="118"/>
      <c r="J18" s="118" t="s">
        <v>198</v>
      </c>
      <c r="K18" s="118">
        <f>K17/(B20*B14*B14)</f>
        <v>9919493.5355660394</v>
      </c>
      <c r="L18" s="118" t="s">
        <v>194</v>
      </c>
      <c r="M18" s="118"/>
      <c r="N18" s="118"/>
      <c r="O18" s="118"/>
    </row>
    <row r="19" spans="1:33" ht="28.8" customHeight="1">
      <c r="A19" s="118" t="s">
        <v>77</v>
      </c>
      <c r="B19" s="182">
        <v>2369</v>
      </c>
      <c r="C19" s="118"/>
      <c r="D19" s="118"/>
      <c r="E19" s="118"/>
      <c r="F19" s="118" t="s">
        <v>199</v>
      </c>
      <c r="G19" s="118">
        <f>G17/250</f>
        <v>0.53779781874572219</v>
      </c>
      <c r="H19" s="118" t="s">
        <v>200</v>
      </c>
      <c r="I19" s="118"/>
      <c r="J19" s="118" t="s">
        <v>201</v>
      </c>
      <c r="K19" s="118" t="str">
        <f t="array" ref="K19">IF(OR(E55:E66&lt;0), "n", "y")</f>
        <v>y</v>
      </c>
      <c r="L19" s="118"/>
      <c r="M19" s="118"/>
      <c r="N19" s="118"/>
      <c r="O19" s="118"/>
    </row>
    <row r="20" spans="1:33">
      <c r="A20" s="118" t="s">
        <v>176</v>
      </c>
      <c r="B20" s="184">
        <v>0.92</v>
      </c>
      <c r="C20" s="118"/>
      <c r="D20" s="118"/>
      <c r="E20" s="118"/>
      <c r="F20" s="118" t="s">
        <v>202</v>
      </c>
      <c r="G20" s="153">
        <f>SUM(G18,G19)</f>
        <v>1.8822923656100277</v>
      </c>
      <c r="H20" s="118" t="s">
        <v>203</v>
      </c>
      <c r="I20" s="118"/>
      <c r="J20" s="118"/>
      <c r="K20" s="118"/>
      <c r="L20" s="118"/>
      <c r="M20" s="118"/>
      <c r="N20" s="118"/>
      <c r="O20" s="118"/>
    </row>
    <row r="21" spans="1:33">
      <c r="A21" s="118" t="s">
        <v>187</v>
      </c>
      <c r="B21" s="118">
        <v>100</v>
      </c>
      <c r="C21" s="118"/>
      <c r="D21" s="118"/>
      <c r="E21" s="118"/>
      <c r="F21" s="118"/>
      <c r="G21" s="118"/>
      <c r="H21" s="118"/>
      <c r="I21" s="118"/>
      <c r="J21" s="118"/>
      <c r="K21" s="118"/>
      <c r="L21" s="118"/>
      <c r="M21" s="118"/>
      <c r="N21" s="118"/>
      <c r="O21" s="118"/>
    </row>
    <row r="22" spans="1:33" ht="15" customHeight="1" thickBot="1">
      <c r="A22" s="131" t="s">
        <v>204</v>
      </c>
      <c r="B22" s="181">
        <f t="array" ref="B22">(IF(G4=B3,B5,IF(G4=C3,C5,IF(G4=D3,D5,Error)))*G3)+(B13*G5)+(B19*G6)</f>
        <v>4100</v>
      </c>
      <c r="C22" s="118"/>
      <c r="D22" s="118"/>
      <c r="E22" s="118"/>
      <c r="F22" s="118" t="s">
        <v>205</v>
      </c>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row>
    <row r="23" spans="1:33" ht="28.8" customHeight="1">
      <c r="A23" s="131" t="s">
        <v>206</v>
      </c>
      <c r="B23" s="182"/>
      <c r="C23" s="118"/>
      <c r="D23" s="118"/>
      <c r="E23" s="118"/>
      <c r="F23" s="118" t="s">
        <v>207</v>
      </c>
      <c r="G23">
        <f>G17*5</f>
        <v>672.24727343215272</v>
      </c>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row>
    <row r="24" spans="1:33">
      <c r="A24" s="131"/>
      <c r="B24" s="182"/>
      <c r="C24" s="118"/>
      <c r="D24" s="118"/>
      <c r="E24" s="118"/>
      <c r="F24" s="118" t="s">
        <v>208</v>
      </c>
      <c r="G24" s="118">
        <f>G23/100</f>
        <v>6.7224727343215269</v>
      </c>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row>
    <row r="25" spans="1:33">
      <c r="A25" s="131"/>
      <c r="B25" s="182"/>
      <c r="C25" s="118"/>
      <c r="D25" s="118"/>
      <c r="E25" s="118"/>
      <c r="F25" s="118" t="s">
        <v>209</v>
      </c>
      <c r="G25">
        <f>G23/250</f>
        <v>2.6889890937286109</v>
      </c>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c r="AF25" s="118"/>
      <c r="AG25" s="118"/>
    </row>
    <row r="26" spans="1:33" ht="28.8" customHeight="1">
      <c r="A26" s="118" t="s">
        <v>210</v>
      </c>
      <c r="B26" s="118"/>
      <c r="C26" s="118"/>
      <c r="D26" s="118"/>
      <c r="E26" s="118"/>
      <c r="F26" s="118" t="s">
        <v>211</v>
      </c>
      <c r="G26" s="118">
        <f>G24+G25*0.8</f>
        <v>8.8736640093044166</v>
      </c>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row>
    <row r="27" spans="1:33">
      <c r="A27" s="118" t="s">
        <v>212</v>
      </c>
      <c r="B27" s="118"/>
      <c r="C27" s="118"/>
      <c r="D27" s="118"/>
      <c r="E27" s="118"/>
      <c r="F27" s="118" t="s">
        <v>213</v>
      </c>
      <c r="G27" s="118">
        <f>G26/5</f>
        <v>1.7747328018608832</v>
      </c>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row>
    <row r="28" spans="1:33" ht="15.6" customHeight="1">
      <c r="A28" s="183" t="s">
        <v>33</v>
      </c>
      <c r="B28" s="118"/>
      <c r="C28" s="118"/>
      <c r="D28" s="118"/>
      <c r="E28" s="118"/>
      <c r="F28" s="131"/>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row>
    <row r="29" spans="1:33">
      <c r="A29" s="118" t="s">
        <v>195</v>
      </c>
      <c r="B29" s="118">
        <v>5000</v>
      </c>
      <c r="C29" s="118"/>
      <c r="D29" s="118"/>
      <c r="E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c r="AF29" s="118"/>
      <c r="AG29" s="118"/>
    </row>
    <row r="30" spans="1:33">
      <c r="A30" s="118" t="s">
        <v>77</v>
      </c>
      <c r="B30" s="182">
        <v>3250</v>
      </c>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row>
    <row r="31" spans="1:33">
      <c r="A31" s="118" t="s">
        <v>176</v>
      </c>
      <c r="B31" s="184">
        <v>0.35</v>
      </c>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118"/>
      <c r="AG31" s="118"/>
    </row>
    <row r="32" spans="1:33">
      <c r="A32" s="118" t="s">
        <v>214</v>
      </c>
      <c r="B32" s="118">
        <v>40000000</v>
      </c>
      <c r="C32" s="118"/>
      <c r="D32" s="118"/>
      <c r="E32" s="118"/>
      <c r="F32" s="131"/>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row>
    <row r="33" spans="1:33">
      <c r="A33" s="118" t="s">
        <v>215</v>
      </c>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row>
    <row r="34" spans="1:33">
      <c r="A34" s="118" t="s">
        <v>216</v>
      </c>
      <c r="B34" s="182">
        <v>50</v>
      </c>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row>
    <row r="35" spans="1:33" ht="28.8" customHeight="1">
      <c r="A35" s="118" t="s">
        <v>217</v>
      </c>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row>
    <row r="36" spans="1:33" ht="28.8" customHeight="1">
      <c r="A36" s="118" t="s">
        <v>218</v>
      </c>
      <c r="B36" s="118">
        <v>1250</v>
      </c>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row>
    <row r="37" spans="1:33">
      <c r="A37" s="118" t="s">
        <v>219</v>
      </c>
      <c r="B37" s="118">
        <v>325</v>
      </c>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row>
    <row r="38" spans="1:33" ht="28.8" customHeight="1">
      <c r="A38" s="118" t="s">
        <v>220</v>
      </c>
      <c r="B38" s="118">
        <v>3.25</v>
      </c>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row>
    <row r="39" spans="1:33">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row>
    <row r="40" spans="1:33">
      <c r="A40" s="118" t="s">
        <v>204</v>
      </c>
      <c r="B40" s="182">
        <f>B30</f>
        <v>3250</v>
      </c>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row>
    <row r="41" spans="1:33">
      <c r="A41" s="118" t="s">
        <v>221</v>
      </c>
      <c r="B41" s="118">
        <f>(IF(G17&gt;250,B34,0))+G30</f>
        <v>0</v>
      </c>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row>
    <row r="42" spans="1:33">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row>
    <row r="43" spans="1:33" ht="15" customHeight="1" thickBo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row>
    <row r="44" spans="1:33" ht="15" customHeight="1" thickBot="1">
      <c r="A44" s="218" t="s">
        <v>222</v>
      </c>
      <c r="B44" s="216"/>
      <c r="C44" s="217"/>
      <c r="D44" s="118"/>
      <c r="E44" s="218" t="s">
        <v>223</v>
      </c>
      <c r="F44" s="216"/>
      <c r="G44" s="217"/>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row>
    <row r="45" spans="1:33" ht="28.8" customHeight="1">
      <c r="A45" s="118" t="s">
        <v>224</v>
      </c>
      <c r="B45" s="118">
        <f>MAX('Filtration System'!AA35:AE399)</f>
        <v>100</v>
      </c>
      <c r="C45" s="118" t="s">
        <v>225</v>
      </c>
      <c r="D45" s="118"/>
      <c r="E45" s="118" t="s">
        <v>226</v>
      </c>
      <c r="F45" s="118">
        <f>IF('Parameters and Satisfaction'!C18="36W",36, IF('Parameters and Satisfaction'!C18="50W", 50, "Error!"))*(60*60*24)</f>
        <v>4320000</v>
      </c>
      <c r="G45" s="118" t="s">
        <v>194</v>
      </c>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row>
    <row r="46" spans="1:33" ht="15" customHeight="1" thickBot="1">
      <c r="A46" s="118"/>
      <c r="B46" s="118"/>
      <c r="C46" s="118"/>
      <c r="D46" s="118"/>
      <c r="E46" s="118" t="s">
        <v>227</v>
      </c>
      <c r="F46" s="118">
        <f>F45/B14</f>
        <v>4500000</v>
      </c>
      <c r="G46" s="118" t="s">
        <v>194</v>
      </c>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row>
    <row r="47" spans="1:33" ht="15" customHeight="1" thickBot="1">
      <c r="A47" s="218" t="s">
        <v>228</v>
      </c>
      <c r="B47" s="216"/>
      <c r="C47" s="217"/>
      <c r="D47" s="118"/>
      <c r="E47" s="118" t="s">
        <v>229</v>
      </c>
      <c r="F47" s="118">
        <f>F46/B14</f>
        <v>4687500</v>
      </c>
      <c r="G47" s="118" t="s">
        <v>194</v>
      </c>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row>
    <row r="48" spans="1:33">
      <c r="A48" s="118" t="s">
        <v>230</v>
      </c>
      <c r="B48" s="118">
        <v>350</v>
      </c>
      <c r="C48" s="118" t="s">
        <v>231</v>
      </c>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row>
    <row r="49" spans="1:33">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row>
    <row r="50" spans="1:33">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row>
    <row r="51" spans="1:33">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row>
    <row r="52" spans="1:33">
      <c r="A52" s="214" t="s">
        <v>232</v>
      </c>
      <c r="B52" s="212"/>
      <c r="C52" s="212"/>
      <c r="D52" s="212"/>
      <c r="E52" s="212"/>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row>
    <row r="53" spans="1:33">
      <c r="A53" s="118"/>
      <c r="B53" s="118" t="s">
        <v>233</v>
      </c>
      <c r="C53" s="118" t="s">
        <v>234</v>
      </c>
      <c r="D53" s="118" t="s">
        <v>235</v>
      </c>
      <c r="E53" s="118" t="s">
        <v>236</v>
      </c>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row>
    <row r="54" spans="1:33">
      <c r="A54" s="118"/>
      <c r="B54" s="118" t="s">
        <v>237</v>
      </c>
      <c r="C54" s="118" t="s">
        <v>194</v>
      </c>
      <c r="D54" s="118" t="s">
        <v>194</v>
      </c>
      <c r="E54" s="118" t="s">
        <v>238</v>
      </c>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row>
    <row r="55" spans="1:33">
      <c r="A55" s="118" t="s">
        <v>239</v>
      </c>
      <c r="B55" s="118">
        <v>8</v>
      </c>
      <c r="C55" s="118">
        <f>IF('Parameters and Satisfaction'!$C$22="HES-260", 'Power System Selection'!$B$4, IF('Parameters and Satisfaction'!$C$22="SW-80",'Power System Selection'!$C$4,IF('Parameters and Satisfaction'!$C$22="HES-305P", 'Power System Selection'!$D$4,"Error!")))*'Parameters and Satisfaction'!$C$23*'Power System Selection'!$B$48*'Power System Selection'!B55*(60*60)</f>
        <v>64512000</v>
      </c>
      <c r="D55" s="118">
        <f>C55*IF('Parameters and Satisfaction'!$C$22="HES-260",'Power System Selection'!$B$6,IF('Parameters and Satisfaction'!$C$22 = "SW-80", 'Power System Selection'!$C$6, 'Power System Selection'!$D$6))</f>
        <v>10967040</v>
      </c>
      <c r="E55" s="118">
        <f t="shared" ref="E55:E66" si="0">D55-$K$18</f>
        <v>1047546.4644339606</v>
      </c>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row>
    <row r="56" spans="1:33">
      <c r="A56" s="118" t="s">
        <v>240</v>
      </c>
      <c r="B56" s="118">
        <v>10</v>
      </c>
      <c r="C56" s="118">
        <f>IF('Parameters and Satisfaction'!$C$22="HES-260", 'Power System Selection'!$B$4, IF('Parameters and Satisfaction'!$C$22="SW-80",'Power System Selection'!$C$4,IF('Parameters and Satisfaction'!$C$22="HES-305P", 'Power System Selection'!$D$4,"Error!")))*'Parameters and Satisfaction'!$C$23*'Power System Selection'!$B$48*'Power System Selection'!B56*(60*60)</f>
        <v>80640000</v>
      </c>
      <c r="D56" s="118">
        <f>C56*IF('Parameters and Satisfaction'!$C$22="HES-260",'Power System Selection'!$B$6,IF('Parameters and Satisfaction'!$C$22 = "SW-80", 'Power System Selection'!$C$6, 'Power System Selection'!$D$6))</f>
        <v>13708800.000000002</v>
      </c>
      <c r="E56" s="118">
        <f t="shared" si="0"/>
        <v>3789306.4644339625</v>
      </c>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row>
    <row r="57" spans="1:33">
      <c r="A57" s="118" t="s">
        <v>241</v>
      </c>
      <c r="B57" s="118">
        <v>12</v>
      </c>
      <c r="C57" s="118">
        <f>IF('Parameters and Satisfaction'!$C$22="HES-260", 'Power System Selection'!$B$4, IF('Parameters and Satisfaction'!$C$22="SW-80",'Power System Selection'!$C$4,IF('Parameters and Satisfaction'!$C$22="HES-305P", 'Power System Selection'!$D$4,"Error!")))*'Parameters and Satisfaction'!$C$23*'Power System Selection'!$B$48*'Power System Selection'!B57*(60*60)</f>
        <v>96768000</v>
      </c>
      <c r="D57" s="118">
        <f>C57*IF('Parameters and Satisfaction'!$C$22="HES-260",'Power System Selection'!$B$6,IF('Parameters and Satisfaction'!$C$22 = "SW-80", 'Power System Selection'!$C$6, 'Power System Selection'!$D$6))</f>
        <v>16450560.000000002</v>
      </c>
      <c r="E57" s="118">
        <f t="shared" si="0"/>
        <v>6531066.4644339625</v>
      </c>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row>
    <row r="58" spans="1:33">
      <c r="A58" s="118" t="s">
        <v>242</v>
      </c>
      <c r="B58" s="118">
        <v>13.5</v>
      </c>
      <c r="C58" s="118">
        <f>IF('Parameters and Satisfaction'!$C$22="HES-260", 'Power System Selection'!$B$4, IF('Parameters and Satisfaction'!$C$22="SW-80",'Power System Selection'!$C$4,IF('Parameters and Satisfaction'!$C$22="HES-305P", 'Power System Selection'!$D$4,"Error!")))*'Parameters and Satisfaction'!$C$23*'Power System Selection'!$B$48*'Power System Selection'!B58*(60*60)</f>
        <v>108864000</v>
      </c>
      <c r="D58" s="118">
        <f>C58*IF('Parameters and Satisfaction'!$C$22="HES-260",'Power System Selection'!$B$6,IF('Parameters and Satisfaction'!$C$22 = "SW-80", 'Power System Selection'!$C$6, 'Power System Selection'!$D$6))</f>
        <v>18506880</v>
      </c>
      <c r="E58" s="118">
        <f t="shared" si="0"/>
        <v>8587386.4644339606</v>
      </c>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row>
    <row r="59" spans="1:33">
      <c r="A59" s="118" t="s">
        <v>243</v>
      </c>
      <c r="B59" s="118">
        <v>15</v>
      </c>
      <c r="C59" s="118">
        <f>IF('Parameters and Satisfaction'!$C$22="HES-260", 'Power System Selection'!$B$4, IF('Parameters and Satisfaction'!$C$22="SW-80",'Power System Selection'!$C$4,IF('Parameters and Satisfaction'!$C$22="HES-305P", 'Power System Selection'!$D$4,"Error!")))*'Parameters and Satisfaction'!$C$23*'Power System Selection'!$B$48*'Power System Selection'!B59*(60*60)</f>
        <v>120960000</v>
      </c>
      <c r="D59" s="118">
        <f>C59*IF('Parameters and Satisfaction'!$C$22="HES-260",'Power System Selection'!$B$6,IF('Parameters and Satisfaction'!$C$22 = "SW-80", 'Power System Selection'!$C$6, 'Power System Selection'!$D$6))</f>
        <v>20563200</v>
      </c>
      <c r="E59" s="118">
        <f t="shared" si="0"/>
        <v>10643706.464433961</v>
      </c>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row>
    <row r="60" spans="1:33">
      <c r="A60" s="118" t="s">
        <v>244</v>
      </c>
      <c r="B60" s="118">
        <v>16</v>
      </c>
      <c r="C60" s="118">
        <f>IF('Parameters and Satisfaction'!$C$22="HES-260", 'Power System Selection'!$B$4, IF('Parameters and Satisfaction'!$C$22="SW-80",'Power System Selection'!$C$4,IF('Parameters and Satisfaction'!$C$22="HES-305P", 'Power System Selection'!$D$4,"Error!")))*'Parameters and Satisfaction'!$C$23*'Power System Selection'!$B$48*'Power System Selection'!B60*(60*60)</f>
        <v>129024000</v>
      </c>
      <c r="D60" s="118">
        <f>C60*IF('Parameters and Satisfaction'!$C$22="HES-260",'Power System Selection'!$B$6,IF('Parameters and Satisfaction'!$C$22 = "SW-80", 'Power System Selection'!$C$6, 'Power System Selection'!$D$6))</f>
        <v>21934080</v>
      </c>
      <c r="E60" s="118">
        <f t="shared" si="0"/>
        <v>12014586.464433961</v>
      </c>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row>
    <row r="61" spans="1:33">
      <c r="A61" s="118" t="s">
        <v>245</v>
      </c>
      <c r="B61" s="118">
        <v>15.5</v>
      </c>
      <c r="C61" s="118">
        <f>IF('Parameters and Satisfaction'!$C$22="HES-260", 'Power System Selection'!$B$4, IF('Parameters and Satisfaction'!$C$22="SW-80",'Power System Selection'!$C$4,IF('Parameters and Satisfaction'!$C$22="HES-305P", 'Power System Selection'!$D$4,"Error!")))*'Parameters and Satisfaction'!$C$23*'Power System Selection'!$B$48*'Power System Selection'!B61*(60*60)</f>
        <v>124992000</v>
      </c>
      <c r="D61" s="118">
        <f>C61*IF('Parameters and Satisfaction'!$C$22="HES-260",'Power System Selection'!$B$6,IF('Parameters and Satisfaction'!$C$22 = "SW-80", 'Power System Selection'!$C$6, 'Power System Selection'!$D$6))</f>
        <v>21248640</v>
      </c>
      <c r="E61" s="118">
        <f t="shared" si="0"/>
        <v>11329146.464433961</v>
      </c>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row>
    <row r="62" spans="1:33">
      <c r="A62" s="118" t="s">
        <v>246</v>
      </c>
      <c r="B62" s="118">
        <v>14.5</v>
      </c>
      <c r="C62" s="118">
        <f>IF('Parameters and Satisfaction'!$C$22="HES-260", 'Power System Selection'!$B$4, IF('Parameters and Satisfaction'!$C$22="SW-80",'Power System Selection'!$C$4,IF('Parameters and Satisfaction'!$C$22="HES-305P", 'Power System Selection'!$D$4,"Error!")))*'Parameters and Satisfaction'!$C$23*'Power System Selection'!$B$48*'Power System Selection'!B62*(60*60)</f>
        <v>116928000</v>
      </c>
      <c r="D62" s="118">
        <f>C62*IF('Parameters and Satisfaction'!$C$22="HES-260",'Power System Selection'!$B$6,IF('Parameters and Satisfaction'!$C$22 = "SW-80", 'Power System Selection'!$C$6, 'Power System Selection'!$D$6))</f>
        <v>19877760</v>
      </c>
      <c r="E62" s="118">
        <f t="shared" si="0"/>
        <v>9958266.4644339606</v>
      </c>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row>
    <row r="63" spans="1:33">
      <c r="A63" s="118" t="s">
        <v>247</v>
      </c>
      <c r="B63" s="118">
        <v>12.5</v>
      </c>
      <c r="C63" s="118">
        <f>IF('Parameters and Satisfaction'!$C$22="HES-260", 'Power System Selection'!$B$4, IF('Parameters and Satisfaction'!$C$22="SW-80",'Power System Selection'!$C$4,IF('Parameters and Satisfaction'!$C$22="HES-305P", 'Power System Selection'!$D$4,"Error!")))*'Parameters and Satisfaction'!$C$23*'Power System Selection'!$B$48*'Power System Selection'!B63*(60*60)</f>
        <v>100800000</v>
      </c>
      <c r="D63" s="118">
        <f>C63*IF('Parameters and Satisfaction'!$C$22="HES-260",'Power System Selection'!$B$6,IF('Parameters and Satisfaction'!$C$22 = "SW-80", 'Power System Selection'!$C$6, 'Power System Selection'!$D$6))</f>
        <v>17136000</v>
      </c>
      <c r="E63" s="118">
        <f t="shared" si="0"/>
        <v>7216506.4644339606</v>
      </c>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row>
    <row r="64" spans="1:33">
      <c r="A64" s="118" t="s">
        <v>248</v>
      </c>
      <c r="B64" s="118">
        <v>11</v>
      </c>
      <c r="C64" s="118">
        <f>IF('Parameters and Satisfaction'!$C$22="HES-260", 'Power System Selection'!$B$4, IF('Parameters and Satisfaction'!$C$22="SW-80",'Power System Selection'!$C$4,IF('Parameters and Satisfaction'!$C$22="HES-305P", 'Power System Selection'!$D$4,"Error!")))*'Parameters and Satisfaction'!$C$23*'Power System Selection'!$B$48*'Power System Selection'!B64*(60*60)</f>
        <v>88704000</v>
      </c>
      <c r="D64" s="118">
        <f>C64*IF('Parameters and Satisfaction'!$C$22="HES-260",'Power System Selection'!$B$6,IF('Parameters and Satisfaction'!$C$22 = "SW-80", 'Power System Selection'!$C$6, 'Power System Selection'!$D$6))</f>
        <v>15079680.000000002</v>
      </c>
      <c r="E64" s="118">
        <f t="shared" si="0"/>
        <v>5160186.4644339625</v>
      </c>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row>
    <row r="65" spans="1:41">
      <c r="A65" s="118" t="s">
        <v>249</v>
      </c>
      <c r="B65" s="118">
        <v>9</v>
      </c>
      <c r="C65" s="118">
        <f>IF('Parameters and Satisfaction'!$C$22="HES-260", 'Power System Selection'!$B$4, IF('Parameters and Satisfaction'!$C$22="SW-80",'Power System Selection'!$C$4,IF('Parameters and Satisfaction'!$C$22="HES-305P", 'Power System Selection'!$D$4,"Error!")))*'Parameters and Satisfaction'!$C$23*'Power System Selection'!$B$48*'Power System Selection'!B65*(60*60)</f>
        <v>72576000</v>
      </c>
      <c r="D65" s="118">
        <f>C65*IF('Parameters and Satisfaction'!$C$22="HES-260",'Power System Selection'!$B$6,IF('Parameters and Satisfaction'!$C$22 = "SW-80", 'Power System Selection'!$C$6, 'Power System Selection'!$D$6))</f>
        <v>12337920</v>
      </c>
      <c r="E65" s="118">
        <f t="shared" si="0"/>
        <v>2418426.4644339606</v>
      </c>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row>
    <row r="66" spans="1:41">
      <c r="A66" s="118" t="s">
        <v>250</v>
      </c>
      <c r="B66" s="118">
        <v>7.5</v>
      </c>
      <c r="C66" s="118">
        <f>IF('Parameters and Satisfaction'!$C$22="HES-260", 'Power System Selection'!$B$4, IF('Parameters and Satisfaction'!$C$22="SW-80",'Power System Selection'!$C$4,IF('Parameters and Satisfaction'!$C$22="HES-305P", 'Power System Selection'!$D$4,"Error!")))*'Parameters and Satisfaction'!$C$23*'Power System Selection'!$B$48*'Power System Selection'!B66*(60*60)</f>
        <v>60480000</v>
      </c>
      <c r="D66" s="118">
        <f>C66*IF('Parameters and Satisfaction'!$C$22="HES-260",'Power System Selection'!$B$6,IF('Parameters and Satisfaction'!$C$22 = "SW-80", 'Power System Selection'!$C$6, 'Power System Selection'!$D$6))</f>
        <v>10281600</v>
      </c>
      <c r="E66" s="118">
        <f t="shared" si="0"/>
        <v>362106.46443396062</v>
      </c>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row>
    <row r="67" spans="1:4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c r="AF67" s="118"/>
      <c r="AG67" s="118"/>
    </row>
    <row r="68" spans="1:41">
      <c r="A68" s="118"/>
      <c r="B68" s="214" t="s">
        <v>251</v>
      </c>
      <c r="C68" s="212"/>
      <c r="D68" s="212"/>
      <c r="E68" s="212"/>
      <c r="F68" s="212"/>
      <c r="G68" s="118"/>
      <c r="H68" s="214" t="s">
        <v>252</v>
      </c>
      <c r="I68" s="212"/>
      <c r="J68" s="212"/>
      <c r="K68" s="212"/>
      <c r="L68" s="212"/>
      <c r="M68" s="118"/>
      <c r="N68" s="214" t="s">
        <v>253</v>
      </c>
      <c r="O68" s="212"/>
      <c r="P68" s="212"/>
      <c r="Q68" s="212"/>
      <c r="R68" s="212"/>
      <c r="S68" s="118"/>
      <c r="T68" s="214" t="s">
        <v>254</v>
      </c>
      <c r="U68" s="212"/>
      <c r="V68" s="212"/>
      <c r="W68" s="212"/>
      <c r="X68" s="212"/>
      <c r="Y68" s="118"/>
      <c r="Z68" s="214" t="s">
        <v>255</v>
      </c>
      <c r="AA68" s="212"/>
      <c r="AB68" s="212"/>
      <c r="AC68" s="212"/>
      <c r="AD68" s="212"/>
      <c r="AE68" s="118"/>
      <c r="AF68" s="118"/>
      <c r="AG68" t="s">
        <v>256</v>
      </c>
      <c r="AI68">
        <f>SUM(Z71:AD436)</f>
        <v>672.24727343215284</v>
      </c>
      <c r="AK68" s="213" t="s">
        <v>257</v>
      </c>
      <c r="AL68" s="212"/>
      <c r="AM68" s="212"/>
      <c r="AN68" s="212"/>
      <c r="AO68" s="212"/>
    </row>
    <row r="69" spans="1:41">
      <c r="A69" s="118" t="s">
        <v>258</v>
      </c>
      <c r="B69" s="118" t="s">
        <v>106</v>
      </c>
      <c r="C69" s="118" t="s">
        <v>108</v>
      </c>
      <c r="D69" s="118" t="s">
        <v>111</v>
      </c>
      <c r="E69" s="118" t="s">
        <v>112</v>
      </c>
      <c r="F69" s="118" t="s">
        <v>113</v>
      </c>
      <c r="G69" s="118"/>
      <c r="H69" s="118" t="s">
        <v>106</v>
      </c>
      <c r="I69" s="118" t="s">
        <v>108</v>
      </c>
      <c r="J69" s="118" t="s">
        <v>111</v>
      </c>
      <c r="K69" s="118" t="s">
        <v>112</v>
      </c>
      <c r="L69" s="118" t="s">
        <v>113</v>
      </c>
      <c r="M69" s="118"/>
      <c r="N69" s="118" t="s">
        <v>106</v>
      </c>
      <c r="O69" s="118" t="s">
        <v>108</v>
      </c>
      <c r="P69" s="118" t="s">
        <v>111</v>
      </c>
      <c r="Q69" s="118" t="s">
        <v>112</v>
      </c>
      <c r="R69" s="118" t="s">
        <v>113</v>
      </c>
      <c r="S69" s="118"/>
      <c r="T69" s="118" t="s">
        <v>106</v>
      </c>
      <c r="U69" s="118" t="s">
        <v>108</v>
      </c>
      <c r="V69" s="118" t="s">
        <v>111</v>
      </c>
      <c r="W69" s="118" t="s">
        <v>112</v>
      </c>
      <c r="X69" s="118" t="s">
        <v>113</v>
      </c>
      <c r="Y69" s="118"/>
      <c r="Z69" s="118" t="s">
        <v>106</v>
      </c>
      <c r="AA69" s="118" t="s">
        <v>108</v>
      </c>
      <c r="AB69" s="118" t="s">
        <v>111</v>
      </c>
      <c r="AC69" s="118" t="s">
        <v>112</v>
      </c>
      <c r="AD69" s="118" t="s">
        <v>113</v>
      </c>
      <c r="AE69" s="118"/>
      <c r="AF69" s="118"/>
      <c r="AG69" s="118"/>
      <c r="AK69" s="118" t="s">
        <v>106</v>
      </c>
      <c r="AL69" s="118" t="s">
        <v>108</v>
      </c>
      <c r="AM69" s="118" t="s">
        <v>111</v>
      </c>
      <c r="AN69" s="118" t="s">
        <v>112</v>
      </c>
      <c r="AO69" s="118" t="s">
        <v>113</v>
      </c>
    </row>
    <row r="70" spans="1:41">
      <c r="A70" s="118"/>
      <c r="B70" s="118" t="s">
        <v>259</v>
      </c>
      <c r="C70" s="118" t="s">
        <v>259</v>
      </c>
      <c r="D70" s="118" t="s">
        <v>259</v>
      </c>
      <c r="E70" s="118" t="s">
        <v>259</v>
      </c>
      <c r="F70" s="118" t="s">
        <v>259</v>
      </c>
      <c r="G70" s="118"/>
      <c r="H70" s="118" t="s">
        <v>238</v>
      </c>
      <c r="I70" s="118" t="s">
        <v>238</v>
      </c>
      <c r="J70" s="118" t="s">
        <v>238</v>
      </c>
      <c r="K70" s="118" t="s">
        <v>238</v>
      </c>
      <c r="L70" s="118" t="s">
        <v>238</v>
      </c>
      <c r="M70" s="118"/>
      <c r="N70" s="118" t="s">
        <v>238</v>
      </c>
      <c r="O70" s="118" t="s">
        <v>238</v>
      </c>
      <c r="P70" s="118" t="s">
        <v>238</v>
      </c>
      <c r="Q70" s="118" t="s">
        <v>238</v>
      </c>
      <c r="R70" s="118" t="s">
        <v>238</v>
      </c>
      <c r="S70" s="118"/>
      <c r="T70" s="118" t="s">
        <v>238</v>
      </c>
      <c r="U70" s="118" t="s">
        <v>238</v>
      </c>
      <c r="V70" s="118" t="s">
        <v>238</v>
      </c>
      <c r="W70" s="118" t="s">
        <v>238</v>
      </c>
      <c r="X70" s="118" t="s">
        <v>238</v>
      </c>
      <c r="Y70" s="118"/>
      <c r="Z70" s="118" t="s">
        <v>259</v>
      </c>
      <c r="AA70" s="118" t="s">
        <v>259</v>
      </c>
      <c r="AB70" s="118" t="s">
        <v>259</v>
      </c>
      <c r="AC70" s="118" t="s">
        <v>259</v>
      </c>
      <c r="AD70" s="118" t="s">
        <v>259</v>
      </c>
      <c r="AE70" s="118"/>
      <c r="AF70" s="118"/>
      <c r="AG70" s="118"/>
      <c r="AK70" s="118" t="s">
        <v>238</v>
      </c>
      <c r="AL70" s="118" t="s">
        <v>238</v>
      </c>
      <c r="AM70" s="118" t="s">
        <v>238</v>
      </c>
      <c r="AN70" s="118" t="s">
        <v>238</v>
      </c>
      <c r="AO70" s="118" t="s">
        <v>238</v>
      </c>
    </row>
    <row r="71" spans="1:41">
      <c r="A71" s="185">
        <f>'Water Stuff'!F5</f>
        <v>44562</v>
      </c>
      <c r="B71" s="118">
        <f>'Filtration System'!B35</f>
        <v>3760</v>
      </c>
      <c r="C71" s="118">
        <f>'Filtration System'!C35</f>
        <v>1560</v>
      </c>
      <c r="D71" s="118">
        <f>'Filtration System'!D35</f>
        <v>2219.9029419023623</v>
      </c>
      <c r="E71" s="118">
        <f>'Filtration System'!E35</f>
        <v>0</v>
      </c>
      <c r="F71" s="118">
        <f>'Filtration System'!F35</f>
        <v>2953.3890332689816</v>
      </c>
      <c r="G71" s="118"/>
      <c r="H71" s="118">
        <f>B71/1000*(1000*9.81*Pumps!$B$14+'Parameters and Satisfaction'!$B$27)</f>
        <v>1007879.9539991618</v>
      </c>
      <c r="I71" s="118">
        <f>C71/1000*(1000*9.81*Pumps!$B$14+'Parameters and Satisfaction'!$B$27)</f>
        <v>418162.95963795017</v>
      </c>
      <c r="J71" s="118">
        <f>D71/1000*(1000*9.81*Pumps!$B$14+'Parameters and Satisfaction'!$B$27)</f>
        <v>595052.04121466936</v>
      </c>
      <c r="K71" s="118">
        <f>E71/1000*(1000*9.81*Pumps!$B$14+'Parameters and Satisfaction'!$B$27)</f>
        <v>0</v>
      </c>
      <c r="L71" s="118">
        <f>F71/1000*(1000*9.81*Pumps!$B$14+'Parameters and Satisfaction'!$B$27)</f>
        <v>791665.31994488579</v>
      </c>
      <c r="M71" s="118"/>
      <c r="N71" s="118">
        <f>H71/IF('Parameters and Satisfaction'!$C$13="Pump A", 0.7, IF('Parameters and Satisfaction'!$C$13 = "Pump B", 0.72, 0.65))</f>
        <v>1399833.2694432803</v>
      </c>
      <c r="O71" s="118">
        <f>I71/IF('Parameters and Satisfaction'!$C$13="Pump A", 0.7, IF('Parameters and Satisfaction'!$C$13 = "Pump B", 0.72, 0.65))</f>
        <v>580781.88838604197</v>
      </c>
      <c r="P71" s="118">
        <f>J71/IF('Parameters and Satisfaction'!$C$13="Pump A", 0.7, IF('Parameters and Satisfaction'!$C$13 = "Pump B", 0.72, 0.65))</f>
        <v>826461.16835370741</v>
      </c>
      <c r="Q71" s="118">
        <f>K71/IF('Parameters and Satisfaction'!$C$13="Pump A", 0.7, IF('Parameters and Satisfaction'!$C$13 = "Pump B", 0.72, 0.65))</f>
        <v>0</v>
      </c>
      <c r="R71" s="118">
        <f>L71/IF('Parameters and Satisfaction'!$C$13="Pump A", 0.7, IF('Parameters and Satisfaction'!$C$13 = "Pump B", 0.72, 0.65))</f>
        <v>1099535.1665901192</v>
      </c>
      <c r="S71" s="118"/>
      <c r="T71" s="118">
        <f>N71+IF('Parameters and Satisfaction'!$C$19="Ozone", 'Filtration System'!AA35*1000000, 0)</f>
        <v>1399833.2694432803</v>
      </c>
      <c r="U71" s="118">
        <f>O71+$F$47+IF('Parameters and Satisfaction'!$C$19="Ozone", 'Filtration System'!AB35*1000000, 0)</f>
        <v>5268281.8883860419</v>
      </c>
      <c r="V71" s="118">
        <f>P71+$F$47+IF('Parameters and Satisfaction'!$C$19="Ozone", 'Filtration System'!AC35*1000000, 0)</f>
        <v>5513961.1683537075</v>
      </c>
      <c r="W71" s="118">
        <f>Q71+$F$47+IF('Parameters and Satisfaction'!$C$19="Ozone", 'Filtration System'!AD35*1000000, 0)</f>
        <v>4687500</v>
      </c>
      <c r="X71" s="118">
        <f>R71+$F$47+IF('Parameters and Satisfaction'!$C$19="Ozone", 'Filtration System'!AE35*1000000, 0)</f>
        <v>5787035.1665901188</v>
      </c>
      <c r="Y71" s="118"/>
      <c r="Z71" s="118">
        <f t="shared" ref="Z71:Z134" si="1">T71/(40000000*0.35)</f>
        <v>9.9988090674520025E-2</v>
      </c>
      <c r="AA71" s="118">
        <f t="shared" ref="AA71:AA134" si="2">U71/(40000000*0.35)</f>
        <v>0.37630584917043158</v>
      </c>
      <c r="AB71" s="118">
        <f t="shared" ref="AB71:AB134" si="3">V71/(40000000*0.35)</f>
        <v>0.39385436916812194</v>
      </c>
      <c r="AC71" s="118">
        <f t="shared" ref="AC71:AC134" si="4">W71/(40000000*0.35)</f>
        <v>0.33482142857142855</v>
      </c>
      <c r="AD71" s="118">
        <f t="shared" ref="AD71:AD134" si="5">X71/(40000000*0.35)</f>
        <v>0.41335965475643704</v>
      </c>
      <c r="AE71" s="118"/>
      <c r="AF71" s="118"/>
      <c r="AG71" s="118"/>
      <c r="AK71">
        <f t="shared" ref="AK71:AO80" si="6">$D$55</f>
        <v>10967040</v>
      </c>
      <c r="AL71">
        <f t="shared" si="6"/>
        <v>10967040</v>
      </c>
      <c r="AM71">
        <f t="shared" si="6"/>
        <v>10967040</v>
      </c>
      <c r="AN71">
        <f t="shared" si="6"/>
        <v>10967040</v>
      </c>
      <c r="AO71">
        <f t="shared" si="6"/>
        <v>10967040</v>
      </c>
    </row>
    <row r="72" spans="1:41">
      <c r="A72" s="185">
        <f>'Water Stuff'!F6</f>
        <v>44563</v>
      </c>
      <c r="B72" s="118">
        <f>'Filtration System'!B36</f>
        <v>3960</v>
      </c>
      <c r="C72" s="118">
        <f>'Filtration System'!C36</f>
        <v>200</v>
      </c>
      <c r="D72" s="118">
        <f>'Filtration System'!D36</f>
        <v>4966.1458862933305</v>
      </c>
      <c r="E72" s="118">
        <f>'Filtration System'!E36</f>
        <v>0</v>
      </c>
      <c r="F72" s="118">
        <f>'Filtration System'!F36</f>
        <v>5266.3095576159276</v>
      </c>
      <c r="G72" s="118"/>
      <c r="H72" s="118">
        <f>B72/1000*(1000*9.81*Pumps!$B$14+'Parameters and Satisfaction'!$B$27)</f>
        <v>1061490.589850181</v>
      </c>
      <c r="I72" s="118">
        <f>C72/1000*(1000*9.81*Pumps!$B$14+'Parameters and Satisfaction'!$B$27)</f>
        <v>53610.635851019251</v>
      </c>
      <c r="J72" s="118">
        <f>D72/1000*(1000*9.81*Pumps!$B$14+'Parameters and Satisfaction'!$B$27)</f>
        <v>1331191.1934655448</v>
      </c>
      <c r="K72" s="118">
        <f>E72/1000*(1000*9.81*Pumps!$B$14+'Parameters and Satisfaction'!$B$27)</f>
        <v>0</v>
      </c>
      <c r="L72" s="118">
        <f>F72/1000*(1000*9.81*Pumps!$B$14+'Parameters and Satisfaction'!$B$27)</f>
        <v>1411651.0198604488</v>
      </c>
      <c r="M72" s="118"/>
      <c r="N72" s="118">
        <f>H72/IF('Parameters and Satisfaction'!$C$13="Pump A", 0.7, IF('Parameters and Satisfaction'!$C$13 = "Pump B", 0.72, 0.65))</f>
        <v>1474292.4859030293</v>
      </c>
      <c r="O72" s="118">
        <f>I72/IF('Parameters and Satisfaction'!$C$13="Pump A", 0.7, IF('Parameters and Satisfaction'!$C$13 = "Pump B", 0.72, 0.65))</f>
        <v>74459.216459748961</v>
      </c>
      <c r="P72" s="118">
        <f>J72/IF('Parameters and Satisfaction'!$C$13="Pump A", 0.7, IF('Parameters and Satisfaction'!$C$13 = "Pump B", 0.72, 0.65))</f>
        <v>1848876.6575910347</v>
      </c>
      <c r="Q72" s="118">
        <f>K72/IF('Parameters and Satisfaction'!$C$13="Pump A", 0.7, IF('Parameters and Satisfaction'!$C$13 = "Pump B", 0.72, 0.65))</f>
        <v>0</v>
      </c>
      <c r="R72" s="118">
        <f>L72/IF('Parameters and Satisfaction'!$C$13="Pump A", 0.7, IF('Parameters and Satisfaction'!$C$13 = "Pump B", 0.72, 0.65))</f>
        <v>1960626.4164728457</v>
      </c>
      <c r="S72" s="118"/>
      <c r="T72" s="118">
        <f>N72+IF('Parameters and Satisfaction'!$C$19="Ozone", 'Filtration System'!AA36*1000000, 0)</f>
        <v>1474292.4859030293</v>
      </c>
      <c r="U72" s="118">
        <f>O72+$F$47+IF('Parameters and Satisfaction'!$C$19="Ozone", 'Filtration System'!AB36*1000000, 0)</f>
        <v>4761959.2164597493</v>
      </c>
      <c r="V72" s="118">
        <f>P72+$F$47+IF('Parameters and Satisfaction'!$C$19="Ozone", 'Filtration System'!AC36*1000000, 0)</f>
        <v>6536376.6575910347</v>
      </c>
      <c r="W72" s="118">
        <f>Q72+$F$47+IF('Parameters and Satisfaction'!$C$19="Ozone", 'Filtration System'!AD36*1000000, 0)</f>
        <v>4687500</v>
      </c>
      <c r="X72" s="118">
        <f>R72+$F$47+IF('Parameters and Satisfaction'!$C$19="Ozone", 'Filtration System'!AE36*1000000, 0)</f>
        <v>6648126.4164728457</v>
      </c>
      <c r="Y72" s="118"/>
      <c r="Z72" s="118">
        <f t="shared" si="1"/>
        <v>0.10530660613593067</v>
      </c>
      <c r="AA72" s="118">
        <f t="shared" si="2"/>
        <v>0.34013994403283926</v>
      </c>
      <c r="AB72" s="118">
        <f t="shared" si="3"/>
        <v>0.46688404697078817</v>
      </c>
      <c r="AC72" s="118">
        <f t="shared" si="4"/>
        <v>0.33482142857142855</v>
      </c>
      <c r="AD72" s="118">
        <f t="shared" si="5"/>
        <v>0.47486617260520325</v>
      </c>
      <c r="AE72" s="118"/>
      <c r="AF72" s="118"/>
      <c r="AG72" s="118"/>
      <c r="AK72">
        <f t="shared" si="6"/>
        <v>10967040</v>
      </c>
      <c r="AL72">
        <f t="shared" si="6"/>
        <v>10967040</v>
      </c>
      <c r="AM72">
        <f t="shared" si="6"/>
        <v>10967040</v>
      </c>
      <c r="AN72">
        <f t="shared" si="6"/>
        <v>10967040</v>
      </c>
      <c r="AO72">
        <f t="shared" si="6"/>
        <v>10967040</v>
      </c>
    </row>
    <row r="73" spans="1:41">
      <c r="A73" s="185">
        <f>'Water Stuff'!F7</f>
        <v>44564</v>
      </c>
      <c r="B73" s="118">
        <f>'Filtration System'!B37</f>
        <v>0</v>
      </c>
      <c r="C73" s="118">
        <f>'Filtration System'!C37</f>
        <v>2680</v>
      </c>
      <c r="D73" s="118">
        <f>'Filtration System'!D37</f>
        <v>0</v>
      </c>
      <c r="E73" s="118">
        <f>'Filtration System'!E37</f>
        <v>3333.4962829750857</v>
      </c>
      <c r="F73" s="118">
        <f>'Filtration System'!F37</f>
        <v>1652.5799489717976</v>
      </c>
      <c r="G73" s="118"/>
      <c r="H73" s="118">
        <f>B73/1000*(1000*9.81*Pumps!$B$14+'Parameters and Satisfaction'!$B$27)</f>
        <v>0</v>
      </c>
      <c r="I73" s="118">
        <f>C73/1000*(1000*9.81*Pumps!$B$14+'Parameters and Satisfaction'!$B$27)</f>
        <v>718382.52040365792</v>
      </c>
      <c r="J73" s="118">
        <f>D73/1000*(1000*9.81*Pumps!$B$14+'Parameters and Satisfaction'!$B$27)</f>
        <v>0</v>
      </c>
      <c r="K73" s="118">
        <f>E73/1000*(1000*9.81*Pumps!$B$14+'Parameters and Satisfaction'!$B$27)</f>
        <v>893554.27668651775</v>
      </c>
      <c r="L73" s="118">
        <f>F73/1000*(1000*9.81*Pumps!$B$14+'Parameters and Satisfaction'!$B$27)</f>
        <v>442979.30929511506</v>
      </c>
      <c r="M73" s="118"/>
      <c r="N73" s="118">
        <f>H73/IF('Parameters and Satisfaction'!$C$13="Pump A", 0.7, IF('Parameters and Satisfaction'!$C$13 = "Pump B", 0.72, 0.65))</f>
        <v>0</v>
      </c>
      <c r="O73" s="118">
        <f>I73/IF('Parameters and Satisfaction'!$C$13="Pump A", 0.7, IF('Parameters and Satisfaction'!$C$13 = "Pump B", 0.72, 0.65))</f>
        <v>997753.50056063605</v>
      </c>
      <c r="P73" s="118">
        <f>J73/IF('Parameters and Satisfaction'!$C$13="Pump A", 0.7, IF('Parameters and Satisfaction'!$C$13 = "Pump B", 0.72, 0.65))</f>
        <v>0</v>
      </c>
      <c r="Q73" s="118">
        <f>K73/IF('Parameters and Satisfaction'!$C$13="Pump A", 0.7, IF('Parameters and Satisfaction'!$C$13 = "Pump B", 0.72, 0.65))</f>
        <v>1241047.6065090524</v>
      </c>
      <c r="R73" s="118">
        <f>L73/IF('Parameters and Satisfaction'!$C$13="Pump A", 0.7, IF('Parameters and Satisfaction'!$C$13 = "Pump B", 0.72, 0.65))</f>
        <v>615249.04068765987</v>
      </c>
      <c r="S73" s="118"/>
      <c r="T73" s="118">
        <f>N73+IF('Parameters and Satisfaction'!$C$19="Ozone", 'Filtration System'!AA37*1000000, 0)</f>
        <v>0</v>
      </c>
      <c r="U73" s="118">
        <f>O73+$F$47+IF('Parameters and Satisfaction'!$C$19="Ozone", 'Filtration System'!AB37*1000000, 0)</f>
        <v>5685253.5005606357</v>
      </c>
      <c r="V73" s="118">
        <f>P73+$F$47+IF('Parameters and Satisfaction'!$C$19="Ozone", 'Filtration System'!AC37*1000000, 0)</f>
        <v>4687500</v>
      </c>
      <c r="W73" s="118">
        <f>Q73+$F$47+IF('Parameters and Satisfaction'!$C$19="Ozone", 'Filtration System'!AD37*1000000, 0)</f>
        <v>5928547.6065090522</v>
      </c>
      <c r="X73" s="118">
        <f>R73+$F$47+IF('Parameters and Satisfaction'!$C$19="Ozone", 'Filtration System'!AE37*1000000, 0)</f>
        <v>5302749.0406876598</v>
      </c>
      <c r="Y73" s="118"/>
      <c r="Z73" s="118">
        <f t="shared" si="1"/>
        <v>0</v>
      </c>
      <c r="AA73" s="118">
        <f t="shared" si="2"/>
        <v>0.4060895357543311</v>
      </c>
      <c r="AB73" s="118">
        <f t="shared" si="3"/>
        <v>0.33482142857142855</v>
      </c>
      <c r="AC73" s="118">
        <f t="shared" si="4"/>
        <v>0.42346768617921804</v>
      </c>
      <c r="AD73" s="118">
        <f t="shared" si="5"/>
        <v>0.37876778862054711</v>
      </c>
      <c r="AE73" s="118"/>
      <c r="AF73" s="118"/>
      <c r="AG73" s="118"/>
      <c r="AK73">
        <f t="shared" si="6"/>
        <v>10967040</v>
      </c>
      <c r="AL73">
        <f t="shared" si="6"/>
        <v>10967040</v>
      </c>
      <c r="AM73">
        <f t="shared" si="6"/>
        <v>10967040</v>
      </c>
      <c r="AN73">
        <f t="shared" si="6"/>
        <v>10967040</v>
      </c>
      <c r="AO73">
        <f t="shared" si="6"/>
        <v>10967040</v>
      </c>
    </row>
    <row r="74" spans="1:41">
      <c r="A74" s="185">
        <f>'Water Stuff'!F8</f>
        <v>44565</v>
      </c>
      <c r="B74" s="118">
        <f>'Filtration System'!B38</f>
        <v>0</v>
      </c>
      <c r="C74" s="118">
        <f>'Filtration System'!C38</f>
        <v>10000</v>
      </c>
      <c r="D74" s="118">
        <f>'Filtration System'!D38</f>
        <v>0</v>
      </c>
      <c r="E74" s="118">
        <f>'Filtration System'!E38</f>
        <v>10000</v>
      </c>
      <c r="F74" s="118">
        <f>'Filtration System'!F38</f>
        <v>1455.4298451167981</v>
      </c>
      <c r="G74" s="118"/>
      <c r="H74" s="118">
        <f>B74/1000*(1000*9.81*Pumps!$B$14+'Parameters and Satisfaction'!$B$27)</f>
        <v>0</v>
      </c>
      <c r="I74" s="118">
        <f>C74/1000*(1000*9.81*Pumps!$B$14+'Parameters and Satisfaction'!$B$27)</f>
        <v>2680531.7925509624</v>
      </c>
      <c r="J74" s="118">
        <f>D74/1000*(1000*9.81*Pumps!$B$14+'Parameters and Satisfaction'!$B$27)</f>
        <v>0</v>
      </c>
      <c r="K74" s="118">
        <f>E74/1000*(1000*9.81*Pumps!$B$14+'Parameters and Satisfaction'!$B$27)</f>
        <v>2680531.7925509624</v>
      </c>
      <c r="L74" s="118">
        <f>F74/1000*(1000*9.81*Pumps!$B$14+'Parameters and Satisfaction'!$B$27)</f>
        <v>390132.59716631006</v>
      </c>
      <c r="M74" s="118"/>
      <c r="N74" s="118">
        <f>H74/IF('Parameters and Satisfaction'!$C$13="Pump A", 0.7, IF('Parameters and Satisfaction'!$C$13 = "Pump B", 0.72, 0.65))</f>
        <v>0</v>
      </c>
      <c r="O74" s="118">
        <f>I74/IF('Parameters and Satisfaction'!$C$13="Pump A", 0.7, IF('Parameters and Satisfaction'!$C$13 = "Pump B", 0.72, 0.65))</f>
        <v>3722960.822987448</v>
      </c>
      <c r="P74" s="118">
        <f>J74/IF('Parameters and Satisfaction'!$C$13="Pump A", 0.7, IF('Parameters and Satisfaction'!$C$13 = "Pump B", 0.72, 0.65))</f>
        <v>0</v>
      </c>
      <c r="Q74" s="118">
        <f>K74/IF('Parameters and Satisfaction'!$C$13="Pump A", 0.7, IF('Parameters and Satisfaction'!$C$13 = "Pump B", 0.72, 0.65))</f>
        <v>3722960.822987448</v>
      </c>
      <c r="R74" s="118">
        <f>L74/IF('Parameters and Satisfaction'!$C$13="Pump A", 0.7, IF('Parameters and Satisfaction'!$C$13 = "Pump B", 0.72, 0.65))</f>
        <v>541850.82939765288</v>
      </c>
      <c r="S74" s="118"/>
      <c r="T74" s="118">
        <f>N74+IF('Parameters and Satisfaction'!$C$19="Ozone", 'Filtration System'!AA38*1000000, 0)</f>
        <v>0</v>
      </c>
      <c r="U74" s="118">
        <f>O74+$F$47+IF('Parameters and Satisfaction'!$C$19="Ozone", 'Filtration System'!AB38*1000000, 0)</f>
        <v>8410460.8229874484</v>
      </c>
      <c r="V74" s="118">
        <f>P74+$F$47+IF('Parameters and Satisfaction'!$C$19="Ozone", 'Filtration System'!AC38*1000000, 0)</f>
        <v>4687500</v>
      </c>
      <c r="W74" s="118">
        <f>Q74+$F$47+IF('Parameters and Satisfaction'!$C$19="Ozone", 'Filtration System'!AD38*1000000, 0)</f>
        <v>8410460.8229874484</v>
      </c>
      <c r="X74" s="118">
        <f>R74+$F$47+IF('Parameters and Satisfaction'!$C$19="Ozone", 'Filtration System'!AE38*1000000, 0)</f>
        <v>5229350.8293976532</v>
      </c>
      <c r="Y74" s="118"/>
      <c r="Z74" s="118">
        <f t="shared" si="1"/>
        <v>0</v>
      </c>
      <c r="AA74" s="118">
        <f t="shared" si="2"/>
        <v>0.6007472016419606</v>
      </c>
      <c r="AB74" s="118">
        <f t="shared" si="3"/>
        <v>0.33482142857142855</v>
      </c>
      <c r="AC74" s="118">
        <f t="shared" si="4"/>
        <v>0.6007472016419606</v>
      </c>
      <c r="AD74" s="118">
        <f t="shared" si="5"/>
        <v>0.37352505924268953</v>
      </c>
      <c r="AE74" s="118"/>
      <c r="AF74" s="118"/>
      <c r="AG74" s="118"/>
      <c r="AK74">
        <f t="shared" si="6"/>
        <v>10967040</v>
      </c>
      <c r="AL74">
        <f t="shared" si="6"/>
        <v>10967040</v>
      </c>
      <c r="AM74">
        <f t="shared" si="6"/>
        <v>10967040</v>
      </c>
      <c r="AN74">
        <f t="shared" si="6"/>
        <v>10967040</v>
      </c>
      <c r="AO74">
        <f t="shared" si="6"/>
        <v>10967040</v>
      </c>
    </row>
    <row r="75" spans="1:41">
      <c r="A75" s="185">
        <f>'Water Stuff'!F9</f>
        <v>44566</v>
      </c>
      <c r="B75" s="118">
        <f>'Filtration System'!B39</f>
        <v>0</v>
      </c>
      <c r="C75" s="118">
        <f>'Filtration System'!C39</f>
        <v>6440.0000000000009</v>
      </c>
      <c r="D75" s="118">
        <f>'Filtration System'!D39</f>
        <v>1692.1722187137095</v>
      </c>
      <c r="E75" s="118">
        <f>'Filtration System'!E39</f>
        <v>3894.9770588690276</v>
      </c>
      <c r="F75" s="118">
        <f>'Filtration System'!F39</f>
        <v>2910.7139916732963</v>
      </c>
      <c r="G75" s="118"/>
      <c r="H75" s="118">
        <f>B75/1000*(1000*9.81*Pumps!$B$14+'Parameters and Satisfaction'!$B$27)</f>
        <v>0</v>
      </c>
      <c r="I75" s="118">
        <f>C75/1000*(1000*9.81*Pumps!$B$14+'Parameters and Satisfaction'!$B$27)</f>
        <v>1726262.4744028202</v>
      </c>
      <c r="J75" s="118">
        <f>D75/1000*(1000*9.81*Pumps!$B$14+'Parameters and Satisfaction'!$B$27)</f>
        <v>453592.14307335991</v>
      </c>
      <c r="K75" s="118">
        <f>E75/1000*(1000*9.81*Pumps!$B$14+'Parameters and Satisfaction'!$B$27)</f>
        <v>1044060.983755507</v>
      </c>
      <c r="L75" s="118">
        <f>F75/1000*(1000*9.81*Pumps!$B$14+'Parameters and Satisfaction'!$B$27)</f>
        <v>780226.13937031874</v>
      </c>
      <c r="M75" s="118"/>
      <c r="N75" s="118">
        <f>H75/IF('Parameters and Satisfaction'!$C$13="Pump A", 0.7, IF('Parameters and Satisfaction'!$C$13 = "Pump B", 0.72, 0.65))</f>
        <v>0</v>
      </c>
      <c r="O75" s="118">
        <f>I75/IF('Parameters and Satisfaction'!$C$13="Pump A", 0.7, IF('Parameters and Satisfaction'!$C$13 = "Pump B", 0.72, 0.65))</f>
        <v>2397586.7700039172</v>
      </c>
      <c r="P75" s="118">
        <f>J75/IF('Parameters and Satisfaction'!$C$13="Pump A", 0.7, IF('Parameters and Satisfaction'!$C$13 = "Pump B", 0.72, 0.65))</f>
        <v>629989.08760188881</v>
      </c>
      <c r="Q75" s="118">
        <f>K75/IF('Parameters and Satisfaction'!$C$13="Pump A", 0.7, IF('Parameters and Satisfaction'!$C$13 = "Pump B", 0.72, 0.65))</f>
        <v>1450084.6996604265</v>
      </c>
      <c r="R75" s="118">
        <f>L75/IF('Parameters and Satisfaction'!$C$13="Pump A", 0.7, IF('Parameters and Satisfaction'!$C$13 = "Pump B", 0.72, 0.65))</f>
        <v>1083647.4157921094</v>
      </c>
      <c r="S75" s="118"/>
      <c r="T75" s="118">
        <f>N75+IF('Parameters and Satisfaction'!$C$19="Ozone", 'Filtration System'!AA39*1000000, 0)</f>
        <v>0</v>
      </c>
      <c r="U75" s="118">
        <f>O75+$F$47+IF('Parameters and Satisfaction'!$C$19="Ozone", 'Filtration System'!AB39*1000000, 0)</f>
        <v>7085086.7700039167</v>
      </c>
      <c r="V75" s="118">
        <f>P75+$F$47+IF('Parameters and Satisfaction'!$C$19="Ozone", 'Filtration System'!AC39*1000000, 0)</f>
        <v>5317489.0876018889</v>
      </c>
      <c r="W75" s="118">
        <f>Q75+$F$47+IF('Parameters and Satisfaction'!$C$19="Ozone", 'Filtration System'!AD39*1000000, 0)</f>
        <v>6137584.699660426</v>
      </c>
      <c r="X75" s="118">
        <f>R75+$F$47+IF('Parameters and Satisfaction'!$C$19="Ozone", 'Filtration System'!AE39*1000000, 0)</f>
        <v>5771147.4157921094</v>
      </c>
      <c r="Y75" s="118"/>
      <c r="Z75" s="118">
        <f t="shared" si="1"/>
        <v>0</v>
      </c>
      <c r="AA75" s="118">
        <f t="shared" si="2"/>
        <v>0.50607762642885123</v>
      </c>
      <c r="AB75" s="118">
        <f t="shared" si="3"/>
        <v>0.37982064911442065</v>
      </c>
      <c r="AC75" s="118">
        <f t="shared" si="4"/>
        <v>0.43839890711860185</v>
      </c>
      <c r="AD75" s="118">
        <f t="shared" si="5"/>
        <v>0.41222481541372208</v>
      </c>
      <c r="AE75" s="118"/>
      <c r="AF75" s="118"/>
      <c r="AG75" s="118"/>
      <c r="AK75">
        <f t="shared" si="6"/>
        <v>10967040</v>
      </c>
      <c r="AL75">
        <f t="shared" si="6"/>
        <v>10967040</v>
      </c>
      <c r="AM75">
        <f t="shared" si="6"/>
        <v>10967040</v>
      </c>
      <c r="AN75">
        <f t="shared" si="6"/>
        <v>10967040</v>
      </c>
      <c r="AO75">
        <f t="shared" si="6"/>
        <v>10967040</v>
      </c>
    </row>
    <row r="76" spans="1:41">
      <c r="A76" s="185">
        <f>'Water Stuff'!F10</f>
        <v>44567</v>
      </c>
      <c r="B76" s="118">
        <f>'Filtration System'!B40</f>
        <v>1000</v>
      </c>
      <c r="C76" s="118">
        <f>'Filtration System'!C40</f>
        <v>560</v>
      </c>
      <c r="D76" s="118">
        <f>'Filtration System'!D40</f>
        <v>0</v>
      </c>
      <c r="E76" s="118">
        <f>'Filtration System'!E40</f>
        <v>0</v>
      </c>
      <c r="F76" s="118">
        <f>'Filtration System'!F40</f>
        <v>0</v>
      </c>
      <c r="G76" s="118"/>
      <c r="H76" s="118">
        <f>B76/1000*(1000*9.81*Pumps!$B$14+'Parameters and Satisfaction'!$B$27)</f>
        <v>268053.17925509624</v>
      </c>
      <c r="I76" s="118">
        <f>C76/1000*(1000*9.81*Pumps!$B$14+'Parameters and Satisfaction'!$B$27)</f>
        <v>150109.7803828539</v>
      </c>
      <c r="J76" s="118">
        <f>D76/1000*(1000*9.81*Pumps!$B$14+'Parameters and Satisfaction'!$B$27)</f>
        <v>0</v>
      </c>
      <c r="K76" s="118">
        <f>E76/1000*(1000*9.81*Pumps!$B$14+'Parameters and Satisfaction'!$B$27)</f>
        <v>0</v>
      </c>
      <c r="L76" s="118">
        <f>F76/1000*(1000*9.81*Pumps!$B$14+'Parameters and Satisfaction'!$B$27)</f>
        <v>0</v>
      </c>
      <c r="M76" s="118"/>
      <c r="N76" s="118">
        <f>H76/IF('Parameters and Satisfaction'!$C$13="Pump A", 0.7, IF('Parameters and Satisfaction'!$C$13 = "Pump B", 0.72, 0.65))</f>
        <v>372296.08229874482</v>
      </c>
      <c r="O76" s="118">
        <f>I76/IF('Parameters and Satisfaction'!$C$13="Pump A", 0.7, IF('Parameters and Satisfaction'!$C$13 = "Pump B", 0.72, 0.65))</f>
        <v>208485.8060872971</v>
      </c>
      <c r="P76" s="118">
        <f>J76/IF('Parameters and Satisfaction'!$C$13="Pump A", 0.7, IF('Parameters and Satisfaction'!$C$13 = "Pump B", 0.72, 0.65))</f>
        <v>0</v>
      </c>
      <c r="Q76" s="118">
        <f>K76/IF('Parameters and Satisfaction'!$C$13="Pump A", 0.7, IF('Parameters and Satisfaction'!$C$13 = "Pump B", 0.72, 0.65))</f>
        <v>0</v>
      </c>
      <c r="R76" s="118">
        <f>L76/IF('Parameters and Satisfaction'!$C$13="Pump A", 0.7, IF('Parameters and Satisfaction'!$C$13 = "Pump B", 0.72, 0.65))</f>
        <v>0</v>
      </c>
      <c r="S76" s="118"/>
      <c r="T76" s="118">
        <f>N76+IF('Parameters and Satisfaction'!$C$19="Ozone", 'Filtration System'!AA40*1000000, 0)</f>
        <v>372296.08229874482</v>
      </c>
      <c r="U76" s="118">
        <f>O76+$F$47+IF('Parameters and Satisfaction'!$C$19="Ozone", 'Filtration System'!AB40*1000000, 0)</f>
        <v>4895985.8060872974</v>
      </c>
      <c r="V76" s="118">
        <f>P76+$F$47+IF('Parameters and Satisfaction'!$C$19="Ozone", 'Filtration System'!AC40*1000000, 0)</f>
        <v>4687500</v>
      </c>
      <c r="W76" s="118">
        <f>Q76+$F$47+IF('Parameters and Satisfaction'!$C$19="Ozone", 'Filtration System'!AD40*1000000, 0)</f>
        <v>4687500</v>
      </c>
      <c r="X76" s="118">
        <f>R76+$F$47+IF('Parameters and Satisfaction'!$C$19="Ozone", 'Filtration System'!AE40*1000000, 0)</f>
        <v>4687500</v>
      </c>
      <c r="Y76" s="118"/>
      <c r="Z76" s="118">
        <f t="shared" si="1"/>
        <v>2.6592577307053201E-2</v>
      </c>
      <c r="AA76" s="118">
        <f t="shared" si="2"/>
        <v>0.34971327186337836</v>
      </c>
      <c r="AB76" s="118">
        <f t="shared" si="3"/>
        <v>0.33482142857142855</v>
      </c>
      <c r="AC76" s="118">
        <f t="shared" si="4"/>
        <v>0.33482142857142855</v>
      </c>
      <c r="AD76" s="118">
        <f t="shared" si="5"/>
        <v>0.33482142857142855</v>
      </c>
      <c r="AE76" s="118"/>
      <c r="AF76" s="118"/>
      <c r="AG76" s="118"/>
      <c r="AK76">
        <f t="shared" si="6"/>
        <v>10967040</v>
      </c>
      <c r="AL76">
        <f t="shared" si="6"/>
        <v>10967040</v>
      </c>
      <c r="AM76">
        <f t="shared" si="6"/>
        <v>10967040</v>
      </c>
      <c r="AN76">
        <f t="shared" si="6"/>
        <v>10967040</v>
      </c>
      <c r="AO76">
        <f t="shared" si="6"/>
        <v>10967040</v>
      </c>
    </row>
    <row r="77" spans="1:41">
      <c r="A77" s="185">
        <f>'Water Stuff'!F11</f>
        <v>44568</v>
      </c>
      <c r="B77" s="118">
        <f>'Filtration System'!B41</f>
        <v>4079.9999999999991</v>
      </c>
      <c r="C77" s="118">
        <f>'Filtration System'!C41</f>
        <v>0</v>
      </c>
      <c r="D77" s="118">
        <f>'Filtration System'!D41</f>
        <v>5285.0188502238434</v>
      </c>
      <c r="E77" s="118">
        <f>'Filtration System'!E41</f>
        <v>874.78649975972496</v>
      </c>
      <c r="F77" s="118">
        <f>'Filtration System'!F41</f>
        <v>6910.0843247284101</v>
      </c>
      <c r="G77" s="118"/>
      <c r="H77" s="118">
        <f>B77/1000*(1000*9.81*Pumps!$B$14+'Parameters and Satisfaction'!$B$27)</f>
        <v>1093656.9713607924</v>
      </c>
      <c r="I77" s="118">
        <f>C77/1000*(1000*9.81*Pumps!$B$14+'Parameters and Satisfaction'!$B$27)</f>
        <v>0</v>
      </c>
      <c r="J77" s="118">
        <f>D77/1000*(1000*9.81*Pumps!$B$14+'Parameters and Satisfaction'!$B$27)</f>
        <v>1416666.1052256145</v>
      </c>
      <c r="K77" s="118">
        <f>E77/1000*(1000*9.81*Pumps!$B$14+'Parameters and Satisfaction'!$B$27)</f>
        <v>234489.30243003176</v>
      </c>
      <c r="L77" s="118">
        <f>F77/1000*(1000*9.81*Pumps!$B$14+'Parameters and Satisfaction'!$B$27)</f>
        <v>1852270.0721642552</v>
      </c>
      <c r="M77" s="118"/>
      <c r="N77" s="118">
        <f>H77/IF('Parameters and Satisfaction'!$C$13="Pump A", 0.7, IF('Parameters and Satisfaction'!$C$13 = "Pump B", 0.72, 0.65))</f>
        <v>1518968.0157788785</v>
      </c>
      <c r="O77" s="118">
        <f>I77/IF('Parameters and Satisfaction'!$C$13="Pump A", 0.7, IF('Parameters and Satisfaction'!$C$13 = "Pump B", 0.72, 0.65))</f>
        <v>0</v>
      </c>
      <c r="P77" s="118">
        <f>J77/IF('Parameters and Satisfaction'!$C$13="Pump A", 0.7, IF('Parameters and Satisfaction'!$C$13 = "Pump B", 0.72, 0.65))</f>
        <v>1967591.8128133535</v>
      </c>
      <c r="Q77" s="118">
        <f>K77/IF('Parameters and Satisfaction'!$C$13="Pump A", 0.7, IF('Parameters and Satisfaction'!$C$13 = "Pump B", 0.72, 0.65))</f>
        <v>325679.58670837746</v>
      </c>
      <c r="R77" s="118">
        <f>L77/IF('Parameters and Satisfaction'!$C$13="Pump A", 0.7, IF('Parameters and Satisfaction'!$C$13 = "Pump B", 0.72, 0.65))</f>
        <v>2572597.3224503547</v>
      </c>
      <c r="S77" s="118"/>
      <c r="T77" s="118">
        <f>N77+IF('Parameters and Satisfaction'!$C$19="Ozone", 'Filtration System'!AA41*1000000, 0)</f>
        <v>1518968.0157788785</v>
      </c>
      <c r="U77" s="118">
        <f>O77+$F$47+IF('Parameters and Satisfaction'!$C$19="Ozone", 'Filtration System'!AB41*1000000, 0)</f>
        <v>4687500</v>
      </c>
      <c r="V77" s="118">
        <f>P77+$F$47+IF('Parameters and Satisfaction'!$C$19="Ozone", 'Filtration System'!AC41*1000000, 0)</f>
        <v>6655091.8128133537</v>
      </c>
      <c r="W77" s="118">
        <f>Q77+$F$47+IF('Parameters and Satisfaction'!$C$19="Ozone", 'Filtration System'!AD41*1000000, 0)</f>
        <v>5013179.5867083771</v>
      </c>
      <c r="X77" s="118">
        <f>R77+$F$47+IF('Parameters and Satisfaction'!$C$19="Ozone", 'Filtration System'!AE41*1000000, 0)</f>
        <v>7260097.3224503547</v>
      </c>
      <c r="Y77" s="118"/>
      <c r="Z77" s="118">
        <f t="shared" si="1"/>
        <v>0.10849771541277703</v>
      </c>
      <c r="AA77" s="118">
        <f t="shared" si="2"/>
        <v>0.33482142857142855</v>
      </c>
      <c r="AB77" s="118">
        <f t="shared" si="3"/>
        <v>0.47536370091523955</v>
      </c>
      <c r="AC77" s="118">
        <f t="shared" si="4"/>
        <v>0.35808425619345552</v>
      </c>
      <c r="AD77" s="118">
        <f t="shared" si="5"/>
        <v>0.51857838017502533</v>
      </c>
      <c r="AE77" s="118"/>
      <c r="AF77" s="118"/>
      <c r="AG77" s="118"/>
      <c r="AK77">
        <f t="shared" si="6"/>
        <v>10967040</v>
      </c>
      <c r="AL77">
        <f t="shared" si="6"/>
        <v>10967040</v>
      </c>
      <c r="AM77">
        <f t="shared" si="6"/>
        <v>10967040</v>
      </c>
      <c r="AN77">
        <f t="shared" si="6"/>
        <v>10967040</v>
      </c>
      <c r="AO77">
        <f t="shared" si="6"/>
        <v>10967040</v>
      </c>
    </row>
    <row r="78" spans="1:41">
      <c r="A78" s="185">
        <f>'Water Stuff'!F12</f>
        <v>44569</v>
      </c>
      <c r="B78" s="118">
        <f>'Filtration System'!B42</f>
        <v>4960</v>
      </c>
      <c r="C78" s="118">
        <f>'Filtration System'!C42</f>
        <v>0</v>
      </c>
      <c r="D78" s="118">
        <f>'Filtration System'!D42</f>
        <v>2186.6727547461619</v>
      </c>
      <c r="E78" s="118">
        <f>'Filtration System'!E42</f>
        <v>0</v>
      </c>
      <c r="F78" s="118">
        <f>'Filtration System'!F42</f>
        <v>157.75118049144226</v>
      </c>
      <c r="G78" s="118"/>
      <c r="H78" s="118">
        <f>B78/1000*(1000*9.81*Pumps!$B$14+'Parameters and Satisfaction'!$B$27)</f>
        <v>1329543.7691052773</v>
      </c>
      <c r="I78" s="118">
        <f>C78/1000*(1000*9.81*Pumps!$B$14+'Parameters and Satisfaction'!$B$27)</f>
        <v>0</v>
      </c>
      <c r="J78" s="118">
        <f>D78/1000*(1000*9.81*Pumps!$B$14+'Parameters and Satisfaction'!$B$27)</f>
        <v>586144.583900208</v>
      </c>
      <c r="K78" s="118">
        <f>E78/1000*(1000*9.81*Pumps!$B$14+'Parameters and Satisfaction'!$B$27)</f>
        <v>0</v>
      </c>
      <c r="L78" s="118">
        <f>F78/1000*(1000*9.81*Pumps!$B$14+'Parameters and Satisfaction'!$B$27)</f>
        <v>42285.705461975616</v>
      </c>
      <c r="M78" s="118"/>
      <c r="N78" s="118">
        <f>H78/IF('Parameters and Satisfaction'!$C$13="Pump A", 0.7, IF('Parameters and Satisfaction'!$C$13 = "Pump B", 0.72, 0.65))</f>
        <v>1846588.568201774</v>
      </c>
      <c r="O78" s="118">
        <f>I78/IF('Parameters and Satisfaction'!$C$13="Pump A", 0.7, IF('Parameters and Satisfaction'!$C$13 = "Pump B", 0.72, 0.65))</f>
        <v>0</v>
      </c>
      <c r="P78" s="118">
        <f>J78/IF('Parameters and Satisfaction'!$C$13="Pump A", 0.7, IF('Parameters and Satisfaction'!$C$13 = "Pump B", 0.72, 0.65))</f>
        <v>814089.69986140006</v>
      </c>
      <c r="Q78" s="118">
        <f>K78/IF('Parameters and Satisfaction'!$C$13="Pump A", 0.7, IF('Parameters and Satisfaction'!$C$13 = "Pump B", 0.72, 0.65))</f>
        <v>0</v>
      </c>
      <c r="R78" s="118">
        <f>L78/IF('Parameters and Satisfaction'!$C$13="Pump A", 0.7, IF('Parameters and Satisfaction'!$C$13 = "Pump B", 0.72, 0.65))</f>
        <v>58730.146474966139</v>
      </c>
      <c r="S78" s="118"/>
      <c r="T78" s="118">
        <f>N78+IF('Parameters and Satisfaction'!$C$19="Ozone", 'Filtration System'!AA42*1000000, 0)</f>
        <v>1846588.568201774</v>
      </c>
      <c r="U78" s="118">
        <f>O78+$F$47+IF('Parameters and Satisfaction'!$C$19="Ozone", 'Filtration System'!AB42*1000000, 0)</f>
        <v>4687500</v>
      </c>
      <c r="V78" s="118">
        <f>P78+$F$47+IF('Parameters and Satisfaction'!$C$19="Ozone", 'Filtration System'!AC42*1000000, 0)</f>
        <v>5501589.6998613998</v>
      </c>
      <c r="W78" s="118">
        <f>Q78+$F$47+IF('Parameters and Satisfaction'!$C$19="Ozone", 'Filtration System'!AD42*1000000, 0)</f>
        <v>4687500</v>
      </c>
      <c r="X78" s="118">
        <f>R78+$F$47+IF('Parameters and Satisfaction'!$C$19="Ozone", 'Filtration System'!AE42*1000000, 0)</f>
        <v>4746230.1464749658</v>
      </c>
      <c r="Y78" s="118"/>
      <c r="Z78" s="118">
        <f t="shared" si="1"/>
        <v>0.13189918344298385</v>
      </c>
      <c r="AA78" s="118">
        <f t="shared" si="2"/>
        <v>0.33482142857142855</v>
      </c>
      <c r="AB78" s="118">
        <f t="shared" si="3"/>
        <v>0.39297069284724284</v>
      </c>
      <c r="AC78" s="118">
        <f t="shared" si="4"/>
        <v>0.33482142857142855</v>
      </c>
      <c r="AD78" s="118">
        <f t="shared" si="5"/>
        <v>0.33901643903392614</v>
      </c>
      <c r="AE78" s="118"/>
      <c r="AF78" s="118"/>
      <c r="AG78" s="118"/>
      <c r="AK78">
        <f t="shared" si="6"/>
        <v>10967040</v>
      </c>
      <c r="AL78">
        <f t="shared" si="6"/>
        <v>10967040</v>
      </c>
      <c r="AM78">
        <f t="shared" si="6"/>
        <v>10967040</v>
      </c>
      <c r="AN78">
        <f t="shared" si="6"/>
        <v>10967040</v>
      </c>
      <c r="AO78">
        <f t="shared" si="6"/>
        <v>10967040</v>
      </c>
    </row>
    <row r="79" spans="1:41">
      <c r="A79" s="185">
        <f>'Water Stuff'!F13</f>
        <v>44570</v>
      </c>
      <c r="B79" s="118">
        <f>'Filtration System'!B43</f>
        <v>6800</v>
      </c>
      <c r="C79" s="118">
        <f>'Filtration System'!C43</f>
        <v>160</v>
      </c>
      <c r="D79" s="118">
        <f>'Filtration System'!D43</f>
        <v>4856.1105240537136</v>
      </c>
      <c r="E79" s="118">
        <f>'Filtration System'!E43</f>
        <v>0</v>
      </c>
      <c r="F79" s="118">
        <f>'Filtration System'!F43</f>
        <v>3653.7851953982617</v>
      </c>
      <c r="G79" s="118"/>
      <c r="H79" s="118">
        <f>B79/1000*(1000*9.81*Pumps!$B$14+'Parameters and Satisfaction'!$B$27)</f>
        <v>1822761.6189346544</v>
      </c>
      <c r="I79" s="118">
        <f>C79/1000*(1000*9.81*Pumps!$B$14+'Parameters and Satisfaction'!$B$27)</f>
        <v>42888.508680815401</v>
      </c>
      <c r="J79" s="118">
        <f>D79/1000*(1000*9.81*Pumps!$B$14+'Parameters and Satisfaction'!$B$27)</f>
        <v>1301695.8647867294</v>
      </c>
      <c r="K79" s="118">
        <f>E79/1000*(1000*9.81*Pumps!$B$14+'Parameters and Satisfaction'!$B$27)</f>
        <v>0</v>
      </c>
      <c r="L79" s="118">
        <f>F79/1000*(1000*9.81*Pumps!$B$14+'Parameters and Satisfaction'!$B$27)</f>
        <v>979408.73794170702</v>
      </c>
      <c r="M79" s="118"/>
      <c r="N79" s="118">
        <f>H79/IF('Parameters and Satisfaction'!$C$13="Pump A", 0.7, IF('Parameters and Satisfaction'!$C$13 = "Pump B", 0.72, 0.65))</f>
        <v>2531613.3596314644</v>
      </c>
      <c r="O79" s="118">
        <f>I79/IF('Parameters and Satisfaction'!$C$13="Pump A", 0.7, IF('Parameters and Satisfaction'!$C$13 = "Pump B", 0.72, 0.65))</f>
        <v>59567.373167799167</v>
      </c>
      <c r="P79" s="118">
        <f>J79/IF('Parameters and Satisfaction'!$C$13="Pump A", 0.7, IF('Parameters and Satisfaction'!$C$13 = "Pump B", 0.72, 0.65))</f>
        <v>1807910.923314902</v>
      </c>
      <c r="Q79" s="118">
        <f>K79/IF('Parameters and Satisfaction'!$C$13="Pump A", 0.7, IF('Parameters and Satisfaction'!$C$13 = "Pump B", 0.72, 0.65))</f>
        <v>0</v>
      </c>
      <c r="R79" s="118">
        <f>L79/IF('Parameters and Satisfaction'!$C$13="Pump A", 0.7, IF('Parameters and Satisfaction'!$C$13 = "Pump B", 0.72, 0.65))</f>
        <v>1360289.9138079265</v>
      </c>
      <c r="S79" s="118"/>
      <c r="T79" s="118">
        <f>N79+IF('Parameters and Satisfaction'!$C$19="Ozone", 'Filtration System'!AA43*1000000, 0)</f>
        <v>2531613.3596314644</v>
      </c>
      <c r="U79" s="118">
        <f>O79+$F$47+IF('Parameters and Satisfaction'!$C$19="Ozone", 'Filtration System'!AB43*1000000, 0)</f>
        <v>4747067.3731677989</v>
      </c>
      <c r="V79" s="118">
        <f>P79+$F$47+IF('Parameters and Satisfaction'!$C$19="Ozone", 'Filtration System'!AC43*1000000, 0)</f>
        <v>6495410.923314902</v>
      </c>
      <c r="W79" s="118">
        <f>Q79+$F$47+IF('Parameters and Satisfaction'!$C$19="Ozone", 'Filtration System'!AD43*1000000, 0)</f>
        <v>4687500</v>
      </c>
      <c r="X79" s="118">
        <f>R79+$F$47+IF('Parameters and Satisfaction'!$C$19="Ozone", 'Filtration System'!AE43*1000000, 0)</f>
        <v>6047789.9138079267</v>
      </c>
      <c r="Y79" s="118"/>
      <c r="Z79" s="118">
        <f t="shared" si="1"/>
        <v>0.18082952568796173</v>
      </c>
      <c r="AA79" s="118">
        <f t="shared" si="2"/>
        <v>0.33907624094055705</v>
      </c>
      <c r="AB79" s="118">
        <f t="shared" si="3"/>
        <v>0.46395792309392159</v>
      </c>
      <c r="AC79" s="118">
        <f t="shared" si="4"/>
        <v>0.33482142857142855</v>
      </c>
      <c r="AD79" s="118">
        <f t="shared" si="5"/>
        <v>0.43198499384342331</v>
      </c>
      <c r="AE79" s="118"/>
      <c r="AF79" s="118"/>
      <c r="AG79" s="118"/>
      <c r="AK79">
        <f t="shared" si="6"/>
        <v>10967040</v>
      </c>
      <c r="AL79">
        <f t="shared" si="6"/>
        <v>10967040</v>
      </c>
      <c r="AM79">
        <f t="shared" si="6"/>
        <v>10967040</v>
      </c>
      <c r="AN79">
        <f t="shared" si="6"/>
        <v>10967040</v>
      </c>
      <c r="AO79">
        <f t="shared" si="6"/>
        <v>10967040</v>
      </c>
    </row>
    <row r="80" spans="1:41">
      <c r="A80" s="185">
        <f>'Water Stuff'!F14</f>
        <v>44571</v>
      </c>
      <c r="B80" s="118">
        <f>'Filtration System'!B44</f>
        <v>8920</v>
      </c>
      <c r="C80" s="118">
        <f>'Filtration System'!C44</f>
        <v>0</v>
      </c>
      <c r="D80" s="118">
        <f>'Filtration System'!D44</f>
        <v>7893.6704145023923</v>
      </c>
      <c r="E80" s="118">
        <f>'Filtration System'!E44</f>
        <v>0</v>
      </c>
      <c r="F80" s="118">
        <f>'Filtration System'!F44</f>
        <v>9105.9558959697661</v>
      </c>
      <c r="G80" s="118"/>
      <c r="H80" s="118">
        <f>B80/1000*(1000*9.81*Pumps!$B$14+'Parameters and Satisfaction'!$B$27)</f>
        <v>2391034.3589554583</v>
      </c>
      <c r="I80" s="118">
        <f>C80/1000*(1000*9.81*Pumps!$B$14+'Parameters and Satisfaction'!$B$27)</f>
        <v>0</v>
      </c>
      <c r="J80" s="118">
        <f>D80/1000*(1000*9.81*Pumps!$B$14+'Parameters and Satisfaction'!$B$27)</f>
        <v>2115923.4505992597</v>
      </c>
      <c r="K80" s="118">
        <f>E80/1000*(1000*9.81*Pumps!$B$14+'Parameters and Satisfaction'!$B$27)</f>
        <v>0</v>
      </c>
      <c r="L80" s="118">
        <f>F80/1000*(1000*9.81*Pumps!$B$14+'Parameters and Satisfaction'!$B$27)</f>
        <v>2440880.4280713843</v>
      </c>
      <c r="M80" s="118"/>
      <c r="N80" s="118">
        <f>H80/IF('Parameters and Satisfaction'!$C$13="Pump A", 0.7, IF('Parameters and Satisfaction'!$C$13 = "Pump B", 0.72, 0.65))</f>
        <v>3320881.0541048031</v>
      </c>
      <c r="O80" s="118">
        <f>I80/IF('Parameters and Satisfaction'!$C$13="Pump A", 0.7, IF('Parameters and Satisfaction'!$C$13 = "Pump B", 0.72, 0.65))</f>
        <v>0</v>
      </c>
      <c r="P80" s="118">
        <f>J80/IF('Parameters and Satisfaction'!$C$13="Pump A", 0.7, IF('Parameters and Satisfaction'!$C$13 = "Pump B", 0.72, 0.65))</f>
        <v>2938782.5702767498</v>
      </c>
      <c r="Q80" s="118">
        <f>K80/IF('Parameters and Satisfaction'!$C$13="Pump A", 0.7, IF('Parameters and Satisfaction'!$C$13 = "Pump B", 0.72, 0.65))</f>
        <v>0</v>
      </c>
      <c r="R80" s="118">
        <f>L80/IF('Parameters and Satisfaction'!$C$13="Pump A", 0.7, IF('Parameters and Satisfaction'!$C$13 = "Pump B", 0.72, 0.65))</f>
        <v>3390111.7056547008</v>
      </c>
      <c r="S80" s="118"/>
      <c r="T80" s="118">
        <f>N80+IF('Parameters and Satisfaction'!$C$19="Ozone", 'Filtration System'!AA44*1000000, 0)</f>
        <v>3320881.0541048031</v>
      </c>
      <c r="U80" s="118">
        <f>O80+$F$47+IF('Parameters and Satisfaction'!$C$19="Ozone", 'Filtration System'!AB44*1000000, 0)</f>
        <v>4687500</v>
      </c>
      <c r="V80" s="118">
        <f>P80+$F$47+IF('Parameters and Satisfaction'!$C$19="Ozone", 'Filtration System'!AC44*1000000, 0)</f>
        <v>7626282.5702767503</v>
      </c>
      <c r="W80" s="118">
        <f>Q80+$F$47+IF('Parameters and Satisfaction'!$C$19="Ozone", 'Filtration System'!AD44*1000000, 0)</f>
        <v>4687500</v>
      </c>
      <c r="X80" s="118">
        <f>R80+$F$47+IF('Parameters and Satisfaction'!$C$19="Ozone", 'Filtration System'!AE44*1000000, 0)</f>
        <v>8077611.7056547012</v>
      </c>
      <c r="Y80" s="118"/>
      <c r="Z80" s="118">
        <f t="shared" si="1"/>
        <v>0.2372057895789145</v>
      </c>
      <c r="AA80" s="118">
        <f t="shared" si="2"/>
        <v>0.33482142857142855</v>
      </c>
      <c r="AB80" s="118">
        <f t="shared" si="3"/>
        <v>0.54473446930548219</v>
      </c>
      <c r="AC80" s="118">
        <f t="shared" si="4"/>
        <v>0.33482142857142855</v>
      </c>
      <c r="AD80" s="118">
        <f t="shared" si="5"/>
        <v>0.57697226468962148</v>
      </c>
      <c r="AE80" s="118"/>
      <c r="AF80" s="118"/>
      <c r="AG80" s="118"/>
      <c r="AK80">
        <f t="shared" si="6"/>
        <v>10967040</v>
      </c>
      <c r="AL80">
        <f t="shared" si="6"/>
        <v>10967040</v>
      </c>
      <c r="AM80">
        <f t="shared" si="6"/>
        <v>10967040</v>
      </c>
      <c r="AN80">
        <f t="shared" si="6"/>
        <v>10967040</v>
      </c>
      <c r="AO80">
        <f t="shared" si="6"/>
        <v>10967040</v>
      </c>
    </row>
    <row r="81" spans="1:41">
      <c r="A81" s="185">
        <f>'Water Stuff'!F15</f>
        <v>44572</v>
      </c>
      <c r="B81" s="118">
        <f>'Filtration System'!B45</f>
        <v>2880</v>
      </c>
      <c r="C81" s="118">
        <f>'Filtration System'!C45</f>
        <v>0</v>
      </c>
      <c r="D81" s="118">
        <f>'Filtration System'!D45</f>
        <v>0</v>
      </c>
      <c r="E81" s="118">
        <f>'Filtration System'!E45</f>
        <v>0</v>
      </c>
      <c r="F81" s="118">
        <f>'Filtration System'!F45</f>
        <v>0</v>
      </c>
      <c r="G81" s="118"/>
      <c r="H81" s="118">
        <f>B81/1000*(1000*9.81*Pumps!$B$14+'Parameters and Satisfaction'!$B$27)</f>
        <v>771993.1562546771</v>
      </c>
      <c r="I81" s="118">
        <f>C81/1000*(1000*9.81*Pumps!$B$14+'Parameters and Satisfaction'!$B$27)</f>
        <v>0</v>
      </c>
      <c r="J81" s="118">
        <f>D81/1000*(1000*9.81*Pumps!$B$14+'Parameters and Satisfaction'!$B$27)</f>
        <v>0</v>
      </c>
      <c r="K81" s="118">
        <f>E81/1000*(1000*9.81*Pumps!$B$14+'Parameters and Satisfaction'!$B$27)</f>
        <v>0</v>
      </c>
      <c r="L81" s="118">
        <f>F81/1000*(1000*9.81*Pumps!$B$14+'Parameters and Satisfaction'!$B$27)</f>
        <v>0</v>
      </c>
      <c r="M81" s="118"/>
      <c r="N81" s="118">
        <f>H81/IF('Parameters and Satisfaction'!$C$13="Pump A", 0.7, IF('Parameters and Satisfaction'!$C$13 = "Pump B", 0.72, 0.65))</f>
        <v>1072212.717020385</v>
      </c>
      <c r="O81" s="118">
        <f>I81/IF('Parameters and Satisfaction'!$C$13="Pump A", 0.7, IF('Parameters and Satisfaction'!$C$13 = "Pump B", 0.72, 0.65))</f>
        <v>0</v>
      </c>
      <c r="P81" s="118">
        <f>J81/IF('Parameters and Satisfaction'!$C$13="Pump A", 0.7, IF('Parameters and Satisfaction'!$C$13 = "Pump B", 0.72, 0.65))</f>
        <v>0</v>
      </c>
      <c r="Q81" s="118">
        <f>K81/IF('Parameters and Satisfaction'!$C$13="Pump A", 0.7, IF('Parameters and Satisfaction'!$C$13 = "Pump B", 0.72, 0.65))</f>
        <v>0</v>
      </c>
      <c r="R81" s="118">
        <f>L81/IF('Parameters and Satisfaction'!$C$13="Pump A", 0.7, IF('Parameters and Satisfaction'!$C$13 = "Pump B", 0.72, 0.65))</f>
        <v>0</v>
      </c>
      <c r="S81" s="118"/>
      <c r="T81" s="118">
        <f>N81+IF('Parameters and Satisfaction'!$C$19="Ozone", 'Filtration System'!AA45*1000000, 0)</f>
        <v>1072212.717020385</v>
      </c>
      <c r="U81" s="118">
        <f>O81+$F$47+IF('Parameters and Satisfaction'!$C$19="Ozone", 'Filtration System'!AB45*1000000, 0)</f>
        <v>4687500</v>
      </c>
      <c r="V81" s="118">
        <f>P81+$F$47+IF('Parameters and Satisfaction'!$C$19="Ozone", 'Filtration System'!AC45*1000000, 0)</f>
        <v>4687500</v>
      </c>
      <c r="W81" s="118">
        <f>Q81+$F$47+IF('Parameters and Satisfaction'!$C$19="Ozone", 'Filtration System'!AD45*1000000, 0)</f>
        <v>4687500</v>
      </c>
      <c r="X81" s="118">
        <f>R81+$F$47+IF('Parameters and Satisfaction'!$C$19="Ozone", 'Filtration System'!AE45*1000000, 0)</f>
        <v>4687500</v>
      </c>
      <c r="Y81" s="118"/>
      <c r="Z81" s="118">
        <f t="shared" si="1"/>
        <v>7.6586622644313207E-2</v>
      </c>
      <c r="AA81" s="118">
        <f t="shared" si="2"/>
        <v>0.33482142857142855</v>
      </c>
      <c r="AB81" s="118">
        <f t="shared" si="3"/>
        <v>0.33482142857142855</v>
      </c>
      <c r="AC81" s="118">
        <f t="shared" si="4"/>
        <v>0.33482142857142855</v>
      </c>
      <c r="AD81" s="118">
        <f t="shared" si="5"/>
        <v>0.33482142857142855</v>
      </c>
      <c r="AE81" s="118"/>
      <c r="AF81" s="118"/>
      <c r="AG81" s="118"/>
      <c r="AK81">
        <f t="shared" ref="AK81:AO90" si="7">$D$55</f>
        <v>10967040</v>
      </c>
      <c r="AL81">
        <f t="shared" si="7"/>
        <v>10967040</v>
      </c>
      <c r="AM81">
        <f t="shared" si="7"/>
        <v>10967040</v>
      </c>
      <c r="AN81">
        <f t="shared" si="7"/>
        <v>10967040</v>
      </c>
      <c r="AO81">
        <f t="shared" si="7"/>
        <v>10967040</v>
      </c>
    </row>
    <row r="82" spans="1:41">
      <c r="A82" s="185">
        <f>'Water Stuff'!F16</f>
        <v>44573</v>
      </c>
      <c r="B82" s="118">
        <f>'Filtration System'!B46</f>
        <v>10000</v>
      </c>
      <c r="C82" s="118">
        <f>'Filtration System'!C46</f>
        <v>0</v>
      </c>
      <c r="D82" s="118">
        <f>'Filtration System'!D46</f>
        <v>9700.4824304539961</v>
      </c>
      <c r="E82" s="118">
        <f>'Filtration System'!E46</f>
        <v>0</v>
      </c>
      <c r="F82" s="118">
        <f>'Filtration System'!F46</f>
        <v>6899.3136874148977</v>
      </c>
      <c r="G82" s="118"/>
      <c r="H82" s="118">
        <f>B82/1000*(1000*9.81*Pumps!$B$14+'Parameters and Satisfaction'!$B$27)</f>
        <v>2680531.7925509624</v>
      </c>
      <c r="I82" s="118">
        <f>C82/1000*(1000*9.81*Pumps!$B$14+'Parameters and Satisfaction'!$B$27)</f>
        <v>0</v>
      </c>
      <c r="J82" s="118">
        <f>D82/1000*(1000*9.81*Pumps!$B$14+'Parameters and Satisfaction'!$B$27)</f>
        <v>2600245.1557913967</v>
      </c>
      <c r="K82" s="118">
        <f>E82/1000*(1000*9.81*Pumps!$B$14+'Parameters and Satisfaction'!$B$27)</f>
        <v>0</v>
      </c>
      <c r="L82" s="118">
        <f>F82/1000*(1000*9.81*Pumps!$B$14+'Parameters and Satisfaction'!$B$27)</f>
        <v>1849382.9685897646</v>
      </c>
      <c r="M82" s="118"/>
      <c r="N82" s="118">
        <f>H82/IF('Parameters and Satisfaction'!$C$13="Pump A", 0.7, IF('Parameters and Satisfaction'!$C$13 = "Pump B", 0.72, 0.65))</f>
        <v>3722960.822987448</v>
      </c>
      <c r="O82" s="118">
        <f>I82/IF('Parameters and Satisfaction'!$C$13="Pump A", 0.7, IF('Parameters and Satisfaction'!$C$13 = "Pump B", 0.72, 0.65))</f>
        <v>0</v>
      </c>
      <c r="P82" s="118">
        <f>J82/IF('Parameters and Satisfaction'!$C$13="Pump A", 0.7, IF('Parameters and Satisfaction'!$C$13 = "Pump B", 0.72, 0.65))</f>
        <v>3611451.6052658288</v>
      </c>
      <c r="Q82" s="118">
        <f>K82/IF('Parameters and Satisfaction'!$C$13="Pump A", 0.7, IF('Parameters and Satisfaction'!$C$13 = "Pump B", 0.72, 0.65))</f>
        <v>0</v>
      </c>
      <c r="R82" s="118">
        <f>L82/IF('Parameters and Satisfaction'!$C$13="Pump A", 0.7, IF('Parameters and Satisfaction'!$C$13 = "Pump B", 0.72, 0.65))</f>
        <v>2568587.4563746732</v>
      </c>
      <c r="S82" s="118"/>
      <c r="T82" s="118">
        <f>N82+IF('Parameters and Satisfaction'!$C$19="Ozone", 'Filtration System'!AA46*1000000, 0)</f>
        <v>3722960.822987448</v>
      </c>
      <c r="U82" s="118">
        <f>O82+$F$47+IF('Parameters and Satisfaction'!$C$19="Ozone", 'Filtration System'!AB46*1000000, 0)</f>
        <v>4687500</v>
      </c>
      <c r="V82" s="118">
        <f>P82+$F$47+IF('Parameters and Satisfaction'!$C$19="Ozone", 'Filtration System'!AC46*1000000, 0)</f>
        <v>8298951.6052658288</v>
      </c>
      <c r="W82" s="118">
        <f>Q82+$F$47+IF('Parameters and Satisfaction'!$C$19="Ozone", 'Filtration System'!AD46*1000000, 0)</f>
        <v>4687500</v>
      </c>
      <c r="X82" s="118">
        <f>R82+$F$47+IF('Parameters and Satisfaction'!$C$19="Ozone", 'Filtration System'!AE46*1000000, 0)</f>
        <v>7256087.4563746732</v>
      </c>
      <c r="Y82" s="118"/>
      <c r="Z82" s="118">
        <f t="shared" si="1"/>
        <v>0.265925773070532</v>
      </c>
      <c r="AA82" s="118">
        <f t="shared" si="2"/>
        <v>0.33482142857142855</v>
      </c>
      <c r="AB82" s="118">
        <f t="shared" si="3"/>
        <v>0.59278225751898772</v>
      </c>
      <c r="AC82" s="118">
        <f t="shared" si="4"/>
        <v>0.33482142857142855</v>
      </c>
      <c r="AD82" s="118">
        <f t="shared" si="5"/>
        <v>0.51829196116961951</v>
      </c>
      <c r="AE82" s="118"/>
      <c r="AF82" s="118"/>
      <c r="AG82" s="118"/>
      <c r="AK82">
        <f t="shared" si="7"/>
        <v>10967040</v>
      </c>
      <c r="AL82">
        <f t="shared" si="7"/>
        <v>10967040</v>
      </c>
      <c r="AM82">
        <f t="shared" si="7"/>
        <v>10967040</v>
      </c>
      <c r="AN82">
        <f t="shared" si="7"/>
        <v>10967040</v>
      </c>
      <c r="AO82">
        <f t="shared" si="7"/>
        <v>10967040</v>
      </c>
    </row>
    <row r="83" spans="1:41">
      <c r="A83" s="185">
        <f>'Water Stuff'!F17</f>
        <v>44574</v>
      </c>
      <c r="B83" s="118">
        <f>'Filtration System'!B47</f>
        <v>1920</v>
      </c>
      <c r="C83" s="118">
        <f>'Filtration System'!C47</f>
        <v>0</v>
      </c>
      <c r="D83" s="118">
        <f>'Filtration System'!D47</f>
        <v>0</v>
      </c>
      <c r="E83" s="118">
        <f>'Filtration System'!E47</f>
        <v>1342.1618981117522</v>
      </c>
      <c r="F83" s="118">
        <f>'Filtration System'!F47</f>
        <v>123.70175656414074</v>
      </c>
      <c r="G83" s="118"/>
      <c r="H83" s="118">
        <f>B83/1000*(1000*9.81*Pumps!$B$14+'Parameters and Satisfaction'!$B$27)</f>
        <v>514662.10416978475</v>
      </c>
      <c r="I83" s="118">
        <f>C83/1000*(1000*9.81*Pumps!$B$14+'Parameters and Satisfaction'!$B$27)</f>
        <v>0</v>
      </c>
      <c r="J83" s="118">
        <f>D83/1000*(1000*9.81*Pumps!$B$14+'Parameters and Satisfaction'!$B$27)</f>
        <v>0</v>
      </c>
      <c r="K83" s="118">
        <f>E83/1000*(1000*9.81*Pumps!$B$14+'Parameters and Satisfaction'!$B$27)</f>
        <v>359770.76386390976</v>
      </c>
      <c r="L83" s="118">
        <f>F83/1000*(1000*9.81*Pumps!$B$14+'Parameters and Satisfaction'!$B$27)</f>
        <v>33158.649126457894</v>
      </c>
      <c r="M83" s="118"/>
      <c r="N83" s="118">
        <f>H83/IF('Parameters and Satisfaction'!$C$13="Pump A", 0.7, IF('Parameters and Satisfaction'!$C$13 = "Pump B", 0.72, 0.65))</f>
        <v>714808.47801358998</v>
      </c>
      <c r="O83" s="118">
        <f>I83/IF('Parameters and Satisfaction'!$C$13="Pump A", 0.7, IF('Parameters and Satisfaction'!$C$13 = "Pump B", 0.72, 0.65))</f>
        <v>0</v>
      </c>
      <c r="P83" s="118">
        <f>J83/IF('Parameters and Satisfaction'!$C$13="Pump A", 0.7, IF('Parameters and Satisfaction'!$C$13 = "Pump B", 0.72, 0.65))</f>
        <v>0</v>
      </c>
      <c r="Q83" s="118">
        <f>K83/IF('Parameters and Satisfaction'!$C$13="Pump A", 0.7, IF('Parameters and Satisfaction'!$C$13 = "Pump B", 0.72, 0.65))</f>
        <v>499681.61647765245</v>
      </c>
      <c r="R83" s="118">
        <f>L83/IF('Parameters and Satisfaction'!$C$13="Pump A", 0.7, IF('Parameters and Satisfaction'!$C$13 = "Pump B", 0.72, 0.65))</f>
        <v>46053.679342302632</v>
      </c>
      <c r="S83" s="118"/>
      <c r="T83" s="118">
        <f>N83+IF('Parameters and Satisfaction'!$C$19="Ozone", 'Filtration System'!AA47*1000000, 0)</f>
        <v>714808.47801358998</v>
      </c>
      <c r="U83" s="118">
        <f>O83+$F$47+IF('Parameters and Satisfaction'!$C$19="Ozone", 'Filtration System'!AB47*1000000, 0)</f>
        <v>4687500</v>
      </c>
      <c r="V83" s="118">
        <f>P83+$F$47+IF('Parameters and Satisfaction'!$C$19="Ozone", 'Filtration System'!AC47*1000000, 0)</f>
        <v>4687500</v>
      </c>
      <c r="W83" s="118">
        <f>Q83+$F$47+IF('Parameters and Satisfaction'!$C$19="Ozone", 'Filtration System'!AD47*1000000, 0)</f>
        <v>5187181.6164776525</v>
      </c>
      <c r="X83" s="118">
        <f>R83+$F$47+IF('Parameters and Satisfaction'!$C$19="Ozone", 'Filtration System'!AE47*1000000, 0)</f>
        <v>4733553.6793423025</v>
      </c>
      <c r="Y83" s="118"/>
      <c r="Z83" s="118">
        <f t="shared" si="1"/>
        <v>5.1057748429542138E-2</v>
      </c>
      <c r="AA83" s="118">
        <f t="shared" si="2"/>
        <v>0.33482142857142855</v>
      </c>
      <c r="AB83" s="118">
        <f t="shared" si="3"/>
        <v>0.33482142857142855</v>
      </c>
      <c r="AC83" s="118">
        <f t="shared" si="4"/>
        <v>0.37051297260554661</v>
      </c>
      <c r="AD83" s="118">
        <f t="shared" si="5"/>
        <v>0.33811097709587873</v>
      </c>
      <c r="AE83" s="118"/>
      <c r="AF83" s="118"/>
      <c r="AG83" s="118"/>
      <c r="AK83">
        <f t="shared" si="7"/>
        <v>10967040</v>
      </c>
      <c r="AL83">
        <f t="shared" si="7"/>
        <v>10967040</v>
      </c>
      <c r="AM83">
        <f t="shared" si="7"/>
        <v>10967040</v>
      </c>
      <c r="AN83">
        <f t="shared" si="7"/>
        <v>10967040</v>
      </c>
      <c r="AO83">
        <f t="shared" si="7"/>
        <v>10967040</v>
      </c>
    </row>
    <row r="84" spans="1:41">
      <c r="A84" s="185">
        <f>'Water Stuff'!F18</f>
        <v>44575</v>
      </c>
      <c r="B84" s="118">
        <f>'Filtration System'!B48</f>
        <v>1160</v>
      </c>
      <c r="C84" s="118">
        <f>'Filtration System'!C48</f>
        <v>80</v>
      </c>
      <c r="D84" s="118">
        <f>'Filtration System'!D48</f>
        <v>1919.3323115213052</v>
      </c>
      <c r="E84" s="118">
        <f>'Filtration System'!E48</f>
        <v>0</v>
      </c>
      <c r="F84" s="118">
        <f>'Filtration System'!F48</f>
        <v>246.23298725351123</v>
      </c>
      <c r="G84" s="118"/>
      <c r="H84" s="118">
        <f>B84/1000*(1000*9.81*Pumps!$B$14+'Parameters and Satisfaction'!$B$27)</f>
        <v>310941.68793591164</v>
      </c>
      <c r="I84" s="118">
        <f>C84/1000*(1000*9.81*Pumps!$B$14+'Parameters and Satisfaction'!$B$27)</f>
        <v>21444.254340407701</v>
      </c>
      <c r="J84" s="118">
        <f>D84/1000*(1000*9.81*Pumps!$B$14+'Parameters and Satisfaction'!$B$27)</f>
        <v>514483.12815031863</v>
      </c>
      <c r="K84" s="118">
        <f>E84/1000*(1000*9.81*Pumps!$B$14+'Parameters and Satisfaction'!$B$27)</f>
        <v>0</v>
      </c>
      <c r="L84" s="118">
        <f>F84/1000*(1000*9.81*Pumps!$B$14+'Parameters and Satisfaction'!$B$27)</f>
        <v>66003.535070783269</v>
      </c>
      <c r="M84" s="118"/>
      <c r="N84" s="118">
        <f>H84/IF('Parameters and Satisfaction'!$C$13="Pump A", 0.7, IF('Parameters and Satisfaction'!$C$13 = "Pump B", 0.72, 0.65))</f>
        <v>431863.45546654396</v>
      </c>
      <c r="O84" s="118">
        <f>I84/IF('Parameters and Satisfaction'!$C$13="Pump A", 0.7, IF('Parameters and Satisfaction'!$C$13 = "Pump B", 0.72, 0.65))</f>
        <v>29783.686583899584</v>
      </c>
      <c r="P84" s="118">
        <f>J84/IF('Parameters and Satisfaction'!$C$13="Pump A", 0.7, IF('Parameters and Satisfaction'!$C$13 = "Pump B", 0.72, 0.65))</f>
        <v>714559.90020877589</v>
      </c>
      <c r="Q84" s="118">
        <f>K84/IF('Parameters and Satisfaction'!$C$13="Pump A", 0.7, IF('Parameters and Satisfaction'!$C$13 = "Pump B", 0.72, 0.65))</f>
        <v>0</v>
      </c>
      <c r="R84" s="118">
        <f>L84/IF('Parameters and Satisfaction'!$C$13="Pump A", 0.7, IF('Parameters and Satisfaction'!$C$13 = "Pump B", 0.72, 0.65))</f>
        <v>91671.576487198996</v>
      </c>
      <c r="S84" s="118"/>
      <c r="T84" s="118">
        <f>N84+IF('Parameters and Satisfaction'!$C$19="Ozone", 'Filtration System'!AA48*1000000, 0)</f>
        <v>431863.45546654396</v>
      </c>
      <c r="U84" s="118">
        <f>O84+$F$47+IF('Parameters and Satisfaction'!$C$19="Ozone", 'Filtration System'!AB48*1000000, 0)</f>
        <v>4717283.6865838999</v>
      </c>
      <c r="V84" s="118">
        <f>P84+$F$47+IF('Parameters and Satisfaction'!$C$19="Ozone", 'Filtration System'!AC48*1000000, 0)</f>
        <v>5402059.9002087759</v>
      </c>
      <c r="W84" s="118">
        <f>Q84+$F$47+IF('Parameters and Satisfaction'!$C$19="Ozone", 'Filtration System'!AD48*1000000, 0)</f>
        <v>4687500</v>
      </c>
      <c r="X84" s="118">
        <f>R84+$F$47+IF('Parameters and Satisfaction'!$C$19="Ozone", 'Filtration System'!AE48*1000000, 0)</f>
        <v>4779171.5764871994</v>
      </c>
      <c r="Y84" s="118"/>
      <c r="Z84" s="118">
        <f t="shared" si="1"/>
        <v>3.0847389676181711E-2</v>
      </c>
      <c r="AA84" s="118">
        <f t="shared" si="2"/>
        <v>0.33694883475599285</v>
      </c>
      <c r="AB84" s="118">
        <f t="shared" si="3"/>
        <v>0.38586142144348401</v>
      </c>
      <c r="AC84" s="118">
        <f t="shared" si="4"/>
        <v>0.33482142857142855</v>
      </c>
      <c r="AD84" s="118">
        <f t="shared" si="5"/>
        <v>0.34136939832051422</v>
      </c>
      <c r="AE84" s="118"/>
      <c r="AF84" s="118"/>
      <c r="AG84" s="118"/>
      <c r="AK84">
        <f t="shared" si="7"/>
        <v>10967040</v>
      </c>
      <c r="AL84">
        <f t="shared" si="7"/>
        <v>10967040</v>
      </c>
      <c r="AM84">
        <f t="shared" si="7"/>
        <v>10967040</v>
      </c>
      <c r="AN84">
        <f t="shared" si="7"/>
        <v>10967040</v>
      </c>
      <c r="AO84">
        <f t="shared" si="7"/>
        <v>10967040</v>
      </c>
    </row>
    <row r="85" spans="1:41">
      <c r="A85" s="185">
        <f>'Water Stuff'!F19</f>
        <v>44576</v>
      </c>
      <c r="B85" s="118">
        <f>'Filtration System'!B49</f>
        <v>320</v>
      </c>
      <c r="C85" s="118">
        <f>'Filtration System'!C49</f>
        <v>7080</v>
      </c>
      <c r="D85" s="118">
        <f>'Filtration System'!D49</f>
        <v>0</v>
      </c>
      <c r="E85" s="118">
        <f>'Filtration System'!E49</f>
        <v>4860.9133779500362</v>
      </c>
      <c r="F85" s="118">
        <f>'Filtration System'!F49</f>
        <v>0</v>
      </c>
      <c r="G85" s="118"/>
      <c r="H85" s="118">
        <f>B85/1000*(1000*9.81*Pumps!$B$14+'Parameters and Satisfaction'!$B$27)</f>
        <v>85777.017361630802</v>
      </c>
      <c r="I85" s="118">
        <f>C85/1000*(1000*9.81*Pumps!$B$14+'Parameters and Satisfaction'!$B$27)</f>
        <v>1897816.5091260814</v>
      </c>
      <c r="J85" s="118">
        <f>D85/1000*(1000*9.81*Pumps!$B$14+'Parameters and Satisfaction'!$B$27)</f>
        <v>0</v>
      </c>
      <c r="K85" s="118">
        <f>E85/1000*(1000*9.81*Pumps!$B$14+'Parameters and Satisfaction'!$B$27)</f>
        <v>1302983.2850431362</v>
      </c>
      <c r="L85" s="118">
        <f>F85/1000*(1000*9.81*Pumps!$B$14+'Parameters and Satisfaction'!$B$27)</f>
        <v>0</v>
      </c>
      <c r="M85" s="118"/>
      <c r="N85" s="118">
        <f>H85/IF('Parameters and Satisfaction'!$C$13="Pump A", 0.7, IF('Parameters and Satisfaction'!$C$13 = "Pump B", 0.72, 0.65))</f>
        <v>119134.74633559833</v>
      </c>
      <c r="O85" s="118">
        <f>I85/IF('Parameters and Satisfaction'!$C$13="Pump A", 0.7, IF('Parameters and Satisfaction'!$C$13 = "Pump B", 0.72, 0.65))</f>
        <v>2635856.262675113</v>
      </c>
      <c r="P85" s="118">
        <f>J85/IF('Parameters and Satisfaction'!$C$13="Pump A", 0.7, IF('Parameters and Satisfaction'!$C$13 = "Pump B", 0.72, 0.65))</f>
        <v>0</v>
      </c>
      <c r="Q85" s="118">
        <f>K85/IF('Parameters and Satisfaction'!$C$13="Pump A", 0.7, IF('Parameters and Satisfaction'!$C$13 = "Pump B", 0.72, 0.65))</f>
        <v>1809699.007004356</v>
      </c>
      <c r="R85" s="118">
        <f>L85/IF('Parameters and Satisfaction'!$C$13="Pump A", 0.7, IF('Parameters and Satisfaction'!$C$13 = "Pump B", 0.72, 0.65))</f>
        <v>0</v>
      </c>
      <c r="S85" s="118"/>
      <c r="T85" s="118">
        <f>N85+IF('Parameters and Satisfaction'!$C$19="Ozone", 'Filtration System'!AA49*1000000, 0)</f>
        <v>119134.74633559833</v>
      </c>
      <c r="U85" s="118">
        <f>O85+$F$47+IF('Parameters and Satisfaction'!$C$19="Ozone", 'Filtration System'!AB49*1000000, 0)</f>
        <v>7323356.262675113</v>
      </c>
      <c r="V85" s="118">
        <f>P85+$F$47+IF('Parameters and Satisfaction'!$C$19="Ozone", 'Filtration System'!AC49*1000000, 0)</f>
        <v>4687500</v>
      </c>
      <c r="W85" s="118">
        <f>Q85+$F$47+IF('Parameters and Satisfaction'!$C$19="Ozone", 'Filtration System'!AD49*1000000, 0)</f>
        <v>6497199.007004356</v>
      </c>
      <c r="X85" s="118">
        <f>R85+$F$47+IF('Parameters and Satisfaction'!$C$19="Ozone", 'Filtration System'!AE49*1000000, 0)</f>
        <v>4687500</v>
      </c>
      <c r="Y85" s="118"/>
      <c r="Z85" s="118">
        <f t="shared" si="1"/>
        <v>8.5096247382570236E-3</v>
      </c>
      <c r="AA85" s="118">
        <f t="shared" si="2"/>
        <v>0.52309687590536524</v>
      </c>
      <c r="AB85" s="118">
        <f t="shared" si="3"/>
        <v>0.33482142857142855</v>
      </c>
      <c r="AC85" s="118">
        <f t="shared" si="4"/>
        <v>0.464085643357454</v>
      </c>
      <c r="AD85" s="118">
        <f t="shared" si="5"/>
        <v>0.33482142857142855</v>
      </c>
      <c r="AE85" s="118"/>
      <c r="AF85" s="118"/>
      <c r="AG85" s="118"/>
      <c r="AK85">
        <f t="shared" si="7"/>
        <v>10967040</v>
      </c>
      <c r="AL85">
        <f t="shared" si="7"/>
        <v>10967040</v>
      </c>
      <c r="AM85">
        <f t="shared" si="7"/>
        <v>10967040</v>
      </c>
      <c r="AN85">
        <f t="shared" si="7"/>
        <v>10967040</v>
      </c>
      <c r="AO85">
        <f t="shared" si="7"/>
        <v>10967040</v>
      </c>
    </row>
    <row r="86" spans="1:41">
      <c r="A86" s="185">
        <f>'Water Stuff'!F20</f>
        <v>44577</v>
      </c>
      <c r="B86" s="118">
        <f>'Filtration System'!B50</f>
        <v>160</v>
      </c>
      <c r="C86" s="118">
        <f>'Filtration System'!C50</f>
        <v>1200</v>
      </c>
      <c r="D86" s="118">
        <f>'Filtration System'!D50</f>
        <v>0</v>
      </c>
      <c r="E86" s="118">
        <f>'Filtration System'!E50</f>
        <v>1466.5509368050377</v>
      </c>
      <c r="F86" s="118">
        <f>'Filtration System'!F50</f>
        <v>0</v>
      </c>
      <c r="G86" s="118"/>
      <c r="H86" s="118">
        <f>B86/1000*(1000*9.81*Pumps!$B$14+'Parameters and Satisfaction'!$B$27)</f>
        <v>42888.508680815401</v>
      </c>
      <c r="I86" s="118">
        <f>C86/1000*(1000*9.81*Pumps!$B$14+'Parameters and Satisfaction'!$B$27)</f>
        <v>321663.81510611548</v>
      </c>
      <c r="J86" s="118">
        <f>D86/1000*(1000*9.81*Pumps!$B$14+'Parameters and Satisfaction'!$B$27)</f>
        <v>0</v>
      </c>
      <c r="K86" s="118">
        <f>E86/1000*(1000*9.81*Pumps!$B$14+'Parameters and Satisfaction'!$B$27)</f>
        <v>393113.64115013013</v>
      </c>
      <c r="L86" s="118">
        <f>F86/1000*(1000*9.81*Pumps!$B$14+'Parameters and Satisfaction'!$B$27)</f>
        <v>0</v>
      </c>
      <c r="M86" s="118"/>
      <c r="N86" s="118">
        <f>H86/IF('Parameters and Satisfaction'!$C$13="Pump A", 0.7, IF('Parameters and Satisfaction'!$C$13 = "Pump B", 0.72, 0.65))</f>
        <v>59567.373167799167</v>
      </c>
      <c r="O86" s="118">
        <f>I86/IF('Parameters and Satisfaction'!$C$13="Pump A", 0.7, IF('Parameters and Satisfaction'!$C$13 = "Pump B", 0.72, 0.65))</f>
        <v>446755.29875849374</v>
      </c>
      <c r="P86" s="118">
        <f>J86/IF('Parameters and Satisfaction'!$C$13="Pump A", 0.7, IF('Parameters and Satisfaction'!$C$13 = "Pump B", 0.72, 0.65))</f>
        <v>0</v>
      </c>
      <c r="Q86" s="118">
        <f>K86/IF('Parameters and Satisfaction'!$C$13="Pump A", 0.7, IF('Parameters and Satisfaction'!$C$13 = "Pump B", 0.72, 0.65))</f>
        <v>545991.16826406959</v>
      </c>
      <c r="R86" s="118">
        <f>L86/IF('Parameters and Satisfaction'!$C$13="Pump A", 0.7, IF('Parameters and Satisfaction'!$C$13 = "Pump B", 0.72, 0.65))</f>
        <v>0</v>
      </c>
      <c r="S86" s="118"/>
      <c r="T86" s="118">
        <f>N86+IF('Parameters and Satisfaction'!$C$19="Ozone", 'Filtration System'!AA50*1000000, 0)</f>
        <v>59567.373167799167</v>
      </c>
      <c r="U86" s="118">
        <f>O86+$F$47+IF('Parameters and Satisfaction'!$C$19="Ozone", 'Filtration System'!AB50*1000000, 0)</f>
        <v>5134255.2987584937</v>
      </c>
      <c r="V86" s="118">
        <f>P86+$F$47+IF('Parameters and Satisfaction'!$C$19="Ozone", 'Filtration System'!AC50*1000000, 0)</f>
        <v>4687500</v>
      </c>
      <c r="W86" s="118">
        <f>Q86+$F$47+IF('Parameters and Satisfaction'!$C$19="Ozone", 'Filtration System'!AD50*1000000, 0)</f>
        <v>5233491.1682640696</v>
      </c>
      <c r="X86" s="118">
        <f>R86+$F$47+IF('Parameters and Satisfaction'!$C$19="Ozone", 'Filtration System'!AE50*1000000, 0)</f>
        <v>4687500</v>
      </c>
      <c r="Y86" s="118"/>
      <c r="Z86" s="118">
        <f t="shared" si="1"/>
        <v>4.2548123691285118E-3</v>
      </c>
      <c r="AA86" s="118">
        <f t="shared" si="2"/>
        <v>0.36673252133989243</v>
      </c>
      <c r="AB86" s="118">
        <f t="shared" si="3"/>
        <v>0.33482142857142855</v>
      </c>
      <c r="AC86" s="118">
        <f t="shared" si="4"/>
        <v>0.3738207977331478</v>
      </c>
      <c r="AD86" s="118">
        <f t="shared" si="5"/>
        <v>0.33482142857142855</v>
      </c>
      <c r="AE86" s="118"/>
      <c r="AF86" s="118"/>
      <c r="AG86" s="118"/>
      <c r="AK86">
        <f t="shared" si="7"/>
        <v>10967040</v>
      </c>
      <c r="AL86">
        <f t="shared" si="7"/>
        <v>10967040</v>
      </c>
      <c r="AM86">
        <f t="shared" si="7"/>
        <v>10967040</v>
      </c>
      <c r="AN86">
        <f t="shared" si="7"/>
        <v>10967040</v>
      </c>
      <c r="AO86">
        <f t="shared" si="7"/>
        <v>10967040</v>
      </c>
    </row>
    <row r="87" spans="1:41">
      <c r="A87" s="185">
        <f>'Water Stuff'!F21</f>
        <v>44578</v>
      </c>
      <c r="B87" s="118">
        <f>'Filtration System'!B51</f>
        <v>0</v>
      </c>
      <c r="C87" s="118">
        <f>'Filtration System'!C51</f>
        <v>4079.9999999999991</v>
      </c>
      <c r="D87" s="118">
        <f>'Filtration System'!D51</f>
        <v>0</v>
      </c>
      <c r="E87" s="118">
        <f>'Filtration System'!E51</f>
        <v>3420.5984157795319</v>
      </c>
      <c r="F87" s="118">
        <f>'Filtration System'!F51</f>
        <v>344.74824122746497</v>
      </c>
      <c r="G87" s="118"/>
      <c r="H87" s="118">
        <f>B87/1000*(1000*9.81*Pumps!$B$14+'Parameters and Satisfaction'!$B$27)</f>
        <v>0</v>
      </c>
      <c r="I87" s="118">
        <f>C87/1000*(1000*9.81*Pumps!$B$14+'Parameters and Satisfaction'!$B$27)</f>
        <v>1093656.9713607924</v>
      </c>
      <c r="J87" s="118">
        <f>D87/1000*(1000*9.81*Pumps!$B$14+'Parameters and Satisfaction'!$B$27)</f>
        <v>0</v>
      </c>
      <c r="K87" s="118">
        <f>E87/1000*(1000*9.81*Pumps!$B$14+'Parameters and Satisfaction'!$B$27)</f>
        <v>916902.28030464903</v>
      </c>
      <c r="L87" s="118">
        <f>F87/1000*(1000*9.81*Pumps!$B$14+'Parameters and Satisfaction'!$B$27)</f>
        <v>92410.862103624822</v>
      </c>
      <c r="M87" s="118"/>
      <c r="N87" s="118">
        <f>H87/IF('Parameters and Satisfaction'!$C$13="Pump A", 0.7, IF('Parameters and Satisfaction'!$C$13 = "Pump B", 0.72, 0.65))</f>
        <v>0</v>
      </c>
      <c r="O87" s="118">
        <f>I87/IF('Parameters and Satisfaction'!$C$13="Pump A", 0.7, IF('Parameters and Satisfaction'!$C$13 = "Pump B", 0.72, 0.65))</f>
        <v>1518968.0157788785</v>
      </c>
      <c r="P87" s="118">
        <f>J87/IF('Parameters and Satisfaction'!$C$13="Pump A", 0.7, IF('Parameters and Satisfaction'!$C$13 = "Pump B", 0.72, 0.65))</f>
        <v>0</v>
      </c>
      <c r="Q87" s="118">
        <f>K87/IF('Parameters and Satisfaction'!$C$13="Pump A", 0.7, IF('Parameters and Satisfaction'!$C$13 = "Pump B", 0.72, 0.65))</f>
        <v>1273475.3893120126</v>
      </c>
      <c r="R87" s="118">
        <f>L87/IF('Parameters and Satisfaction'!$C$13="Pump A", 0.7, IF('Parameters and Satisfaction'!$C$13 = "Pump B", 0.72, 0.65))</f>
        <v>128348.41958836782</v>
      </c>
      <c r="S87" s="118"/>
      <c r="T87" s="118">
        <f>N87+IF('Parameters and Satisfaction'!$C$19="Ozone", 'Filtration System'!AA51*1000000, 0)</f>
        <v>0</v>
      </c>
      <c r="U87" s="118">
        <f>O87+$F$47+IF('Parameters and Satisfaction'!$C$19="Ozone", 'Filtration System'!AB51*1000000, 0)</f>
        <v>6206468.0157788787</v>
      </c>
      <c r="V87" s="118">
        <f>P87+$F$47+IF('Parameters and Satisfaction'!$C$19="Ozone", 'Filtration System'!AC51*1000000, 0)</f>
        <v>4687500</v>
      </c>
      <c r="W87" s="118">
        <f>Q87+$F$47+IF('Parameters and Satisfaction'!$C$19="Ozone", 'Filtration System'!AD51*1000000, 0)</f>
        <v>5960975.3893120121</v>
      </c>
      <c r="X87" s="118">
        <f>R87+$F$47+IF('Parameters and Satisfaction'!$C$19="Ozone", 'Filtration System'!AE51*1000000, 0)</f>
        <v>4815848.4195883675</v>
      </c>
      <c r="Y87" s="118"/>
      <c r="Z87" s="118">
        <f t="shared" si="1"/>
        <v>0</v>
      </c>
      <c r="AA87" s="118">
        <f t="shared" si="2"/>
        <v>0.44331914398420563</v>
      </c>
      <c r="AB87" s="118">
        <f t="shared" si="3"/>
        <v>0.33482142857142855</v>
      </c>
      <c r="AC87" s="118">
        <f t="shared" si="4"/>
        <v>0.42578395637942945</v>
      </c>
      <c r="AD87" s="118">
        <f t="shared" si="5"/>
        <v>0.34398917282774055</v>
      </c>
      <c r="AE87" s="118"/>
      <c r="AF87" s="118"/>
      <c r="AG87" s="118"/>
      <c r="AK87">
        <f t="shared" si="7"/>
        <v>10967040</v>
      </c>
      <c r="AL87">
        <f t="shared" si="7"/>
        <v>10967040</v>
      </c>
      <c r="AM87">
        <f t="shared" si="7"/>
        <v>10967040</v>
      </c>
      <c r="AN87">
        <f t="shared" si="7"/>
        <v>10967040</v>
      </c>
      <c r="AO87">
        <f t="shared" si="7"/>
        <v>10967040</v>
      </c>
    </row>
    <row r="88" spans="1:41">
      <c r="A88" s="185">
        <f>'Water Stuff'!F22</f>
        <v>44579</v>
      </c>
      <c r="B88" s="118">
        <f>'Filtration System'!B52</f>
        <v>520</v>
      </c>
      <c r="C88" s="118">
        <f>'Filtration System'!C52</f>
        <v>3320.0000000000005</v>
      </c>
      <c r="D88" s="118">
        <f>'Filtration System'!D52</f>
        <v>0</v>
      </c>
      <c r="E88" s="118">
        <f>'Filtration System'!E52</f>
        <v>248.435211266094</v>
      </c>
      <c r="F88" s="118">
        <f>'Filtration System'!F52</f>
        <v>1509.3230520937334</v>
      </c>
      <c r="G88" s="118"/>
      <c r="H88" s="118">
        <f>B88/1000*(1000*9.81*Pumps!$B$14+'Parameters and Satisfaction'!$B$27)</f>
        <v>139387.65321265004</v>
      </c>
      <c r="I88" s="118">
        <f>C88/1000*(1000*9.81*Pumps!$B$14+'Parameters and Satisfaction'!$B$27)</f>
        <v>889936.55512691964</v>
      </c>
      <c r="J88" s="118">
        <f>D88/1000*(1000*9.81*Pumps!$B$14+'Parameters and Satisfaction'!$B$27)</f>
        <v>0</v>
      </c>
      <c r="K88" s="118">
        <f>E88/1000*(1000*9.81*Pumps!$B$14+'Parameters and Satisfaction'!$B$27)</f>
        <v>66593.848218788</v>
      </c>
      <c r="L88" s="118">
        <f>F88/1000*(1000*9.81*Pumps!$B$14+'Parameters and Satisfaction'!$B$27)</f>
        <v>404578.84263673046</v>
      </c>
      <c r="M88" s="118"/>
      <c r="N88" s="118">
        <f>H88/IF('Parameters and Satisfaction'!$C$13="Pump A", 0.7, IF('Parameters and Satisfaction'!$C$13 = "Pump B", 0.72, 0.65))</f>
        <v>193593.9627953473</v>
      </c>
      <c r="O88" s="118">
        <f>I88/IF('Parameters and Satisfaction'!$C$13="Pump A", 0.7, IF('Parameters and Satisfaction'!$C$13 = "Pump B", 0.72, 0.65))</f>
        <v>1236022.993231833</v>
      </c>
      <c r="P88" s="118">
        <f>J88/IF('Parameters and Satisfaction'!$C$13="Pump A", 0.7, IF('Parameters and Satisfaction'!$C$13 = "Pump B", 0.72, 0.65))</f>
        <v>0</v>
      </c>
      <c r="Q88" s="118">
        <f>K88/IF('Parameters and Satisfaction'!$C$13="Pump A", 0.7, IF('Parameters and Satisfaction'!$C$13 = "Pump B", 0.72, 0.65))</f>
        <v>92491.455859427777</v>
      </c>
      <c r="R88" s="118">
        <f>L88/IF('Parameters and Satisfaction'!$C$13="Pump A", 0.7, IF('Parameters and Satisfaction'!$C$13 = "Pump B", 0.72, 0.65))</f>
        <v>561915.05921768118</v>
      </c>
      <c r="S88" s="118"/>
      <c r="T88" s="118">
        <f>N88+IF('Parameters and Satisfaction'!$C$19="Ozone", 'Filtration System'!AA52*1000000, 0)</f>
        <v>193593.9627953473</v>
      </c>
      <c r="U88" s="118">
        <f>O88+$F$47+IF('Parameters and Satisfaction'!$C$19="Ozone", 'Filtration System'!AB52*1000000, 0)</f>
        <v>5923522.993231833</v>
      </c>
      <c r="V88" s="118">
        <f>P88+$F$47+IF('Parameters and Satisfaction'!$C$19="Ozone", 'Filtration System'!AC52*1000000, 0)</f>
        <v>4687500</v>
      </c>
      <c r="W88" s="118">
        <f>Q88+$F$47+IF('Parameters and Satisfaction'!$C$19="Ozone", 'Filtration System'!AD52*1000000, 0)</f>
        <v>4779991.4558594273</v>
      </c>
      <c r="X88" s="118">
        <f>R88+$F$47+IF('Parameters and Satisfaction'!$C$19="Ozone", 'Filtration System'!AE52*1000000, 0)</f>
        <v>5249415.0592176812</v>
      </c>
      <c r="Y88" s="118"/>
      <c r="Z88" s="118">
        <f t="shared" si="1"/>
        <v>1.3828140199667664E-2</v>
      </c>
      <c r="AA88" s="118">
        <f t="shared" si="2"/>
        <v>0.42310878523084522</v>
      </c>
      <c r="AB88" s="118">
        <f t="shared" si="3"/>
        <v>0.33482142857142855</v>
      </c>
      <c r="AC88" s="118">
        <f t="shared" si="4"/>
        <v>0.34142796113281626</v>
      </c>
      <c r="AD88" s="118">
        <f t="shared" si="5"/>
        <v>0.37495821851554867</v>
      </c>
      <c r="AE88" s="118"/>
      <c r="AF88" s="118"/>
      <c r="AG88" s="118"/>
      <c r="AK88">
        <f t="shared" si="7"/>
        <v>10967040</v>
      </c>
      <c r="AL88">
        <f t="shared" si="7"/>
        <v>10967040</v>
      </c>
      <c r="AM88">
        <f t="shared" si="7"/>
        <v>10967040</v>
      </c>
      <c r="AN88">
        <f t="shared" si="7"/>
        <v>10967040</v>
      </c>
      <c r="AO88">
        <f t="shared" si="7"/>
        <v>10967040</v>
      </c>
    </row>
    <row r="89" spans="1:41">
      <c r="A89" s="185">
        <f>'Water Stuff'!F23</f>
        <v>44580</v>
      </c>
      <c r="B89" s="118">
        <f>'Filtration System'!B53</f>
        <v>200</v>
      </c>
      <c r="C89" s="118">
        <f>'Filtration System'!C53</f>
        <v>520</v>
      </c>
      <c r="D89" s="118">
        <f>'Filtration System'!D53</f>
        <v>1599.1155445008858</v>
      </c>
      <c r="E89" s="118">
        <f>'Filtration System'!E53</f>
        <v>96.725717638660583</v>
      </c>
      <c r="F89" s="118">
        <f>'Filtration System'!F53</f>
        <v>0</v>
      </c>
      <c r="G89" s="118"/>
      <c r="H89" s="118">
        <f>B89/1000*(1000*9.81*Pumps!$B$14+'Parameters and Satisfaction'!$B$27)</f>
        <v>53610.635851019251</v>
      </c>
      <c r="I89" s="118">
        <f>C89/1000*(1000*9.81*Pumps!$B$14+'Parameters and Satisfaction'!$B$27)</f>
        <v>139387.65321265004</v>
      </c>
      <c r="J89" s="118">
        <f>D89/1000*(1000*9.81*Pumps!$B$14+'Parameters and Satisfaction'!$B$27)</f>
        <v>428648.00569970679</v>
      </c>
      <c r="K89" s="118">
        <f>E89/1000*(1000*9.81*Pumps!$B$14+'Parameters and Satisfaction'!$B$27)</f>
        <v>25927.636128773709</v>
      </c>
      <c r="L89" s="118">
        <f>F89/1000*(1000*9.81*Pumps!$B$14+'Parameters and Satisfaction'!$B$27)</f>
        <v>0</v>
      </c>
      <c r="M89" s="118"/>
      <c r="N89" s="118">
        <f>H89/IF('Parameters and Satisfaction'!$C$13="Pump A", 0.7, IF('Parameters and Satisfaction'!$C$13 = "Pump B", 0.72, 0.65))</f>
        <v>74459.216459748961</v>
      </c>
      <c r="O89" s="118">
        <f>I89/IF('Parameters and Satisfaction'!$C$13="Pump A", 0.7, IF('Parameters and Satisfaction'!$C$13 = "Pump B", 0.72, 0.65))</f>
        <v>193593.9627953473</v>
      </c>
      <c r="P89" s="118">
        <f>J89/IF('Parameters and Satisfaction'!$C$13="Pump A", 0.7, IF('Parameters and Satisfaction'!$C$13 = "Pump B", 0.72, 0.65))</f>
        <v>595344.45236070384</v>
      </c>
      <c r="Q89" s="118">
        <f>K89/IF('Parameters and Satisfaction'!$C$13="Pump A", 0.7, IF('Parameters and Satisfaction'!$C$13 = "Pump B", 0.72, 0.65))</f>
        <v>36010.605734407931</v>
      </c>
      <c r="R89" s="118">
        <f>L89/IF('Parameters and Satisfaction'!$C$13="Pump A", 0.7, IF('Parameters and Satisfaction'!$C$13 = "Pump B", 0.72, 0.65))</f>
        <v>0</v>
      </c>
      <c r="S89" s="118"/>
      <c r="T89" s="118">
        <f>N89+IF('Parameters and Satisfaction'!$C$19="Ozone", 'Filtration System'!AA53*1000000, 0)</f>
        <v>74459.216459748961</v>
      </c>
      <c r="U89" s="118">
        <f>O89+$F$47+IF('Parameters and Satisfaction'!$C$19="Ozone", 'Filtration System'!AB53*1000000, 0)</f>
        <v>4881093.962795347</v>
      </c>
      <c r="V89" s="118">
        <f>P89+$F$47+IF('Parameters and Satisfaction'!$C$19="Ozone", 'Filtration System'!AC53*1000000, 0)</f>
        <v>5282844.4523607036</v>
      </c>
      <c r="W89" s="118">
        <f>Q89+$F$47+IF('Parameters and Satisfaction'!$C$19="Ozone", 'Filtration System'!AD53*1000000, 0)</f>
        <v>4723510.6057344079</v>
      </c>
      <c r="X89" s="118">
        <f>R89+$F$47+IF('Parameters and Satisfaction'!$C$19="Ozone", 'Filtration System'!AE53*1000000, 0)</f>
        <v>4687500</v>
      </c>
      <c r="Y89" s="118"/>
      <c r="Z89" s="118">
        <f t="shared" si="1"/>
        <v>5.31851546141064E-3</v>
      </c>
      <c r="AA89" s="118">
        <f t="shared" si="2"/>
        <v>0.34864956877109621</v>
      </c>
      <c r="AB89" s="118">
        <f t="shared" si="3"/>
        <v>0.37734603231147884</v>
      </c>
      <c r="AC89" s="118">
        <f t="shared" si="4"/>
        <v>0.33739361469531487</v>
      </c>
      <c r="AD89" s="118">
        <f t="shared" si="5"/>
        <v>0.33482142857142855</v>
      </c>
      <c r="AE89" s="118"/>
      <c r="AF89" s="118"/>
      <c r="AG89" s="118"/>
      <c r="AK89">
        <f t="shared" si="7"/>
        <v>10967040</v>
      </c>
      <c r="AL89">
        <f t="shared" si="7"/>
        <v>10967040</v>
      </c>
      <c r="AM89">
        <f t="shared" si="7"/>
        <v>10967040</v>
      </c>
      <c r="AN89">
        <f t="shared" si="7"/>
        <v>10967040</v>
      </c>
      <c r="AO89">
        <f t="shared" si="7"/>
        <v>10967040</v>
      </c>
    </row>
    <row r="90" spans="1:41">
      <c r="A90" s="185">
        <f>'Water Stuff'!F24</f>
        <v>44581</v>
      </c>
      <c r="B90" s="118">
        <f>'Filtration System'!B54</f>
        <v>120</v>
      </c>
      <c r="C90" s="118">
        <f>'Filtration System'!C54</f>
        <v>80</v>
      </c>
      <c r="D90" s="118">
        <f>'Filtration System'!D54</f>
        <v>0</v>
      </c>
      <c r="E90" s="118">
        <f>'Filtration System'!E54</f>
        <v>0</v>
      </c>
      <c r="F90" s="118">
        <f>'Filtration System'!F54</f>
        <v>0</v>
      </c>
      <c r="G90" s="118"/>
      <c r="H90" s="118">
        <f>B90/1000*(1000*9.81*Pumps!$B$14+'Parameters and Satisfaction'!$B$27)</f>
        <v>32166.381510611547</v>
      </c>
      <c r="I90" s="118">
        <f>C90/1000*(1000*9.81*Pumps!$B$14+'Parameters and Satisfaction'!$B$27)</f>
        <v>21444.254340407701</v>
      </c>
      <c r="J90" s="118">
        <f>D90/1000*(1000*9.81*Pumps!$B$14+'Parameters and Satisfaction'!$B$27)</f>
        <v>0</v>
      </c>
      <c r="K90" s="118">
        <f>E90/1000*(1000*9.81*Pumps!$B$14+'Parameters and Satisfaction'!$B$27)</f>
        <v>0</v>
      </c>
      <c r="L90" s="118">
        <f>F90/1000*(1000*9.81*Pumps!$B$14+'Parameters and Satisfaction'!$B$27)</f>
        <v>0</v>
      </c>
      <c r="M90" s="118"/>
      <c r="N90" s="118">
        <f>H90/IF('Parameters and Satisfaction'!$C$13="Pump A", 0.7, IF('Parameters and Satisfaction'!$C$13 = "Pump B", 0.72, 0.65))</f>
        <v>44675.529875849374</v>
      </c>
      <c r="O90" s="118">
        <f>I90/IF('Parameters and Satisfaction'!$C$13="Pump A", 0.7, IF('Parameters and Satisfaction'!$C$13 = "Pump B", 0.72, 0.65))</f>
        <v>29783.686583899584</v>
      </c>
      <c r="P90" s="118">
        <f>J90/IF('Parameters and Satisfaction'!$C$13="Pump A", 0.7, IF('Parameters and Satisfaction'!$C$13 = "Pump B", 0.72, 0.65))</f>
        <v>0</v>
      </c>
      <c r="Q90" s="118">
        <f>K90/IF('Parameters and Satisfaction'!$C$13="Pump A", 0.7, IF('Parameters and Satisfaction'!$C$13 = "Pump B", 0.72, 0.65))</f>
        <v>0</v>
      </c>
      <c r="R90" s="118">
        <f>L90/IF('Parameters and Satisfaction'!$C$13="Pump A", 0.7, IF('Parameters and Satisfaction'!$C$13 = "Pump B", 0.72, 0.65))</f>
        <v>0</v>
      </c>
      <c r="S90" s="118"/>
      <c r="T90" s="118">
        <f>N90+IF('Parameters and Satisfaction'!$C$19="Ozone", 'Filtration System'!AA54*1000000, 0)</f>
        <v>44675.529875849374</v>
      </c>
      <c r="U90" s="118">
        <f>O90+$F$47+IF('Parameters and Satisfaction'!$C$19="Ozone", 'Filtration System'!AB54*1000000, 0)</f>
        <v>4717283.6865838999</v>
      </c>
      <c r="V90" s="118">
        <f>P90+$F$47+IF('Parameters and Satisfaction'!$C$19="Ozone", 'Filtration System'!AC54*1000000, 0)</f>
        <v>4687500</v>
      </c>
      <c r="W90" s="118">
        <f>Q90+$F$47+IF('Parameters and Satisfaction'!$C$19="Ozone", 'Filtration System'!AD54*1000000, 0)</f>
        <v>4687500</v>
      </c>
      <c r="X90" s="118">
        <f>R90+$F$47+IF('Parameters and Satisfaction'!$C$19="Ozone", 'Filtration System'!AE54*1000000, 0)</f>
        <v>4687500</v>
      </c>
      <c r="Y90" s="118"/>
      <c r="Z90" s="118">
        <f t="shared" si="1"/>
        <v>3.1911092768463836E-3</v>
      </c>
      <c r="AA90" s="118">
        <f t="shared" si="2"/>
        <v>0.33694883475599285</v>
      </c>
      <c r="AB90" s="118">
        <f t="shared" si="3"/>
        <v>0.33482142857142855</v>
      </c>
      <c r="AC90" s="118">
        <f t="shared" si="4"/>
        <v>0.33482142857142855</v>
      </c>
      <c r="AD90" s="118">
        <f t="shared" si="5"/>
        <v>0.33482142857142855</v>
      </c>
      <c r="AE90" s="118"/>
      <c r="AF90" s="118"/>
      <c r="AG90" s="118"/>
      <c r="AK90">
        <f t="shared" si="7"/>
        <v>10967040</v>
      </c>
      <c r="AL90">
        <f t="shared" si="7"/>
        <v>10967040</v>
      </c>
      <c r="AM90">
        <f t="shared" si="7"/>
        <v>10967040</v>
      </c>
      <c r="AN90">
        <f t="shared" si="7"/>
        <v>10967040</v>
      </c>
      <c r="AO90">
        <f t="shared" si="7"/>
        <v>10967040</v>
      </c>
    </row>
    <row r="91" spans="1:41">
      <c r="A91" s="185">
        <f>'Water Stuff'!F25</f>
        <v>44582</v>
      </c>
      <c r="B91" s="118">
        <f>'Filtration System'!B55</f>
        <v>160</v>
      </c>
      <c r="C91" s="118">
        <f>'Filtration System'!C55</f>
        <v>3679.9999999999995</v>
      </c>
      <c r="D91" s="118">
        <f>'Filtration System'!D55</f>
        <v>0</v>
      </c>
      <c r="E91" s="118">
        <f>'Filtration System'!E55</f>
        <v>4109.4602817966343</v>
      </c>
      <c r="F91" s="118">
        <f>'Filtration System'!F55</f>
        <v>897.86364282340776</v>
      </c>
      <c r="G91" s="118"/>
      <c r="H91" s="118">
        <f>B91/1000*(1000*9.81*Pumps!$B$14+'Parameters and Satisfaction'!$B$27)</f>
        <v>42888.508680815401</v>
      </c>
      <c r="I91" s="118">
        <f>C91/1000*(1000*9.81*Pumps!$B$14+'Parameters and Satisfaction'!$B$27)</f>
        <v>986435.69965875405</v>
      </c>
      <c r="J91" s="118">
        <f>D91/1000*(1000*9.81*Pumps!$B$14+'Parameters and Satisfaction'!$B$27)</f>
        <v>0</v>
      </c>
      <c r="K91" s="118">
        <f>E91/1000*(1000*9.81*Pumps!$B$14+'Parameters and Satisfaction'!$B$27)</f>
        <v>1101553.8935581315</v>
      </c>
      <c r="L91" s="118">
        <f>F91/1000*(1000*9.81*Pumps!$B$14+'Parameters and Satisfaction'!$B$27)</f>
        <v>240675.20399637663</v>
      </c>
      <c r="M91" s="118"/>
      <c r="N91" s="118">
        <f>H91/IF('Parameters and Satisfaction'!$C$13="Pump A", 0.7, IF('Parameters and Satisfaction'!$C$13 = "Pump B", 0.72, 0.65))</f>
        <v>59567.373167799167</v>
      </c>
      <c r="O91" s="118">
        <f>I91/IF('Parameters and Satisfaction'!$C$13="Pump A", 0.7, IF('Parameters and Satisfaction'!$C$13 = "Pump B", 0.72, 0.65))</f>
        <v>1370049.5828593806</v>
      </c>
      <c r="P91" s="118">
        <f>J91/IF('Parameters and Satisfaction'!$C$13="Pump A", 0.7, IF('Parameters and Satisfaction'!$C$13 = "Pump B", 0.72, 0.65))</f>
        <v>0</v>
      </c>
      <c r="Q91" s="118">
        <f>K91/IF('Parameters and Satisfaction'!$C$13="Pump A", 0.7, IF('Parameters and Satisfaction'!$C$13 = "Pump B", 0.72, 0.65))</f>
        <v>1529935.9632751828</v>
      </c>
      <c r="R91" s="118">
        <f>L91/IF('Parameters and Satisfaction'!$C$13="Pump A", 0.7, IF('Parameters and Satisfaction'!$C$13 = "Pump B", 0.72, 0.65))</f>
        <v>334271.11666163424</v>
      </c>
      <c r="S91" s="118"/>
      <c r="T91" s="118">
        <f>N91+IF('Parameters and Satisfaction'!$C$19="Ozone", 'Filtration System'!AA55*1000000, 0)</f>
        <v>59567.373167799167</v>
      </c>
      <c r="U91" s="118">
        <f>O91+$F$47+IF('Parameters and Satisfaction'!$C$19="Ozone", 'Filtration System'!AB55*1000000, 0)</f>
        <v>6057549.5828593802</v>
      </c>
      <c r="V91" s="118">
        <f>P91+$F$47+IF('Parameters and Satisfaction'!$C$19="Ozone", 'Filtration System'!AC55*1000000, 0)</f>
        <v>4687500</v>
      </c>
      <c r="W91" s="118">
        <f>Q91+$F$47+IF('Parameters and Satisfaction'!$C$19="Ozone", 'Filtration System'!AD55*1000000, 0)</f>
        <v>6217435.963275183</v>
      </c>
      <c r="X91" s="118">
        <f>R91+$F$47+IF('Parameters and Satisfaction'!$C$19="Ozone", 'Filtration System'!AE55*1000000, 0)</f>
        <v>5021771.1166616343</v>
      </c>
      <c r="Y91" s="118"/>
      <c r="Z91" s="118">
        <f t="shared" si="1"/>
        <v>4.2548123691285118E-3</v>
      </c>
      <c r="AA91" s="118">
        <f t="shared" si="2"/>
        <v>0.43268211306138432</v>
      </c>
      <c r="AB91" s="118">
        <f t="shared" si="3"/>
        <v>0.33482142857142855</v>
      </c>
      <c r="AC91" s="118">
        <f t="shared" si="4"/>
        <v>0.44410256880537019</v>
      </c>
      <c r="AD91" s="118">
        <f t="shared" si="5"/>
        <v>0.35869793690440244</v>
      </c>
      <c r="AE91" s="118"/>
      <c r="AF91" s="118"/>
      <c r="AG91" s="118"/>
      <c r="AK91">
        <f t="shared" ref="AK91:AO101" si="8">$D$55</f>
        <v>10967040</v>
      </c>
      <c r="AL91">
        <f t="shared" si="8"/>
        <v>10967040</v>
      </c>
      <c r="AM91">
        <f t="shared" si="8"/>
        <v>10967040</v>
      </c>
      <c r="AN91">
        <f t="shared" si="8"/>
        <v>10967040</v>
      </c>
      <c r="AO91">
        <f t="shared" si="8"/>
        <v>10967040</v>
      </c>
    </row>
    <row r="92" spans="1:41">
      <c r="A92" s="185">
        <f>'Water Stuff'!F26</f>
        <v>44583</v>
      </c>
      <c r="B92" s="118">
        <f>'Filtration System'!B56</f>
        <v>120</v>
      </c>
      <c r="C92" s="118">
        <f>'Filtration System'!C56</f>
        <v>2800</v>
      </c>
      <c r="D92" s="118">
        <f>'Filtration System'!D56</f>
        <v>0</v>
      </c>
      <c r="E92" s="118">
        <f>'Filtration System'!E56</f>
        <v>4494.8277815672218</v>
      </c>
      <c r="F92" s="118">
        <f>'Filtration System'!F56</f>
        <v>0</v>
      </c>
      <c r="G92" s="118"/>
      <c r="H92" s="118">
        <f>B92/1000*(1000*9.81*Pumps!$B$14+'Parameters and Satisfaction'!$B$27)</f>
        <v>32166.381510611547</v>
      </c>
      <c r="I92" s="118">
        <f>C92/1000*(1000*9.81*Pumps!$B$14+'Parameters and Satisfaction'!$B$27)</f>
        <v>750548.90191426943</v>
      </c>
      <c r="J92" s="118">
        <f>D92/1000*(1000*9.81*Pumps!$B$14+'Parameters and Satisfaction'!$B$27)</f>
        <v>0</v>
      </c>
      <c r="K92" s="118">
        <f>E92/1000*(1000*9.81*Pumps!$B$14+'Parameters and Satisfaction'!$B$27)</f>
        <v>1204852.8770532249</v>
      </c>
      <c r="L92" s="118">
        <f>F92/1000*(1000*9.81*Pumps!$B$14+'Parameters and Satisfaction'!$B$27)</f>
        <v>0</v>
      </c>
      <c r="M92" s="118"/>
      <c r="N92" s="118">
        <f>H92/IF('Parameters and Satisfaction'!$C$13="Pump A", 0.7, IF('Parameters and Satisfaction'!$C$13 = "Pump B", 0.72, 0.65))</f>
        <v>44675.529875849374</v>
      </c>
      <c r="O92" s="118">
        <f>I92/IF('Parameters and Satisfaction'!$C$13="Pump A", 0.7, IF('Parameters and Satisfaction'!$C$13 = "Pump B", 0.72, 0.65))</f>
        <v>1042429.0304364853</v>
      </c>
      <c r="P92" s="118">
        <f>J92/IF('Parameters and Satisfaction'!$C$13="Pump A", 0.7, IF('Parameters and Satisfaction'!$C$13 = "Pump B", 0.72, 0.65))</f>
        <v>0</v>
      </c>
      <c r="Q92" s="118">
        <f>K92/IF('Parameters and Satisfaction'!$C$13="Pump A", 0.7, IF('Parameters and Satisfaction'!$C$13 = "Pump B", 0.72, 0.65))</f>
        <v>1673406.7736850346</v>
      </c>
      <c r="R92" s="118">
        <f>L92/IF('Parameters and Satisfaction'!$C$13="Pump A", 0.7, IF('Parameters and Satisfaction'!$C$13 = "Pump B", 0.72, 0.65))</f>
        <v>0</v>
      </c>
      <c r="S92" s="118"/>
      <c r="T92" s="118">
        <f>N92+IF('Parameters and Satisfaction'!$C$19="Ozone", 'Filtration System'!AA56*1000000, 0)</f>
        <v>44675.529875849374</v>
      </c>
      <c r="U92" s="118">
        <f>O92+$F$47+IF('Parameters and Satisfaction'!$C$19="Ozone", 'Filtration System'!AB56*1000000, 0)</f>
        <v>5729929.0304364851</v>
      </c>
      <c r="V92" s="118">
        <f>P92+$F$47+IF('Parameters and Satisfaction'!$C$19="Ozone", 'Filtration System'!AC56*1000000, 0)</f>
        <v>4687500</v>
      </c>
      <c r="W92" s="118">
        <f>Q92+$F$47+IF('Parameters and Satisfaction'!$C$19="Ozone", 'Filtration System'!AD56*1000000, 0)</f>
        <v>6360906.7736850344</v>
      </c>
      <c r="X92" s="118">
        <f>R92+$F$47+IF('Parameters and Satisfaction'!$C$19="Ozone", 'Filtration System'!AE56*1000000, 0)</f>
        <v>4687500</v>
      </c>
      <c r="Y92" s="118"/>
      <c r="Z92" s="118">
        <f t="shared" si="1"/>
        <v>3.1911092768463836E-3</v>
      </c>
      <c r="AA92" s="118">
        <f t="shared" si="2"/>
        <v>0.4092806450311775</v>
      </c>
      <c r="AB92" s="118">
        <f t="shared" si="3"/>
        <v>0.33482142857142855</v>
      </c>
      <c r="AC92" s="118">
        <f t="shared" si="4"/>
        <v>0.45435048383464532</v>
      </c>
      <c r="AD92" s="118">
        <f t="shared" si="5"/>
        <v>0.33482142857142855</v>
      </c>
      <c r="AE92" s="118"/>
      <c r="AF92" s="118"/>
      <c r="AG92" s="118"/>
      <c r="AK92">
        <f t="shared" si="8"/>
        <v>10967040</v>
      </c>
      <c r="AL92">
        <f t="shared" si="8"/>
        <v>10967040</v>
      </c>
      <c r="AM92">
        <f t="shared" si="8"/>
        <v>10967040</v>
      </c>
      <c r="AN92">
        <f t="shared" si="8"/>
        <v>10967040</v>
      </c>
      <c r="AO92">
        <f t="shared" si="8"/>
        <v>10967040</v>
      </c>
    </row>
    <row r="93" spans="1:41">
      <c r="A93" s="185">
        <f>'Water Stuff'!F27</f>
        <v>44584</v>
      </c>
      <c r="B93" s="118">
        <f>'Filtration System'!B57</f>
        <v>0</v>
      </c>
      <c r="C93" s="118">
        <f>'Filtration System'!C57</f>
        <v>10000</v>
      </c>
      <c r="D93" s="118">
        <f>'Filtration System'!D57</f>
        <v>0</v>
      </c>
      <c r="E93" s="118">
        <f>'Filtration System'!E57</f>
        <v>10000</v>
      </c>
      <c r="F93" s="118">
        <f>'Filtration System'!F57</f>
        <v>1727.5238279384996</v>
      </c>
      <c r="G93" s="118"/>
      <c r="H93" s="118">
        <f>B93/1000*(1000*9.81*Pumps!$B$14+'Parameters and Satisfaction'!$B$27)</f>
        <v>0</v>
      </c>
      <c r="I93" s="118">
        <f>C93/1000*(1000*9.81*Pumps!$B$14+'Parameters and Satisfaction'!$B$27)</f>
        <v>2680531.7925509624</v>
      </c>
      <c r="J93" s="118">
        <f>D93/1000*(1000*9.81*Pumps!$B$14+'Parameters and Satisfaction'!$B$27)</f>
        <v>0</v>
      </c>
      <c r="K93" s="118">
        <f>E93/1000*(1000*9.81*Pumps!$B$14+'Parameters and Satisfaction'!$B$27)</f>
        <v>2680531.7925509624</v>
      </c>
      <c r="L93" s="118">
        <f>F93/1000*(1000*9.81*Pumps!$B$14+'Parameters and Satisfaction'!$B$27)</f>
        <v>463068.25431784871</v>
      </c>
      <c r="M93" s="118"/>
      <c r="N93" s="118">
        <f>H93/IF('Parameters and Satisfaction'!$C$13="Pump A", 0.7, IF('Parameters and Satisfaction'!$C$13 = "Pump B", 0.72, 0.65))</f>
        <v>0</v>
      </c>
      <c r="O93" s="118">
        <f>I93/IF('Parameters and Satisfaction'!$C$13="Pump A", 0.7, IF('Parameters and Satisfaction'!$C$13 = "Pump B", 0.72, 0.65))</f>
        <v>3722960.822987448</v>
      </c>
      <c r="P93" s="118">
        <f>J93/IF('Parameters and Satisfaction'!$C$13="Pump A", 0.7, IF('Parameters and Satisfaction'!$C$13 = "Pump B", 0.72, 0.65))</f>
        <v>0</v>
      </c>
      <c r="Q93" s="118">
        <f>K93/IF('Parameters and Satisfaction'!$C$13="Pump A", 0.7, IF('Parameters and Satisfaction'!$C$13 = "Pump B", 0.72, 0.65))</f>
        <v>3722960.822987448</v>
      </c>
      <c r="R93" s="118">
        <f>L93/IF('Parameters and Satisfaction'!$C$13="Pump A", 0.7, IF('Parameters and Satisfaction'!$C$13 = "Pump B", 0.72, 0.65))</f>
        <v>643150.35321923438</v>
      </c>
      <c r="S93" s="118"/>
      <c r="T93" s="118">
        <f>N93+IF('Parameters and Satisfaction'!$C$19="Ozone", 'Filtration System'!AA57*1000000, 0)</f>
        <v>0</v>
      </c>
      <c r="U93" s="118">
        <f>O93+$F$47+IF('Parameters and Satisfaction'!$C$19="Ozone", 'Filtration System'!AB57*1000000, 0)</f>
        <v>8410460.8229874484</v>
      </c>
      <c r="V93" s="118">
        <f>P93+$F$47+IF('Parameters and Satisfaction'!$C$19="Ozone", 'Filtration System'!AC57*1000000, 0)</f>
        <v>4687500</v>
      </c>
      <c r="W93" s="118">
        <f>Q93+$F$47+IF('Parameters and Satisfaction'!$C$19="Ozone", 'Filtration System'!AD57*1000000, 0)</f>
        <v>8410460.8229874484</v>
      </c>
      <c r="X93" s="118">
        <f>R93+$F$47+IF('Parameters and Satisfaction'!$C$19="Ozone", 'Filtration System'!AE57*1000000, 0)</f>
        <v>5330650.3532192344</v>
      </c>
      <c r="Y93" s="118"/>
      <c r="Z93" s="118">
        <f t="shared" si="1"/>
        <v>0</v>
      </c>
      <c r="AA93" s="118">
        <f t="shared" si="2"/>
        <v>0.6007472016419606</v>
      </c>
      <c r="AB93" s="118">
        <f t="shared" si="3"/>
        <v>0.33482142857142855</v>
      </c>
      <c r="AC93" s="118">
        <f t="shared" si="4"/>
        <v>0.6007472016419606</v>
      </c>
      <c r="AD93" s="118">
        <f t="shared" si="5"/>
        <v>0.38076073951565959</v>
      </c>
      <c r="AE93" s="118"/>
      <c r="AF93" s="118"/>
      <c r="AG93" s="118"/>
      <c r="AK93">
        <f t="shared" si="8"/>
        <v>10967040</v>
      </c>
      <c r="AL93">
        <f t="shared" si="8"/>
        <v>10967040</v>
      </c>
      <c r="AM93">
        <f t="shared" si="8"/>
        <v>10967040</v>
      </c>
      <c r="AN93">
        <f t="shared" si="8"/>
        <v>10967040</v>
      </c>
      <c r="AO93">
        <f t="shared" si="8"/>
        <v>10967040</v>
      </c>
    </row>
    <row r="94" spans="1:41">
      <c r="A94" s="185">
        <f>'Water Stuff'!F28</f>
        <v>44585</v>
      </c>
      <c r="B94" s="118">
        <f>'Filtration System'!B58</f>
        <v>0</v>
      </c>
      <c r="C94" s="118">
        <f>'Filtration System'!C58</f>
        <v>8000</v>
      </c>
      <c r="D94" s="118">
        <f>'Filtration System'!D58</f>
        <v>926.56496259000858</v>
      </c>
      <c r="E94" s="118">
        <f>'Filtration System'!E58</f>
        <v>9705.7794047884308</v>
      </c>
      <c r="F94" s="118">
        <f>'Filtration System'!F58</f>
        <v>0</v>
      </c>
      <c r="G94" s="118"/>
      <c r="H94" s="118">
        <f>B94/1000*(1000*9.81*Pumps!$B$14+'Parameters and Satisfaction'!$B$27)</f>
        <v>0</v>
      </c>
      <c r="I94" s="118">
        <f>C94/1000*(1000*9.81*Pumps!$B$14+'Parameters and Satisfaction'!$B$27)</f>
        <v>2144425.4340407699</v>
      </c>
      <c r="J94" s="118">
        <f>D94/1000*(1000*9.81*Pumps!$B$14+'Parameters and Satisfaction'!$B$27)</f>
        <v>248368.6840086311</v>
      </c>
      <c r="K94" s="118">
        <f>E94/1000*(1000*9.81*Pumps!$B$14+'Parameters and Satisfaction'!$B$27)</f>
        <v>2601665.0266021742</v>
      </c>
      <c r="L94" s="118">
        <f>F94/1000*(1000*9.81*Pumps!$B$14+'Parameters and Satisfaction'!$B$27)</f>
        <v>0</v>
      </c>
      <c r="M94" s="118"/>
      <c r="N94" s="118">
        <f>H94/IF('Parameters and Satisfaction'!$C$13="Pump A", 0.7, IF('Parameters and Satisfaction'!$C$13 = "Pump B", 0.72, 0.65))</f>
        <v>0</v>
      </c>
      <c r="O94" s="118">
        <f>I94/IF('Parameters and Satisfaction'!$C$13="Pump A", 0.7, IF('Parameters and Satisfaction'!$C$13 = "Pump B", 0.72, 0.65))</f>
        <v>2978368.6583899586</v>
      </c>
      <c r="P94" s="118">
        <f>J94/IF('Parameters and Satisfaction'!$C$13="Pump A", 0.7, IF('Parameters and Satisfaction'!$C$13 = "Pump B", 0.72, 0.65))</f>
        <v>344956.50556754321</v>
      </c>
      <c r="Q94" s="118">
        <f>K94/IF('Parameters and Satisfaction'!$C$13="Pump A", 0.7, IF('Parameters and Satisfaction'!$C$13 = "Pump B", 0.72, 0.65))</f>
        <v>3613423.6480585756</v>
      </c>
      <c r="R94" s="118">
        <f>L94/IF('Parameters and Satisfaction'!$C$13="Pump A", 0.7, IF('Parameters and Satisfaction'!$C$13 = "Pump B", 0.72, 0.65))</f>
        <v>0</v>
      </c>
      <c r="S94" s="118"/>
      <c r="T94" s="118">
        <f>N94+IF('Parameters and Satisfaction'!$C$19="Ozone", 'Filtration System'!AA58*1000000, 0)</f>
        <v>0</v>
      </c>
      <c r="U94" s="118">
        <f>O94+$F$47+IF('Parameters and Satisfaction'!$C$19="Ozone", 'Filtration System'!AB58*1000000, 0)</f>
        <v>7665868.6583899586</v>
      </c>
      <c r="V94" s="118">
        <f>P94+$F$47+IF('Parameters and Satisfaction'!$C$19="Ozone", 'Filtration System'!AC58*1000000, 0)</f>
        <v>5032456.5055675432</v>
      </c>
      <c r="W94" s="118">
        <f>Q94+$F$47+IF('Parameters and Satisfaction'!$C$19="Ozone", 'Filtration System'!AD58*1000000, 0)</f>
        <v>8300923.6480585756</v>
      </c>
      <c r="X94" s="118">
        <f>R94+$F$47+IF('Parameters and Satisfaction'!$C$19="Ozone", 'Filtration System'!AE58*1000000, 0)</f>
        <v>4687500</v>
      </c>
      <c r="Y94" s="118"/>
      <c r="Z94" s="118">
        <f t="shared" si="1"/>
        <v>0</v>
      </c>
      <c r="AA94" s="118">
        <f t="shared" si="2"/>
        <v>0.54756204702785416</v>
      </c>
      <c r="AB94" s="118">
        <f t="shared" si="3"/>
        <v>0.35946117896911023</v>
      </c>
      <c r="AC94" s="118">
        <f t="shared" si="4"/>
        <v>0.59292311771846973</v>
      </c>
      <c r="AD94" s="118">
        <f t="shared" si="5"/>
        <v>0.33482142857142855</v>
      </c>
      <c r="AE94" s="118"/>
      <c r="AF94" s="118"/>
      <c r="AG94" s="118"/>
      <c r="AK94">
        <f t="shared" si="8"/>
        <v>10967040</v>
      </c>
      <c r="AL94">
        <f t="shared" si="8"/>
        <v>10967040</v>
      </c>
      <c r="AM94">
        <f t="shared" si="8"/>
        <v>10967040</v>
      </c>
      <c r="AN94">
        <f t="shared" si="8"/>
        <v>10967040</v>
      </c>
      <c r="AO94">
        <f t="shared" si="8"/>
        <v>10967040</v>
      </c>
    </row>
    <row r="95" spans="1:41">
      <c r="A95" s="185">
        <f>'Water Stuff'!F29</f>
        <v>44586</v>
      </c>
      <c r="B95" s="118">
        <f>'Filtration System'!B59</f>
        <v>0</v>
      </c>
      <c r="C95" s="118">
        <f>'Filtration System'!C59</f>
        <v>360</v>
      </c>
      <c r="D95" s="118">
        <f>'Filtration System'!D59</f>
        <v>1631.8293333097183</v>
      </c>
      <c r="E95" s="118">
        <f>'Filtration System'!E59</f>
        <v>0</v>
      </c>
      <c r="F95" s="118">
        <f>'Filtration System'!F59</f>
        <v>1394.8776042973786</v>
      </c>
      <c r="G95" s="118"/>
      <c r="H95" s="118">
        <f>B95/1000*(1000*9.81*Pumps!$B$14+'Parameters and Satisfaction'!$B$27)</f>
        <v>0</v>
      </c>
      <c r="I95" s="118">
        <f>C95/1000*(1000*9.81*Pumps!$B$14+'Parameters and Satisfaction'!$B$27)</f>
        <v>96499.144531834638</v>
      </c>
      <c r="J95" s="118">
        <f>D95/1000*(1000*9.81*Pumps!$B$14+'Parameters and Satisfaction'!$B$27)</f>
        <v>437417.0407953941</v>
      </c>
      <c r="K95" s="118">
        <f>E95/1000*(1000*9.81*Pumps!$B$14+'Parameters and Satisfaction'!$B$27)</f>
        <v>0</v>
      </c>
      <c r="L95" s="118">
        <f>F95/1000*(1000*9.81*Pumps!$B$14+'Parameters and Satisfaction'!$B$27)</f>
        <v>373901.37650364445</v>
      </c>
      <c r="M95" s="118"/>
      <c r="N95" s="118">
        <f>H95/IF('Parameters and Satisfaction'!$C$13="Pump A", 0.7, IF('Parameters and Satisfaction'!$C$13 = "Pump B", 0.72, 0.65))</f>
        <v>0</v>
      </c>
      <c r="O95" s="118">
        <f>I95/IF('Parameters and Satisfaction'!$C$13="Pump A", 0.7, IF('Parameters and Satisfaction'!$C$13 = "Pump B", 0.72, 0.65))</f>
        <v>134026.58962754812</v>
      </c>
      <c r="P95" s="118">
        <f>J95/IF('Parameters and Satisfaction'!$C$13="Pump A", 0.7, IF('Parameters and Satisfaction'!$C$13 = "Pump B", 0.72, 0.65))</f>
        <v>607523.66777138074</v>
      </c>
      <c r="Q95" s="118">
        <f>K95/IF('Parameters and Satisfaction'!$C$13="Pump A", 0.7, IF('Parameters and Satisfaction'!$C$13 = "Pump B", 0.72, 0.65))</f>
        <v>0</v>
      </c>
      <c r="R95" s="118">
        <f>L95/IF('Parameters and Satisfaction'!$C$13="Pump A", 0.7, IF('Parameters and Satisfaction'!$C$13 = "Pump B", 0.72, 0.65))</f>
        <v>519307.46736617287</v>
      </c>
      <c r="S95" s="118"/>
      <c r="T95" s="118">
        <f>N95+IF('Parameters and Satisfaction'!$C$19="Ozone", 'Filtration System'!AA59*1000000, 0)</f>
        <v>0</v>
      </c>
      <c r="U95" s="118">
        <f>O95+$F$47+IF('Parameters and Satisfaction'!$C$19="Ozone", 'Filtration System'!AB59*1000000, 0)</f>
        <v>4821526.5896275481</v>
      </c>
      <c r="V95" s="118">
        <f>P95+$F$47+IF('Parameters and Satisfaction'!$C$19="Ozone", 'Filtration System'!AC59*1000000, 0)</f>
        <v>5295023.6677713804</v>
      </c>
      <c r="W95" s="118">
        <f>Q95+$F$47+IF('Parameters and Satisfaction'!$C$19="Ozone", 'Filtration System'!AD59*1000000, 0)</f>
        <v>4687500</v>
      </c>
      <c r="X95" s="118">
        <f>R95+$F$47+IF('Parameters and Satisfaction'!$C$19="Ozone", 'Filtration System'!AE59*1000000, 0)</f>
        <v>5206807.4673661729</v>
      </c>
      <c r="Y95" s="118"/>
      <c r="Z95" s="118">
        <f t="shared" si="1"/>
        <v>0</v>
      </c>
      <c r="AA95" s="118">
        <f t="shared" si="2"/>
        <v>0.34439475640196771</v>
      </c>
      <c r="AB95" s="118">
        <f t="shared" si="3"/>
        <v>0.3782159762693843</v>
      </c>
      <c r="AC95" s="118">
        <f t="shared" si="4"/>
        <v>0.33482142857142855</v>
      </c>
      <c r="AD95" s="118">
        <f t="shared" si="5"/>
        <v>0.37191481909758378</v>
      </c>
      <c r="AE95" s="118"/>
      <c r="AF95" s="118"/>
      <c r="AG95" s="118"/>
      <c r="AK95">
        <f t="shared" si="8"/>
        <v>10967040</v>
      </c>
      <c r="AL95">
        <f t="shared" si="8"/>
        <v>10967040</v>
      </c>
      <c r="AM95">
        <f t="shared" si="8"/>
        <v>10967040</v>
      </c>
      <c r="AN95">
        <f t="shared" si="8"/>
        <v>10967040</v>
      </c>
      <c r="AO95">
        <f t="shared" si="8"/>
        <v>10967040</v>
      </c>
    </row>
    <row r="96" spans="1:41">
      <c r="A96" s="185">
        <f>'Water Stuff'!F30</f>
        <v>44587</v>
      </c>
      <c r="B96" s="118">
        <f>'Filtration System'!B60</f>
        <v>0</v>
      </c>
      <c r="C96" s="118">
        <f>'Filtration System'!C60</f>
        <v>560</v>
      </c>
      <c r="D96" s="118">
        <f>'Filtration System'!D60</f>
        <v>0</v>
      </c>
      <c r="E96" s="118">
        <f>'Filtration System'!E60</f>
        <v>0</v>
      </c>
      <c r="F96" s="118">
        <f>'Filtration System'!F60</f>
        <v>298.80367824172362</v>
      </c>
      <c r="G96" s="118"/>
      <c r="H96" s="118">
        <f>B96/1000*(1000*9.81*Pumps!$B$14+'Parameters and Satisfaction'!$B$27)</f>
        <v>0</v>
      </c>
      <c r="I96" s="118">
        <f>C96/1000*(1000*9.81*Pumps!$B$14+'Parameters and Satisfaction'!$B$27)</f>
        <v>150109.7803828539</v>
      </c>
      <c r="J96" s="118">
        <f>D96/1000*(1000*9.81*Pumps!$B$14+'Parameters and Satisfaction'!$B$27)</f>
        <v>0</v>
      </c>
      <c r="K96" s="118">
        <f>E96/1000*(1000*9.81*Pumps!$B$14+'Parameters and Satisfaction'!$B$27)</f>
        <v>0</v>
      </c>
      <c r="L96" s="118">
        <f>F96/1000*(1000*9.81*Pumps!$B$14+'Parameters and Satisfaction'!$B$27)</f>
        <v>80095.275925810842</v>
      </c>
      <c r="M96" s="118"/>
      <c r="N96" s="118">
        <f>H96/IF('Parameters and Satisfaction'!$C$13="Pump A", 0.7, IF('Parameters and Satisfaction'!$C$13 = "Pump B", 0.72, 0.65))</f>
        <v>0</v>
      </c>
      <c r="O96" s="118">
        <f>I96/IF('Parameters and Satisfaction'!$C$13="Pump A", 0.7, IF('Parameters and Satisfaction'!$C$13 = "Pump B", 0.72, 0.65))</f>
        <v>208485.8060872971</v>
      </c>
      <c r="P96" s="118">
        <f>J96/IF('Parameters and Satisfaction'!$C$13="Pump A", 0.7, IF('Parameters and Satisfaction'!$C$13 = "Pump B", 0.72, 0.65))</f>
        <v>0</v>
      </c>
      <c r="Q96" s="118">
        <f>K96/IF('Parameters and Satisfaction'!$C$13="Pump A", 0.7, IF('Parameters and Satisfaction'!$C$13 = "Pump B", 0.72, 0.65))</f>
        <v>0</v>
      </c>
      <c r="R96" s="118">
        <f>L96/IF('Parameters and Satisfaction'!$C$13="Pump A", 0.7, IF('Parameters and Satisfaction'!$C$13 = "Pump B", 0.72, 0.65))</f>
        <v>111243.4387858484</v>
      </c>
      <c r="S96" s="118"/>
      <c r="T96" s="118">
        <f>N96+IF('Parameters and Satisfaction'!$C$19="Ozone", 'Filtration System'!AA60*1000000, 0)</f>
        <v>0</v>
      </c>
      <c r="U96" s="118">
        <f>O96+$F$47+IF('Parameters and Satisfaction'!$C$19="Ozone", 'Filtration System'!AB60*1000000, 0)</f>
        <v>4895985.8060872974</v>
      </c>
      <c r="V96" s="118">
        <f>P96+$F$47+IF('Parameters and Satisfaction'!$C$19="Ozone", 'Filtration System'!AC60*1000000, 0)</f>
        <v>4687500</v>
      </c>
      <c r="W96" s="118">
        <f>Q96+$F$47+IF('Parameters and Satisfaction'!$C$19="Ozone", 'Filtration System'!AD60*1000000, 0)</f>
        <v>4687500</v>
      </c>
      <c r="X96" s="118">
        <f>R96+$F$47+IF('Parameters and Satisfaction'!$C$19="Ozone", 'Filtration System'!AE60*1000000, 0)</f>
        <v>4798743.4387858482</v>
      </c>
      <c r="Y96" s="118"/>
      <c r="Z96" s="118">
        <f t="shared" si="1"/>
        <v>0</v>
      </c>
      <c r="AA96" s="118">
        <f t="shared" si="2"/>
        <v>0.34971327186337836</v>
      </c>
      <c r="AB96" s="118">
        <f t="shared" si="3"/>
        <v>0.33482142857142855</v>
      </c>
      <c r="AC96" s="118">
        <f t="shared" si="4"/>
        <v>0.33482142857142855</v>
      </c>
      <c r="AD96" s="118">
        <f t="shared" si="5"/>
        <v>0.34276738848470345</v>
      </c>
      <c r="AE96" s="118"/>
      <c r="AF96" s="118"/>
      <c r="AG96" s="118"/>
      <c r="AK96">
        <f t="shared" si="8"/>
        <v>10967040</v>
      </c>
      <c r="AL96">
        <f t="shared" si="8"/>
        <v>10967040</v>
      </c>
      <c r="AM96">
        <f t="shared" si="8"/>
        <v>10967040</v>
      </c>
      <c r="AN96">
        <f t="shared" si="8"/>
        <v>10967040</v>
      </c>
      <c r="AO96">
        <f t="shared" si="8"/>
        <v>10967040</v>
      </c>
    </row>
    <row r="97" spans="1:41">
      <c r="A97" s="185">
        <f>'Water Stuff'!F31</f>
        <v>44588</v>
      </c>
      <c r="B97" s="118">
        <f>'Filtration System'!B61</f>
        <v>3520.0000000000005</v>
      </c>
      <c r="C97" s="118">
        <f>'Filtration System'!C61</f>
        <v>560</v>
      </c>
      <c r="D97" s="118">
        <f>'Filtration System'!D61</f>
        <v>3872.3244809054422</v>
      </c>
      <c r="E97" s="118">
        <f>'Filtration System'!E61</f>
        <v>0</v>
      </c>
      <c r="F97" s="118">
        <f>'Filtration System'!F61</f>
        <v>5079.7463832618523</v>
      </c>
      <c r="G97" s="118"/>
      <c r="H97" s="118">
        <f>B97/1000*(1000*9.81*Pumps!$B$14+'Parameters and Satisfaction'!$B$27)</f>
        <v>943547.19097793894</v>
      </c>
      <c r="I97" s="118">
        <f>C97/1000*(1000*9.81*Pumps!$B$14+'Parameters and Satisfaction'!$B$27)</f>
        <v>150109.7803828539</v>
      </c>
      <c r="J97" s="118">
        <f>D97/1000*(1000*9.81*Pumps!$B$14+'Parameters and Satisfaction'!$B$27)</f>
        <v>1037988.8882140439</v>
      </c>
      <c r="K97" s="118">
        <f>E97/1000*(1000*9.81*Pumps!$B$14+'Parameters and Satisfaction'!$B$27)</f>
        <v>0</v>
      </c>
      <c r="L97" s="118">
        <f>F97/1000*(1000*9.81*Pumps!$B$14+'Parameters and Satisfaction'!$B$27)</f>
        <v>1361642.1678429162</v>
      </c>
      <c r="M97" s="118"/>
      <c r="N97" s="118">
        <f>H97/IF('Parameters and Satisfaction'!$C$13="Pump A", 0.7, IF('Parameters and Satisfaction'!$C$13 = "Pump B", 0.72, 0.65))</f>
        <v>1310482.209691582</v>
      </c>
      <c r="O97" s="118">
        <f>I97/IF('Parameters and Satisfaction'!$C$13="Pump A", 0.7, IF('Parameters and Satisfaction'!$C$13 = "Pump B", 0.72, 0.65))</f>
        <v>208485.8060872971</v>
      </c>
      <c r="P97" s="118">
        <f>J97/IF('Parameters and Satisfaction'!$C$13="Pump A", 0.7, IF('Parameters and Satisfaction'!$C$13 = "Pump B", 0.72, 0.65))</f>
        <v>1441651.2336306167</v>
      </c>
      <c r="Q97" s="118">
        <f>K97/IF('Parameters and Satisfaction'!$C$13="Pump A", 0.7, IF('Parameters and Satisfaction'!$C$13 = "Pump B", 0.72, 0.65))</f>
        <v>0</v>
      </c>
      <c r="R97" s="118">
        <f>L97/IF('Parameters and Satisfaction'!$C$13="Pump A", 0.7, IF('Parameters and Satisfaction'!$C$13 = "Pump B", 0.72, 0.65))</f>
        <v>1891169.677559606</v>
      </c>
      <c r="S97" s="118"/>
      <c r="T97" s="118">
        <f>N97+IF('Parameters and Satisfaction'!$C$19="Ozone", 'Filtration System'!AA61*1000000, 0)</f>
        <v>1310482.209691582</v>
      </c>
      <c r="U97" s="118">
        <f>O97+$F$47+IF('Parameters and Satisfaction'!$C$19="Ozone", 'Filtration System'!AB61*1000000, 0)</f>
        <v>4895985.8060872974</v>
      </c>
      <c r="V97" s="118">
        <f>P97+$F$47+IF('Parameters and Satisfaction'!$C$19="Ozone", 'Filtration System'!AC61*1000000, 0)</f>
        <v>6129151.2336306162</v>
      </c>
      <c r="W97" s="118">
        <f>Q97+$F$47+IF('Parameters and Satisfaction'!$C$19="Ozone", 'Filtration System'!AD61*1000000, 0)</f>
        <v>4687500</v>
      </c>
      <c r="X97" s="118">
        <f>R97+$F$47+IF('Parameters and Satisfaction'!$C$19="Ozone", 'Filtration System'!AE61*1000000, 0)</f>
        <v>6578669.6775596058</v>
      </c>
      <c r="Y97" s="118"/>
      <c r="Z97" s="118">
        <f t="shared" si="1"/>
        <v>9.3605872120827285E-2</v>
      </c>
      <c r="AA97" s="118">
        <f t="shared" si="2"/>
        <v>0.34971327186337836</v>
      </c>
      <c r="AB97" s="118">
        <f t="shared" si="3"/>
        <v>0.43779651668790115</v>
      </c>
      <c r="AC97" s="118">
        <f t="shared" si="4"/>
        <v>0.33482142857142855</v>
      </c>
      <c r="AD97" s="118">
        <f t="shared" si="5"/>
        <v>0.46990497696854328</v>
      </c>
      <c r="AE97" s="118"/>
      <c r="AF97" s="118"/>
      <c r="AG97" s="118"/>
      <c r="AK97">
        <f t="shared" si="8"/>
        <v>10967040</v>
      </c>
      <c r="AL97">
        <f t="shared" si="8"/>
        <v>10967040</v>
      </c>
      <c r="AM97">
        <f t="shared" si="8"/>
        <v>10967040</v>
      </c>
      <c r="AN97">
        <f t="shared" si="8"/>
        <v>10967040</v>
      </c>
      <c r="AO97">
        <f t="shared" si="8"/>
        <v>10967040</v>
      </c>
    </row>
    <row r="98" spans="1:41">
      <c r="A98" s="185">
        <f>'Water Stuff'!F32</f>
        <v>44589</v>
      </c>
      <c r="B98" s="118">
        <f>'Filtration System'!B62</f>
        <v>0</v>
      </c>
      <c r="C98" s="118">
        <f>'Filtration System'!C62</f>
        <v>0</v>
      </c>
      <c r="D98" s="118">
        <f>'Filtration System'!D62</f>
        <v>864.43561406426829</v>
      </c>
      <c r="E98" s="118">
        <f>'Filtration System'!E62</f>
        <v>1054.1570121384286</v>
      </c>
      <c r="F98" s="118">
        <f>'Filtration System'!F62</f>
        <v>1829.6895507239985</v>
      </c>
      <c r="G98" s="118"/>
      <c r="H98" s="118">
        <f>B98/1000*(1000*9.81*Pumps!$B$14+'Parameters and Satisfaction'!$B$27)</f>
        <v>0</v>
      </c>
      <c r="I98" s="118">
        <f>C98/1000*(1000*9.81*Pumps!$B$14+'Parameters and Satisfaction'!$B$27)</f>
        <v>0</v>
      </c>
      <c r="J98" s="118">
        <f>D98/1000*(1000*9.81*Pumps!$B$14+'Parameters and Satisfaction'!$B$27)</f>
        <v>231714.7146112585</v>
      </c>
      <c r="K98" s="118">
        <f>E98/1000*(1000*9.81*Pumps!$B$14+'Parameters and Satisfaction'!$B$27)</f>
        <v>282570.1385377589</v>
      </c>
      <c r="L98" s="118">
        <f>F98/1000*(1000*9.81*Pumps!$B$14+'Parameters and Satisfaction'!$B$27)</f>
        <v>490454.10112139647</v>
      </c>
      <c r="M98" s="118"/>
      <c r="N98" s="118">
        <f>H98/IF('Parameters and Satisfaction'!$C$13="Pump A", 0.7, IF('Parameters and Satisfaction'!$C$13 = "Pump B", 0.72, 0.65))</f>
        <v>0</v>
      </c>
      <c r="O98" s="118">
        <f>I98/IF('Parameters and Satisfaction'!$C$13="Pump A", 0.7, IF('Parameters and Satisfaction'!$C$13 = "Pump B", 0.72, 0.65))</f>
        <v>0</v>
      </c>
      <c r="P98" s="118">
        <f>J98/IF('Parameters and Satisfaction'!$C$13="Pump A", 0.7, IF('Parameters and Satisfaction'!$C$13 = "Pump B", 0.72, 0.65))</f>
        <v>321825.99251563684</v>
      </c>
      <c r="Q98" s="118">
        <f>K98/IF('Parameters and Satisfaction'!$C$13="Pump A", 0.7, IF('Parameters and Satisfaction'!$C$13 = "Pump B", 0.72, 0.65))</f>
        <v>392458.52574688738</v>
      </c>
      <c r="R98" s="118">
        <f>L98/IF('Parameters and Satisfaction'!$C$13="Pump A", 0.7, IF('Parameters and Satisfaction'!$C$13 = "Pump B", 0.72, 0.65))</f>
        <v>681186.2515574951</v>
      </c>
      <c r="S98" s="118"/>
      <c r="T98" s="118">
        <f>N98+IF('Parameters and Satisfaction'!$C$19="Ozone", 'Filtration System'!AA62*1000000, 0)</f>
        <v>0</v>
      </c>
      <c r="U98" s="118">
        <f>O98+$F$47+IF('Parameters and Satisfaction'!$C$19="Ozone", 'Filtration System'!AB62*1000000, 0)</f>
        <v>4687500</v>
      </c>
      <c r="V98" s="118">
        <f>P98+$F$47+IF('Parameters and Satisfaction'!$C$19="Ozone", 'Filtration System'!AC62*1000000, 0)</f>
        <v>5009325.9925156366</v>
      </c>
      <c r="W98" s="118">
        <f>Q98+$F$47+IF('Parameters and Satisfaction'!$C$19="Ozone", 'Filtration System'!AD62*1000000, 0)</f>
        <v>5079958.5257468875</v>
      </c>
      <c r="X98" s="118">
        <f>R98+$F$47+IF('Parameters and Satisfaction'!$C$19="Ozone", 'Filtration System'!AE62*1000000, 0)</f>
        <v>5368686.2515574954</v>
      </c>
      <c r="Y98" s="118"/>
      <c r="Z98" s="118">
        <f t="shared" si="1"/>
        <v>0</v>
      </c>
      <c r="AA98" s="118">
        <f t="shared" si="2"/>
        <v>0.33482142857142855</v>
      </c>
      <c r="AB98" s="118">
        <f t="shared" si="3"/>
        <v>0.35780899946540262</v>
      </c>
      <c r="AC98" s="118">
        <f t="shared" si="4"/>
        <v>0.36285418041049194</v>
      </c>
      <c r="AD98" s="118">
        <f t="shared" si="5"/>
        <v>0.38347758939696397</v>
      </c>
      <c r="AE98" s="118"/>
      <c r="AF98" s="118"/>
      <c r="AG98" s="118"/>
      <c r="AK98">
        <f t="shared" si="8"/>
        <v>10967040</v>
      </c>
      <c r="AL98">
        <f t="shared" si="8"/>
        <v>10967040</v>
      </c>
      <c r="AM98">
        <f t="shared" si="8"/>
        <v>10967040</v>
      </c>
      <c r="AN98">
        <f t="shared" si="8"/>
        <v>10967040</v>
      </c>
      <c r="AO98">
        <f t="shared" si="8"/>
        <v>10967040</v>
      </c>
    </row>
    <row r="99" spans="1:41">
      <c r="A99" s="185">
        <f>'Water Stuff'!F33</f>
        <v>44590</v>
      </c>
      <c r="B99" s="118">
        <f>'Filtration System'!B63</f>
        <v>0</v>
      </c>
      <c r="C99" s="118">
        <f>'Filtration System'!C63</f>
        <v>0</v>
      </c>
      <c r="D99" s="118">
        <f>'Filtration System'!D63</f>
        <v>0</v>
      </c>
      <c r="E99" s="118">
        <f>'Filtration System'!E63</f>
        <v>0</v>
      </c>
      <c r="F99" s="118">
        <f>'Filtration System'!F63</f>
        <v>0</v>
      </c>
      <c r="G99" s="118"/>
      <c r="H99" s="118">
        <f>B99/1000*(1000*9.81*Pumps!$B$14+'Parameters and Satisfaction'!$B$27)</f>
        <v>0</v>
      </c>
      <c r="I99" s="118">
        <f>C99/1000*(1000*9.81*Pumps!$B$14+'Parameters and Satisfaction'!$B$27)</f>
        <v>0</v>
      </c>
      <c r="J99" s="118">
        <f>D99/1000*(1000*9.81*Pumps!$B$14+'Parameters and Satisfaction'!$B$27)</f>
        <v>0</v>
      </c>
      <c r="K99" s="118">
        <f>E99/1000*(1000*9.81*Pumps!$B$14+'Parameters and Satisfaction'!$B$27)</f>
        <v>0</v>
      </c>
      <c r="L99" s="118">
        <f>F99/1000*(1000*9.81*Pumps!$B$14+'Parameters and Satisfaction'!$B$27)</f>
        <v>0</v>
      </c>
      <c r="M99" s="118"/>
      <c r="N99" s="118">
        <f>H99/IF('Parameters and Satisfaction'!$C$13="Pump A", 0.7, IF('Parameters and Satisfaction'!$C$13 = "Pump B", 0.72, 0.65))</f>
        <v>0</v>
      </c>
      <c r="O99" s="118">
        <f>I99/IF('Parameters and Satisfaction'!$C$13="Pump A", 0.7, IF('Parameters and Satisfaction'!$C$13 = "Pump B", 0.72, 0.65))</f>
        <v>0</v>
      </c>
      <c r="P99" s="118">
        <f>J99/IF('Parameters and Satisfaction'!$C$13="Pump A", 0.7, IF('Parameters and Satisfaction'!$C$13 = "Pump B", 0.72, 0.65))</f>
        <v>0</v>
      </c>
      <c r="Q99" s="118">
        <f>K99/IF('Parameters and Satisfaction'!$C$13="Pump A", 0.7, IF('Parameters and Satisfaction'!$C$13 = "Pump B", 0.72, 0.65))</f>
        <v>0</v>
      </c>
      <c r="R99" s="118">
        <f>L99/IF('Parameters and Satisfaction'!$C$13="Pump A", 0.7, IF('Parameters and Satisfaction'!$C$13 = "Pump B", 0.72, 0.65))</f>
        <v>0</v>
      </c>
      <c r="S99" s="118"/>
      <c r="T99" s="118">
        <f>N99+IF('Parameters and Satisfaction'!$C$19="Ozone", 'Filtration System'!AA63*1000000, 0)</f>
        <v>0</v>
      </c>
      <c r="U99" s="118">
        <f>O99+$F$47+IF('Parameters and Satisfaction'!$C$19="Ozone", 'Filtration System'!AB63*1000000, 0)</f>
        <v>4687500</v>
      </c>
      <c r="V99" s="118">
        <f>P99+$F$47+IF('Parameters and Satisfaction'!$C$19="Ozone", 'Filtration System'!AC63*1000000, 0)</f>
        <v>4687500</v>
      </c>
      <c r="W99" s="118">
        <f>Q99+$F$47+IF('Parameters and Satisfaction'!$C$19="Ozone", 'Filtration System'!AD63*1000000, 0)</f>
        <v>4687500</v>
      </c>
      <c r="X99" s="118">
        <f>R99+$F$47+IF('Parameters and Satisfaction'!$C$19="Ozone", 'Filtration System'!AE63*1000000, 0)</f>
        <v>4687500</v>
      </c>
      <c r="Y99" s="118"/>
      <c r="Z99" s="118">
        <f t="shared" si="1"/>
        <v>0</v>
      </c>
      <c r="AA99" s="118">
        <f t="shared" si="2"/>
        <v>0.33482142857142855</v>
      </c>
      <c r="AB99" s="118">
        <f t="shared" si="3"/>
        <v>0.33482142857142855</v>
      </c>
      <c r="AC99" s="118">
        <f t="shared" si="4"/>
        <v>0.33482142857142855</v>
      </c>
      <c r="AD99" s="118">
        <f t="shared" si="5"/>
        <v>0.33482142857142855</v>
      </c>
      <c r="AE99" s="118"/>
      <c r="AF99" s="118"/>
      <c r="AG99" s="118"/>
      <c r="AK99">
        <f t="shared" si="8"/>
        <v>10967040</v>
      </c>
      <c r="AL99">
        <f t="shared" si="8"/>
        <v>10967040</v>
      </c>
      <c r="AM99">
        <f t="shared" si="8"/>
        <v>10967040</v>
      </c>
      <c r="AN99">
        <f t="shared" si="8"/>
        <v>10967040</v>
      </c>
      <c r="AO99">
        <f t="shared" si="8"/>
        <v>10967040</v>
      </c>
    </row>
    <row r="100" spans="1:41">
      <c r="A100" s="185">
        <f>'Water Stuff'!F34</f>
        <v>44591</v>
      </c>
      <c r="B100" s="118">
        <f>'Filtration System'!B64</f>
        <v>0</v>
      </c>
      <c r="C100" s="118">
        <f>'Filtration System'!C64</f>
        <v>120</v>
      </c>
      <c r="D100" s="118">
        <f>'Filtration System'!D64</f>
        <v>0</v>
      </c>
      <c r="E100" s="118">
        <f>'Filtration System'!E64</f>
        <v>0</v>
      </c>
      <c r="F100" s="118">
        <f>'Filtration System'!F64</f>
        <v>681.75877897866724</v>
      </c>
      <c r="G100" s="118"/>
      <c r="H100" s="118">
        <f>B100/1000*(1000*9.81*Pumps!$B$14+'Parameters and Satisfaction'!$B$27)</f>
        <v>0</v>
      </c>
      <c r="I100" s="118">
        <f>C100/1000*(1000*9.81*Pumps!$B$14+'Parameters and Satisfaction'!$B$27)</f>
        <v>32166.381510611547</v>
      </c>
      <c r="J100" s="118">
        <f>D100/1000*(1000*9.81*Pumps!$B$14+'Parameters and Satisfaction'!$B$27)</f>
        <v>0</v>
      </c>
      <c r="K100" s="118">
        <f>E100/1000*(1000*9.81*Pumps!$B$14+'Parameters and Satisfaction'!$B$27)</f>
        <v>0</v>
      </c>
      <c r="L100" s="118">
        <f>F100/1000*(1000*9.81*Pumps!$B$14+'Parameters and Satisfaction'!$B$27)</f>
        <v>182747.60819030422</v>
      </c>
      <c r="M100" s="118"/>
      <c r="N100" s="118">
        <f>H100/IF('Parameters and Satisfaction'!$C$13="Pump A", 0.7, IF('Parameters and Satisfaction'!$C$13 = "Pump B", 0.72, 0.65))</f>
        <v>0</v>
      </c>
      <c r="O100" s="118">
        <f>I100/IF('Parameters and Satisfaction'!$C$13="Pump A", 0.7, IF('Parameters and Satisfaction'!$C$13 = "Pump B", 0.72, 0.65))</f>
        <v>44675.529875849374</v>
      </c>
      <c r="P100" s="118">
        <f>J100/IF('Parameters and Satisfaction'!$C$13="Pump A", 0.7, IF('Parameters and Satisfaction'!$C$13 = "Pump B", 0.72, 0.65))</f>
        <v>0</v>
      </c>
      <c r="Q100" s="118">
        <f>K100/IF('Parameters and Satisfaction'!$C$13="Pump A", 0.7, IF('Parameters and Satisfaction'!$C$13 = "Pump B", 0.72, 0.65))</f>
        <v>0</v>
      </c>
      <c r="R100" s="118">
        <f>L100/IF('Parameters and Satisfaction'!$C$13="Pump A", 0.7, IF('Parameters and Satisfaction'!$C$13 = "Pump B", 0.72, 0.65))</f>
        <v>253816.12248653366</v>
      </c>
      <c r="S100" s="118"/>
      <c r="T100" s="118">
        <f>N100+IF('Parameters and Satisfaction'!$C$19="Ozone", 'Filtration System'!AA64*1000000, 0)</f>
        <v>0</v>
      </c>
      <c r="U100" s="118">
        <f>O100+$F$47+IF('Parameters and Satisfaction'!$C$19="Ozone", 'Filtration System'!AB64*1000000, 0)</f>
        <v>4732175.5298758494</v>
      </c>
      <c r="V100" s="118">
        <f>P100+$F$47+IF('Parameters and Satisfaction'!$C$19="Ozone", 'Filtration System'!AC64*1000000, 0)</f>
        <v>4687500</v>
      </c>
      <c r="W100" s="118">
        <f>Q100+$F$47+IF('Parameters and Satisfaction'!$C$19="Ozone", 'Filtration System'!AD64*1000000, 0)</f>
        <v>4687500</v>
      </c>
      <c r="X100" s="118">
        <f>R100+$F$47+IF('Parameters and Satisfaction'!$C$19="Ozone", 'Filtration System'!AE64*1000000, 0)</f>
        <v>4941316.1224865336</v>
      </c>
      <c r="Y100" s="118"/>
      <c r="Z100" s="118">
        <f t="shared" si="1"/>
        <v>0</v>
      </c>
      <c r="AA100" s="118">
        <f t="shared" si="2"/>
        <v>0.33801253784827495</v>
      </c>
      <c r="AB100" s="118">
        <f t="shared" si="3"/>
        <v>0.33482142857142855</v>
      </c>
      <c r="AC100" s="118">
        <f t="shared" si="4"/>
        <v>0.33482142857142855</v>
      </c>
      <c r="AD100" s="118">
        <f t="shared" si="5"/>
        <v>0.35295115160618096</v>
      </c>
      <c r="AE100" s="118"/>
      <c r="AF100" s="118"/>
      <c r="AG100" s="118"/>
      <c r="AK100">
        <f t="shared" si="8"/>
        <v>10967040</v>
      </c>
      <c r="AL100">
        <f t="shared" si="8"/>
        <v>10967040</v>
      </c>
      <c r="AM100">
        <f t="shared" si="8"/>
        <v>10967040</v>
      </c>
      <c r="AN100">
        <f t="shared" si="8"/>
        <v>10967040</v>
      </c>
      <c r="AO100">
        <f t="shared" si="8"/>
        <v>10967040</v>
      </c>
    </row>
    <row r="101" spans="1:41">
      <c r="A101" s="185">
        <f>'Water Stuff'!F35</f>
        <v>44592</v>
      </c>
      <c r="B101" s="118">
        <f>'Filtration System'!B65</f>
        <v>520</v>
      </c>
      <c r="C101" s="118">
        <f>'Filtration System'!C65</f>
        <v>1160</v>
      </c>
      <c r="D101" s="118">
        <f>'Filtration System'!D65</f>
        <v>0</v>
      </c>
      <c r="E101" s="118">
        <f>'Filtration System'!E65</f>
        <v>0</v>
      </c>
      <c r="F101" s="118">
        <f>'Filtration System'!F65</f>
        <v>0</v>
      </c>
      <c r="G101" s="118"/>
      <c r="H101" s="118">
        <f>B101/1000*(1000*9.81*Pumps!$B$14+'Parameters and Satisfaction'!$B$27)</f>
        <v>139387.65321265004</v>
      </c>
      <c r="I101" s="118">
        <f>C101/1000*(1000*9.81*Pumps!$B$14+'Parameters and Satisfaction'!$B$27)</f>
        <v>310941.68793591164</v>
      </c>
      <c r="J101" s="118">
        <f>D101/1000*(1000*9.81*Pumps!$B$14+'Parameters and Satisfaction'!$B$27)</f>
        <v>0</v>
      </c>
      <c r="K101" s="118">
        <f>E101/1000*(1000*9.81*Pumps!$B$14+'Parameters and Satisfaction'!$B$27)</f>
        <v>0</v>
      </c>
      <c r="L101" s="118">
        <f>F101/1000*(1000*9.81*Pumps!$B$14+'Parameters and Satisfaction'!$B$27)</f>
        <v>0</v>
      </c>
      <c r="M101" s="118"/>
      <c r="N101" s="118">
        <f>H101/IF('Parameters and Satisfaction'!$C$13="Pump A", 0.7, IF('Parameters and Satisfaction'!$C$13 = "Pump B", 0.72, 0.65))</f>
        <v>193593.9627953473</v>
      </c>
      <c r="O101" s="118">
        <f>I101/IF('Parameters and Satisfaction'!$C$13="Pump A", 0.7, IF('Parameters and Satisfaction'!$C$13 = "Pump B", 0.72, 0.65))</f>
        <v>431863.45546654396</v>
      </c>
      <c r="P101" s="118">
        <f>J101/IF('Parameters and Satisfaction'!$C$13="Pump A", 0.7, IF('Parameters and Satisfaction'!$C$13 = "Pump B", 0.72, 0.65))</f>
        <v>0</v>
      </c>
      <c r="Q101" s="118">
        <f>K101/IF('Parameters and Satisfaction'!$C$13="Pump A", 0.7, IF('Parameters and Satisfaction'!$C$13 = "Pump B", 0.72, 0.65))</f>
        <v>0</v>
      </c>
      <c r="R101" s="118">
        <f>L101/IF('Parameters and Satisfaction'!$C$13="Pump A", 0.7, IF('Parameters and Satisfaction'!$C$13 = "Pump B", 0.72, 0.65))</f>
        <v>0</v>
      </c>
      <c r="S101" s="118"/>
      <c r="T101" s="118">
        <f>N101+IF('Parameters and Satisfaction'!$C$19="Ozone", 'Filtration System'!AA65*1000000, 0)</f>
        <v>193593.9627953473</v>
      </c>
      <c r="U101" s="118">
        <f>O101+$F$47+IF('Parameters and Satisfaction'!$C$19="Ozone", 'Filtration System'!AB65*1000000, 0)</f>
        <v>5119363.4554665443</v>
      </c>
      <c r="V101" s="118">
        <f>P101+$F$47+IF('Parameters and Satisfaction'!$C$19="Ozone", 'Filtration System'!AC65*1000000, 0)</f>
        <v>4687500</v>
      </c>
      <c r="W101" s="118">
        <f>Q101+$F$47+IF('Parameters and Satisfaction'!$C$19="Ozone", 'Filtration System'!AD65*1000000, 0)</f>
        <v>4687500</v>
      </c>
      <c r="X101" s="118">
        <f>R101+$F$47+IF('Parameters and Satisfaction'!$C$19="Ozone", 'Filtration System'!AE65*1000000, 0)</f>
        <v>4687500</v>
      </c>
      <c r="Y101" s="118"/>
      <c r="Z101" s="118">
        <f t="shared" si="1"/>
        <v>1.3828140199667664E-2</v>
      </c>
      <c r="AA101" s="118">
        <f t="shared" si="2"/>
        <v>0.36566881824761033</v>
      </c>
      <c r="AB101" s="118">
        <f t="shared" si="3"/>
        <v>0.33482142857142855</v>
      </c>
      <c r="AC101" s="118">
        <f t="shared" si="4"/>
        <v>0.33482142857142855</v>
      </c>
      <c r="AD101" s="118">
        <f t="shared" si="5"/>
        <v>0.33482142857142855</v>
      </c>
      <c r="AE101" s="118"/>
      <c r="AF101" s="118"/>
      <c r="AG101" s="118"/>
      <c r="AK101">
        <f t="shared" si="8"/>
        <v>10967040</v>
      </c>
      <c r="AL101">
        <f t="shared" si="8"/>
        <v>10967040</v>
      </c>
      <c r="AM101">
        <f t="shared" si="8"/>
        <v>10967040</v>
      </c>
      <c r="AN101">
        <f t="shared" si="8"/>
        <v>10967040</v>
      </c>
      <c r="AO101">
        <f t="shared" si="8"/>
        <v>10967040</v>
      </c>
    </row>
    <row r="102" spans="1:41">
      <c r="A102" s="185">
        <f>'Water Stuff'!F36</f>
        <v>44593</v>
      </c>
      <c r="B102" s="118">
        <f>'Filtration System'!B66</f>
        <v>520</v>
      </c>
      <c r="C102" s="118">
        <f>'Filtration System'!C66</f>
        <v>1600</v>
      </c>
      <c r="D102" s="118">
        <f>'Filtration System'!D66</f>
        <v>0</v>
      </c>
      <c r="E102" s="118">
        <f>'Filtration System'!E66</f>
        <v>0</v>
      </c>
      <c r="F102" s="118">
        <f>'Filtration System'!F66</f>
        <v>0</v>
      </c>
      <c r="G102" s="118"/>
      <c r="H102" s="118">
        <f>B102/1000*(1000*9.81*Pumps!$B$14+'Parameters and Satisfaction'!$B$27)</f>
        <v>139387.65321265004</v>
      </c>
      <c r="I102" s="118">
        <f>C102/1000*(1000*9.81*Pumps!$B$14+'Parameters and Satisfaction'!$B$27)</f>
        <v>428885.08680815401</v>
      </c>
      <c r="J102" s="118">
        <f>D102/1000*(1000*9.81*Pumps!$B$14+'Parameters and Satisfaction'!$B$27)</f>
        <v>0</v>
      </c>
      <c r="K102" s="118">
        <f>E102/1000*(1000*9.81*Pumps!$B$14+'Parameters and Satisfaction'!$B$27)</f>
        <v>0</v>
      </c>
      <c r="L102" s="118">
        <f>F102/1000*(1000*9.81*Pumps!$B$14+'Parameters and Satisfaction'!$B$27)</f>
        <v>0</v>
      </c>
      <c r="M102" s="118"/>
      <c r="N102" s="118">
        <f>H102/IF('Parameters and Satisfaction'!$C$13="Pump A", 0.7, IF('Parameters and Satisfaction'!$C$13 = "Pump B", 0.72, 0.65))</f>
        <v>193593.9627953473</v>
      </c>
      <c r="O102" s="118">
        <f>I102/IF('Parameters and Satisfaction'!$C$13="Pump A", 0.7, IF('Parameters and Satisfaction'!$C$13 = "Pump B", 0.72, 0.65))</f>
        <v>595673.73167799169</v>
      </c>
      <c r="P102" s="118">
        <f>J102/IF('Parameters and Satisfaction'!$C$13="Pump A", 0.7, IF('Parameters and Satisfaction'!$C$13 = "Pump B", 0.72, 0.65))</f>
        <v>0</v>
      </c>
      <c r="Q102" s="118">
        <f>K102/IF('Parameters and Satisfaction'!$C$13="Pump A", 0.7, IF('Parameters and Satisfaction'!$C$13 = "Pump B", 0.72, 0.65))</f>
        <v>0</v>
      </c>
      <c r="R102" s="118">
        <f>L102/IF('Parameters and Satisfaction'!$C$13="Pump A", 0.7, IF('Parameters and Satisfaction'!$C$13 = "Pump B", 0.72, 0.65))</f>
        <v>0</v>
      </c>
      <c r="S102" s="118"/>
      <c r="T102" s="118">
        <f>N102+$F$47+IF('Parameters and Satisfaction'!$C$19="Ozone", 'Filtration System'!AA66*1000000, 0)</f>
        <v>4881093.962795347</v>
      </c>
      <c r="U102" s="118">
        <f>O102+$F$47+IF('Parameters and Satisfaction'!$C$19="Ozone", 'Filtration System'!AB66*1000000, 0)</f>
        <v>5283173.7316779913</v>
      </c>
      <c r="V102" s="118">
        <f>P102+$F$47+IF('Parameters and Satisfaction'!$C$19="Ozone", 'Filtration System'!AC66*1000000, 0)</f>
        <v>4687500</v>
      </c>
      <c r="W102" s="118">
        <f>Q102+$F$47+IF('Parameters and Satisfaction'!$C$19="Ozone", 'Filtration System'!AD66*1000000, 0)</f>
        <v>4687500</v>
      </c>
      <c r="X102" s="118">
        <f>R102+$F$47+IF('Parameters and Satisfaction'!$C$19="Ozone", 'Filtration System'!AE66*1000000, 0)</f>
        <v>4687500</v>
      </c>
      <c r="Y102" s="118"/>
      <c r="Z102" s="118">
        <f t="shared" si="1"/>
        <v>0.34864956877109621</v>
      </c>
      <c r="AA102" s="118">
        <f t="shared" si="2"/>
        <v>0.37736955226271368</v>
      </c>
      <c r="AB102" s="118">
        <f t="shared" si="3"/>
        <v>0.33482142857142855</v>
      </c>
      <c r="AC102" s="118">
        <f t="shared" si="4"/>
        <v>0.33482142857142855</v>
      </c>
      <c r="AD102" s="118">
        <f t="shared" si="5"/>
        <v>0.33482142857142855</v>
      </c>
      <c r="AE102" s="118"/>
      <c r="AF102" s="118"/>
      <c r="AG102" s="118"/>
      <c r="AK102">
        <f t="shared" ref="AK102:AO111" si="9">$D$56</f>
        <v>13708800.000000002</v>
      </c>
      <c r="AL102">
        <f t="shared" si="9"/>
        <v>13708800.000000002</v>
      </c>
      <c r="AM102">
        <f t="shared" si="9"/>
        <v>13708800.000000002</v>
      </c>
      <c r="AN102">
        <f t="shared" si="9"/>
        <v>13708800.000000002</v>
      </c>
      <c r="AO102">
        <f t="shared" si="9"/>
        <v>13708800.000000002</v>
      </c>
    </row>
    <row r="103" spans="1:41">
      <c r="A103" s="185">
        <f>'Water Stuff'!F37</f>
        <v>44594</v>
      </c>
      <c r="B103" s="118">
        <f>'Filtration System'!B67</f>
        <v>0</v>
      </c>
      <c r="C103" s="118">
        <f>'Filtration System'!C67</f>
        <v>5400</v>
      </c>
      <c r="D103" s="118">
        <f>'Filtration System'!D67</f>
        <v>209.88453773346299</v>
      </c>
      <c r="E103" s="118">
        <f>'Filtration System'!E67</f>
        <v>3792.873083053194</v>
      </c>
      <c r="F103" s="118">
        <f>'Filtration System'!F67</f>
        <v>794.0037809820567</v>
      </c>
      <c r="G103" s="118"/>
      <c r="H103" s="118">
        <f>B103/1000*(1000*9.81*Pumps!$B$14+'Parameters and Satisfaction'!$B$27)</f>
        <v>0</v>
      </c>
      <c r="I103" s="118">
        <f>C103/1000*(1000*9.81*Pumps!$B$14+'Parameters and Satisfaction'!$B$27)</f>
        <v>1447487.1679775198</v>
      </c>
      <c r="J103" s="118">
        <f>D103/1000*(1000*9.81*Pumps!$B$14+'Parameters and Satisfaction'!$B$27)</f>
        <v>56260.217615940965</v>
      </c>
      <c r="K103" s="118">
        <f>E103/1000*(1000*9.81*Pumps!$B$14+'Parameters and Satisfaction'!$B$27)</f>
        <v>1016691.6884234872</v>
      </c>
      <c r="L103" s="118">
        <f>F103/1000*(1000*9.81*Pumps!$B$14+'Parameters and Satisfaction'!$B$27)</f>
        <v>212835.23783280741</v>
      </c>
      <c r="M103" s="118"/>
      <c r="N103" s="118">
        <f>H103/IF('Parameters and Satisfaction'!$C$13="Pump A", 0.7, IF('Parameters and Satisfaction'!$C$13 = "Pump B", 0.72, 0.65))</f>
        <v>0</v>
      </c>
      <c r="O103" s="118">
        <f>I103/IF('Parameters and Satisfaction'!$C$13="Pump A", 0.7, IF('Parameters and Satisfaction'!$C$13 = "Pump B", 0.72, 0.65))</f>
        <v>2010398.844413222</v>
      </c>
      <c r="P103" s="118">
        <f>J103/IF('Parameters and Satisfaction'!$C$13="Pump A", 0.7, IF('Parameters and Satisfaction'!$C$13 = "Pump B", 0.72, 0.65))</f>
        <v>78139.191133251341</v>
      </c>
      <c r="Q103" s="118">
        <f>K103/IF('Parameters and Satisfaction'!$C$13="Pump A", 0.7, IF('Parameters and Satisfaction'!$C$13 = "Pump B", 0.72, 0.65))</f>
        <v>1412071.7894770657</v>
      </c>
      <c r="R103" s="118">
        <f>L103/IF('Parameters and Satisfaction'!$C$13="Pump A", 0.7, IF('Parameters and Satisfaction'!$C$13 = "Pump B", 0.72, 0.65))</f>
        <v>295604.49699001032</v>
      </c>
      <c r="S103" s="118"/>
      <c r="T103" s="118">
        <f>N103+$F$47+IF('Parameters and Satisfaction'!$C$19="Ozone", 'Filtration System'!AA67*1000000, 0)</f>
        <v>4687500</v>
      </c>
      <c r="U103" s="118">
        <f>O103+$F$47+IF('Parameters and Satisfaction'!$C$19="Ozone", 'Filtration System'!AB67*1000000, 0)</f>
        <v>6697898.8444132218</v>
      </c>
      <c r="V103" s="118">
        <f>P103+$F$47+IF('Parameters and Satisfaction'!$C$19="Ozone", 'Filtration System'!AC67*1000000, 0)</f>
        <v>4765639.1911332514</v>
      </c>
      <c r="W103" s="118">
        <f>Q103+$F$47+IF('Parameters and Satisfaction'!$C$19="Ozone", 'Filtration System'!AD67*1000000, 0)</f>
        <v>6099571.7894770652</v>
      </c>
      <c r="X103" s="118">
        <f>R103+$F$47+IF('Parameters and Satisfaction'!$C$19="Ozone", 'Filtration System'!AE67*1000000, 0)</f>
        <v>4983104.4969900101</v>
      </c>
      <c r="Y103" s="118"/>
      <c r="Z103" s="118">
        <f t="shared" si="1"/>
        <v>0.33482142857142855</v>
      </c>
      <c r="AA103" s="118">
        <f t="shared" si="2"/>
        <v>0.47842134602951586</v>
      </c>
      <c r="AB103" s="118">
        <f t="shared" si="3"/>
        <v>0.34040279936666079</v>
      </c>
      <c r="AC103" s="118">
        <f t="shared" si="4"/>
        <v>0.43568369924836181</v>
      </c>
      <c r="AD103" s="118">
        <f t="shared" si="5"/>
        <v>0.35593603549928643</v>
      </c>
      <c r="AE103" s="118"/>
      <c r="AF103" s="118"/>
      <c r="AG103" s="118"/>
      <c r="AK103">
        <f t="shared" si="9"/>
        <v>13708800.000000002</v>
      </c>
      <c r="AL103">
        <f t="shared" si="9"/>
        <v>13708800.000000002</v>
      </c>
      <c r="AM103">
        <f t="shared" si="9"/>
        <v>13708800.000000002</v>
      </c>
      <c r="AN103">
        <f t="shared" si="9"/>
        <v>13708800.000000002</v>
      </c>
      <c r="AO103">
        <f t="shared" si="9"/>
        <v>13708800.000000002</v>
      </c>
    </row>
    <row r="104" spans="1:41">
      <c r="A104" s="185">
        <f>'Water Stuff'!F38</f>
        <v>44595</v>
      </c>
      <c r="B104" s="118">
        <f>'Filtration System'!B68</f>
        <v>0</v>
      </c>
      <c r="C104" s="118">
        <f>'Filtration System'!C68</f>
        <v>120</v>
      </c>
      <c r="D104" s="118">
        <f>'Filtration System'!D68</f>
        <v>1229.0331088281705</v>
      </c>
      <c r="E104" s="118">
        <f>'Filtration System'!E68</f>
        <v>0</v>
      </c>
      <c r="F104" s="118">
        <f>'Filtration System'!F68</f>
        <v>0</v>
      </c>
      <c r="G104" s="118"/>
      <c r="H104" s="118">
        <f>B104/1000*(1000*9.81*Pumps!$B$14+'Parameters and Satisfaction'!$B$27)</f>
        <v>0</v>
      </c>
      <c r="I104" s="118">
        <f>C104/1000*(1000*9.81*Pumps!$B$14+'Parameters and Satisfaction'!$B$27)</f>
        <v>32166.381510611547</v>
      </c>
      <c r="J104" s="118">
        <f>D104/1000*(1000*9.81*Pumps!$B$14+'Parameters and Satisfaction'!$B$27)</f>
        <v>329446.23223116581</v>
      </c>
      <c r="K104" s="118">
        <f>E104/1000*(1000*9.81*Pumps!$B$14+'Parameters and Satisfaction'!$B$27)</f>
        <v>0</v>
      </c>
      <c r="L104" s="118">
        <f>F104/1000*(1000*9.81*Pumps!$B$14+'Parameters and Satisfaction'!$B$27)</f>
        <v>0</v>
      </c>
      <c r="M104" s="118"/>
      <c r="N104" s="118">
        <f>H104/IF('Parameters and Satisfaction'!$C$13="Pump A", 0.7, IF('Parameters and Satisfaction'!$C$13 = "Pump B", 0.72, 0.65))</f>
        <v>0</v>
      </c>
      <c r="O104" s="118">
        <f>I104/IF('Parameters and Satisfaction'!$C$13="Pump A", 0.7, IF('Parameters and Satisfaction'!$C$13 = "Pump B", 0.72, 0.65))</f>
        <v>44675.529875849374</v>
      </c>
      <c r="P104" s="118">
        <f>J104/IF('Parameters and Satisfaction'!$C$13="Pump A", 0.7, IF('Parameters and Satisfaction'!$C$13 = "Pump B", 0.72, 0.65))</f>
        <v>457564.21143217472</v>
      </c>
      <c r="Q104" s="118">
        <f>K104/IF('Parameters and Satisfaction'!$C$13="Pump A", 0.7, IF('Parameters and Satisfaction'!$C$13 = "Pump B", 0.72, 0.65))</f>
        <v>0</v>
      </c>
      <c r="R104" s="118">
        <f>L104/IF('Parameters and Satisfaction'!$C$13="Pump A", 0.7, IF('Parameters and Satisfaction'!$C$13 = "Pump B", 0.72, 0.65))</f>
        <v>0</v>
      </c>
      <c r="S104" s="118"/>
      <c r="T104" s="118">
        <f>N104+$F$47+IF('Parameters and Satisfaction'!$C$19="Ozone", 'Filtration System'!AA68*1000000, 0)</f>
        <v>4687500</v>
      </c>
      <c r="U104" s="118">
        <f>O104+$F$47+IF('Parameters and Satisfaction'!$C$19="Ozone", 'Filtration System'!AB68*1000000, 0)</f>
        <v>4732175.5298758494</v>
      </c>
      <c r="V104" s="118">
        <f>P104+$F$47+IF('Parameters and Satisfaction'!$C$19="Ozone", 'Filtration System'!AC68*1000000, 0)</f>
        <v>5145064.2114321748</v>
      </c>
      <c r="W104" s="118">
        <f>Q104+$F$47+IF('Parameters and Satisfaction'!$C$19="Ozone", 'Filtration System'!AD68*1000000, 0)</f>
        <v>4687500</v>
      </c>
      <c r="X104" s="118">
        <f>R104+$F$47+IF('Parameters and Satisfaction'!$C$19="Ozone", 'Filtration System'!AE68*1000000, 0)</f>
        <v>4687500</v>
      </c>
      <c r="Y104" s="118"/>
      <c r="Z104" s="118">
        <f t="shared" si="1"/>
        <v>0.33482142857142855</v>
      </c>
      <c r="AA104" s="118">
        <f t="shared" si="2"/>
        <v>0.33801253784827495</v>
      </c>
      <c r="AB104" s="118">
        <f t="shared" si="3"/>
        <v>0.36750458653086965</v>
      </c>
      <c r="AC104" s="118">
        <f t="shared" si="4"/>
        <v>0.33482142857142855</v>
      </c>
      <c r="AD104" s="118">
        <f t="shared" si="5"/>
        <v>0.33482142857142855</v>
      </c>
      <c r="AE104" s="118"/>
      <c r="AF104" s="118"/>
      <c r="AG104" s="118"/>
      <c r="AK104">
        <f t="shared" si="9"/>
        <v>13708800.000000002</v>
      </c>
      <c r="AL104">
        <f t="shared" si="9"/>
        <v>13708800.000000002</v>
      </c>
      <c r="AM104">
        <f t="shared" si="9"/>
        <v>13708800.000000002</v>
      </c>
      <c r="AN104">
        <f t="shared" si="9"/>
        <v>13708800.000000002</v>
      </c>
      <c r="AO104">
        <f t="shared" si="9"/>
        <v>13708800.000000002</v>
      </c>
    </row>
    <row r="105" spans="1:41">
      <c r="A105" s="185">
        <f>'Water Stuff'!F39</f>
        <v>44596</v>
      </c>
      <c r="B105" s="118">
        <f>'Filtration System'!B69</f>
        <v>0</v>
      </c>
      <c r="C105" s="118">
        <f>'Filtration System'!C69</f>
        <v>7200</v>
      </c>
      <c r="D105" s="118">
        <f>'Filtration System'!D69</f>
        <v>1519.1161104131645</v>
      </c>
      <c r="E105" s="118">
        <f>'Filtration System'!E69</f>
        <v>5065.4181325292784</v>
      </c>
      <c r="F105" s="118">
        <f>'Filtration System'!F69</f>
        <v>2822.3080845308</v>
      </c>
      <c r="G105" s="118"/>
      <c r="H105" s="118">
        <f>B105/1000*(1000*9.81*Pumps!$B$14+'Parameters and Satisfaction'!$B$27)</f>
        <v>0</v>
      </c>
      <c r="I105" s="118">
        <f>C105/1000*(1000*9.81*Pumps!$B$14+'Parameters and Satisfaction'!$B$27)</f>
        <v>1929982.890636693</v>
      </c>
      <c r="J105" s="118">
        <f>D105/1000*(1000*9.81*Pumps!$B$14+'Parameters and Satisfaction'!$B$27)</f>
        <v>407203.90305388457</v>
      </c>
      <c r="K105" s="118">
        <f>E105/1000*(1000*9.81*Pumps!$B$14+'Parameters and Satisfaction'!$B$27)</f>
        <v>1357801.4346808856</v>
      </c>
      <c r="L105" s="118">
        <f>F105/1000*(1000*9.81*Pumps!$B$14+'Parameters and Satisfaction'!$B$27)</f>
        <v>756528.65489584184</v>
      </c>
      <c r="M105" s="118"/>
      <c r="N105" s="118">
        <f>H105/IF('Parameters and Satisfaction'!$C$13="Pump A", 0.7, IF('Parameters and Satisfaction'!$C$13 = "Pump B", 0.72, 0.65))</f>
        <v>0</v>
      </c>
      <c r="O105" s="118">
        <f>I105/IF('Parameters and Satisfaction'!$C$13="Pump A", 0.7, IF('Parameters and Satisfaction'!$C$13 = "Pump B", 0.72, 0.65))</f>
        <v>2680531.7925509624</v>
      </c>
      <c r="P105" s="118">
        <f>J105/IF('Parameters and Satisfaction'!$C$13="Pump A", 0.7, IF('Parameters and Satisfaction'!$C$13 = "Pump B", 0.72, 0.65))</f>
        <v>565560.97646372858</v>
      </c>
      <c r="Q105" s="118">
        <f>K105/IF('Parameters and Satisfaction'!$C$13="Pump A", 0.7, IF('Parameters and Satisfaction'!$C$13 = "Pump B", 0.72, 0.65))</f>
        <v>1885835.3259456747</v>
      </c>
      <c r="R105" s="118">
        <f>L105/IF('Parameters and Satisfaction'!$C$13="Pump A", 0.7, IF('Parameters and Satisfaction'!$C$13 = "Pump B", 0.72, 0.65))</f>
        <v>1050734.2429108915</v>
      </c>
      <c r="S105" s="118"/>
      <c r="T105" s="118">
        <f>N105+$F$47+IF('Parameters and Satisfaction'!$C$19="Ozone", 'Filtration System'!AA69*1000000, 0)</f>
        <v>4687500</v>
      </c>
      <c r="U105" s="118">
        <f>O105+$F$47+IF('Parameters and Satisfaction'!$C$19="Ozone", 'Filtration System'!AB69*1000000, 0)</f>
        <v>7368031.7925509624</v>
      </c>
      <c r="V105" s="118">
        <f>P105+$F$47+IF('Parameters and Satisfaction'!$C$19="Ozone", 'Filtration System'!AC69*1000000, 0)</f>
        <v>5253060.9764637286</v>
      </c>
      <c r="W105" s="118">
        <f>Q105+$F$47+IF('Parameters and Satisfaction'!$C$19="Ozone", 'Filtration System'!AD69*1000000, 0)</f>
        <v>6573335.3259456744</v>
      </c>
      <c r="X105" s="118">
        <f>R105+$F$47+IF('Parameters and Satisfaction'!$C$19="Ozone", 'Filtration System'!AE69*1000000, 0)</f>
        <v>5738234.2429108918</v>
      </c>
      <c r="Y105" s="118"/>
      <c r="Z105" s="118">
        <f t="shared" si="1"/>
        <v>0.33482142857142855</v>
      </c>
      <c r="AA105" s="118">
        <f t="shared" si="2"/>
        <v>0.52628798518221165</v>
      </c>
      <c r="AB105" s="118">
        <f t="shared" si="3"/>
        <v>0.37521864117598064</v>
      </c>
      <c r="AC105" s="118">
        <f t="shared" si="4"/>
        <v>0.46952395185326246</v>
      </c>
      <c r="AD105" s="118">
        <f t="shared" si="5"/>
        <v>0.4098738744936351</v>
      </c>
      <c r="AE105" s="118"/>
      <c r="AF105" s="118"/>
      <c r="AG105" s="118"/>
      <c r="AK105">
        <f t="shared" si="9"/>
        <v>13708800.000000002</v>
      </c>
      <c r="AL105">
        <f t="shared" si="9"/>
        <v>13708800.000000002</v>
      </c>
      <c r="AM105">
        <f t="shared" si="9"/>
        <v>13708800.000000002</v>
      </c>
      <c r="AN105">
        <f t="shared" si="9"/>
        <v>13708800.000000002</v>
      </c>
      <c r="AO105">
        <f t="shared" si="9"/>
        <v>13708800.000000002</v>
      </c>
    </row>
    <row r="106" spans="1:41">
      <c r="A106" s="185">
        <f>'Water Stuff'!F40</f>
        <v>44597</v>
      </c>
      <c r="B106" s="118">
        <f>'Filtration System'!B70</f>
        <v>0</v>
      </c>
      <c r="C106" s="118">
        <f>'Filtration System'!C70</f>
        <v>5440</v>
      </c>
      <c r="D106" s="118">
        <f>'Filtration System'!D70</f>
        <v>0</v>
      </c>
      <c r="E106" s="118">
        <f>'Filtration System'!E70</f>
        <v>2452.851436741224</v>
      </c>
      <c r="F106" s="118">
        <f>'Filtration System'!F70</f>
        <v>0</v>
      </c>
      <c r="G106" s="118"/>
      <c r="H106" s="118">
        <f>B106/1000*(1000*9.81*Pumps!$B$14+'Parameters and Satisfaction'!$B$27)</f>
        <v>0</v>
      </c>
      <c r="I106" s="118">
        <f>C106/1000*(1000*9.81*Pumps!$B$14+'Parameters and Satisfaction'!$B$27)</f>
        <v>1458209.2951477238</v>
      </c>
      <c r="J106" s="118">
        <f>D106/1000*(1000*9.81*Pumps!$B$14+'Parameters and Satisfaction'!$B$27)</f>
        <v>0</v>
      </c>
      <c r="K106" s="118">
        <f>E106/1000*(1000*9.81*Pumps!$B$14+'Parameters and Satisfaction'!$B$27)</f>
        <v>657494.62585891562</v>
      </c>
      <c r="L106" s="118">
        <f>F106/1000*(1000*9.81*Pumps!$B$14+'Parameters and Satisfaction'!$B$27)</f>
        <v>0</v>
      </c>
      <c r="M106" s="118"/>
      <c r="N106" s="118">
        <f>H106/IF('Parameters and Satisfaction'!$C$13="Pump A", 0.7, IF('Parameters and Satisfaction'!$C$13 = "Pump B", 0.72, 0.65))</f>
        <v>0</v>
      </c>
      <c r="O106" s="118">
        <f>I106/IF('Parameters and Satisfaction'!$C$13="Pump A", 0.7, IF('Parameters and Satisfaction'!$C$13 = "Pump B", 0.72, 0.65))</f>
        <v>2025290.687705172</v>
      </c>
      <c r="P106" s="118">
        <f>J106/IF('Parameters and Satisfaction'!$C$13="Pump A", 0.7, IF('Parameters and Satisfaction'!$C$13 = "Pump B", 0.72, 0.65))</f>
        <v>0</v>
      </c>
      <c r="Q106" s="118">
        <f>K106/IF('Parameters and Satisfaction'!$C$13="Pump A", 0.7, IF('Parameters and Satisfaction'!$C$13 = "Pump B", 0.72, 0.65))</f>
        <v>913186.98035960505</v>
      </c>
      <c r="R106" s="118">
        <f>L106/IF('Parameters and Satisfaction'!$C$13="Pump A", 0.7, IF('Parameters and Satisfaction'!$C$13 = "Pump B", 0.72, 0.65))</f>
        <v>0</v>
      </c>
      <c r="S106" s="118"/>
      <c r="T106" s="118">
        <f>N106+$F$47+IF('Parameters and Satisfaction'!$C$19="Ozone", 'Filtration System'!AA70*1000000, 0)</f>
        <v>4687500</v>
      </c>
      <c r="U106" s="118">
        <f>O106+$F$47+IF('Parameters and Satisfaction'!$C$19="Ozone", 'Filtration System'!AB70*1000000, 0)</f>
        <v>6712790.6877051722</v>
      </c>
      <c r="V106" s="118">
        <f>P106+$F$47+IF('Parameters and Satisfaction'!$C$19="Ozone", 'Filtration System'!AC70*1000000, 0)</f>
        <v>4687500</v>
      </c>
      <c r="W106" s="118">
        <f>Q106+$F$47+IF('Parameters and Satisfaction'!$C$19="Ozone", 'Filtration System'!AD70*1000000, 0)</f>
        <v>5600686.9803596046</v>
      </c>
      <c r="X106" s="118">
        <f>R106+$F$47+IF('Parameters and Satisfaction'!$C$19="Ozone", 'Filtration System'!AE70*1000000, 0)</f>
        <v>4687500</v>
      </c>
      <c r="Y106" s="118"/>
      <c r="Z106" s="118">
        <f t="shared" si="1"/>
        <v>0.33482142857142855</v>
      </c>
      <c r="AA106" s="118">
        <f t="shared" si="2"/>
        <v>0.47948504912179801</v>
      </c>
      <c r="AB106" s="118">
        <f t="shared" si="3"/>
        <v>0.33482142857142855</v>
      </c>
      <c r="AC106" s="118">
        <f t="shared" si="4"/>
        <v>0.40004907002568602</v>
      </c>
      <c r="AD106" s="118">
        <f t="shared" si="5"/>
        <v>0.33482142857142855</v>
      </c>
      <c r="AE106" s="118"/>
      <c r="AF106" s="118"/>
      <c r="AG106" s="118"/>
      <c r="AK106">
        <f t="shared" si="9"/>
        <v>13708800.000000002</v>
      </c>
      <c r="AL106">
        <f t="shared" si="9"/>
        <v>13708800.000000002</v>
      </c>
      <c r="AM106">
        <f t="shared" si="9"/>
        <v>13708800.000000002</v>
      </c>
      <c r="AN106">
        <f t="shared" si="9"/>
        <v>13708800.000000002</v>
      </c>
      <c r="AO106">
        <f t="shared" si="9"/>
        <v>13708800.000000002</v>
      </c>
    </row>
    <row r="107" spans="1:41">
      <c r="A107" s="185">
        <f>'Water Stuff'!F41</f>
        <v>44598</v>
      </c>
      <c r="B107" s="118">
        <f>'Filtration System'!B71</f>
        <v>0</v>
      </c>
      <c r="C107" s="118">
        <f>'Filtration System'!C71</f>
        <v>5640</v>
      </c>
      <c r="D107" s="118">
        <f>'Filtration System'!D71</f>
        <v>0</v>
      </c>
      <c r="E107" s="118">
        <f>'Filtration System'!E71</f>
        <v>4400.4826541009943</v>
      </c>
      <c r="F107" s="118">
        <f>'Filtration System'!F71</f>
        <v>1295.9138803695757</v>
      </c>
      <c r="G107" s="118"/>
      <c r="H107" s="118">
        <f>B107/1000*(1000*9.81*Pumps!$B$14+'Parameters and Satisfaction'!$B$27)</f>
        <v>0</v>
      </c>
      <c r="I107" s="118">
        <f>C107/1000*(1000*9.81*Pumps!$B$14+'Parameters and Satisfaction'!$B$27)</f>
        <v>1511819.9309987428</v>
      </c>
      <c r="J107" s="118">
        <f>D107/1000*(1000*9.81*Pumps!$B$14+'Parameters and Satisfaction'!$B$27)</f>
        <v>0</v>
      </c>
      <c r="K107" s="118">
        <f>E107/1000*(1000*9.81*Pumps!$B$14+'Parameters and Satisfaction'!$B$27)</f>
        <v>1179563.3656886753</v>
      </c>
      <c r="L107" s="118">
        <f>F107/1000*(1000*9.81*Pumps!$B$14+'Parameters and Satisfaction'!$B$27)</f>
        <v>347373.83567387325</v>
      </c>
      <c r="M107" s="118"/>
      <c r="N107" s="118">
        <f>H107/IF('Parameters and Satisfaction'!$C$13="Pump A", 0.7, IF('Parameters and Satisfaction'!$C$13 = "Pump B", 0.72, 0.65))</f>
        <v>0</v>
      </c>
      <c r="O107" s="118">
        <f>I107/IF('Parameters and Satisfaction'!$C$13="Pump A", 0.7, IF('Parameters and Satisfaction'!$C$13 = "Pump B", 0.72, 0.65))</f>
        <v>2099749.9041649206</v>
      </c>
      <c r="P107" s="118">
        <f>J107/IF('Parameters and Satisfaction'!$C$13="Pump A", 0.7, IF('Parameters and Satisfaction'!$C$13 = "Pump B", 0.72, 0.65))</f>
        <v>0</v>
      </c>
      <c r="Q107" s="118">
        <f>K107/IF('Parameters and Satisfaction'!$C$13="Pump A", 0.7, IF('Parameters and Satisfaction'!$C$13 = "Pump B", 0.72, 0.65))</f>
        <v>1638282.4523453824</v>
      </c>
      <c r="R107" s="118">
        <f>L107/IF('Parameters and Satisfaction'!$C$13="Pump A", 0.7, IF('Parameters and Satisfaction'!$C$13 = "Pump B", 0.72, 0.65))</f>
        <v>482463.66065815731</v>
      </c>
      <c r="S107" s="118"/>
      <c r="T107" s="118">
        <f>N107+$F$47+IF('Parameters and Satisfaction'!$C$19="Ozone", 'Filtration System'!AA71*1000000, 0)</f>
        <v>4687500</v>
      </c>
      <c r="U107" s="118">
        <f>O107+$F$47+IF('Parameters and Satisfaction'!$C$19="Ozone", 'Filtration System'!AB71*1000000, 0)</f>
        <v>6787249.9041649206</v>
      </c>
      <c r="V107" s="118">
        <f>P107+$F$47+IF('Parameters and Satisfaction'!$C$19="Ozone", 'Filtration System'!AC71*1000000, 0)</f>
        <v>4687500</v>
      </c>
      <c r="W107" s="118">
        <f>Q107+$F$47+IF('Parameters and Satisfaction'!$C$19="Ozone", 'Filtration System'!AD71*1000000, 0)</f>
        <v>6325782.4523453824</v>
      </c>
      <c r="X107" s="118">
        <f>R107+$F$47+IF('Parameters and Satisfaction'!$C$19="Ozone", 'Filtration System'!AE71*1000000, 0)</f>
        <v>5169963.6606581574</v>
      </c>
      <c r="Y107" s="118"/>
      <c r="Z107" s="118">
        <f t="shared" si="1"/>
        <v>0.33482142857142855</v>
      </c>
      <c r="AA107" s="118">
        <f t="shared" si="2"/>
        <v>0.48480356458320861</v>
      </c>
      <c r="AB107" s="118">
        <f t="shared" si="3"/>
        <v>0.33482142857142855</v>
      </c>
      <c r="AC107" s="118">
        <f t="shared" si="4"/>
        <v>0.45184160373895588</v>
      </c>
      <c r="AD107" s="118">
        <f t="shared" si="5"/>
        <v>0.36928311861843982</v>
      </c>
      <c r="AE107" s="118"/>
      <c r="AF107" s="118"/>
      <c r="AG107" s="118"/>
      <c r="AK107">
        <f t="shared" si="9"/>
        <v>13708800.000000002</v>
      </c>
      <c r="AL107">
        <f t="shared" si="9"/>
        <v>13708800.000000002</v>
      </c>
      <c r="AM107">
        <f t="shared" si="9"/>
        <v>13708800.000000002</v>
      </c>
      <c r="AN107">
        <f t="shared" si="9"/>
        <v>13708800.000000002</v>
      </c>
      <c r="AO107">
        <f t="shared" si="9"/>
        <v>13708800.000000002</v>
      </c>
    </row>
    <row r="108" spans="1:41">
      <c r="A108" s="185">
        <f>'Water Stuff'!F42</f>
        <v>44599</v>
      </c>
      <c r="B108" s="118">
        <f>'Filtration System'!B72</f>
        <v>0</v>
      </c>
      <c r="C108" s="118">
        <f>'Filtration System'!C72</f>
        <v>7840.0000000000009</v>
      </c>
      <c r="D108" s="118">
        <f>'Filtration System'!D72</f>
        <v>1677.3649873869047</v>
      </c>
      <c r="E108" s="118">
        <f>'Filtration System'!E72</f>
        <v>7161.9953785319221</v>
      </c>
      <c r="F108" s="118">
        <f>'Filtration System'!F72</f>
        <v>0</v>
      </c>
      <c r="G108" s="118"/>
      <c r="H108" s="118">
        <f>B108/1000*(1000*9.81*Pumps!$B$14+'Parameters and Satisfaction'!$B$27)</f>
        <v>0</v>
      </c>
      <c r="I108" s="118">
        <f>C108/1000*(1000*9.81*Pumps!$B$14+'Parameters and Satisfaction'!$B$27)</f>
        <v>2101536.9253599546</v>
      </c>
      <c r="J108" s="118">
        <f>D108/1000*(1000*9.81*Pumps!$B$14+'Parameters and Satisfaction'!$B$27)</f>
        <v>449623.01764024422</v>
      </c>
      <c r="K108" s="118">
        <f>E108/1000*(1000*9.81*Pumps!$B$14+'Parameters and Satisfaction'!$B$27)</f>
        <v>1919795.6310257881</v>
      </c>
      <c r="L108" s="118">
        <f>F108/1000*(1000*9.81*Pumps!$B$14+'Parameters and Satisfaction'!$B$27)</f>
        <v>0</v>
      </c>
      <c r="M108" s="118"/>
      <c r="N108" s="118">
        <f>H108/IF('Parameters and Satisfaction'!$C$13="Pump A", 0.7, IF('Parameters and Satisfaction'!$C$13 = "Pump B", 0.72, 0.65))</f>
        <v>0</v>
      </c>
      <c r="O108" s="118">
        <f>I108/IF('Parameters and Satisfaction'!$C$13="Pump A", 0.7, IF('Parameters and Satisfaction'!$C$13 = "Pump B", 0.72, 0.65))</f>
        <v>2918801.2852221592</v>
      </c>
      <c r="P108" s="118">
        <f>J108/IF('Parameters and Satisfaction'!$C$13="Pump A", 0.7, IF('Parameters and Satisfaction'!$C$13 = "Pump B", 0.72, 0.65))</f>
        <v>624476.41338922805</v>
      </c>
      <c r="Q108" s="118">
        <f>K108/IF('Parameters and Satisfaction'!$C$13="Pump A", 0.7, IF('Parameters and Satisfaction'!$C$13 = "Pump B", 0.72, 0.65))</f>
        <v>2666382.8208691501</v>
      </c>
      <c r="R108" s="118">
        <f>L108/IF('Parameters and Satisfaction'!$C$13="Pump A", 0.7, IF('Parameters and Satisfaction'!$C$13 = "Pump B", 0.72, 0.65))</f>
        <v>0</v>
      </c>
      <c r="S108" s="118"/>
      <c r="T108" s="118">
        <f>N108+$F$47+IF('Parameters and Satisfaction'!$C$19="Ozone", 'Filtration System'!AA72*1000000, 0)</f>
        <v>4687500</v>
      </c>
      <c r="U108" s="118">
        <f>O108+$F$47+IF('Parameters and Satisfaction'!$C$19="Ozone", 'Filtration System'!AB72*1000000, 0)</f>
        <v>7606301.2852221597</v>
      </c>
      <c r="V108" s="118">
        <f>P108+$F$47+IF('Parameters and Satisfaction'!$C$19="Ozone", 'Filtration System'!AC72*1000000, 0)</f>
        <v>5311976.4133892283</v>
      </c>
      <c r="W108" s="118">
        <f>Q108+$F$47+IF('Parameters and Satisfaction'!$C$19="Ozone", 'Filtration System'!AD72*1000000, 0)</f>
        <v>7353882.8208691496</v>
      </c>
      <c r="X108" s="118">
        <f>R108+$F$47+IF('Parameters and Satisfaction'!$C$19="Ozone", 'Filtration System'!AE72*1000000, 0)</f>
        <v>4687500</v>
      </c>
      <c r="Y108" s="118"/>
      <c r="Z108" s="118">
        <f t="shared" si="1"/>
        <v>0.33482142857142855</v>
      </c>
      <c r="AA108" s="118">
        <f t="shared" si="2"/>
        <v>0.54330723465872566</v>
      </c>
      <c r="AB108" s="118">
        <f t="shared" si="3"/>
        <v>0.37942688667065916</v>
      </c>
      <c r="AC108" s="118">
        <f t="shared" si="4"/>
        <v>0.52527734434779638</v>
      </c>
      <c r="AD108" s="118">
        <f t="shared" si="5"/>
        <v>0.33482142857142855</v>
      </c>
      <c r="AE108" s="118"/>
      <c r="AF108" s="118"/>
      <c r="AG108" s="118"/>
      <c r="AK108">
        <f t="shared" si="9"/>
        <v>13708800.000000002</v>
      </c>
      <c r="AL108">
        <f t="shared" si="9"/>
        <v>13708800.000000002</v>
      </c>
      <c r="AM108">
        <f t="shared" si="9"/>
        <v>13708800.000000002</v>
      </c>
      <c r="AN108">
        <f t="shared" si="9"/>
        <v>13708800.000000002</v>
      </c>
      <c r="AO108">
        <f t="shared" si="9"/>
        <v>13708800.000000002</v>
      </c>
    </row>
    <row r="109" spans="1:41">
      <c r="A109" s="185">
        <f>'Water Stuff'!F43</f>
        <v>44600</v>
      </c>
      <c r="B109" s="118">
        <f>'Filtration System'!B73</f>
        <v>0</v>
      </c>
      <c r="C109" s="118">
        <f>'Filtration System'!C73</f>
        <v>1320</v>
      </c>
      <c r="D109" s="118">
        <f>'Filtration System'!D73</f>
        <v>0</v>
      </c>
      <c r="E109" s="118">
        <f>'Filtration System'!E73</f>
        <v>0</v>
      </c>
      <c r="F109" s="118">
        <f>'Filtration System'!F73</f>
        <v>1587.5373365131711</v>
      </c>
      <c r="G109" s="118"/>
      <c r="H109" s="118">
        <f>B109/1000*(1000*9.81*Pumps!$B$14+'Parameters and Satisfaction'!$B$27)</f>
        <v>0</v>
      </c>
      <c r="I109" s="118">
        <f>C109/1000*(1000*9.81*Pumps!$B$14+'Parameters and Satisfaction'!$B$27)</f>
        <v>353830.19661672704</v>
      </c>
      <c r="J109" s="118">
        <f>D109/1000*(1000*9.81*Pumps!$B$14+'Parameters and Satisfaction'!$B$27)</f>
        <v>0</v>
      </c>
      <c r="K109" s="118">
        <f>E109/1000*(1000*9.81*Pumps!$B$14+'Parameters and Satisfaction'!$B$27)</f>
        <v>0</v>
      </c>
      <c r="L109" s="118">
        <f>F109/1000*(1000*9.81*Pumps!$B$14+'Parameters and Satisfaction'!$B$27)</f>
        <v>425544.43023852311</v>
      </c>
      <c r="M109" s="118"/>
      <c r="N109" s="118">
        <f>H109/IF('Parameters and Satisfaction'!$C$13="Pump A", 0.7, IF('Parameters and Satisfaction'!$C$13 = "Pump B", 0.72, 0.65))</f>
        <v>0</v>
      </c>
      <c r="O109" s="118">
        <f>I109/IF('Parameters and Satisfaction'!$C$13="Pump A", 0.7, IF('Parameters and Satisfaction'!$C$13 = "Pump B", 0.72, 0.65))</f>
        <v>491430.82863434311</v>
      </c>
      <c r="P109" s="118">
        <f>J109/IF('Parameters and Satisfaction'!$C$13="Pump A", 0.7, IF('Parameters and Satisfaction'!$C$13 = "Pump B", 0.72, 0.65))</f>
        <v>0</v>
      </c>
      <c r="Q109" s="118">
        <f>K109/IF('Parameters and Satisfaction'!$C$13="Pump A", 0.7, IF('Parameters and Satisfaction'!$C$13 = "Pump B", 0.72, 0.65))</f>
        <v>0</v>
      </c>
      <c r="R109" s="118">
        <f>L109/IF('Parameters and Satisfaction'!$C$13="Pump A", 0.7, IF('Parameters and Satisfaction'!$C$13 = "Pump B", 0.72, 0.65))</f>
        <v>591033.93088683765</v>
      </c>
      <c r="S109" s="118"/>
      <c r="T109" s="118">
        <f>N109+$F$47+IF('Parameters and Satisfaction'!$C$19="Ozone", 'Filtration System'!AA73*1000000, 0)</f>
        <v>4687500</v>
      </c>
      <c r="U109" s="118">
        <f>O109+$F$47+IF('Parameters and Satisfaction'!$C$19="Ozone", 'Filtration System'!AB73*1000000, 0)</f>
        <v>5178930.8286343431</v>
      </c>
      <c r="V109" s="118">
        <f>P109+$F$47+IF('Parameters and Satisfaction'!$C$19="Ozone", 'Filtration System'!AC73*1000000, 0)</f>
        <v>4687500</v>
      </c>
      <c r="W109" s="118">
        <f>Q109+$F$47+IF('Parameters and Satisfaction'!$C$19="Ozone", 'Filtration System'!AD73*1000000, 0)</f>
        <v>4687500</v>
      </c>
      <c r="X109" s="118">
        <f>R109+$F$47+IF('Parameters and Satisfaction'!$C$19="Ozone", 'Filtration System'!AE73*1000000, 0)</f>
        <v>5278533.9308868377</v>
      </c>
      <c r="Y109" s="118"/>
      <c r="Z109" s="118">
        <f t="shared" si="1"/>
        <v>0.33482142857142855</v>
      </c>
      <c r="AA109" s="118">
        <f t="shared" si="2"/>
        <v>0.36992363061673877</v>
      </c>
      <c r="AB109" s="118">
        <f t="shared" si="3"/>
        <v>0.33482142857142855</v>
      </c>
      <c r="AC109" s="118">
        <f t="shared" si="4"/>
        <v>0.33482142857142855</v>
      </c>
      <c r="AD109" s="118">
        <f t="shared" si="5"/>
        <v>0.3770381379204884</v>
      </c>
      <c r="AE109" s="118"/>
      <c r="AF109" s="118"/>
      <c r="AG109" s="118"/>
      <c r="AK109">
        <f t="shared" si="9"/>
        <v>13708800.000000002</v>
      </c>
      <c r="AL109">
        <f t="shared" si="9"/>
        <v>13708800.000000002</v>
      </c>
      <c r="AM109">
        <f t="shared" si="9"/>
        <v>13708800.000000002</v>
      </c>
      <c r="AN109">
        <f t="shared" si="9"/>
        <v>13708800.000000002</v>
      </c>
      <c r="AO109">
        <f t="shared" si="9"/>
        <v>13708800.000000002</v>
      </c>
    </row>
    <row r="110" spans="1:41">
      <c r="A110" s="185">
        <f>'Water Stuff'!F44</f>
        <v>44601</v>
      </c>
      <c r="B110" s="118">
        <f>'Filtration System'!B74</f>
        <v>2440</v>
      </c>
      <c r="C110" s="118">
        <f>'Filtration System'!C74</f>
        <v>640</v>
      </c>
      <c r="D110" s="118">
        <f>'Filtration System'!D74</f>
        <v>152.7149638725856</v>
      </c>
      <c r="E110" s="118">
        <f>'Filtration System'!E74</f>
        <v>0</v>
      </c>
      <c r="F110" s="118">
        <f>'Filtration System'!F74</f>
        <v>816.84726255322971</v>
      </c>
      <c r="G110" s="118"/>
      <c r="H110" s="118">
        <f>B110/1000*(1000*9.81*Pumps!$B$14+'Parameters and Satisfaction'!$B$27)</f>
        <v>654049.75738243479</v>
      </c>
      <c r="I110" s="118">
        <f>C110/1000*(1000*9.81*Pumps!$B$14+'Parameters and Satisfaction'!$B$27)</f>
        <v>171554.0347232616</v>
      </c>
      <c r="J110" s="118">
        <f>D110/1000*(1000*9.81*Pumps!$B$14+'Parameters and Satisfaction'!$B$27)</f>
        <v>40935.731585873735</v>
      </c>
      <c r="K110" s="118">
        <f>E110/1000*(1000*9.81*Pumps!$B$14+'Parameters and Satisfaction'!$B$27)</f>
        <v>0</v>
      </c>
      <c r="L110" s="118">
        <f>F110/1000*(1000*9.81*Pumps!$B$14+'Parameters and Satisfaction'!$B$27)</f>
        <v>218958.50569321556</v>
      </c>
      <c r="M110" s="118"/>
      <c r="N110" s="118">
        <f>H110/IF('Parameters and Satisfaction'!$C$13="Pump A", 0.7, IF('Parameters and Satisfaction'!$C$13 = "Pump B", 0.72, 0.65))</f>
        <v>908402.4408089373</v>
      </c>
      <c r="O110" s="118">
        <f>I110/IF('Parameters and Satisfaction'!$C$13="Pump A", 0.7, IF('Parameters and Satisfaction'!$C$13 = "Pump B", 0.72, 0.65))</f>
        <v>238269.49267119667</v>
      </c>
      <c r="P110" s="118">
        <f>J110/IF('Parameters and Satisfaction'!$C$13="Pump A", 0.7, IF('Parameters and Satisfaction'!$C$13 = "Pump B", 0.72, 0.65))</f>
        <v>56855.182758157964</v>
      </c>
      <c r="Q110" s="118">
        <f>K110/IF('Parameters and Satisfaction'!$C$13="Pump A", 0.7, IF('Parameters and Satisfaction'!$C$13 = "Pump B", 0.72, 0.65))</f>
        <v>0</v>
      </c>
      <c r="R110" s="118">
        <f>L110/IF('Parameters and Satisfaction'!$C$13="Pump A", 0.7, IF('Parameters and Satisfaction'!$C$13 = "Pump B", 0.72, 0.65))</f>
        <v>304109.0356850216</v>
      </c>
      <c r="S110" s="118"/>
      <c r="T110" s="118">
        <f>N110+$F$47+IF('Parameters and Satisfaction'!$C$19="Ozone", 'Filtration System'!AA74*1000000, 0)</f>
        <v>5595902.440808937</v>
      </c>
      <c r="U110" s="118">
        <f>O110+$F$47+IF('Parameters and Satisfaction'!$C$19="Ozone", 'Filtration System'!AB74*1000000, 0)</f>
        <v>4925769.4926711963</v>
      </c>
      <c r="V110" s="118">
        <f>P110+$F$47+IF('Parameters and Satisfaction'!$C$19="Ozone", 'Filtration System'!AC74*1000000, 0)</f>
        <v>4744355.1827581581</v>
      </c>
      <c r="W110" s="118">
        <f>Q110+$F$47+IF('Parameters and Satisfaction'!$C$19="Ozone", 'Filtration System'!AD74*1000000, 0)</f>
        <v>4687500</v>
      </c>
      <c r="X110" s="118">
        <f>R110+$F$47+IF('Parameters and Satisfaction'!$C$19="Ozone", 'Filtration System'!AE74*1000000, 0)</f>
        <v>4991609.0356850214</v>
      </c>
      <c r="Y110" s="118"/>
      <c r="Z110" s="118">
        <f t="shared" si="1"/>
        <v>0.39970731720063835</v>
      </c>
      <c r="AA110" s="118">
        <f t="shared" si="2"/>
        <v>0.35184067804794261</v>
      </c>
      <c r="AB110" s="118">
        <f t="shared" si="3"/>
        <v>0.33888251305415412</v>
      </c>
      <c r="AC110" s="118">
        <f t="shared" si="4"/>
        <v>0.33482142857142855</v>
      </c>
      <c r="AD110" s="118">
        <f t="shared" si="5"/>
        <v>0.35654350254893008</v>
      </c>
      <c r="AE110" s="118"/>
      <c r="AF110" s="118"/>
      <c r="AG110" s="118"/>
      <c r="AK110">
        <f t="shared" si="9"/>
        <v>13708800.000000002</v>
      </c>
      <c r="AL110">
        <f t="shared" si="9"/>
        <v>13708800.000000002</v>
      </c>
      <c r="AM110">
        <f t="shared" si="9"/>
        <v>13708800.000000002</v>
      </c>
      <c r="AN110">
        <f t="shared" si="9"/>
        <v>13708800.000000002</v>
      </c>
      <c r="AO110">
        <f t="shared" si="9"/>
        <v>13708800.000000002</v>
      </c>
    </row>
    <row r="111" spans="1:41">
      <c r="A111" s="185">
        <f>'Water Stuff'!F45</f>
        <v>44602</v>
      </c>
      <c r="B111" s="118">
        <f>'Filtration System'!B75</f>
        <v>2680</v>
      </c>
      <c r="C111" s="118">
        <f>'Filtration System'!C75</f>
        <v>40</v>
      </c>
      <c r="D111" s="118">
        <f>'Filtration System'!D75</f>
        <v>1668.3956862506591</v>
      </c>
      <c r="E111" s="118">
        <f>'Filtration System'!E75</f>
        <v>0</v>
      </c>
      <c r="F111" s="118">
        <f>'Filtration System'!F75</f>
        <v>986.82410912693899</v>
      </c>
      <c r="G111" s="118"/>
      <c r="H111" s="118">
        <f>B111/1000*(1000*9.81*Pumps!$B$14+'Parameters and Satisfaction'!$B$27)</f>
        <v>718382.52040365792</v>
      </c>
      <c r="I111" s="118">
        <f>C111/1000*(1000*9.81*Pumps!$B$14+'Parameters and Satisfaction'!$B$27)</f>
        <v>10722.12717020385</v>
      </c>
      <c r="J111" s="118">
        <f>D111/1000*(1000*9.81*Pumps!$B$14+'Parameters and Satisfaction'!$B$27)</f>
        <v>447218.76795497723</v>
      </c>
      <c r="K111" s="118">
        <f>E111/1000*(1000*9.81*Pumps!$B$14+'Parameters and Satisfaction'!$B$27)</f>
        <v>0</v>
      </c>
      <c r="L111" s="118">
        <f>F111/1000*(1000*9.81*Pumps!$B$14+'Parameters and Satisfaction'!$B$27)</f>
        <v>264521.33981705405</v>
      </c>
      <c r="M111" s="118"/>
      <c r="N111" s="118">
        <f>H111/IF('Parameters and Satisfaction'!$C$13="Pump A", 0.7, IF('Parameters and Satisfaction'!$C$13 = "Pump B", 0.72, 0.65))</f>
        <v>997753.50056063605</v>
      </c>
      <c r="O111" s="118">
        <f>I111/IF('Parameters and Satisfaction'!$C$13="Pump A", 0.7, IF('Parameters and Satisfaction'!$C$13 = "Pump B", 0.72, 0.65))</f>
        <v>14891.843291949792</v>
      </c>
      <c r="P111" s="118">
        <f>J111/IF('Parameters and Satisfaction'!$C$13="Pump A", 0.7, IF('Parameters and Satisfaction'!$C$13 = "Pump B", 0.72, 0.65))</f>
        <v>621137.17771524622</v>
      </c>
      <c r="Q111" s="118">
        <f>K111/IF('Parameters and Satisfaction'!$C$13="Pump A", 0.7, IF('Parameters and Satisfaction'!$C$13 = "Pump B", 0.72, 0.65))</f>
        <v>0</v>
      </c>
      <c r="R111" s="118">
        <f>L111/IF('Parameters and Satisfaction'!$C$13="Pump A", 0.7, IF('Parameters and Satisfaction'!$C$13 = "Pump B", 0.72, 0.65))</f>
        <v>367390.74974590843</v>
      </c>
      <c r="S111" s="118"/>
      <c r="T111" s="118">
        <f>N111+$F$47+IF('Parameters and Satisfaction'!$C$19="Ozone", 'Filtration System'!AA75*1000000, 0)</f>
        <v>5685253.5005606357</v>
      </c>
      <c r="U111" s="118">
        <f>O111+$F$47+IF('Parameters and Satisfaction'!$C$19="Ozone", 'Filtration System'!AB75*1000000, 0)</f>
        <v>4702391.8432919495</v>
      </c>
      <c r="V111" s="118">
        <f>P111+$F$47+IF('Parameters and Satisfaction'!$C$19="Ozone", 'Filtration System'!AC75*1000000, 0)</f>
        <v>5308637.1777152466</v>
      </c>
      <c r="W111" s="118">
        <f>Q111+$F$47+IF('Parameters and Satisfaction'!$C$19="Ozone", 'Filtration System'!AD75*1000000, 0)</f>
        <v>4687500</v>
      </c>
      <c r="X111" s="118">
        <f>R111+$F$47+IF('Parameters and Satisfaction'!$C$19="Ozone", 'Filtration System'!AE75*1000000, 0)</f>
        <v>5054890.7497459082</v>
      </c>
      <c r="Y111" s="118"/>
      <c r="Z111" s="118">
        <f t="shared" si="1"/>
        <v>0.4060895357543311</v>
      </c>
      <c r="AA111" s="118">
        <f t="shared" si="2"/>
        <v>0.3358851316637107</v>
      </c>
      <c r="AB111" s="118">
        <f t="shared" si="3"/>
        <v>0.37918836983680332</v>
      </c>
      <c r="AC111" s="118">
        <f t="shared" si="4"/>
        <v>0.33482142857142855</v>
      </c>
      <c r="AD111" s="118">
        <f t="shared" si="5"/>
        <v>0.36106362498185057</v>
      </c>
      <c r="AE111" s="118"/>
      <c r="AF111" s="118"/>
      <c r="AG111" s="118"/>
      <c r="AK111">
        <f t="shared" si="9"/>
        <v>13708800.000000002</v>
      </c>
      <c r="AL111">
        <f t="shared" si="9"/>
        <v>13708800.000000002</v>
      </c>
      <c r="AM111">
        <f t="shared" si="9"/>
        <v>13708800.000000002</v>
      </c>
      <c r="AN111">
        <f t="shared" si="9"/>
        <v>13708800.000000002</v>
      </c>
      <c r="AO111">
        <f t="shared" si="9"/>
        <v>13708800.000000002</v>
      </c>
    </row>
    <row r="112" spans="1:41">
      <c r="A112" s="185">
        <f>'Water Stuff'!F46</f>
        <v>44603</v>
      </c>
      <c r="B112" s="118">
        <f>'Filtration System'!B76</f>
        <v>9320</v>
      </c>
      <c r="C112" s="118">
        <f>'Filtration System'!C76</f>
        <v>3920.0000000000005</v>
      </c>
      <c r="D112" s="118">
        <f>'Filtration System'!D76</f>
        <v>10000</v>
      </c>
      <c r="E112" s="118">
        <f>'Filtration System'!E76</f>
        <v>4096.7615601010921</v>
      </c>
      <c r="F112" s="118">
        <f>'Filtration System'!F76</f>
        <v>7325.3565196192258</v>
      </c>
      <c r="G112" s="118"/>
      <c r="H112" s="118">
        <f>B112/1000*(1000*9.81*Pumps!$B$14+'Parameters and Satisfaction'!$B$27)</f>
        <v>2498255.6306574969</v>
      </c>
      <c r="I112" s="118">
        <f>C112/1000*(1000*9.81*Pumps!$B$14+'Parameters and Satisfaction'!$B$27)</f>
        <v>1050768.4626799773</v>
      </c>
      <c r="J112" s="118">
        <f>D112/1000*(1000*9.81*Pumps!$B$14+'Parameters and Satisfaction'!$B$27)</f>
        <v>2680531.7925509624</v>
      </c>
      <c r="K112" s="118">
        <f>E112/1000*(1000*9.81*Pumps!$B$14+'Parameters and Satisfaction'!$B$27)</f>
        <v>1098149.9608351658</v>
      </c>
      <c r="L112" s="118">
        <f>F112/1000*(1000*9.81*Pumps!$B$14+'Parameters and Satisfaction'!$B$27)</f>
        <v>1963585.1042609804</v>
      </c>
      <c r="M112" s="118"/>
      <c r="N112" s="118">
        <f>H112/IF('Parameters and Satisfaction'!$C$13="Pump A", 0.7, IF('Parameters and Satisfaction'!$C$13 = "Pump B", 0.72, 0.65))</f>
        <v>3469799.4870243012</v>
      </c>
      <c r="O112" s="118">
        <f>I112/IF('Parameters and Satisfaction'!$C$13="Pump A", 0.7, IF('Parameters and Satisfaction'!$C$13 = "Pump B", 0.72, 0.65))</f>
        <v>1459400.6426110796</v>
      </c>
      <c r="P112" s="118">
        <f>J112/IF('Parameters and Satisfaction'!$C$13="Pump A", 0.7, IF('Parameters and Satisfaction'!$C$13 = "Pump B", 0.72, 0.65))</f>
        <v>3722960.822987448</v>
      </c>
      <c r="Q112" s="118">
        <f>K112/IF('Parameters and Satisfaction'!$C$13="Pump A", 0.7, IF('Parameters and Satisfaction'!$C$13 = "Pump B", 0.72, 0.65))</f>
        <v>1525208.2789377302</v>
      </c>
      <c r="R112" s="118">
        <f>L112/IF('Parameters and Satisfaction'!$C$13="Pump A", 0.7, IF('Parameters and Satisfaction'!$C$13 = "Pump B", 0.72, 0.65))</f>
        <v>2727201.5336958063</v>
      </c>
      <c r="S112" s="118"/>
      <c r="T112" s="118">
        <f>N112+$F$47+IF('Parameters and Satisfaction'!$C$19="Ozone", 'Filtration System'!AA76*1000000, 0)</f>
        <v>8157299.4870243017</v>
      </c>
      <c r="U112" s="118">
        <f>O112+$F$47+IF('Parameters and Satisfaction'!$C$19="Ozone", 'Filtration System'!AB76*1000000, 0)</f>
        <v>6146900.6426110798</v>
      </c>
      <c r="V112" s="118">
        <f>P112+$F$47+IF('Parameters and Satisfaction'!$C$19="Ozone", 'Filtration System'!AC76*1000000, 0)</f>
        <v>8410460.8229874484</v>
      </c>
      <c r="W112" s="118">
        <f>Q112+$F$47+IF('Parameters and Satisfaction'!$C$19="Ozone", 'Filtration System'!AD76*1000000, 0)</f>
        <v>6212708.27893773</v>
      </c>
      <c r="X112" s="118">
        <f>R112+$F$47+IF('Parameters and Satisfaction'!$C$19="Ozone", 'Filtration System'!AE76*1000000, 0)</f>
        <v>7414701.5336958058</v>
      </c>
      <c r="Y112" s="118"/>
      <c r="Z112" s="118">
        <f t="shared" si="1"/>
        <v>0.58266424907316439</v>
      </c>
      <c r="AA112" s="118">
        <f t="shared" si="2"/>
        <v>0.43906433161507713</v>
      </c>
      <c r="AB112" s="118">
        <f t="shared" si="3"/>
        <v>0.6007472016419606</v>
      </c>
      <c r="AC112" s="118">
        <f t="shared" si="4"/>
        <v>0.4437648770669807</v>
      </c>
      <c r="AD112" s="118">
        <f t="shared" si="5"/>
        <v>0.529621538121129</v>
      </c>
      <c r="AE112" s="118"/>
      <c r="AF112" s="118"/>
      <c r="AG112" s="118"/>
      <c r="AK112">
        <f t="shared" ref="AK112:AO121" si="10">$D$56</f>
        <v>13708800.000000002</v>
      </c>
      <c r="AL112">
        <f t="shared" si="10"/>
        <v>13708800.000000002</v>
      </c>
      <c r="AM112">
        <f t="shared" si="10"/>
        <v>13708800.000000002</v>
      </c>
      <c r="AN112">
        <f t="shared" si="10"/>
        <v>13708800.000000002</v>
      </c>
      <c r="AO112">
        <f t="shared" si="10"/>
        <v>13708800.000000002</v>
      </c>
    </row>
    <row r="113" spans="1:41">
      <c r="A113" s="185">
        <f>'Water Stuff'!F47</f>
        <v>44604</v>
      </c>
      <c r="B113" s="118">
        <f>'Filtration System'!B77</f>
        <v>3360</v>
      </c>
      <c r="C113" s="118">
        <f>'Filtration System'!C77</f>
        <v>6080</v>
      </c>
      <c r="D113" s="118">
        <f>'Filtration System'!D77</f>
        <v>3860.1244377609064</v>
      </c>
      <c r="E113" s="118">
        <f>'Filtration System'!E77</f>
        <v>6690.5467538760649</v>
      </c>
      <c r="F113" s="118">
        <f>'Filtration System'!F77</f>
        <v>3340.6917755606719</v>
      </c>
      <c r="G113" s="118"/>
      <c r="H113" s="118">
        <f>B113/1000*(1000*9.81*Pumps!$B$14+'Parameters and Satisfaction'!$B$27)</f>
        <v>900658.68229712336</v>
      </c>
      <c r="I113" s="118">
        <f>C113/1000*(1000*9.81*Pumps!$B$14+'Parameters and Satisfaction'!$B$27)</f>
        <v>1629763.3298709851</v>
      </c>
      <c r="J113" s="118">
        <f>D113/1000*(1000*9.81*Pumps!$B$14+'Parameters and Satisfaction'!$B$27)</f>
        <v>1034718.6278621019</v>
      </c>
      <c r="K113" s="118">
        <f>E113/1000*(1000*9.81*Pumps!$B$14+'Parameters and Satisfaction'!$B$27)</f>
        <v>1793422.3283313431</v>
      </c>
      <c r="L113" s="118">
        <f>F113/1000*(1000*9.81*Pumps!$B$14+'Parameters and Satisfaction'!$B$27)</f>
        <v>895483.05135039054</v>
      </c>
      <c r="M113" s="118"/>
      <c r="N113" s="118">
        <f>H113/IF('Parameters and Satisfaction'!$C$13="Pump A", 0.7, IF('Parameters and Satisfaction'!$C$13 = "Pump B", 0.72, 0.65))</f>
        <v>1250914.8365237825</v>
      </c>
      <c r="O113" s="118">
        <f>I113/IF('Parameters and Satisfaction'!$C$13="Pump A", 0.7, IF('Parameters and Satisfaction'!$C$13 = "Pump B", 0.72, 0.65))</f>
        <v>2263560.1803763681</v>
      </c>
      <c r="P113" s="118">
        <f>J113/IF('Parameters and Satisfaction'!$C$13="Pump A", 0.7, IF('Parameters and Satisfaction'!$C$13 = "Pump B", 0.72, 0.65))</f>
        <v>1437109.2053640306</v>
      </c>
      <c r="Q113" s="118">
        <f>K113/IF('Parameters and Satisfaction'!$C$13="Pump A", 0.7, IF('Parameters and Satisfaction'!$C$13 = "Pump B", 0.72, 0.65))</f>
        <v>2490864.3449046435</v>
      </c>
      <c r="R113" s="118">
        <f>L113/IF('Parameters and Satisfaction'!$C$13="Pump A", 0.7, IF('Parameters and Satisfaction'!$C$13 = "Pump B", 0.72, 0.65))</f>
        <v>1243726.4602088758</v>
      </c>
      <c r="S113" s="118"/>
      <c r="T113" s="118">
        <f>N113+$F$47+IF('Parameters and Satisfaction'!$C$19="Ozone", 'Filtration System'!AA77*1000000, 0)</f>
        <v>5938414.8365237825</v>
      </c>
      <c r="U113" s="118">
        <f>O113+$F$47+IF('Parameters and Satisfaction'!$C$19="Ozone", 'Filtration System'!AB77*1000000, 0)</f>
        <v>6951060.1803763676</v>
      </c>
      <c r="V113" s="118">
        <f>P113+$F$47+IF('Parameters and Satisfaction'!$C$19="Ozone", 'Filtration System'!AC77*1000000, 0)</f>
        <v>6124609.2053640308</v>
      </c>
      <c r="W113" s="118">
        <f>Q113+$F$47+IF('Parameters and Satisfaction'!$C$19="Ozone", 'Filtration System'!AD77*1000000, 0)</f>
        <v>7178364.3449046435</v>
      </c>
      <c r="X113" s="118">
        <f>R113+$F$47+IF('Parameters and Satisfaction'!$C$19="Ozone", 'Filtration System'!AE77*1000000, 0)</f>
        <v>5931226.4602088761</v>
      </c>
      <c r="Y113" s="118"/>
      <c r="Z113" s="118">
        <f t="shared" si="1"/>
        <v>0.42417248832312732</v>
      </c>
      <c r="AA113" s="118">
        <f t="shared" si="2"/>
        <v>0.49650429859831197</v>
      </c>
      <c r="AB113" s="118">
        <f t="shared" si="3"/>
        <v>0.43747208609743077</v>
      </c>
      <c r="AC113" s="118">
        <f t="shared" si="4"/>
        <v>0.51274031035033163</v>
      </c>
      <c r="AD113" s="118">
        <f t="shared" si="5"/>
        <v>0.42365903287206258</v>
      </c>
      <c r="AE113" s="118"/>
      <c r="AF113" s="118"/>
      <c r="AG113" s="118"/>
      <c r="AK113">
        <f t="shared" si="10"/>
        <v>13708800.000000002</v>
      </c>
      <c r="AL113">
        <f t="shared" si="10"/>
        <v>13708800.000000002</v>
      </c>
      <c r="AM113">
        <f t="shared" si="10"/>
        <v>13708800.000000002</v>
      </c>
      <c r="AN113">
        <f t="shared" si="10"/>
        <v>13708800.000000002</v>
      </c>
      <c r="AO113">
        <f t="shared" si="10"/>
        <v>13708800.000000002</v>
      </c>
    </row>
    <row r="114" spans="1:41">
      <c r="A114" s="185">
        <f>'Water Stuff'!F48</f>
        <v>44605</v>
      </c>
      <c r="B114" s="118">
        <f>'Filtration System'!B78</f>
        <v>3120</v>
      </c>
      <c r="C114" s="118">
        <f>'Filtration System'!C78</f>
        <v>3800</v>
      </c>
      <c r="D114" s="118">
        <f>'Filtration System'!D78</f>
        <v>1587.803717785149</v>
      </c>
      <c r="E114" s="118">
        <f>'Filtration System'!E78</f>
        <v>5490.7940270289819</v>
      </c>
      <c r="F114" s="118">
        <f>'Filtration System'!F78</f>
        <v>217.85965754353418</v>
      </c>
      <c r="G114" s="118"/>
      <c r="H114" s="118">
        <f>B114/1000*(1000*9.81*Pumps!$B$14+'Parameters and Satisfaction'!$B$27)</f>
        <v>836325.91927590035</v>
      </c>
      <c r="I114" s="118">
        <f>C114/1000*(1000*9.81*Pumps!$B$14+'Parameters and Satisfaction'!$B$27)</f>
        <v>1018602.0811693657</v>
      </c>
      <c r="J114" s="118">
        <f>D114/1000*(1000*9.81*Pumps!$B$14+'Parameters and Satisfaction'!$B$27)</f>
        <v>425615.83458537079</v>
      </c>
      <c r="K114" s="118">
        <f>E114/1000*(1000*9.81*Pumps!$B$14+'Parameters and Satisfaction'!$B$27)</f>
        <v>1471824.7955800113</v>
      </c>
      <c r="L114" s="118">
        <f>F114/1000*(1000*9.81*Pumps!$B$14+'Parameters and Satisfaction'!$B$27)</f>
        <v>58397.973835970843</v>
      </c>
      <c r="M114" s="118"/>
      <c r="N114" s="118">
        <f>H114/IF('Parameters and Satisfaction'!$C$13="Pump A", 0.7, IF('Parameters and Satisfaction'!$C$13 = "Pump B", 0.72, 0.65))</f>
        <v>1161563.7767720839</v>
      </c>
      <c r="O114" s="118">
        <f>I114/IF('Parameters and Satisfaction'!$C$13="Pump A", 0.7, IF('Parameters and Satisfaction'!$C$13 = "Pump B", 0.72, 0.65))</f>
        <v>1414725.1127352302</v>
      </c>
      <c r="P114" s="118">
        <f>J114/IF('Parameters and Satisfaction'!$C$13="Pump A", 0.7, IF('Parameters and Satisfaction'!$C$13 = "Pump B", 0.72, 0.65))</f>
        <v>591133.10359079274</v>
      </c>
      <c r="Q114" s="118">
        <f>K114/IF('Parameters and Satisfaction'!$C$13="Pump A", 0.7, IF('Parameters and Satisfaction'!$C$13 = "Pump B", 0.72, 0.65))</f>
        <v>2044201.104972238</v>
      </c>
      <c r="R114" s="118">
        <f>L114/IF('Parameters and Satisfaction'!$C$13="Pump A", 0.7, IF('Parameters and Satisfaction'!$C$13 = "Pump B", 0.72, 0.65))</f>
        <v>81108.296994403951</v>
      </c>
      <c r="S114" s="118"/>
      <c r="T114" s="118">
        <f>N114+$F$47+IF('Parameters and Satisfaction'!$C$19="Ozone", 'Filtration System'!AA78*1000000, 0)</f>
        <v>5849063.7767720837</v>
      </c>
      <c r="U114" s="118">
        <f>O114+$F$47+IF('Parameters and Satisfaction'!$C$19="Ozone", 'Filtration System'!AB78*1000000, 0)</f>
        <v>6102225.1127352305</v>
      </c>
      <c r="V114" s="118">
        <f>P114+$F$47+IF('Parameters and Satisfaction'!$C$19="Ozone", 'Filtration System'!AC78*1000000, 0)</f>
        <v>5278633.103590793</v>
      </c>
      <c r="W114" s="118">
        <f>Q114+$F$47+IF('Parameters and Satisfaction'!$C$19="Ozone", 'Filtration System'!AD78*1000000, 0)</f>
        <v>6731701.1049722377</v>
      </c>
      <c r="X114" s="118">
        <f>R114+$F$47+IF('Parameters and Satisfaction'!$C$19="Ozone", 'Filtration System'!AE78*1000000, 0)</f>
        <v>4768608.2969944039</v>
      </c>
      <c r="Y114" s="118"/>
      <c r="Z114" s="118">
        <f t="shared" si="1"/>
        <v>0.41779026976943456</v>
      </c>
      <c r="AA114" s="118">
        <f t="shared" si="2"/>
        <v>0.43587322233823073</v>
      </c>
      <c r="AB114" s="118">
        <f t="shared" si="3"/>
        <v>0.37704522168505666</v>
      </c>
      <c r="AC114" s="118">
        <f t="shared" si="4"/>
        <v>0.48083579321230269</v>
      </c>
      <c r="AD114" s="118">
        <f t="shared" si="5"/>
        <v>0.34061487835674314</v>
      </c>
      <c r="AE114" s="118"/>
      <c r="AF114" s="118"/>
      <c r="AG114" s="118"/>
      <c r="AK114">
        <f t="shared" si="10"/>
        <v>13708800.000000002</v>
      </c>
      <c r="AL114">
        <f t="shared" si="10"/>
        <v>13708800.000000002</v>
      </c>
      <c r="AM114">
        <f t="shared" si="10"/>
        <v>13708800.000000002</v>
      </c>
      <c r="AN114">
        <f t="shared" si="10"/>
        <v>13708800.000000002</v>
      </c>
      <c r="AO114">
        <f t="shared" si="10"/>
        <v>13708800.000000002</v>
      </c>
    </row>
    <row r="115" spans="1:41">
      <c r="A115" s="185">
        <f>'Water Stuff'!F49</f>
        <v>44606</v>
      </c>
      <c r="B115" s="118">
        <f>'Filtration System'!B79</f>
        <v>600</v>
      </c>
      <c r="C115" s="118">
        <f>'Filtration System'!C79</f>
        <v>40</v>
      </c>
      <c r="D115" s="118">
        <f>'Filtration System'!D79</f>
        <v>1878.7353482630692</v>
      </c>
      <c r="E115" s="118">
        <f>'Filtration System'!E79</f>
        <v>0</v>
      </c>
      <c r="F115" s="118">
        <f>'Filtration System'!F79</f>
        <v>1784.1364135010231</v>
      </c>
      <c r="G115" s="118"/>
      <c r="H115" s="118">
        <f>B115/1000*(1000*9.81*Pumps!$B$14+'Parameters and Satisfaction'!$B$27)</f>
        <v>160831.90755305774</v>
      </c>
      <c r="I115" s="118">
        <f>C115/1000*(1000*9.81*Pumps!$B$14+'Parameters and Satisfaction'!$B$27)</f>
        <v>10722.12717020385</v>
      </c>
      <c r="J115" s="118">
        <f>D115/1000*(1000*9.81*Pumps!$B$14+'Parameters and Satisfaction'!$B$27)</f>
        <v>503600.9830808462</v>
      </c>
      <c r="K115" s="118">
        <f>E115/1000*(1000*9.81*Pumps!$B$14+'Parameters and Satisfaction'!$B$27)</f>
        <v>0</v>
      </c>
      <c r="L115" s="118">
        <f>F115/1000*(1000*9.81*Pumps!$B$14+'Parameters and Satisfaction'!$B$27)</f>
        <v>478243.43786373426</v>
      </c>
      <c r="M115" s="118"/>
      <c r="N115" s="118">
        <f>H115/IF('Parameters and Satisfaction'!$C$13="Pump A", 0.7, IF('Parameters and Satisfaction'!$C$13 = "Pump B", 0.72, 0.65))</f>
        <v>223377.64937924687</v>
      </c>
      <c r="O115" s="118">
        <f>I115/IF('Parameters and Satisfaction'!$C$13="Pump A", 0.7, IF('Parameters and Satisfaction'!$C$13 = "Pump B", 0.72, 0.65))</f>
        <v>14891.843291949792</v>
      </c>
      <c r="P115" s="118">
        <f>J115/IF('Parameters and Satisfaction'!$C$13="Pump A", 0.7, IF('Parameters and Satisfaction'!$C$13 = "Pump B", 0.72, 0.65))</f>
        <v>699445.80983450869</v>
      </c>
      <c r="Q115" s="118">
        <f>K115/IF('Parameters and Satisfaction'!$C$13="Pump A", 0.7, IF('Parameters and Satisfaction'!$C$13 = "Pump B", 0.72, 0.65))</f>
        <v>0</v>
      </c>
      <c r="R115" s="118">
        <f>L115/IF('Parameters and Satisfaction'!$C$13="Pump A", 0.7, IF('Parameters and Satisfaction'!$C$13 = "Pump B", 0.72, 0.65))</f>
        <v>664226.99703296425</v>
      </c>
      <c r="S115" s="118"/>
      <c r="T115" s="118">
        <f>N115+$F$47+IF('Parameters and Satisfaction'!$C$19="Ozone", 'Filtration System'!AA79*1000000, 0)</f>
        <v>4910877.6493792469</v>
      </c>
      <c r="U115" s="118">
        <f>O115+$F$47+IF('Parameters and Satisfaction'!$C$19="Ozone", 'Filtration System'!AB79*1000000, 0)</f>
        <v>4702391.8432919495</v>
      </c>
      <c r="V115" s="118">
        <f>P115+$F$47+IF('Parameters and Satisfaction'!$C$19="Ozone", 'Filtration System'!AC79*1000000, 0)</f>
        <v>5386945.8098345082</v>
      </c>
      <c r="W115" s="118">
        <f>Q115+$F$47+IF('Parameters and Satisfaction'!$C$19="Ozone", 'Filtration System'!AD79*1000000, 0)</f>
        <v>4687500</v>
      </c>
      <c r="X115" s="118">
        <f>R115+$F$47+IF('Parameters and Satisfaction'!$C$19="Ozone", 'Filtration System'!AE79*1000000, 0)</f>
        <v>5351726.9970329646</v>
      </c>
      <c r="Y115" s="118"/>
      <c r="Z115" s="118">
        <f t="shared" si="1"/>
        <v>0.35077697495566051</v>
      </c>
      <c r="AA115" s="118">
        <f t="shared" si="2"/>
        <v>0.3358851316637107</v>
      </c>
      <c r="AB115" s="118">
        <f t="shared" si="3"/>
        <v>0.38478184355960771</v>
      </c>
      <c r="AC115" s="118">
        <f t="shared" si="4"/>
        <v>0.33482142857142855</v>
      </c>
      <c r="AD115" s="118">
        <f t="shared" si="5"/>
        <v>0.38226621407378319</v>
      </c>
      <c r="AE115" s="118"/>
      <c r="AF115" s="118"/>
      <c r="AG115" s="118"/>
      <c r="AK115">
        <f t="shared" si="10"/>
        <v>13708800.000000002</v>
      </c>
      <c r="AL115">
        <f t="shared" si="10"/>
        <v>13708800.000000002</v>
      </c>
      <c r="AM115">
        <f t="shared" si="10"/>
        <v>13708800.000000002</v>
      </c>
      <c r="AN115">
        <f t="shared" si="10"/>
        <v>13708800.000000002</v>
      </c>
      <c r="AO115">
        <f t="shared" si="10"/>
        <v>13708800.000000002</v>
      </c>
    </row>
    <row r="116" spans="1:41">
      <c r="A116" s="185">
        <f>'Water Stuff'!F50</f>
        <v>44607</v>
      </c>
      <c r="B116" s="118">
        <f>'Filtration System'!B80</f>
        <v>2320</v>
      </c>
      <c r="C116" s="118">
        <f>'Filtration System'!C80</f>
        <v>0</v>
      </c>
      <c r="D116" s="118">
        <f>'Filtration System'!D80</f>
        <v>2639.6238890453219</v>
      </c>
      <c r="E116" s="118">
        <f>'Filtration System'!E80</f>
        <v>0</v>
      </c>
      <c r="F116" s="118">
        <f>'Filtration System'!F80</f>
        <v>1961.1782768041649</v>
      </c>
      <c r="G116" s="118"/>
      <c r="H116" s="118">
        <f>B116/1000*(1000*9.81*Pumps!$B$14+'Parameters and Satisfaction'!$B$27)</f>
        <v>621883.37587182329</v>
      </c>
      <c r="I116" s="118">
        <f>C116/1000*(1000*9.81*Pumps!$B$14+'Parameters and Satisfaction'!$B$27)</f>
        <v>0</v>
      </c>
      <c r="J116" s="118">
        <f>D116/1000*(1000*9.81*Pumps!$B$14+'Parameters and Satisfaction'!$B$27)</f>
        <v>707559.57549630001</v>
      </c>
      <c r="K116" s="118">
        <f>E116/1000*(1000*9.81*Pumps!$B$14+'Parameters and Satisfaction'!$B$27)</f>
        <v>0</v>
      </c>
      <c r="L116" s="118">
        <f>F116/1000*(1000*9.81*Pumps!$B$14+'Parameters and Satisfaction'!$B$27)</f>
        <v>525700.07218338759</v>
      </c>
      <c r="M116" s="118"/>
      <c r="N116" s="118">
        <f>H116/IF('Parameters and Satisfaction'!$C$13="Pump A", 0.7, IF('Parameters and Satisfaction'!$C$13 = "Pump B", 0.72, 0.65))</f>
        <v>863726.91093308793</v>
      </c>
      <c r="O116" s="118">
        <f>I116/IF('Parameters and Satisfaction'!$C$13="Pump A", 0.7, IF('Parameters and Satisfaction'!$C$13 = "Pump B", 0.72, 0.65))</f>
        <v>0</v>
      </c>
      <c r="P116" s="118">
        <f>J116/IF('Parameters and Satisfaction'!$C$13="Pump A", 0.7, IF('Parameters and Satisfaction'!$C$13 = "Pump B", 0.72, 0.65))</f>
        <v>982721.63263375009</v>
      </c>
      <c r="Q116" s="118">
        <f>K116/IF('Parameters and Satisfaction'!$C$13="Pump A", 0.7, IF('Parameters and Satisfaction'!$C$13 = "Pump B", 0.72, 0.65))</f>
        <v>0</v>
      </c>
      <c r="R116" s="118">
        <f>L116/IF('Parameters and Satisfaction'!$C$13="Pump A", 0.7, IF('Parameters and Satisfaction'!$C$13 = "Pump B", 0.72, 0.65))</f>
        <v>730138.98914359394</v>
      </c>
      <c r="S116" s="118"/>
      <c r="T116" s="118">
        <f>N116+$F$47+IF('Parameters and Satisfaction'!$C$19="Ozone", 'Filtration System'!AA80*1000000, 0)</f>
        <v>5551226.9109330876</v>
      </c>
      <c r="U116" s="118">
        <f>O116+$F$47+IF('Parameters and Satisfaction'!$C$19="Ozone", 'Filtration System'!AB80*1000000, 0)</f>
        <v>4687500</v>
      </c>
      <c r="V116" s="118">
        <f>P116+$F$47+IF('Parameters and Satisfaction'!$C$19="Ozone", 'Filtration System'!AC80*1000000, 0)</f>
        <v>5670221.6326337503</v>
      </c>
      <c r="W116" s="118">
        <f>Q116+$F$47+IF('Parameters and Satisfaction'!$C$19="Ozone", 'Filtration System'!AD80*1000000, 0)</f>
        <v>4687500</v>
      </c>
      <c r="X116" s="118">
        <f>R116+$F$47+IF('Parameters and Satisfaction'!$C$19="Ozone", 'Filtration System'!AE80*1000000, 0)</f>
        <v>5417638.9891435942</v>
      </c>
      <c r="Y116" s="118"/>
      <c r="Z116" s="118">
        <f t="shared" si="1"/>
        <v>0.396516207923792</v>
      </c>
      <c r="AA116" s="118">
        <f t="shared" si="2"/>
        <v>0.33482142857142855</v>
      </c>
      <c r="AB116" s="118">
        <f t="shared" si="3"/>
        <v>0.40501583090241072</v>
      </c>
      <c r="AC116" s="118">
        <f t="shared" si="4"/>
        <v>0.33482142857142855</v>
      </c>
      <c r="AD116" s="118">
        <f t="shared" si="5"/>
        <v>0.38697421351025674</v>
      </c>
      <c r="AE116" s="118"/>
      <c r="AF116" s="118"/>
      <c r="AG116" s="118"/>
      <c r="AK116">
        <f t="shared" si="10"/>
        <v>13708800.000000002</v>
      </c>
      <c r="AL116">
        <f t="shared" si="10"/>
        <v>13708800.000000002</v>
      </c>
      <c r="AM116">
        <f t="shared" si="10"/>
        <v>13708800.000000002</v>
      </c>
      <c r="AN116">
        <f t="shared" si="10"/>
        <v>13708800.000000002</v>
      </c>
      <c r="AO116">
        <f t="shared" si="10"/>
        <v>13708800.000000002</v>
      </c>
    </row>
    <row r="117" spans="1:41">
      <c r="A117" s="185">
        <f>'Water Stuff'!F51</f>
        <v>44608</v>
      </c>
      <c r="B117" s="118">
        <f>'Filtration System'!B81</f>
        <v>3800</v>
      </c>
      <c r="C117" s="118">
        <f>'Filtration System'!C81</f>
        <v>0</v>
      </c>
      <c r="D117" s="118">
        <f>'Filtration System'!D81</f>
        <v>4228.2192146266998</v>
      </c>
      <c r="E117" s="118">
        <f>'Filtration System'!E81</f>
        <v>0</v>
      </c>
      <c r="F117" s="118">
        <f>'Filtration System'!F81</f>
        <v>1697.5488061170602</v>
      </c>
      <c r="G117" s="118"/>
      <c r="H117" s="118">
        <f>B117/1000*(1000*9.81*Pumps!$B$14+'Parameters and Satisfaction'!$B$27)</f>
        <v>1018602.0811693657</v>
      </c>
      <c r="I117" s="118">
        <f>C117/1000*(1000*9.81*Pumps!$B$14+'Parameters and Satisfaction'!$B$27)</f>
        <v>0</v>
      </c>
      <c r="J117" s="118">
        <f>D117/1000*(1000*9.81*Pumps!$B$14+'Parameters and Satisfaction'!$B$27)</f>
        <v>1133387.6030681729</v>
      </c>
      <c r="K117" s="118">
        <f>E117/1000*(1000*9.81*Pumps!$B$14+'Parameters and Satisfaction'!$B$27)</f>
        <v>0</v>
      </c>
      <c r="L117" s="118">
        <f>F117/1000*(1000*9.81*Pumps!$B$14+'Parameters and Satisfaction'!$B$27)</f>
        <v>455033.35442037095</v>
      </c>
      <c r="M117" s="118"/>
      <c r="N117" s="118">
        <f>H117/IF('Parameters and Satisfaction'!$C$13="Pump A", 0.7, IF('Parameters and Satisfaction'!$C$13 = "Pump B", 0.72, 0.65))</f>
        <v>1414725.1127352302</v>
      </c>
      <c r="O117" s="118">
        <f>I117/IF('Parameters and Satisfaction'!$C$13="Pump A", 0.7, IF('Parameters and Satisfaction'!$C$13 = "Pump B", 0.72, 0.65))</f>
        <v>0</v>
      </c>
      <c r="P117" s="118">
        <f>J117/IF('Parameters and Satisfaction'!$C$13="Pump A", 0.7, IF('Parameters and Satisfaction'!$C$13 = "Pump B", 0.72, 0.65))</f>
        <v>1574149.4487057957</v>
      </c>
      <c r="Q117" s="118">
        <f>K117/IF('Parameters and Satisfaction'!$C$13="Pump A", 0.7, IF('Parameters and Satisfaction'!$C$13 = "Pump B", 0.72, 0.65))</f>
        <v>0</v>
      </c>
      <c r="R117" s="118">
        <f>L117/IF('Parameters and Satisfaction'!$C$13="Pump A", 0.7, IF('Parameters and Satisfaction'!$C$13 = "Pump B", 0.72, 0.65))</f>
        <v>631990.77002829302</v>
      </c>
      <c r="S117" s="118"/>
      <c r="T117" s="118">
        <f>N117+$F$47+IF('Parameters and Satisfaction'!$C$19="Ozone", 'Filtration System'!AA81*1000000, 0)</f>
        <v>6102225.1127352305</v>
      </c>
      <c r="U117" s="118">
        <f>O117+$F$47+IF('Parameters and Satisfaction'!$C$19="Ozone", 'Filtration System'!AB81*1000000, 0)</f>
        <v>4687500</v>
      </c>
      <c r="V117" s="118">
        <f>P117+$F$47+IF('Parameters and Satisfaction'!$C$19="Ozone", 'Filtration System'!AC81*1000000, 0)</f>
        <v>6261649.4487057962</v>
      </c>
      <c r="W117" s="118">
        <f>Q117+$F$47+IF('Parameters and Satisfaction'!$C$19="Ozone", 'Filtration System'!AD81*1000000, 0)</f>
        <v>4687500</v>
      </c>
      <c r="X117" s="118">
        <f>R117+$F$47+IF('Parameters and Satisfaction'!$C$19="Ozone", 'Filtration System'!AE81*1000000, 0)</f>
        <v>5319490.7700282931</v>
      </c>
      <c r="Y117" s="118"/>
      <c r="Z117" s="118">
        <f t="shared" si="1"/>
        <v>0.43587322233823073</v>
      </c>
      <c r="AA117" s="118">
        <f t="shared" si="2"/>
        <v>0.33482142857142855</v>
      </c>
      <c r="AB117" s="118">
        <f t="shared" si="3"/>
        <v>0.44726067490755689</v>
      </c>
      <c r="AC117" s="118">
        <f t="shared" si="4"/>
        <v>0.33482142857142855</v>
      </c>
      <c r="AD117" s="118">
        <f t="shared" si="5"/>
        <v>0.37996362643059239</v>
      </c>
      <c r="AE117" s="118"/>
      <c r="AF117" s="118"/>
      <c r="AG117" s="118"/>
      <c r="AK117">
        <f t="shared" si="10"/>
        <v>13708800.000000002</v>
      </c>
      <c r="AL117">
        <f t="shared" si="10"/>
        <v>13708800.000000002</v>
      </c>
      <c r="AM117">
        <f t="shared" si="10"/>
        <v>13708800.000000002</v>
      </c>
      <c r="AN117">
        <f t="shared" si="10"/>
        <v>13708800.000000002</v>
      </c>
      <c r="AO117">
        <f t="shared" si="10"/>
        <v>13708800.000000002</v>
      </c>
    </row>
    <row r="118" spans="1:41">
      <c r="A118" s="185">
        <f>'Water Stuff'!F52</f>
        <v>44609</v>
      </c>
      <c r="B118" s="118">
        <f>'Filtration System'!B82</f>
        <v>1839.9999999999998</v>
      </c>
      <c r="C118" s="118">
        <f>'Filtration System'!C82</f>
        <v>0</v>
      </c>
      <c r="D118" s="118">
        <f>'Filtration System'!D82</f>
        <v>1094.6892699856812</v>
      </c>
      <c r="E118" s="118">
        <f>'Filtration System'!E82</f>
        <v>0</v>
      </c>
      <c r="F118" s="118">
        <f>'Filtration System'!F82</f>
        <v>2131.6047680909383</v>
      </c>
      <c r="G118" s="118"/>
      <c r="H118" s="118">
        <f>B118/1000*(1000*9.81*Pumps!$B$14+'Parameters and Satisfaction'!$B$27)</f>
        <v>493217.84982937702</v>
      </c>
      <c r="I118" s="118">
        <f>C118/1000*(1000*9.81*Pumps!$B$14+'Parameters and Satisfaction'!$B$27)</f>
        <v>0</v>
      </c>
      <c r="J118" s="118">
        <f>D118/1000*(1000*9.81*Pumps!$B$14+'Parameters and Satisfaction'!$B$27)</f>
        <v>293434.93911610224</v>
      </c>
      <c r="K118" s="118">
        <f>E118/1000*(1000*9.81*Pumps!$B$14+'Parameters and Satisfaction'!$B$27)</f>
        <v>0</v>
      </c>
      <c r="L118" s="118">
        <f>F118/1000*(1000*9.81*Pumps!$B$14+'Parameters and Satisfaction'!$B$27)</f>
        <v>571383.43500209809</v>
      </c>
      <c r="M118" s="118"/>
      <c r="N118" s="118">
        <f>H118/IF('Parameters and Satisfaction'!$C$13="Pump A", 0.7, IF('Parameters and Satisfaction'!$C$13 = "Pump B", 0.72, 0.65))</f>
        <v>685024.79142969032</v>
      </c>
      <c r="O118" s="118">
        <f>I118/IF('Parameters and Satisfaction'!$C$13="Pump A", 0.7, IF('Parameters and Satisfaction'!$C$13 = "Pump B", 0.72, 0.65))</f>
        <v>0</v>
      </c>
      <c r="P118" s="118">
        <f>J118/IF('Parameters and Satisfaction'!$C$13="Pump A", 0.7, IF('Parameters and Satisfaction'!$C$13 = "Pump B", 0.72, 0.65))</f>
        <v>407548.52655014204</v>
      </c>
      <c r="Q118" s="118">
        <f>K118/IF('Parameters and Satisfaction'!$C$13="Pump A", 0.7, IF('Parameters and Satisfaction'!$C$13 = "Pump B", 0.72, 0.65))</f>
        <v>0</v>
      </c>
      <c r="R118" s="118">
        <f>L118/IF('Parameters and Satisfaction'!$C$13="Pump A", 0.7, IF('Parameters and Satisfaction'!$C$13 = "Pump B", 0.72, 0.65))</f>
        <v>793588.10416958074</v>
      </c>
      <c r="S118" s="118"/>
      <c r="T118" s="118">
        <f>N118+$F$47+IF('Parameters and Satisfaction'!$C$19="Ozone", 'Filtration System'!AA82*1000000, 0)</f>
        <v>5372524.7914296901</v>
      </c>
      <c r="U118" s="118">
        <f>O118+$F$47+IF('Parameters and Satisfaction'!$C$19="Ozone", 'Filtration System'!AB82*1000000, 0)</f>
        <v>4687500</v>
      </c>
      <c r="V118" s="118">
        <f>P118+$F$47+IF('Parameters and Satisfaction'!$C$19="Ozone", 'Filtration System'!AC82*1000000, 0)</f>
        <v>5095048.5265501421</v>
      </c>
      <c r="W118" s="118">
        <f>Q118+$F$47+IF('Parameters and Satisfaction'!$C$19="Ozone", 'Filtration System'!AD82*1000000, 0)</f>
        <v>4687500</v>
      </c>
      <c r="X118" s="118">
        <f>R118+$F$47+IF('Parameters and Satisfaction'!$C$19="Ozone", 'Filtration System'!AE82*1000000, 0)</f>
        <v>5481088.1041695811</v>
      </c>
      <c r="Y118" s="118"/>
      <c r="Z118" s="118">
        <f t="shared" si="1"/>
        <v>0.38375177081640643</v>
      </c>
      <c r="AA118" s="118">
        <f t="shared" si="2"/>
        <v>0.33482142857142855</v>
      </c>
      <c r="AB118" s="118">
        <f t="shared" si="3"/>
        <v>0.36393203761072446</v>
      </c>
      <c r="AC118" s="118">
        <f t="shared" si="4"/>
        <v>0.33482142857142855</v>
      </c>
      <c r="AD118" s="118">
        <f t="shared" si="5"/>
        <v>0.3915062931549701</v>
      </c>
      <c r="AE118" s="118"/>
      <c r="AF118" s="118"/>
      <c r="AG118" s="118"/>
      <c r="AK118">
        <f t="shared" si="10"/>
        <v>13708800.000000002</v>
      </c>
      <c r="AL118">
        <f t="shared" si="10"/>
        <v>13708800.000000002</v>
      </c>
      <c r="AM118">
        <f t="shared" si="10"/>
        <v>13708800.000000002</v>
      </c>
      <c r="AN118">
        <f t="shared" si="10"/>
        <v>13708800.000000002</v>
      </c>
      <c r="AO118">
        <f t="shared" si="10"/>
        <v>13708800.000000002</v>
      </c>
    </row>
    <row r="119" spans="1:41">
      <c r="A119" s="185">
        <f>'Water Stuff'!F53</f>
        <v>44610</v>
      </c>
      <c r="B119" s="118">
        <f>'Filtration System'!B83</f>
        <v>2520</v>
      </c>
      <c r="C119" s="118">
        <f>'Filtration System'!C83</f>
        <v>800</v>
      </c>
      <c r="D119" s="118">
        <f>'Filtration System'!D83</f>
        <v>30.38347358125754</v>
      </c>
      <c r="E119" s="118">
        <f>'Filtration System'!E83</f>
        <v>721.39190226809842</v>
      </c>
      <c r="F119" s="118">
        <f>'Filtration System'!F83</f>
        <v>733.4316093416038</v>
      </c>
      <c r="G119" s="118"/>
      <c r="H119" s="118">
        <f>B119/1000*(1000*9.81*Pumps!$B$14+'Parameters and Satisfaction'!$B$27)</f>
        <v>675494.01172284258</v>
      </c>
      <c r="I119" s="118">
        <f>C119/1000*(1000*9.81*Pumps!$B$14+'Parameters and Satisfaction'!$B$27)</f>
        <v>214442.54340407701</v>
      </c>
      <c r="J119" s="118">
        <f>D119/1000*(1000*9.81*Pumps!$B$14+'Parameters and Satisfaction'!$B$27)</f>
        <v>8144.386690269308</v>
      </c>
      <c r="K119" s="118">
        <f>E119/1000*(1000*9.81*Pumps!$B$14+'Parameters and Satisfaction'!$B$27)</f>
        <v>193371.39289184546</v>
      </c>
      <c r="L119" s="118">
        <f>F119/1000*(1000*9.81*Pumps!$B$14+'Parameters and Satisfaction'!$B$27)</f>
        <v>196598.67465019863</v>
      </c>
      <c r="M119" s="118"/>
      <c r="N119" s="118">
        <f>H119/IF('Parameters and Satisfaction'!$C$13="Pump A", 0.7, IF('Parameters and Satisfaction'!$C$13 = "Pump B", 0.72, 0.65))</f>
        <v>938186.12739283696</v>
      </c>
      <c r="O119" s="118">
        <f>I119/IF('Parameters and Satisfaction'!$C$13="Pump A", 0.7, IF('Parameters and Satisfaction'!$C$13 = "Pump B", 0.72, 0.65))</f>
        <v>297836.86583899584</v>
      </c>
      <c r="P119" s="118">
        <f>J119/IF('Parameters and Satisfaction'!$C$13="Pump A", 0.7, IF('Parameters and Satisfaction'!$C$13 = "Pump B", 0.72, 0.65))</f>
        <v>11311.648180929595</v>
      </c>
      <c r="Q119" s="118">
        <f>K119/IF('Parameters and Satisfaction'!$C$13="Pump A", 0.7, IF('Parameters and Satisfaction'!$C$13 = "Pump B", 0.72, 0.65))</f>
        <v>268571.37901645206</v>
      </c>
      <c r="R119" s="118">
        <f>L119/IF('Parameters and Satisfaction'!$C$13="Pump A", 0.7, IF('Parameters and Satisfaction'!$C$13 = "Pump B", 0.72, 0.65))</f>
        <v>273053.71479194256</v>
      </c>
      <c r="S119" s="118"/>
      <c r="T119" s="118">
        <f>N119+$F$47+IF('Parameters and Satisfaction'!$C$19="Ozone", 'Filtration System'!AA83*1000000, 0)</f>
        <v>5625686.1273928368</v>
      </c>
      <c r="U119" s="118">
        <f>O119+$F$47+IF('Parameters and Satisfaction'!$C$19="Ozone", 'Filtration System'!AB83*1000000, 0)</f>
        <v>4985336.8658389961</v>
      </c>
      <c r="V119" s="118">
        <f>P119+$F$47+IF('Parameters and Satisfaction'!$C$19="Ozone", 'Filtration System'!AC83*1000000, 0)</f>
        <v>4698811.6481809299</v>
      </c>
      <c r="W119" s="118">
        <f>Q119+$F$47+IF('Parameters and Satisfaction'!$C$19="Ozone", 'Filtration System'!AD83*1000000, 0)</f>
        <v>4956071.3790164525</v>
      </c>
      <c r="X119" s="118">
        <f>R119+$F$47+IF('Parameters and Satisfaction'!$C$19="Ozone", 'Filtration System'!AE83*1000000, 0)</f>
        <v>4960553.7147919424</v>
      </c>
      <c r="Y119" s="118"/>
      <c r="Z119" s="118">
        <f t="shared" si="1"/>
        <v>0.40183472338520265</v>
      </c>
      <c r="AA119" s="118">
        <f t="shared" si="2"/>
        <v>0.35609549041707117</v>
      </c>
      <c r="AB119" s="118">
        <f t="shared" si="3"/>
        <v>0.335629403441495</v>
      </c>
      <c r="AC119" s="118">
        <f t="shared" si="4"/>
        <v>0.35400509850117517</v>
      </c>
      <c r="AD119" s="118">
        <f t="shared" si="5"/>
        <v>0.35432526534228159</v>
      </c>
      <c r="AE119" s="118"/>
      <c r="AF119" s="118"/>
      <c r="AG119" s="118"/>
      <c r="AK119">
        <f t="shared" si="10"/>
        <v>13708800.000000002</v>
      </c>
      <c r="AL119">
        <f t="shared" si="10"/>
        <v>13708800.000000002</v>
      </c>
      <c r="AM119">
        <f t="shared" si="10"/>
        <v>13708800.000000002</v>
      </c>
      <c r="AN119">
        <f t="shared" si="10"/>
        <v>13708800.000000002</v>
      </c>
      <c r="AO119">
        <f t="shared" si="10"/>
        <v>13708800.000000002</v>
      </c>
    </row>
    <row r="120" spans="1:41">
      <c r="A120" s="185">
        <f>'Water Stuff'!F54</f>
        <v>44611</v>
      </c>
      <c r="B120" s="118">
        <f>'Filtration System'!B84</f>
        <v>4360</v>
      </c>
      <c r="C120" s="118">
        <f>'Filtration System'!C84</f>
        <v>2200</v>
      </c>
      <c r="D120" s="118">
        <f>'Filtration System'!D84</f>
        <v>5496.9624698753496</v>
      </c>
      <c r="E120" s="118">
        <f>'Filtration System'!E84</f>
        <v>1611.3803976838824</v>
      </c>
      <c r="F120" s="118">
        <f>'Filtration System'!F84</f>
        <v>6428.2580673671137</v>
      </c>
      <c r="G120" s="118"/>
      <c r="H120" s="118">
        <f>B120/1000*(1000*9.81*Pumps!$B$14+'Parameters and Satisfaction'!$B$27)</f>
        <v>1168711.8615522196</v>
      </c>
      <c r="I120" s="118">
        <f>C120/1000*(1000*9.81*Pumps!$B$14+'Parameters and Satisfaction'!$B$27)</f>
        <v>589716.99436121178</v>
      </c>
      <c r="J120" s="118">
        <f>D120/1000*(1000*9.81*Pumps!$B$14+'Parameters and Satisfaction'!$B$27)</f>
        <v>1473478.2662960335</v>
      </c>
      <c r="K120" s="118">
        <f>E120/1000*(1000*9.81*Pumps!$B$14+'Parameters and Satisfaction'!$B$27)</f>
        <v>431935.63858850597</v>
      </c>
      <c r="L120" s="118">
        <f>F120/1000*(1000*9.81*Pumps!$B$14+'Parameters and Satisfaction'!$B$27)</f>
        <v>1723115.0120299754</v>
      </c>
      <c r="M120" s="118"/>
      <c r="N120" s="118">
        <f>H120/IF('Parameters and Satisfaction'!$C$13="Pump A", 0.7, IF('Parameters and Satisfaction'!$C$13 = "Pump B", 0.72, 0.65))</f>
        <v>1623210.9188225274</v>
      </c>
      <c r="O120" s="118">
        <f>I120/IF('Parameters and Satisfaction'!$C$13="Pump A", 0.7, IF('Parameters and Satisfaction'!$C$13 = "Pump B", 0.72, 0.65))</f>
        <v>819051.38105723856</v>
      </c>
      <c r="P120" s="118">
        <f>J120/IF('Parameters and Satisfaction'!$C$13="Pump A", 0.7, IF('Parameters and Satisfaction'!$C$13 = "Pump B", 0.72, 0.65))</f>
        <v>2046497.5920778243</v>
      </c>
      <c r="Q120" s="118">
        <f>K120/IF('Parameters and Satisfaction'!$C$13="Pump A", 0.7, IF('Parameters and Satisfaction'!$C$13 = "Pump B", 0.72, 0.65))</f>
        <v>599910.60915070272</v>
      </c>
      <c r="R120" s="118">
        <f>L120/IF('Parameters and Satisfaction'!$C$13="Pump A", 0.7, IF('Parameters and Satisfaction'!$C$13 = "Pump B", 0.72, 0.65))</f>
        <v>2393215.294486077</v>
      </c>
      <c r="S120" s="118"/>
      <c r="T120" s="118">
        <f>N120+$F$47+IF('Parameters and Satisfaction'!$C$19="Ozone", 'Filtration System'!AA84*1000000, 0)</f>
        <v>6310710.9188225269</v>
      </c>
      <c r="U120" s="118">
        <f>O120+$F$47+IF('Parameters and Satisfaction'!$C$19="Ozone", 'Filtration System'!AB84*1000000, 0)</f>
        <v>5506551.3810572382</v>
      </c>
      <c r="V120" s="118">
        <f>P120+$F$47+IF('Parameters and Satisfaction'!$C$19="Ozone", 'Filtration System'!AC84*1000000, 0)</f>
        <v>6733997.5920778243</v>
      </c>
      <c r="W120" s="118">
        <f>Q120+$F$47+IF('Parameters and Satisfaction'!$C$19="Ozone", 'Filtration System'!AD84*1000000, 0)</f>
        <v>5287410.6091507031</v>
      </c>
      <c r="X120" s="118">
        <f>R120+$F$47+IF('Parameters and Satisfaction'!$C$19="Ozone", 'Filtration System'!AE84*1000000, 0)</f>
        <v>7080715.2944860775</v>
      </c>
      <c r="Y120" s="118"/>
      <c r="Z120" s="118">
        <f t="shared" si="1"/>
        <v>0.45076506563018048</v>
      </c>
      <c r="AA120" s="118">
        <f t="shared" si="2"/>
        <v>0.39332509864694559</v>
      </c>
      <c r="AB120" s="118">
        <f t="shared" si="3"/>
        <v>0.4809998280055589</v>
      </c>
      <c r="AC120" s="118">
        <f t="shared" si="4"/>
        <v>0.37767218636790734</v>
      </c>
      <c r="AD120" s="118">
        <f t="shared" si="5"/>
        <v>0.50576537817757694</v>
      </c>
      <c r="AE120" s="118"/>
      <c r="AF120" s="118"/>
      <c r="AG120" s="118"/>
      <c r="AK120">
        <f t="shared" si="10"/>
        <v>13708800.000000002</v>
      </c>
      <c r="AL120">
        <f t="shared" si="10"/>
        <v>13708800.000000002</v>
      </c>
      <c r="AM120">
        <f t="shared" si="10"/>
        <v>13708800.000000002</v>
      </c>
      <c r="AN120">
        <f t="shared" si="10"/>
        <v>13708800.000000002</v>
      </c>
      <c r="AO120">
        <f t="shared" si="10"/>
        <v>13708800.000000002</v>
      </c>
    </row>
    <row r="121" spans="1:41">
      <c r="A121" s="185">
        <f>'Water Stuff'!F55</f>
        <v>44612</v>
      </c>
      <c r="B121" s="118">
        <f>'Filtration System'!B85</f>
        <v>480</v>
      </c>
      <c r="C121" s="118">
        <f>'Filtration System'!C85</f>
        <v>80</v>
      </c>
      <c r="D121" s="118">
        <f>'Filtration System'!D85</f>
        <v>1483.090291121774</v>
      </c>
      <c r="E121" s="118">
        <f>'Filtration System'!E85</f>
        <v>0</v>
      </c>
      <c r="F121" s="118">
        <f>'Filtration System'!F85</f>
        <v>1741.9284288047677</v>
      </c>
      <c r="G121" s="118"/>
      <c r="H121" s="118">
        <f>B121/1000*(1000*9.81*Pumps!$B$14+'Parameters and Satisfaction'!$B$27)</f>
        <v>128665.52604244619</v>
      </c>
      <c r="I121" s="118">
        <f>C121/1000*(1000*9.81*Pumps!$B$14+'Parameters and Satisfaction'!$B$27)</f>
        <v>21444.254340407701</v>
      </c>
      <c r="J121" s="118">
        <f>D121/1000*(1000*9.81*Pumps!$B$14+'Parameters and Satisfaction'!$B$27)</f>
        <v>397547.06765755778</v>
      </c>
      <c r="K121" s="118">
        <f>E121/1000*(1000*9.81*Pumps!$B$14+'Parameters and Satisfaction'!$B$27)</f>
        <v>0</v>
      </c>
      <c r="L121" s="118">
        <f>F121/1000*(1000*9.81*Pumps!$B$14+'Parameters and Satisfaction'!$B$27)</f>
        <v>466929.45337595255</v>
      </c>
      <c r="M121" s="118"/>
      <c r="N121" s="118">
        <f>H121/IF('Parameters and Satisfaction'!$C$13="Pump A", 0.7, IF('Parameters and Satisfaction'!$C$13 = "Pump B", 0.72, 0.65))</f>
        <v>178702.11950339749</v>
      </c>
      <c r="O121" s="118">
        <f>I121/IF('Parameters and Satisfaction'!$C$13="Pump A", 0.7, IF('Parameters and Satisfaction'!$C$13 = "Pump B", 0.72, 0.65))</f>
        <v>29783.686583899584</v>
      </c>
      <c r="P121" s="118">
        <f>J121/IF('Parameters and Satisfaction'!$C$13="Pump A", 0.7, IF('Parameters and Satisfaction'!$C$13 = "Pump B", 0.72, 0.65))</f>
        <v>552148.70507994143</v>
      </c>
      <c r="Q121" s="118">
        <f>K121/IF('Parameters and Satisfaction'!$C$13="Pump A", 0.7, IF('Parameters and Satisfaction'!$C$13 = "Pump B", 0.72, 0.65))</f>
        <v>0</v>
      </c>
      <c r="R121" s="118">
        <f>L121/IF('Parameters and Satisfaction'!$C$13="Pump A", 0.7, IF('Parameters and Satisfaction'!$C$13 = "Pump B", 0.72, 0.65))</f>
        <v>648513.12968882301</v>
      </c>
      <c r="S121" s="118"/>
      <c r="T121" s="118">
        <f>N121+$F$47+IF('Parameters and Satisfaction'!$C$19="Ozone", 'Filtration System'!AA85*1000000, 0)</f>
        <v>4866202.1195033975</v>
      </c>
      <c r="U121" s="118">
        <f>O121+$F$47+IF('Parameters and Satisfaction'!$C$19="Ozone", 'Filtration System'!AB85*1000000, 0)</f>
        <v>4717283.6865838999</v>
      </c>
      <c r="V121" s="118">
        <f>P121+$F$47+IF('Parameters and Satisfaction'!$C$19="Ozone", 'Filtration System'!AC85*1000000, 0)</f>
        <v>5239648.7050799411</v>
      </c>
      <c r="W121" s="118">
        <f>Q121+$F$47+IF('Parameters and Satisfaction'!$C$19="Ozone", 'Filtration System'!AD85*1000000, 0)</f>
        <v>4687500</v>
      </c>
      <c r="X121" s="118">
        <f>R121+$F$47+IF('Parameters and Satisfaction'!$C$19="Ozone", 'Filtration System'!AE85*1000000, 0)</f>
        <v>5336013.1296888227</v>
      </c>
      <c r="Y121" s="118"/>
      <c r="Z121" s="118">
        <f t="shared" si="1"/>
        <v>0.34758586567881411</v>
      </c>
      <c r="AA121" s="118">
        <f t="shared" si="2"/>
        <v>0.33694883475599285</v>
      </c>
      <c r="AB121" s="118">
        <f t="shared" si="3"/>
        <v>0.37426062179142439</v>
      </c>
      <c r="AC121" s="118">
        <f t="shared" si="4"/>
        <v>0.33482142857142855</v>
      </c>
      <c r="AD121" s="118">
        <f t="shared" si="5"/>
        <v>0.38114379497777306</v>
      </c>
      <c r="AE121" s="118"/>
      <c r="AF121" s="118"/>
      <c r="AG121" s="118"/>
      <c r="AK121">
        <f t="shared" si="10"/>
        <v>13708800.000000002</v>
      </c>
      <c r="AL121">
        <f t="shared" si="10"/>
        <v>13708800.000000002</v>
      </c>
      <c r="AM121">
        <f t="shared" si="10"/>
        <v>13708800.000000002</v>
      </c>
      <c r="AN121">
        <f t="shared" si="10"/>
        <v>13708800.000000002</v>
      </c>
      <c r="AO121">
        <f t="shared" si="10"/>
        <v>13708800.000000002</v>
      </c>
    </row>
    <row r="122" spans="1:41">
      <c r="A122" s="185">
        <f>'Water Stuff'!F56</f>
        <v>44613</v>
      </c>
      <c r="B122" s="118">
        <f>'Filtration System'!B86</f>
        <v>160</v>
      </c>
      <c r="C122" s="118">
        <f>'Filtration System'!C86</f>
        <v>0</v>
      </c>
      <c r="D122" s="118">
        <f>'Filtration System'!D86</f>
        <v>0</v>
      </c>
      <c r="E122" s="118">
        <f>'Filtration System'!E86</f>
        <v>97.256975471148323</v>
      </c>
      <c r="F122" s="118">
        <f>'Filtration System'!F86</f>
        <v>0</v>
      </c>
      <c r="G122" s="118"/>
      <c r="H122" s="118">
        <f>B122/1000*(1000*9.81*Pumps!$B$14+'Parameters and Satisfaction'!$B$27)</f>
        <v>42888.508680815401</v>
      </c>
      <c r="I122" s="118">
        <f>C122/1000*(1000*9.81*Pumps!$B$14+'Parameters and Satisfaction'!$B$27)</f>
        <v>0</v>
      </c>
      <c r="J122" s="118">
        <f>D122/1000*(1000*9.81*Pumps!$B$14+'Parameters and Satisfaction'!$B$27)</f>
        <v>0</v>
      </c>
      <c r="K122" s="118">
        <f>E122/1000*(1000*9.81*Pumps!$B$14+'Parameters and Satisfaction'!$B$27)</f>
        <v>26070.041479776221</v>
      </c>
      <c r="L122" s="118">
        <f>F122/1000*(1000*9.81*Pumps!$B$14+'Parameters and Satisfaction'!$B$27)</f>
        <v>0</v>
      </c>
      <c r="M122" s="118"/>
      <c r="N122" s="118">
        <f>H122/IF('Parameters and Satisfaction'!$C$13="Pump A", 0.7, IF('Parameters and Satisfaction'!$C$13 = "Pump B", 0.72, 0.65))</f>
        <v>59567.373167799167</v>
      </c>
      <c r="O122" s="118">
        <f>I122/IF('Parameters and Satisfaction'!$C$13="Pump A", 0.7, IF('Parameters and Satisfaction'!$C$13 = "Pump B", 0.72, 0.65))</f>
        <v>0</v>
      </c>
      <c r="P122" s="118">
        <f>J122/IF('Parameters and Satisfaction'!$C$13="Pump A", 0.7, IF('Parameters and Satisfaction'!$C$13 = "Pump B", 0.72, 0.65))</f>
        <v>0</v>
      </c>
      <c r="Q122" s="118">
        <f>K122/IF('Parameters and Satisfaction'!$C$13="Pump A", 0.7, IF('Parameters and Satisfaction'!$C$13 = "Pump B", 0.72, 0.65))</f>
        <v>36208.390944133644</v>
      </c>
      <c r="R122" s="118">
        <f>L122/IF('Parameters and Satisfaction'!$C$13="Pump A", 0.7, IF('Parameters and Satisfaction'!$C$13 = "Pump B", 0.72, 0.65))</f>
        <v>0</v>
      </c>
      <c r="S122" s="118"/>
      <c r="T122" s="118">
        <f>N122+$F$47+IF('Parameters and Satisfaction'!$C$19="Ozone", 'Filtration System'!AA86*1000000, 0)</f>
        <v>4747067.3731677989</v>
      </c>
      <c r="U122" s="118">
        <f>O122+$F$47+IF('Parameters and Satisfaction'!$C$19="Ozone", 'Filtration System'!AB86*1000000, 0)</f>
        <v>4687500</v>
      </c>
      <c r="V122" s="118">
        <f>P122+$F$47+IF('Parameters and Satisfaction'!$C$19="Ozone", 'Filtration System'!AC86*1000000, 0)</f>
        <v>4687500</v>
      </c>
      <c r="W122" s="118">
        <f>Q122+$F$47+IF('Parameters and Satisfaction'!$C$19="Ozone", 'Filtration System'!AD86*1000000, 0)</f>
        <v>4723708.3909441335</v>
      </c>
      <c r="X122" s="118">
        <f>R122+$F$47+IF('Parameters and Satisfaction'!$C$19="Ozone", 'Filtration System'!AE86*1000000, 0)</f>
        <v>4687500</v>
      </c>
      <c r="Y122" s="118"/>
      <c r="Z122" s="118">
        <f t="shared" si="1"/>
        <v>0.33907624094055705</v>
      </c>
      <c r="AA122" s="118">
        <f t="shared" si="2"/>
        <v>0.33482142857142855</v>
      </c>
      <c r="AB122" s="118">
        <f t="shared" si="3"/>
        <v>0.33482142857142855</v>
      </c>
      <c r="AC122" s="118">
        <f t="shared" si="4"/>
        <v>0.33740774221029524</v>
      </c>
      <c r="AD122" s="118">
        <f t="shared" si="5"/>
        <v>0.33482142857142855</v>
      </c>
      <c r="AE122" s="118"/>
      <c r="AF122" s="118"/>
      <c r="AG122" s="118"/>
      <c r="AK122">
        <f t="shared" ref="AK122:AO129" si="11">$D$56</f>
        <v>13708800.000000002</v>
      </c>
      <c r="AL122">
        <f t="shared" si="11"/>
        <v>13708800.000000002</v>
      </c>
      <c r="AM122">
        <f t="shared" si="11"/>
        <v>13708800.000000002</v>
      </c>
      <c r="AN122">
        <f t="shared" si="11"/>
        <v>13708800.000000002</v>
      </c>
      <c r="AO122">
        <f t="shared" si="11"/>
        <v>13708800.000000002</v>
      </c>
    </row>
    <row r="123" spans="1:41">
      <c r="A123" s="185">
        <f>'Water Stuff'!F57</f>
        <v>44614</v>
      </c>
      <c r="B123" s="118">
        <f>'Filtration System'!B87</f>
        <v>960</v>
      </c>
      <c r="C123" s="118">
        <f>'Filtration System'!C87</f>
        <v>0</v>
      </c>
      <c r="D123" s="118">
        <f>'Filtration System'!D87</f>
        <v>0</v>
      </c>
      <c r="E123" s="118">
        <f>'Filtration System'!E87</f>
        <v>624.04702634902935</v>
      </c>
      <c r="F123" s="118">
        <f>'Filtration System'!F87</f>
        <v>1724.7429275471513</v>
      </c>
      <c r="G123" s="118"/>
      <c r="H123" s="118">
        <f>B123/1000*(1000*9.81*Pumps!$B$14+'Parameters and Satisfaction'!$B$27)</f>
        <v>257331.05208489238</v>
      </c>
      <c r="I123" s="118">
        <f>C123/1000*(1000*9.81*Pumps!$B$14+'Parameters and Satisfaction'!$B$27)</f>
        <v>0</v>
      </c>
      <c r="J123" s="118">
        <f>D123/1000*(1000*9.81*Pumps!$B$14+'Parameters and Satisfaction'!$B$27)</f>
        <v>0</v>
      </c>
      <c r="K123" s="118">
        <f>E123/1000*(1000*9.81*Pumps!$B$14+'Parameters and Satisfaction'!$B$27)</f>
        <v>167277.78941754613</v>
      </c>
      <c r="L123" s="118">
        <f>F123/1000*(1000*9.81*Pumps!$B$14+'Parameters and Satisfaction'!$B$27)</f>
        <v>462322.82512675604</v>
      </c>
      <c r="M123" s="118"/>
      <c r="N123" s="118">
        <f>H123/IF('Parameters and Satisfaction'!$C$13="Pump A", 0.7, IF('Parameters and Satisfaction'!$C$13 = "Pump B", 0.72, 0.65))</f>
        <v>357404.23900679499</v>
      </c>
      <c r="O123" s="118">
        <f>I123/IF('Parameters and Satisfaction'!$C$13="Pump A", 0.7, IF('Parameters and Satisfaction'!$C$13 = "Pump B", 0.72, 0.65))</f>
        <v>0</v>
      </c>
      <c r="P123" s="118">
        <f>J123/IF('Parameters and Satisfaction'!$C$13="Pump A", 0.7, IF('Parameters and Satisfaction'!$C$13 = "Pump B", 0.72, 0.65))</f>
        <v>0</v>
      </c>
      <c r="Q123" s="118">
        <f>K123/IF('Parameters and Satisfaction'!$C$13="Pump A", 0.7, IF('Parameters and Satisfaction'!$C$13 = "Pump B", 0.72, 0.65))</f>
        <v>232330.26307992518</v>
      </c>
      <c r="R123" s="118">
        <f>L123/IF('Parameters and Satisfaction'!$C$13="Pump A", 0.7, IF('Parameters and Satisfaction'!$C$13 = "Pump B", 0.72, 0.65))</f>
        <v>642115.03489827225</v>
      </c>
      <c r="S123" s="118"/>
      <c r="T123" s="118">
        <f>N123+$F$47+IF('Parameters and Satisfaction'!$C$19="Ozone", 'Filtration System'!AA87*1000000, 0)</f>
        <v>5044904.239006795</v>
      </c>
      <c r="U123" s="118">
        <f>O123+$F$47+IF('Parameters and Satisfaction'!$C$19="Ozone", 'Filtration System'!AB87*1000000, 0)</f>
        <v>4687500</v>
      </c>
      <c r="V123" s="118">
        <f>P123+$F$47+IF('Parameters and Satisfaction'!$C$19="Ozone", 'Filtration System'!AC87*1000000, 0)</f>
        <v>4687500</v>
      </c>
      <c r="W123" s="118">
        <f>Q123+$F$47+IF('Parameters and Satisfaction'!$C$19="Ozone", 'Filtration System'!AD87*1000000, 0)</f>
        <v>4919830.2630799254</v>
      </c>
      <c r="X123" s="118">
        <f>R123+$F$47+IF('Parameters and Satisfaction'!$C$19="Ozone", 'Filtration System'!AE87*1000000, 0)</f>
        <v>5329615.0348982718</v>
      </c>
      <c r="Y123" s="118"/>
      <c r="Z123" s="118">
        <f t="shared" si="1"/>
        <v>0.36035030278619962</v>
      </c>
      <c r="AA123" s="118">
        <f t="shared" si="2"/>
        <v>0.33482142857142855</v>
      </c>
      <c r="AB123" s="118">
        <f t="shared" si="3"/>
        <v>0.33482142857142855</v>
      </c>
      <c r="AC123" s="118">
        <f t="shared" si="4"/>
        <v>0.35141644736285182</v>
      </c>
      <c r="AD123" s="118">
        <f t="shared" si="5"/>
        <v>0.3806867882070194</v>
      </c>
      <c r="AE123" s="118"/>
      <c r="AF123" s="118"/>
      <c r="AG123" s="118"/>
      <c r="AK123">
        <f t="shared" si="11"/>
        <v>13708800.000000002</v>
      </c>
      <c r="AL123">
        <f t="shared" si="11"/>
        <v>13708800.000000002</v>
      </c>
      <c r="AM123">
        <f t="shared" si="11"/>
        <v>13708800.000000002</v>
      </c>
      <c r="AN123">
        <f t="shared" si="11"/>
        <v>13708800.000000002</v>
      </c>
      <c r="AO123">
        <f t="shared" si="11"/>
        <v>13708800.000000002</v>
      </c>
    </row>
    <row r="124" spans="1:41">
      <c r="A124" s="185">
        <f>'Water Stuff'!F58</f>
        <v>44615</v>
      </c>
      <c r="B124" s="118">
        <f>'Filtration System'!B88</f>
        <v>2920</v>
      </c>
      <c r="C124" s="118">
        <f>'Filtration System'!C88</f>
        <v>0</v>
      </c>
      <c r="D124" s="118">
        <f>'Filtration System'!D88</f>
        <v>3776.6829959843058</v>
      </c>
      <c r="E124" s="118">
        <f>'Filtration System'!E88</f>
        <v>1687.1851444090303</v>
      </c>
      <c r="F124" s="118">
        <f>'Filtration System'!F88</f>
        <v>3490.1233575760862</v>
      </c>
      <c r="G124" s="118"/>
      <c r="H124" s="118">
        <f>B124/1000*(1000*9.81*Pumps!$B$14+'Parameters and Satisfaction'!$B$27)</f>
        <v>782715.28342488105</v>
      </c>
      <c r="I124" s="118">
        <f>C124/1000*(1000*9.81*Pumps!$B$14+'Parameters and Satisfaction'!$B$27)</f>
        <v>0</v>
      </c>
      <c r="J124" s="118">
        <f>D124/1000*(1000*9.81*Pumps!$B$14+'Parameters and Satisfaction'!$B$27)</f>
        <v>1012351.8841122551</v>
      </c>
      <c r="K124" s="118">
        <f>E124/1000*(1000*9.81*Pumps!$B$14+'Parameters and Satisfaction'!$B$27)</f>
        <v>452255.34195080923</v>
      </c>
      <c r="L124" s="118">
        <f>F124/1000*(1000*9.81*Pumps!$B$14+'Parameters and Satisfaction'!$B$27)</f>
        <v>935538.66199074103</v>
      </c>
      <c r="M124" s="118"/>
      <c r="N124" s="118">
        <f>H124/IF('Parameters and Satisfaction'!$C$13="Pump A", 0.7, IF('Parameters and Satisfaction'!$C$13 = "Pump B", 0.72, 0.65))</f>
        <v>1087104.5603123349</v>
      </c>
      <c r="O124" s="118">
        <f>I124/IF('Parameters and Satisfaction'!$C$13="Pump A", 0.7, IF('Parameters and Satisfaction'!$C$13 = "Pump B", 0.72, 0.65))</f>
        <v>0</v>
      </c>
      <c r="P124" s="118">
        <f>J124/IF('Parameters and Satisfaction'!$C$13="Pump A", 0.7, IF('Parameters and Satisfaction'!$C$13 = "Pump B", 0.72, 0.65))</f>
        <v>1406044.2834892431</v>
      </c>
      <c r="Q124" s="118">
        <f>K124/IF('Parameters and Satisfaction'!$C$13="Pump A", 0.7, IF('Parameters and Satisfaction'!$C$13 = "Pump B", 0.72, 0.65))</f>
        <v>628132.41937612393</v>
      </c>
      <c r="R124" s="118">
        <f>L124/IF('Parameters and Satisfaction'!$C$13="Pump A", 0.7, IF('Parameters and Satisfaction'!$C$13 = "Pump B", 0.72, 0.65))</f>
        <v>1299359.2527649181</v>
      </c>
      <c r="S124" s="118"/>
      <c r="T124" s="118">
        <f>N124+$F$47+IF('Parameters and Satisfaction'!$C$19="Ozone", 'Filtration System'!AA88*1000000, 0)</f>
        <v>5774604.5603123344</v>
      </c>
      <c r="U124" s="118">
        <f>O124+$F$47+IF('Parameters and Satisfaction'!$C$19="Ozone", 'Filtration System'!AB88*1000000, 0)</f>
        <v>4687500</v>
      </c>
      <c r="V124" s="118">
        <f>P124+$F$47+IF('Parameters and Satisfaction'!$C$19="Ozone", 'Filtration System'!AC88*1000000, 0)</f>
        <v>6093544.2834892431</v>
      </c>
      <c r="W124" s="118">
        <f>Q124+$F$47+IF('Parameters and Satisfaction'!$C$19="Ozone", 'Filtration System'!AD88*1000000, 0)</f>
        <v>5315632.4193761237</v>
      </c>
      <c r="X124" s="118">
        <f>R124+$F$47+IF('Parameters and Satisfaction'!$C$19="Ozone", 'Filtration System'!AE88*1000000, 0)</f>
        <v>5986859.2527649179</v>
      </c>
      <c r="Y124" s="118"/>
      <c r="Z124" s="118">
        <f t="shared" si="1"/>
        <v>0.41247175430802391</v>
      </c>
      <c r="AA124" s="118">
        <f t="shared" si="2"/>
        <v>0.33482142857142855</v>
      </c>
      <c r="AB124" s="118">
        <f t="shared" si="3"/>
        <v>0.43525316310637452</v>
      </c>
      <c r="AC124" s="118">
        <f t="shared" si="4"/>
        <v>0.37968802995543743</v>
      </c>
      <c r="AD124" s="118">
        <f t="shared" si="5"/>
        <v>0.42763280376892271</v>
      </c>
      <c r="AE124" s="118"/>
      <c r="AF124" s="118"/>
      <c r="AG124" s="118"/>
      <c r="AK124">
        <f t="shared" si="11"/>
        <v>13708800.000000002</v>
      </c>
      <c r="AL124">
        <f t="shared" si="11"/>
        <v>13708800.000000002</v>
      </c>
      <c r="AM124">
        <f t="shared" si="11"/>
        <v>13708800.000000002</v>
      </c>
      <c r="AN124">
        <f t="shared" si="11"/>
        <v>13708800.000000002</v>
      </c>
      <c r="AO124">
        <f t="shared" si="11"/>
        <v>13708800.000000002</v>
      </c>
    </row>
    <row r="125" spans="1:41">
      <c r="A125" s="185">
        <f>'Water Stuff'!F59</f>
        <v>44616</v>
      </c>
      <c r="B125" s="118">
        <f>'Filtration System'!B89</f>
        <v>1360</v>
      </c>
      <c r="C125" s="118">
        <f>'Filtration System'!C89</f>
        <v>40</v>
      </c>
      <c r="D125" s="118">
        <f>'Filtration System'!D89</f>
        <v>1910.0813483605459</v>
      </c>
      <c r="E125" s="118">
        <f>'Filtration System'!E89</f>
        <v>1392.7728724102456</v>
      </c>
      <c r="F125" s="118">
        <f>'Filtration System'!F89</f>
        <v>2177.623984690646</v>
      </c>
      <c r="G125" s="118"/>
      <c r="H125" s="118">
        <f>B125/1000*(1000*9.81*Pumps!$B$14+'Parameters and Satisfaction'!$B$27)</f>
        <v>364552.32378693094</v>
      </c>
      <c r="I125" s="118">
        <f>C125/1000*(1000*9.81*Pumps!$B$14+'Parameters and Satisfaction'!$B$27)</f>
        <v>10722.12717020385</v>
      </c>
      <c r="J125" s="118">
        <f>D125/1000*(1000*9.81*Pumps!$B$14+'Parameters and Satisfaction'!$B$27)</f>
        <v>512003.37806390534</v>
      </c>
      <c r="K125" s="118">
        <f>E125/1000*(1000*9.81*Pumps!$B$14+'Parameters and Satisfaction'!$B$27)</f>
        <v>373337.19642981881</v>
      </c>
      <c r="L125" s="118">
        <f>F125/1000*(1000*9.81*Pumps!$B$14+'Parameters and Satisfaction'!$B$27)</f>
        <v>583719.03231847868</v>
      </c>
      <c r="M125" s="118"/>
      <c r="N125" s="118">
        <f>H125/IF('Parameters and Satisfaction'!$C$13="Pump A", 0.7, IF('Parameters and Satisfaction'!$C$13 = "Pump B", 0.72, 0.65))</f>
        <v>506322.671926293</v>
      </c>
      <c r="O125" s="118">
        <f>I125/IF('Parameters and Satisfaction'!$C$13="Pump A", 0.7, IF('Parameters and Satisfaction'!$C$13 = "Pump B", 0.72, 0.65))</f>
        <v>14891.843291949792</v>
      </c>
      <c r="P125" s="118">
        <f>J125/IF('Parameters and Satisfaction'!$C$13="Pump A", 0.7, IF('Parameters and Satisfaction'!$C$13 = "Pump B", 0.72, 0.65))</f>
        <v>711115.80286653526</v>
      </c>
      <c r="Q125" s="118">
        <f>K125/IF('Parameters and Satisfaction'!$C$13="Pump A", 0.7, IF('Parameters and Satisfaction'!$C$13 = "Pump B", 0.72, 0.65))</f>
        <v>518523.88393030391</v>
      </c>
      <c r="R125" s="118">
        <f>L125/IF('Parameters and Satisfaction'!$C$13="Pump A", 0.7, IF('Parameters and Satisfaction'!$C$13 = "Pump B", 0.72, 0.65))</f>
        <v>810720.87822010927</v>
      </c>
      <c r="S125" s="118"/>
      <c r="T125" s="118">
        <f>N125+$F$47+IF('Parameters and Satisfaction'!$C$19="Ozone", 'Filtration System'!AA89*1000000, 0)</f>
        <v>5193822.6719262926</v>
      </c>
      <c r="U125" s="118">
        <f>O125+$F$47+IF('Parameters and Satisfaction'!$C$19="Ozone", 'Filtration System'!AB89*1000000, 0)</f>
        <v>4702391.8432919495</v>
      </c>
      <c r="V125" s="118">
        <f>P125+$F$47+IF('Parameters and Satisfaction'!$C$19="Ozone", 'Filtration System'!AC89*1000000, 0)</f>
        <v>5398615.8028665353</v>
      </c>
      <c r="W125" s="118">
        <f>Q125+$F$47+IF('Parameters and Satisfaction'!$C$19="Ozone", 'Filtration System'!AD89*1000000, 0)</f>
        <v>5206023.8839303041</v>
      </c>
      <c r="X125" s="118">
        <f>R125+$F$47+IF('Parameters and Satisfaction'!$C$19="Ozone", 'Filtration System'!AE89*1000000, 0)</f>
        <v>5498220.8782201093</v>
      </c>
      <c r="Y125" s="118"/>
      <c r="Z125" s="118">
        <f t="shared" si="1"/>
        <v>0.37098733370902087</v>
      </c>
      <c r="AA125" s="118">
        <f t="shared" si="2"/>
        <v>0.3358851316637107</v>
      </c>
      <c r="AB125" s="118">
        <f t="shared" si="3"/>
        <v>0.38561541449046682</v>
      </c>
      <c r="AC125" s="118">
        <f t="shared" si="4"/>
        <v>0.37185884885216458</v>
      </c>
      <c r="AD125" s="118">
        <f t="shared" si="5"/>
        <v>0.39273006273000782</v>
      </c>
      <c r="AE125" s="118"/>
      <c r="AF125" s="118"/>
      <c r="AG125" s="118"/>
      <c r="AK125">
        <f t="shared" si="11"/>
        <v>13708800.000000002</v>
      </c>
      <c r="AL125">
        <f t="shared" si="11"/>
        <v>13708800.000000002</v>
      </c>
      <c r="AM125">
        <f t="shared" si="11"/>
        <v>13708800.000000002</v>
      </c>
      <c r="AN125">
        <f t="shared" si="11"/>
        <v>13708800.000000002</v>
      </c>
      <c r="AO125">
        <f t="shared" si="11"/>
        <v>13708800.000000002</v>
      </c>
    </row>
    <row r="126" spans="1:41">
      <c r="A126" s="185">
        <f>'Water Stuff'!F60</f>
        <v>44617</v>
      </c>
      <c r="B126" s="118">
        <f>'Filtration System'!B90</f>
        <v>0</v>
      </c>
      <c r="C126" s="118">
        <f>'Filtration System'!C90</f>
        <v>919.99999999999989</v>
      </c>
      <c r="D126" s="118">
        <f>'Filtration System'!D90</f>
        <v>0</v>
      </c>
      <c r="E126" s="118">
        <f>'Filtration System'!E90</f>
        <v>409.66264044932564</v>
      </c>
      <c r="F126" s="118">
        <f>'Filtration System'!F90</f>
        <v>0</v>
      </c>
      <c r="G126" s="118"/>
      <c r="H126" s="118">
        <f>B126/1000*(1000*9.81*Pumps!$B$14+'Parameters and Satisfaction'!$B$27)</f>
        <v>0</v>
      </c>
      <c r="I126" s="118">
        <f>C126/1000*(1000*9.81*Pumps!$B$14+'Parameters and Satisfaction'!$B$27)</f>
        <v>246608.92491468851</v>
      </c>
      <c r="J126" s="118">
        <f>D126/1000*(1000*9.81*Pumps!$B$14+'Parameters and Satisfaction'!$B$27)</f>
        <v>0</v>
      </c>
      <c r="K126" s="118">
        <f>E126/1000*(1000*9.81*Pumps!$B$14+'Parameters and Satisfaction'!$B$27)</f>
        <v>109811.37319447914</v>
      </c>
      <c r="L126" s="118">
        <f>F126/1000*(1000*9.81*Pumps!$B$14+'Parameters and Satisfaction'!$B$27)</f>
        <v>0</v>
      </c>
      <c r="M126" s="118"/>
      <c r="N126" s="118">
        <f>H126/IF('Parameters and Satisfaction'!$C$13="Pump A", 0.7, IF('Parameters and Satisfaction'!$C$13 = "Pump B", 0.72, 0.65))</f>
        <v>0</v>
      </c>
      <c r="O126" s="118">
        <f>I126/IF('Parameters and Satisfaction'!$C$13="Pump A", 0.7, IF('Parameters and Satisfaction'!$C$13 = "Pump B", 0.72, 0.65))</f>
        <v>342512.39571484516</v>
      </c>
      <c r="P126" s="118">
        <f>J126/IF('Parameters and Satisfaction'!$C$13="Pump A", 0.7, IF('Parameters and Satisfaction'!$C$13 = "Pump B", 0.72, 0.65))</f>
        <v>0</v>
      </c>
      <c r="Q126" s="118">
        <f>K126/IF('Parameters and Satisfaction'!$C$13="Pump A", 0.7, IF('Parameters and Satisfaction'!$C$13 = "Pump B", 0.72, 0.65))</f>
        <v>152515.79610344325</v>
      </c>
      <c r="R126" s="118">
        <f>L126/IF('Parameters and Satisfaction'!$C$13="Pump A", 0.7, IF('Parameters and Satisfaction'!$C$13 = "Pump B", 0.72, 0.65))</f>
        <v>0</v>
      </c>
      <c r="S126" s="118"/>
      <c r="T126" s="118">
        <f>N126+$F$47+IF('Parameters and Satisfaction'!$C$19="Ozone", 'Filtration System'!AA90*1000000, 0)</f>
        <v>4687500</v>
      </c>
      <c r="U126" s="118">
        <f>O126+$F$47+IF('Parameters and Satisfaction'!$C$19="Ozone", 'Filtration System'!AB90*1000000, 0)</f>
        <v>5030012.3957148455</v>
      </c>
      <c r="V126" s="118">
        <f>P126+$F$47+IF('Parameters and Satisfaction'!$C$19="Ozone", 'Filtration System'!AC90*1000000, 0)</f>
        <v>4687500</v>
      </c>
      <c r="W126" s="118">
        <f>Q126+$F$47+IF('Parameters and Satisfaction'!$C$19="Ozone", 'Filtration System'!AD90*1000000, 0)</f>
        <v>4840015.796103443</v>
      </c>
      <c r="X126" s="118">
        <f>R126+$F$47+IF('Parameters and Satisfaction'!$C$19="Ozone", 'Filtration System'!AE90*1000000, 0)</f>
        <v>4687500</v>
      </c>
      <c r="Y126" s="118"/>
      <c r="Z126" s="118">
        <f t="shared" si="1"/>
        <v>0.33482142857142855</v>
      </c>
      <c r="AA126" s="118">
        <f t="shared" si="2"/>
        <v>0.35928659969391752</v>
      </c>
      <c r="AB126" s="118">
        <f t="shared" si="3"/>
        <v>0.33482142857142855</v>
      </c>
      <c r="AC126" s="118">
        <f t="shared" si="4"/>
        <v>0.34571541400738881</v>
      </c>
      <c r="AD126" s="118">
        <f t="shared" si="5"/>
        <v>0.33482142857142855</v>
      </c>
      <c r="AE126" s="118"/>
      <c r="AF126" s="118"/>
      <c r="AG126" s="118"/>
      <c r="AK126">
        <f t="shared" si="11"/>
        <v>13708800.000000002</v>
      </c>
      <c r="AL126">
        <f t="shared" si="11"/>
        <v>13708800.000000002</v>
      </c>
      <c r="AM126">
        <f t="shared" si="11"/>
        <v>13708800.000000002</v>
      </c>
      <c r="AN126">
        <f t="shared" si="11"/>
        <v>13708800.000000002</v>
      </c>
      <c r="AO126">
        <f t="shared" si="11"/>
        <v>13708800.000000002</v>
      </c>
    </row>
    <row r="127" spans="1:41">
      <c r="A127" s="185">
        <f>'Water Stuff'!F61</f>
        <v>44618</v>
      </c>
      <c r="B127" s="118">
        <f>'Filtration System'!B91</f>
        <v>160</v>
      </c>
      <c r="C127" s="118">
        <f>'Filtration System'!C91</f>
        <v>1760.0000000000002</v>
      </c>
      <c r="D127" s="118">
        <f>'Filtration System'!D91</f>
        <v>96.868438436413669</v>
      </c>
      <c r="E127" s="118">
        <f>'Filtration System'!E91</f>
        <v>988.0602830673231</v>
      </c>
      <c r="F127" s="118">
        <f>'Filtration System'!F91</f>
        <v>0</v>
      </c>
      <c r="G127" s="118"/>
      <c r="H127" s="118">
        <f>B127/1000*(1000*9.81*Pumps!$B$14+'Parameters and Satisfaction'!$B$27)</f>
        <v>42888.508680815401</v>
      </c>
      <c r="I127" s="118">
        <f>C127/1000*(1000*9.81*Pumps!$B$14+'Parameters and Satisfaction'!$B$27)</f>
        <v>471773.59548896947</v>
      </c>
      <c r="J127" s="118">
        <f>D127/1000*(1000*9.81*Pumps!$B$14+'Parameters and Satisfaction'!$B$27)</f>
        <v>25965.892892357249</v>
      </c>
      <c r="K127" s="118">
        <f>E127/1000*(1000*9.81*Pumps!$B$14+'Parameters and Satisfaction'!$B$27)</f>
        <v>264852.7001718863</v>
      </c>
      <c r="L127" s="118">
        <f>F127/1000*(1000*9.81*Pumps!$B$14+'Parameters and Satisfaction'!$B$27)</f>
        <v>0</v>
      </c>
      <c r="M127" s="118"/>
      <c r="N127" s="118">
        <f>H127/IF('Parameters and Satisfaction'!$C$13="Pump A", 0.7, IF('Parameters and Satisfaction'!$C$13 = "Pump B", 0.72, 0.65))</f>
        <v>59567.373167799167</v>
      </c>
      <c r="O127" s="118">
        <f>I127/IF('Parameters and Satisfaction'!$C$13="Pump A", 0.7, IF('Parameters and Satisfaction'!$C$13 = "Pump B", 0.72, 0.65))</f>
        <v>655241.10484579101</v>
      </c>
      <c r="P127" s="118">
        <f>J127/IF('Parameters and Satisfaction'!$C$13="Pump A", 0.7, IF('Parameters and Satisfaction'!$C$13 = "Pump B", 0.72, 0.65))</f>
        <v>36063.740128273959</v>
      </c>
      <c r="Q127" s="118">
        <f>K127/IF('Parameters and Satisfaction'!$C$13="Pump A", 0.7, IF('Parameters and Satisfaction'!$C$13 = "Pump B", 0.72, 0.65))</f>
        <v>367850.97246095323</v>
      </c>
      <c r="R127" s="118">
        <f>L127/IF('Parameters and Satisfaction'!$C$13="Pump A", 0.7, IF('Parameters and Satisfaction'!$C$13 = "Pump B", 0.72, 0.65))</f>
        <v>0</v>
      </c>
      <c r="S127" s="118"/>
      <c r="T127" s="118">
        <f>N127+$F$47+IF('Parameters and Satisfaction'!$C$19="Ozone", 'Filtration System'!AA91*1000000, 0)</f>
        <v>4747067.3731677989</v>
      </c>
      <c r="U127" s="118">
        <f>O127+$F$47+IF('Parameters and Satisfaction'!$C$19="Ozone", 'Filtration System'!AB91*1000000, 0)</f>
        <v>5342741.1048457911</v>
      </c>
      <c r="V127" s="118">
        <f>P127+$F$47+IF('Parameters and Satisfaction'!$C$19="Ozone", 'Filtration System'!AC91*1000000, 0)</f>
        <v>4723563.7401282741</v>
      </c>
      <c r="W127" s="118">
        <f>Q127+$F$47+IF('Parameters and Satisfaction'!$C$19="Ozone", 'Filtration System'!AD91*1000000, 0)</f>
        <v>5055350.9724609535</v>
      </c>
      <c r="X127" s="118">
        <f>R127+$F$47+IF('Parameters and Satisfaction'!$C$19="Ozone", 'Filtration System'!AE91*1000000, 0)</f>
        <v>4687500</v>
      </c>
      <c r="Y127" s="118"/>
      <c r="Z127" s="118">
        <f t="shared" si="1"/>
        <v>0.33907624094055705</v>
      </c>
      <c r="AA127" s="118">
        <f t="shared" si="2"/>
        <v>0.38162436463184224</v>
      </c>
      <c r="AB127" s="118">
        <f t="shared" si="3"/>
        <v>0.33739741000916246</v>
      </c>
      <c r="AC127" s="118">
        <f t="shared" si="4"/>
        <v>0.36109649803292526</v>
      </c>
      <c r="AD127" s="118">
        <f t="shared" si="5"/>
        <v>0.33482142857142855</v>
      </c>
      <c r="AE127" s="118"/>
      <c r="AF127" s="118"/>
      <c r="AG127" s="118"/>
      <c r="AK127">
        <f t="shared" si="11"/>
        <v>13708800.000000002</v>
      </c>
      <c r="AL127">
        <f t="shared" si="11"/>
        <v>13708800.000000002</v>
      </c>
      <c r="AM127">
        <f t="shared" si="11"/>
        <v>13708800.000000002</v>
      </c>
      <c r="AN127">
        <f t="shared" si="11"/>
        <v>13708800.000000002</v>
      </c>
      <c r="AO127">
        <f t="shared" si="11"/>
        <v>13708800.000000002</v>
      </c>
    </row>
    <row r="128" spans="1:41">
      <c r="A128" s="185">
        <f>'Water Stuff'!F62</f>
        <v>44619</v>
      </c>
      <c r="B128" s="118">
        <f>'Filtration System'!B92</f>
        <v>0</v>
      </c>
      <c r="C128" s="118">
        <f>'Filtration System'!C92</f>
        <v>80</v>
      </c>
      <c r="D128" s="118">
        <f>'Filtration System'!D92</f>
        <v>0</v>
      </c>
      <c r="E128" s="118">
        <f>'Filtration System'!E92</f>
        <v>0</v>
      </c>
      <c r="F128" s="118">
        <f>'Filtration System'!F92</f>
        <v>0</v>
      </c>
      <c r="G128" s="118"/>
      <c r="H128" s="118">
        <f>B128/1000*(1000*9.81*Pumps!$B$14+'Parameters and Satisfaction'!$B$27)</f>
        <v>0</v>
      </c>
      <c r="I128" s="118">
        <f>C128/1000*(1000*9.81*Pumps!$B$14+'Parameters and Satisfaction'!$B$27)</f>
        <v>21444.254340407701</v>
      </c>
      <c r="J128" s="118">
        <f>D128/1000*(1000*9.81*Pumps!$B$14+'Parameters and Satisfaction'!$B$27)</f>
        <v>0</v>
      </c>
      <c r="K128" s="118">
        <f>E128/1000*(1000*9.81*Pumps!$B$14+'Parameters and Satisfaction'!$B$27)</f>
        <v>0</v>
      </c>
      <c r="L128" s="118">
        <f>F128/1000*(1000*9.81*Pumps!$B$14+'Parameters and Satisfaction'!$B$27)</f>
        <v>0</v>
      </c>
      <c r="M128" s="118"/>
      <c r="N128" s="118">
        <f>H128/IF('Parameters and Satisfaction'!$C$13="Pump A", 0.7, IF('Parameters and Satisfaction'!$C$13 = "Pump B", 0.72, 0.65))</f>
        <v>0</v>
      </c>
      <c r="O128" s="118">
        <f>I128/IF('Parameters and Satisfaction'!$C$13="Pump A", 0.7, IF('Parameters and Satisfaction'!$C$13 = "Pump B", 0.72, 0.65))</f>
        <v>29783.686583899584</v>
      </c>
      <c r="P128" s="118">
        <f>J128/IF('Parameters and Satisfaction'!$C$13="Pump A", 0.7, IF('Parameters and Satisfaction'!$C$13 = "Pump B", 0.72, 0.65))</f>
        <v>0</v>
      </c>
      <c r="Q128" s="118">
        <f>K128/IF('Parameters and Satisfaction'!$C$13="Pump A", 0.7, IF('Parameters and Satisfaction'!$C$13 = "Pump B", 0.72, 0.65))</f>
        <v>0</v>
      </c>
      <c r="R128" s="118">
        <f>L128/IF('Parameters and Satisfaction'!$C$13="Pump A", 0.7, IF('Parameters and Satisfaction'!$C$13 = "Pump B", 0.72, 0.65))</f>
        <v>0</v>
      </c>
      <c r="S128" s="118"/>
      <c r="T128" s="118">
        <f>N128+$F$47+IF('Parameters and Satisfaction'!$C$19="Ozone", 'Filtration System'!AA92*1000000, 0)</f>
        <v>4687500</v>
      </c>
      <c r="U128" s="118">
        <f>O128+$F$47+IF('Parameters and Satisfaction'!$C$19="Ozone", 'Filtration System'!AB92*1000000, 0)</f>
        <v>4717283.6865838999</v>
      </c>
      <c r="V128" s="118">
        <f>P128+$F$47+IF('Parameters and Satisfaction'!$C$19="Ozone", 'Filtration System'!AC92*1000000, 0)</f>
        <v>4687500</v>
      </c>
      <c r="W128" s="118">
        <f>Q128+$F$47+IF('Parameters and Satisfaction'!$C$19="Ozone", 'Filtration System'!AD92*1000000, 0)</f>
        <v>4687500</v>
      </c>
      <c r="X128" s="118">
        <f>R128+$F$47+IF('Parameters and Satisfaction'!$C$19="Ozone", 'Filtration System'!AE92*1000000, 0)</f>
        <v>4687500</v>
      </c>
      <c r="Y128" s="118"/>
      <c r="Z128" s="118">
        <f t="shared" si="1"/>
        <v>0.33482142857142855</v>
      </c>
      <c r="AA128" s="118">
        <f t="shared" si="2"/>
        <v>0.33694883475599285</v>
      </c>
      <c r="AB128" s="118">
        <f t="shared" si="3"/>
        <v>0.33482142857142855</v>
      </c>
      <c r="AC128" s="118">
        <f t="shared" si="4"/>
        <v>0.33482142857142855</v>
      </c>
      <c r="AD128" s="118">
        <f t="shared" si="5"/>
        <v>0.33482142857142855</v>
      </c>
      <c r="AE128" s="118"/>
      <c r="AF128" s="118"/>
      <c r="AG128" s="118"/>
      <c r="AK128">
        <f t="shared" si="11"/>
        <v>13708800.000000002</v>
      </c>
      <c r="AL128">
        <f t="shared" si="11"/>
        <v>13708800.000000002</v>
      </c>
      <c r="AM128">
        <f t="shared" si="11"/>
        <v>13708800.000000002</v>
      </c>
      <c r="AN128">
        <f t="shared" si="11"/>
        <v>13708800.000000002</v>
      </c>
      <c r="AO128">
        <f t="shared" si="11"/>
        <v>13708800.000000002</v>
      </c>
    </row>
    <row r="129" spans="1:41">
      <c r="A129" s="185">
        <f>'Water Stuff'!F63</f>
        <v>44620</v>
      </c>
      <c r="B129" s="118">
        <f>'Filtration System'!B93</f>
        <v>80</v>
      </c>
      <c r="C129" s="118">
        <f>'Filtration System'!C93</f>
        <v>0</v>
      </c>
      <c r="D129" s="118">
        <f>'Filtration System'!D93</f>
        <v>1333.9171002621986</v>
      </c>
      <c r="E129" s="118">
        <f>'Filtration System'!E93</f>
        <v>1573.7989985902707</v>
      </c>
      <c r="F129" s="118">
        <f>'Filtration System'!F93</f>
        <v>0</v>
      </c>
      <c r="G129" s="118"/>
      <c r="H129" s="118">
        <f>B129/1000*(1000*9.81*Pumps!$B$14+'Parameters and Satisfaction'!$B$27)</f>
        <v>21444.254340407701</v>
      </c>
      <c r="I129" s="118">
        <f>C129/1000*(1000*9.81*Pumps!$B$14+'Parameters and Satisfaction'!$B$27)</f>
        <v>0</v>
      </c>
      <c r="J129" s="118">
        <f>D129/1000*(1000*9.81*Pumps!$B$14+'Parameters and Satisfaction'!$B$27)</f>
        <v>357560.71958802128</v>
      </c>
      <c r="K129" s="118">
        <f>E129/1000*(1000*9.81*Pumps!$B$14+'Parameters and Satisfaction'!$B$27)</f>
        <v>421861.82508060877</v>
      </c>
      <c r="L129" s="118">
        <f>F129/1000*(1000*9.81*Pumps!$B$14+'Parameters and Satisfaction'!$B$27)</f>
        <v>0</v>
      </c>
      <c r="M129" s="118"/>
      <c r="N129" s="118">
        <f>H129/IF('Parameters and Satisfaction'!$C$13="Pump A", 0.7, IF('Parameters and Satisfaction'!$C$13 = "Pump B", 0.72, 0.65))</f>
        <v>29783.686583899584</v>
      </c>
      <c r="O129" s="118">
        <f>I129/IF('Parameters and Satisfaction'!$C$13="Pump A", 0.7, IF('Parameters and Satisfaction'!$C$13 = "Pump B", 0.72, 0.65))</f>
        <v>0</v>
      </c>
      <c r="P129" s="118">
        <f>J129/IF('Parameters and Satisfaction'!$C$13="Pump A", 0.7, IF('Parameters and Satisfaction'!$C$13 = "Pump B", 0.72, 0.65))</f>
        <v>496612.11053891847</v>
      </c>
      <c r="Q129" s="118">
        <f>K129/IF('Parameters and Satisfaction'!$C$13="Pump A", 0.7, IF('Parameters and Satisfaction'!$C$13 = "Pump B", 0.72, 0.65))</f>
        <v>585919.20150084549</v>
      </c>
      <c r="R129" s="118">
        <f>L129/IF('Parameters and Satisfaction'!$C$13="Pump A", 0.7, IF('Parameters and Satisfaction'!$C$13 = "Pump B", 0.72, 0.65))</f>
        <v>0</v>
      </c>
      <c r="S129" s="118"/>
      <c r="T129" s="118">
        <f>N129+$F$47+IF('Parameters and Satisfaction'!$C$19="Ozone", 'Filtration System'!AA93*1000000, 0)</f>
        <v>4717283.6865838999</v>
      </c>
      <c r="U129" s="118">
        <f>O129+$F$47+IF('Parameters and Satisfaction'!$C$19="Ozone", 'Filtration System'!AB93*1000000, 0)</f>
        <v>4687500</v>
      </c>
      <c r="V129" s="118">
        <f>P129+$F$47+IF('Parameters and Satisfaction'!$C$19="Ozone", 'Filtration System'!AC93*1000000, 0)</f>
        <v>5184112.1105389185</v>
      </c>
      <c r="W129" s="118">
        <f>Q129+$F$47+IF('Parameters and Satisfaction'!$C$19="Ozone", 'Filtration System'!AD93*1000000, 0)</f>
        <v>5273419.2015008451</v>
      </c>
      <c r="X129" s="118">
        <f>R129+$F$47+IF('Parameters and Satisfaction'!$C$19="Ozone", 'Filtration System'!AE93*1000000, 0)</f>
        <v>4687500</v>
      </c>
      <c r="Y129" s="118"/>
      <c r="Z129" s="118">
        <f t="shared" si="1"/>
        <v>0.33694883475599285</v>
      </c>
      <c r="AA129" s="118">
        <f t="shared" si="2"/>
        <v>0.33482142857142855</v>
      </c>
      <c r="AB129" s="118">
        <f t="shared" si="3"/>
        <v>0.37029372218135131</v>
      </c>
      <c r="AC129" s="118">
        <f t="shared" si="4"/>
        <v>0.37667280010720322</v>
      </c>
      <c r="AD129" s="118">
        <f t="shared" si="5"/>
        <v>0.33482142857142855</v>
      </c>
      <c r="AE129" s="118"/>
      <c r="AF129" s="118"/>
      <c r="AG129" s="118"/>
      <c r="AK129">
        <f t="shared" si="11"/>
        <v>13708800.000000002</v>
      </c>
      <c r="AL129">
        <f t="shared" si="11"/>
        <v>13708800.000000002</v>
      </c>
      <c r="AM129">
        <f t="shared" si="11"/>
        <v>13708800.000000002</v>
      </c>
      <c r="AN129">
        <f t="shared" si="11"/>
        <v>13708800.000000002</v>
      </c>
      <c r="AO129">
        <f t="shared" si="11"/>
        <v>13708800.000000002</v>
      </c>
    </row>
    <row r="130" spans="1:41">
      <c r="A130" s="185">
        <f>'Water Stuff'!F64</f>
        <v>44621</v>
      </c>
      <c r="B130" s="118">
        <f>'Filtration System'!B94</f>
        <v>400</v>
      </c>
      <c r="C130" s="118">
        <f>'Filtration System'!C94</f>
        <v>240</v>
      </c>
      <c r="D130" s="118">
        <f>'Filtration System'!D94</f>
        <v>315.21266171202899</v>
      </c>
      <c r="E130" s="118">
        <f>'Filtration System'!E94</f>
        <v>856.48563614603802</v>
      </c>
      <c r="F130" s="118">
        <f>'Filtration System'!F94</f>
        <v>0</v>
      </c>
      <c r="G130" s="118"/>
      <c r="H130" s="118">
        <f>B130/1000*(1000*9.81*Pumps!$B$14+'Parameters and Satisfaction'!$B$27)</f>
        <v>107221.2717020385</v>
      </c>
      <c r="I130" s="118">
        <f>C130/1000*(1000*9.81*Pumps!$B$14+'Parameters and Satisfaction'!$B$27)</f>
        <v>64332.763021223094</v>
      </c>
      <c r="J130" s="118">
        <f>D130/1000*(1000*9.81*Pumps!$B$14+'Parameters and Satisfaction'!$B$27)</f>
        <v>84493.756113370517</v>
      </c>
      <c r="K130" s="118">
        <f>E130/1000*(1000*9.81*Pumps!$B$14+'Parameters and Satisfaction'!$B$27)</f>
        <v>229583.69775526907</v>
      </c>
      <c r="L130" s="118">
        <f>F130/1000*(1000*9.81*Pumps!$B$14+'Parameters and Satisfaction'!$B$27)</f>
        <v>0</v>
      </c>
      <c r="M130" s="118"/>
      <c r="N130" s="118">
        <f>H130/IF('Parameters and Satisfaction'!$C$13="Pump A", 0.7, IF('Parameters and Satisfaction'!$C$13 = "Pump B", 0.72, 0.65))</f>
        <v>148918.43291949792</v>
      </c>
      <c r="O130" s="118">
        <f>I130/IF('Parameters and Satisfaction'!$C$13="Pump A", 0.7, IF('Parameters and Satisfaction'!$C$13 = "Pump B", 0.72, 0.65))</f>
        <v>89351.059751698747</v>
      </c>
      <c r="P130" s="118">
        <f>J130/IF('Parameters and Satisfaction'!$C$13="Pump A", 0.7, IF('Parameters and Satisfaction'!$C$13 = "Pump B", 0.72, 0.65))</f>
        <v>117352.43904634795</v>
      </c>
      <c r="Q130" s="118">
        <f>K130/IF('Parameters and Satisfaction'!$C$13="Pump A", 0.7, IF('Parameters and Satisfaction'!$C$13 = "Pump B", 0.72, 0.65))</f>
        <v>318866.24688231817</v>
      </c>
      <c r="R130" s="118">
        <f>L130/IF('Parameters and Satisfaction'!$C$13="Pump A", 0.7, IF('Parameters and Satisfaction'!$C$13 = "Pump B", 0.72, 0.65))</f>
        <v>0</v>
      </c>
      <c r="S130" s="118"/>
      <c r="T130" s="118">
        <f>N130+$F$47+IF('Parameters and Satisfaction'!$C$19="Ozone", 'Filtration System'!AA94*1000000, 0)</f>
        <v>4836418.4329194976</v>
      </c>
      <c r="U130" s="118">
        <f>O130+$F$47+IF('Parameters and Satisfaction'!$C$19="Ozone", 'Filtration System'!AB94*1000000, 0)</f>
        <v>4776851.0597516987</v>
      </c>
      <c r="V130" s="118">
        <f>P130+$F$47+IF('Parameters and Satisfaction'!$C$19="Ozone", 'Filtration System'!AC94*1000000, 0)</f>
        <v>4804852.4390463475</v>
      </c>
      <c r="W130" s="118">
        <f>Q130+$F$47+IF('Parameters and Satisfaction'!$C$19="Ozone", 'Filtration System'!AD94*1000000, 0)</f>
        <v>5006366.2468823185</v>
      </c>
      <c r="X130" s="118">
        <f>R130+$F$47+IF('Parameters and Satisfaction'!$C$19="Ozone", 'Filtration System'!AE94*1000000, 0)</f>
        <v>4687500</v>
      </c>
      <c r="Y130" s="118"/>
      <c r="Z130" s="118">
        <f t="shared" si="1"/>
        <v>0.3454584594942498</v>
      </c>
      <c r="AA130" s="118">
        <f t="shared" si="2"/>
        <v>0.34120364712512136</v>
      </c>
      <c r="AB130" s="118">
        <f t="shared" si="3"/>
        <v>0.34320374564616768</v>
      </c>
      <c r="AC130" s="118">
        <f t="shared" si="4"/>
        <v>0.35759758906302275</v>
      </c>
      <c r="AD130" s="118">
        <f t="shared" si="5"/>
        <v>0.33482142857142855</v>
      </c>
      <c r="AE130" s="118"/>
      <c r="AF130" s="118"/>
      <c r="AG130" s="118"/>
      <c r="AK130">
        <f t="shared" ref="AK130:AO139" si="12">$D$57</f>
        <v>16450560.000000002</v>
      </c>
      <c r="AL130">
        <f t="shared" si="12"/>
        <v>16450560.000000002</v>
      </c>
      <c r="AM130">
        <f t="shared" si="12"/>
        <v>16450560.000000002</v>
      </c>
      <c r="AN130">
        <f t="shared" si="12"/>
        <v>16450560.000000002</v>
      </c>
      <c r="AO130">
        <f t="shared" si="12"/>
        <v>16450560.000000002</v>
      </c>
    </row>
    <row r="131" spans="1:41">
      <c r="A131" s="185">
        <f>'Water Stuff'!F65</f>
        <v>44622</v>
      </c>
      <c r="B131" s="118">
        <f>'Filtration System'!B95</f>
        <v>3800</v>
      </c>
      <c r="C131" s="118">
        <f>'Filtration System'!C95</f>
        <v>0</v>
      </c>
      <c r="D131" s="118">
        <f>'Filtration System'!D95</f>
        <v>698.64928479637138</v>
      </c>
      <c r="E131" s="118">
        <f>'Filtration System'!E95</f>
        <v>1538.7030473780294</v>
      </c>
      <c r="F131" s="118">
        <f>'Filtration System'!F95</f>
        <v>0</v>
      </c>
      <c r="G131" s="118"/>
      <c r="H131" s="118">
        <f>B131/1000*(1000*9.81*Pumps!$B$14+'Parameters and Satisfaction'!$B$27)</f>
        <v>1018602.0811693657</v>
      </c>
      <c r="I131" s="118">
        <f>C131/1000*(1000*9.81*Pumps!$B$14+'Parameters and Satisfaction'!$B$27)</f>
        <v>0</v>
      </c>
      <c r="J131" s="118">
        <f>D131/1000*(1000*9.81*Pumps!$B$14+'Parameters and Satisfaction'!$B$27)</f>
        <v>187275.16197396652</v>
      </c>
      <c r="K131" s="118">
        <f>E131/1000*(1000*9.81*Pumps!$B$14+'Parameters and Satisfaction'!$B$27)</f>
        <v>412454.24377918575</v>
      </c>
      <c r="L131" s="118">
        <f>F131/1000*(1000*9.81*Pumps!$B$14+'Parameters and Satisfaction'!$B$27)</f>
        <v>0</v>
      </c>
      <c r="M131" s="118"/>
      <c r="N131" s="118">
        <f>H131/IF('Parameters and Satisfaction'!$C$13="Pump A", 0.7, IF('Parameters and Satisfaction'!$C$13 = "Pump B", 0.72, 0.65))</f>
        <v>1414725.1127352302</v>
      </c>
      <c r="O131" s="118">
        <f>I131/IF('Parameters and Satisfaction'!$C$13="Pump A", 0.7, IF('Parameters and Satisfaction'!$C$13 = "Pump B", 0.72, 0.65))</f>
        <v>0</v>
      </c>
      <c r="P131" s="118">
        <f>J131/IF('Parameters and Satisfaction'!$C$13="Pump A", 0.7, IF('Parameters and Satisfaction'!$C$13 = "Pump B", 0.72, 0.65))</f>
        <v>260104.39163050905</v>
      </c>
      <c r="Q131" s="118">
        <f>K131/IF('Parameters and Satisfaction'!$C$13="Pump A", 0.7, IF('Parameters and Satisfaction'!$C$13 = "Pump B", 0.72, 0.65))</f>
        <v>572853.11635998019</v>
      </c>
      <c r="R131" s="118">
        <f>L131/IF('Parameters and Satisfaction'!$C$13="Pump A", 0.7, IF('Parameters and Satisfaction'!$C$13 = "Pump B", 0.72, 0.65))</f>
        <v>0</v>
      </c>
      <c r="S131" s="118"/>
      <c r="T131" s="118">
        <f>N131+$F$47+IF('Parameters and Satisfaction'!$C$19="Ozone", 'Filtration System'!AA95*1000000, 0)</f>
        <v>6102225.1127352305</v>
      </c>
      <c r="U131" s="118">
        <f>O131+$F$47+IF('Parameters and Satisfaction'!$C$19="Ozone", 'Filtration System'!AB95*1000000, 0)</f>
        <v>4687500</v>
      </c>
      <c r="V131" s="118">
        <f>P131+$F$47+IF('Parameters and Satisfaction'!$C$19="Ozone", 'Filtration System'!AC95*1000000, 0)</f>
        <v>4947604.3916305089</v>
      </c>
      <c r="W131" s="118">
        <f>Q131+$F$47+IF('Parameters and Satisfaction'!$C$19="Ozone", 'Filtration System'!AD95*1000000, 0)</f>
        <v>5260353.1163599798</v>
      </c>
      <c r="X131" s="118">
        <f>R131+$F$47+IF('Parameters and Satisfaction'!$C$19="Ozone", 'Filtration System'!AE95*1000000, 0)</f>
        <v>4687500</v>
      </c>
      <c r="Y131" s="118"/>
      <c r="Z131" s="118">
        <f t="shared" si="1"/>
        <v>0.43587322233823073</v>
      </c>
      <c r="AA131" s="118">
        <f t="shared" si="2"/>
        <v>0.33482142857142855</v>
      </c>
      <c r="AB131" s="118">
        <f t="shared" si="3"/>
        <v>0.35340031368789349</v>
      </c>
      <c r="AC131" s="118">
        <f t="shared" si="4"/>
        <v>0.37573950831142711</v>
      </c>
      <c r="AD131" s="118">
        <f t="shared" si="5"/>
        <v>0.33482142857142855</v>
      </c>
      <c r="AE131" s="118"/>
      <c r="AF131" s="118"/>
      <c r="AG131" s="118"/>
      <c r="AK131">
        <f t="shared" si="12"/>
        <v>16450560.000000002</v>
      </c>
      <c r="AL131">
        <f t="shared" si="12"/>
        <v>16450560.000000002</v>
      </c>
      <c r="AM131">
        <f t="shared" si="12"/>
        <v>16450560.000000002</v>
      </c>
      <c r="AN131">
        <f t="shared" si="12"/>
        <v>16450560.000000002</v>
      </c>
      <c r="AO131">
        <f t="shared" si="12"/>
        <v>16450560.000000002</v>
      </c>
    </row>
    <row r="132" spans="1:41">
      <c r="A132" s="185">
        <f>'Water Stuff'!F66</f>
        <v>44623</v>
      </c>
      <c r="B132" s="118">
        <f>'Filtration System'!B96</f>
        <v>200</v>
      </c>
      <c r="C132" s="118">
        <f>'Filtration System'!C96</f>
        <v>0</v>
      </c>
      <c r="D132" s="118">
        <f>'Filtration System'!D96</f>
        <v>1942.8041514065605</v>
      </c>
      <c r="E132" s="118">
        <f>'Filtration System'!E96</f>
        <v>0</v>
      </c>
      <c r="F132" s="118">
        <f>'Filtration System'!F96</f>
        <v>760.55866521532141</v>
      </c>
      <c r="G132" s="118"/>
      <c r="H132" s="118">
        <f>B132/1000*(1000*9.81*Pumps!$B$14+'Parameters and Satisfaction'!$B$27)</f>
        <v>53610.635851019251</v>
      </c>
      <c r="I132" s="118">
        <f>C132/1000*(1000*9.81*Pumps!$B$14+'Parameters and Satisfaction'!$B$27)</f>
        <v>0</v>
      </c>
      <c r="J132" s="118">
        <f>D132/1000*(1000*9.81*Pumps!$B$14+'Parameters and Satisfaction'!$B$27)</f>
        <v>520774.82945452794</v>
      </c>
      <c r="K132" s="118">
        <f>E132/1000*(1000*9.81*Pumps!$B$14+'Parameters and Satisfaction'!$B$27)</f>
        <v>0</v>
      </c>
      <c r="L132" s="118">
        <f>F132/1000*(1000*9.81*Pumps!$B$14+'Parameters and Satisfaction'!$B$27)</f>
        <v>203870.16822097928</v>
      </c>
      <c r="M132" s="118"/>
      <c r="N132" s="118">
        <f>H132/IF('Parameters and Satisfaction'!$C$13="Pump A", 0.7, IF('Parameters and Satisfaction'!$C$13 = "Pump B", 0.72, 0.65))</f>
        <v>74459.216459748961</v>
      </c>
      <c r="O132" s="118">
        <f>I132/IF('Parameters and Satisfaction'!$C$13="Pump A", 0.7, IF('Parameters and Satisfaction'!$C$13 = "Pump B", 0.72, 0.65))</f>
        <v>0</v>
      </c>
      <c r="P132" s="118">
        <f>J132/IF('Parameters and Satisfaction'!$C$13="Pump A", 0.7, IF('Parameters and Satisfaction'!$C$13 = "Pump B", 0.72, 0.65))</f>
        <v>723298.37424239994</v>
      </c>
      <c r="Q132" s="118">
        <f>K132/IF('Parameters and Satisfaction'!$C$13="Pump A", 0.7, IF('Parameters and Satisfaction'!$C$13 = "Pump B", 0.72, 0.65))</f>
        <v>0</v>
      </c>
      <c r="R132" s="118">
        <f>L132/IF('Parameters and Satisfaction'!$C$13="Pump A", 0.7, IF('Parameters and Satisfaction'!$C$13 = "Pump B", 0.72, 0.65))</f>
        <v>283153.01141802681</v>
      </c>
      <c r="S132" s="118"/>
      <c r="T132" s="118">
        <f>N132+$F$47+IF('Parameters and Satisfaction'!$C$19="Ozone", 'Filtration System'!AA96*1000000, 0)</f>
        <v>4761959.2164597493</v>
      </c>
      <c r="U132" s="118">
        <f>O132+$F$47+IF('Parameters and Satisfaction'!$C$19="Ozone", 'Filtration System'!AB96*1000000, 0)</f>
        <v>4687500</v>
      </c>
      <c r="V132" s="118">
        <f>P132+$F$47+IF('Parameters and Satisfaction'!$C$19="Ozone", 'Filtration System'!AC96*1000000, 0)</f>
        <v>5410798.3742423998</v>
      </c>
      <c r="W132" s="118">
        <f>Q132+$F$47+IF('Parameters and Satisfaction'!$C$19="Ozone", 'Filtration System'!AD96*1000000, 0)</f>
        <v>4687500</v>
      </c>
      <c r="X132" s="118">
        <f>R132+$F$47+IF('Parameters and Satisfaction'!$C$19="Ozone", 'Filtration System'!AE96*1000000, 0)</f>
        <v>4970653.0114180269</v>
      </c>
      <c r="Y132" s="118"/>
      <c r="Z132" s="118">
        <f t="shared" si="1"/>
        <v>0.34013994403283926</v>
      </c>
      <c r="AA132" s="118">
        <f t="shared" si="2"/>
        <v>0.33482142857142855</v>
      </c>
      <c r="AB132" s="118">
        <f t="shared" si="3"/>
        <v>0.38648559816017142</v>
      </c>
      <c r="AC132" s="118">
        <f t="shared" si="4"/>
        <v>0.33482142857142855</v>
      </c>
      <c r="AD132" s="118">
        <f t="shared" si="5"/>
        <v>0.35504664367271621</v>
      </c>
      <c r="AE132" s="118"/>
      <c r="AF132" s="118"/>
      <c r="AG132" s="118"/>
      <c r="AK132">
        <f t="shared" si="12"/>
        <v>16450560.000000002</v>
      </c>
      <c r="AL132">
        <f t="shared" si="12"/>
        <v>16450560.000000002</v>
      </c>
      <c r="AM132">
        <f t="shared" si="12"/>
        <v>16450560.000000002</v>
      </c>
      <c r="AN132">
        <f t="shared" si="12"/>
        <v>16450560.000000002</v>
      </c>
      <c r="AO132">
        <f t="shared" si="12"/>
        <v>16450560.000000002</v>
      </c>
    </row>
    <row r="133" spans="1:41">
      <c r="A133" s="185">
        <f>'Water Stuff'!F67</f>
        <v>44624</v>
      </c>
      <c r="B133" s="118">
        <f>'Filtration System'!B97</f>
        <v>480</v>
      </c>
      <c r="C133" s="118">
        <f>'Filtration System'!C97</f>
        <v>80</v>
      </c>
      <c r="D133" s="118">
        <f>'Filtration System'!D97</f>
        <v>918.25253711287371</v>
      </c>
      <c r="E133" s="118">
        <f>'Filtration System'!E97</f>
        <v>1396.9149364792072</v>
      </c>
      <c r="F133" s="118">
        <f>'Filtration System'!F97</f>
        <v>1212.7152206713206</v>
      </c>
      <c r="G133" s="118"/>
      <c r="H133" s="118">
        <f>B133/1000*(1000*9.81*Pumps!$B$14+'Parameters and Satisfaction'!$B$27)</f>
        <v>128665.52604244619</v>
      </c>
      <c r="I133" s="118">
        <f>C133/1000*(1000*9.81*Pumps!$B$14+'Parameters and Satisfaction'!$B$27)</f>
        <v>21444.254340407701</v>
      </c>
      <c r="J133" s="118">
        <f>D133/1000*(1000*9.81*Pumps!$B$14+'Parameters and Satisfaction'!$B$27)</f>
        <v>246140.51193216405</v>
      </c>
      <c r="K133" s="118">
        <f>E133/1000*(1000*9.81*Pumps!$B$14+'Parameters and Satisfaction'!$B$27)</f>
        <v>374447.48987218231</v>
      </c>
      <c r="L133" s="118">
        <f>F133/1000*(1000*9.81*Pumps!$B$14+'Parameters and Satisfaction'!$B$27)</f>
        <v>325072.17043199309</v>
      </c>
      <c r="M133" s="118"/>
      <c r="N133" s="118">
        <f>H133/IF('Parameters and Satisfaction'!$C$13="Pump A", 0.7, IF('Parameters and Satisfaction'!$C$13 = "Pump B", 0.72, 0.65))</f>
        <v>178702.11950339749</v>
      </c>
      <c r="O133" s="118">
        <f>I133/IF('Parameters and Satisfaction'!$C$13="Pump A", 0.7, IF('Parameters and Satisfaction'!$C$13 = "Pump B", 0.72, 0.65))</f>
        <v>29783.686583899584</v>
      </c>
      <c r="P133" s="118">
        <f>J133/IF('Parameters and Satisfaction'!$C$13="Pump A", 0.7, IF('Parameters and Satisfaction'!$C$13 = "Pump B", 0.72, 0.65))</f>
        <v>341861.82212800562</v>
      </c>
      <c r="Q133" s="118">
        <f>K133/IF('Parameters and Satisfaction'!$C$13="Pump A", 0.7, IF('Parameters and Satisfaction'!$C$13 = "Pump B", 0.72, 0.65))</f>
        <v>520065.9581558088</v>
      </c>
      <c r="R133" s="118">
        <f>L133/IF('Parameters and Satisfaction'!$C$13="Pump A", 0.7, IF('Parameters and Satisfaction'!$C$13 = "Pump B", 0.72, 0.65))</f>
        <v>451489.12559999042</v>
      </c>
      <c r="S133" s="118"/>
      <c r="T133" s="118">
        <f>N133+$F$47+IF('Parameters and Satisfaction'!$C$19="Ozone", 'Filtration System'!AA97*1000000, 0)</f>
        <v>4866202.1195033975</v>
      </c>
      <c r="U133" s="118">
        <f>O133+$F$47+IF('Parameters and Satisfaction'!$C$19="Ozone", 'Filtration System'!AB97*1000000, 0)</f>
        <v>4717283.6865838999</v>
      </c>
      <c r="V133" s="118">
        <f>P133+$F$47+IF('Parameters and Satisfaction'!$C$19="Ozone", 'Filtration System'!AC97*1000000, 0)</f>
        <v>5029361.8221280053</v>
      </c>
      <c r="W133" s="118">
        <f>Q133+$F$47+IF('Parameters and Satisfaction'!$C$19="Ozone", 'Filtration System'!AD97*1000000, 0)</f>
        <v>5207565.958155809</v>
      </c>
      <c r="X133" s="118">
        <f>R133+$F$47+IF('Parameters and Satisfaction'!$C$19="Ozone", 'Filtration System'!AE97*1000000, 0)</f>
        <v>5138989.1255999906</v>
      </c>
      <c r="Y133" s="118"/>
      <c r="Z133" s="118">
        <f t="shared" si="1"/>
        <v>0.34758586567881411</v>
      </c>
      <c r="AA133" s="118">
        <f t="shared" si="2"/>
        <v>0.33694883475599285</v>
      </c>
      <c r="AB133" s="118">
        <f t="shared" si="3"/>
        <v>0.3592401301520004</v>
      </c>
      <c r="AC133" s="118">
        <f t="shared" si="4"/>
        <v>0.37196899701112923</v>
      </c>
      <c r="AD133" s="118">
        <f t="shared" si="5"/>
        <v>0.36707065182857074</v>
      </c>
      <c r="AE133" s="118"/>
      <c r="AF133" s="118"/>
      <c r="AG133" s="118"/>
      <c r="AK133">
        <f t="shared" si="12"/>
        <v>16450560.000000002</v>
      </c>
      <c r="AL133">
        <f t="shared" si="12"/>
        <v>16450560.000000002</v>
      </c>
      <c r="AM133">
        <f t="shared" si="12"/>
        <v>16450560.000000002</v>
      </c>
      <c r="AN133">
        <f t="shared" si="12"/>
        <v>16450560.000000002</v>
      </c>
      <c r="AO133">
        <f t="shared" si="12"/>
        <v>16450560.000000002</v>
      </c>
    </row>
    <row r="134" spans="1:41">
      <c r="A134" s="185">
        <f>'Water Stuff'!F68</f>
        <v>44625</v>
      </c>
      <c r="B134" s="118">
        <f>'Filtration System'!B98</f>
        <v>4760</v>
      </c>
      <c r="C134" s="118">
        <f>'Filtration System'!C98</f>
        <v>360</v>
      </c>
      <c r="D134" s="118">
        <f>'Filtration System'!D98</f>
        <v>1994.9554878762647</v>
      </c>
      <c r="E134" s="118">
        <f>'Filtration System'!E98</f>
        <v>0</v>
      </c>
      <c r="F134" s="118">
        <f>'Filtration System'!F98</f>
        <v>2200.3885448747001</v>
      </c>
      <c r="G134" s="118"/>
      <c r="H134" s="118">
        <f>B134/1000*(1000*9.81*Pumps!$B$14+'Parameters and Satisfaction'!$B$27)</f>
        <v>1275933.133254258</v>
      </c>
      <c r="I134" s="118">
        <f>C134/1000*(1000*9.81*Pumps!$B$14+'Parameters and Satisfaction'!$B$27)</f>
        <v>96499.144531834638</v>
      </c>
      <c r="J134" s="118">
        <f>D134/1000*(1000*9.81*Pumps!$B$14+'Parameters and Satisfaction'!$B$27)</f>
        <v>534754.1609976344</v>
      </c>
      <c r="K134" s="118">
        <f>E134/1000*(1000*9.81*Pumps!$B$14+'Parameters and Satisfaction'!$B$27)</f>
        <v>0</v>
      </c>
      <c r="L134" s="118">
        <f>F134/1000*(1000*9.81*Pumps!$B$14+'Parameters and Satisfaction'!$B$27)</f>
        <v>589821.14505015837</v>
      </c>
      <c r="M134" s="118"/>
      <c r="N134" s="118">
        <f>H134/IF('Parameters and Satisfaction'!$C$13="Pump A", 0.7, IF('Parameters and Satisfaction'!$C$13 = "Pump B", 0.72, 0.65))</f>
        <v>1772129.351742025</v>
      </c>
      <c r="O134" s="118">
        <f>I134/IF('Parameters and Satisfaction'!$C$13="Pump A", 0.7, IF('Parameters and Satisfaction'!$C$13 = "Pump B", 0.72, 0.65))</f>
        <v>134026.58962754812</v>
      </c>
      <c r="P134" s="118">
        <f>J134/IF('Parameters and Satisfaction'!$C$13="Pump A", 0.7, IF('Parameters and Satisfaction'!$C$13 = "Pump B", 0.72, 0.65))</f>
        <v>742714.11249671446</v>
      </c>
      <c r="Q134" s="118">
        <f>K134/IF('Parameters and Satisfaction'!$C$13="Pump A", 0.7, IF('Parameters and Satisfaction'!$C$13 = "Pump B", 0.72, 0.65))</f>
        <v>0</v>
      </c>
      <c r="R134" s="118">
        <f>L134/IF('Parameters and Satisfaction'!$C$13="Pump A", 0.7, IF('Parameters and Satisfaction'!$C$13 = "Pump B", 0.72, 0.65))</f>
        <v>819196.03479188669</v>
      </c>
      <c r="S134" s="118"/>
      <c r="T134" s="118">
        <f>N134+$F$47+IF('Parameters and Satisfaction'!$C$19="Ozone", 'Filtration System'!AA98*1000000, 0)</f>
        <v>6459629.3517420255</v>
      </c>
      <c r="U134" s="118">
        <f>O134+$F$47+IF('Parameters and Satisfaction'!$C$19="Ozone", 'Filtration System'!AB98*1000000, 0)</f>
        <v>4821526.5896275481</v>
      </c>
      <c r="V134" s="118">
        <f>P134+$F$47+IF('Parameters and Satisfaction'!$C$19="Ozone", 'Filtration System'!AC98*1000000, 0)</f>
        <v>5430214.1124967141</v>
      </c>
      <c r="W134" s="118">
        <f>Q134+$F$47+IF('Parameters and Satisfaction'!$C$19="Ozone", 'Filtration System'!AD98*1000000, 0)</f>
        <v>4687500</v>
      </c>
      <c r="X134" s="118">
        <f>R134+$F$47+IF('Parameters and Satisfaction'!$C$19="Ozone", 'Filtration System'!AE98*1000000, 0)</f>
        <v>5506696.0347918868</v>
      </c>
      <c r="Y134" s="118"/>
      <c r="Z134" s="118">
        <f t="shared" si="1"/>
        <v>0.46140209655300179</v>
      </c>
      <c r="AA134" s="118">
        <f t="shared" si="2"/>
        <v>0.34439475640196771</v>
      </c>
      <c r="AB134" s="118">
        <f t="shared" si="3"/>
        <v>0.38787243660690818</v>
      </c>
      <c r="AC134" s="118">
        <f t="shared" si="4"/>
        <v>0.33482142857142855</v>
      </c>
      <c r="AD134" s="118">
        <f t="shared" si="5"/>
        <v>0.39333543105656332</v>
      </c>
      <c r="AE134" s="118"/>
      <c r="AF134" s="118"/>
      <c r="AG134" s="118"/>
      <c r="AK134">
        <f t="shared" si="12"/>
        <v>16450560.000000002</v>
      </c>
      <c r="AL134">
        <f t="shared" si="12"/>
        <v>16450560.000000002</v>
      </c>
      <c r="AM134">
        <f t="shared" si="12"/>
        <v>16450560.000000002</v>
      </c>
      <c r="AN134">
        <f t="shared" si="12"/>
        <v>16450560.000000002</v>
      </c>
      <c r="AO134">
        <f t="shared" si="12"/>
        <v>16450560.000000002</v>
      </c>
    </row>
    <row r="135" spans="1:41">
      <c r="A135" s="185">
        <f>'Water Stuff'!F69</f>
        <v>44626</v>
      </c>
      <c r="B135" s="118">
        <f>'Filtration System'!B99</f>
        <v>1720</v>
      </c>
      <c r="C135" s="118">
        <f>'Filtration System'!C99</f>
        <v>160</v>
      </c>
      <c r="D135" s="118">
        <f>'Filtration System'!D99</f>
        <v>1893.8001248615517</v>
      </c>
      <c r="E135" s="118">
        <f>'Filtration System'!E99</f>
        <v>0</v>
      </c>
      <c r="F135" s="118">
        <f>'Filtration System'!F99</f>
        <v>0</v>
      </c>
      <c r="G135" s="118"/>
      <c r="H135" s="118">
        <f>B135/1000*(1000*9.81*Pumps!$B$14+'Parameters and Satisfaction'!$B$27)</f>
        <v>461051.46831876552</v>
      </c>
      <c r="I135" s="118">
        <f>C135/1000*(1000*9.81*Pumps!$B$14+'Parameters and Satisfaction'!$B$27)</f>
        <v>42888.508680815401</v>
      </c>
      <c r="J135" s="118">
        <f>D135/1000*(1000*9.81*Pumps!$B$14+'Parameters and Satisfaction'!$B$27)</f>
        <v>507639.14434283716</v>
      </c>
      <c r="K135" s="118">
        <f>E135/1000*(1000*9.81*Pumps!$B$14+'Parameters and Satisfaction'!$B$27)</f>
        <v>0</v>
      </c>
      <c r="L135" s="118">
        <f>F135/1000*(1000*9.81*Pumps!$B$14+'Parameters and Satisfaction'!$B$27)</f>
        <v>0</v>
      </c>
      <c r="M135" s="118"/>
      <c r="N135" s="118">
        <f>H135/IF('Parameters and Satisfaction'!$C$13="Pump A", 0.7, IF('Parameters and Satisfaction'!$C$13 = "Pump B", 0.72, 0.65))</f>
        <v>640349.26155384106</v>
      </c>
      <c r="O135" s="118">
        <f>I135/IF('Parameters and Satisfaction'!$C$13="Pump A", 0.7, IF('Parameters and Satisfaction'!$C$13 = "Pump B", 0.72, 0.65))</f>
        <v>59567.373167799167</v>
      </c>
      <c r="P135" s="118">
        <f>J135/IF('Parameters and Satisfaction'!$C$13="Pump A", 0.7, IF('Parameters and Satisfaction'!$C$13 = "Pump B", 0.72, 0.65))</f>
        <v>705054.36714282946</v>
      </c>
      <c r="Q135" s="118">
        <f>K135/IF('Parameters and Satisfaction'!$C$13="Pump A", 0.7, IF('Parameters and Satisfaction'!$C$13 = "Pump B", 0.72, 0.65))</f>
        <v>0</v>
      </c>
      <c r="R135" s="118">
        <f>L135/IF('Parameters and Satisfaction'!$C$13="Pump A", 0.7, IF('Parameters and Satisfaction'!$C$13 = "Pump B", 0.72, 0.65))</f>
        <v>0</v>
      </c>
      <c r="S135" s="118"/>
      <c r="T135" s="118">
        <f>N135+$F$47+IF('Parameters and Satisfaction'!$C$19="Ozone", 'Filtration System'!AA99*1000000, 0)</f>
        <v>5327849.2615538407</v>
      </c>
      <c r="U135" s="118">
        <f>O135+$F$47+IF('Parameters and Satisfaction'!$C$19="Ozone", 'Filtration System'!AB99*1000000, 0)</f>
        <v>4747067.3731677989</v>
      </c>
      <c r="V135" s="118">
        <f>P135+$F$47+IF('Parameters and Satisfaction'!$C$19="Ozone", 'Filtration System'!AC99*1000000, 0)</f>
        <v>5392554.3671428291</v>
      </c>
      <c r="W135" s="118">
        <f>Q135+$F$47+IF('Parameters and Satisfaction'!$C$19="Ozone", 'Filtration System'!AD99*1000000, 0)</f>
        <v>4687500</v>
      </c>
      <c r="X135" s="118">
        <f>R135+$F$47+IF('Parameters and Satisfaction'!$C$19="Ozone", 'Filtration System'!AE99*1000000, 0)</f>
        <v>4687500</v>
      </c>
      <c r="Y135" s="118"/>
      <c r="Z135" s="118">
        <f t="shared" ref="Z135:Z198" si="13">T135/(40000000*0.35)</f>
        <v>0.38056066153956003</v>
      </c>
      <c r="AA135" s="118">
        <f t="shared" ref="AA135:AA198" si="14">U135/(40000000*0.35)</f>
        <v>0.33907624094055705</v>
      </c>
      <c r="AB135" s="118">
        <f t="shared" ref="AB135:AB198" si="15">V135/(40000000*0.35)</f>
        <v>0.38518245479591634</v>
      </c>
      <c r="AC135" s="118">
        <f t="shared" ref="AC135:AC198" si="16">W135/(40000000*0.35)</f>
        <v>0.33482142857142855</v>
      </c>
      <c r="AD135" s="118">
        <f t="shared" ref="AD135:AD198" si="17">X135/(40000000*0.35)</f>
        <v>0.33482142857142855</v>
      </c>
      <c r="AE135" s="118"/>
      <c r="AF135" s="118"/>
      <c r="AG135" s="118"/>
      <c r="AK135">
        <f t="shared" si="12"/>
        <v>16450560.000000002</v>
      </c>
      <c r="AL135">
        <f t="shared" si="12"/>
        <v>16450560.000000002</v>
      </c>
      <c r="AM135">
        <f t="shared" si="12"/>
        <v>16450560.000000002</v>
      </c>
      <c r="AN135">
        <f t="shared" si="12"/>
        <v>16450560.000000002</v>
      </c>
      <c r="AO135">
        <f t="shared" si="12"/>
        <v>16450560.000000002</v>
      </c>
    </row>
    <row r="136" spans="1:41">
      <c r="A136" s="185">
        <f>'Water Stuff'!F70</f>
        <v>44627</v>
      </c>
      <c r="B136" s="118">
        <f>'Filtration System'!B100</f>
        <v>6800</v>
      </c>
      <c r="C136" s="118">
        <f>'Filtration System'!C100</f>
        <v>0</v>
      </c>
      <c r="D136" s="118">
        <f>'Filtration System'!D100</f>
        <v>5678.8189383824401</v>
      </c>
      <c r="E136" s="118">
        <f>'Filtration System'!E100</f>
        <v>0</v>
      </c>
      <c r="F136" s="118">
        <f>'Filtration System'!F100</f>
        <v>5961.6819729859581</v>
      </c>
      <c r="G136" s="118"/>
      <c r="H136" s="118">
        <f>B136/1000*(1000*9.81*Pumps!$B$14+'Parameters and Satisfaction'!$B$27)</f>
        <v>1822761.6189346544</v>
      </c>
      <c r="I136" s="118">
        <f>C136/1000*(1000*9.81*Pumps!$B$14+'Parameters and Satisfaction'!$B$27)</f>
        <v>0</v>
      </c>
      <c r="J136" s="118">
        <f>D136/1000*(1000*9.81*Pumps!$B$14+'Parameters and Satisfaction'!$B$27)</f>
        <v>1522225.4708474635</v>
      </c>
      <c r="K136" s="118">
        <f>E136/1000*(1000*9.81*Pumps!$B$14+'Parameters and Satisfaction'!$B$27)</f>
        <v>0</v>
      </c>
      <c r="L136" s="118">
        <f>F136/1000*(1000*9.81*Pumps!$B$14+'Parameters and Satisfaction'!$B$27)</f>
        <v>1598047.8065666808</v>
      </c>
      <c r="M136" s="118"/>
      <c r="N136" s="118">
        <f>H136/IF('Parameters and Satisfaction'!$C$13="Pump A", 0.7, IF('Parameters and Satisfaction'!$C$13 = "Pump B", 0.72, 0.65))</f>
        <v>2531613.3596314644</v>
      </c>
      <c r="O136" s="118">
        <f>I136/IF('Parameters and Satisfaction'!$C$13="Pump A", 0.7, IF('Parameters and Satisfaction'!$C$13 = "Pump B", 0.72, 0.65))</f>
        <v>0</v>
      </c>
      <c r="P136" s="118">
        <f>J136/IF('Parameters and Satisfaction'!$C$13="Pump A", 0.7, IF('Parameters and Satisfaction'!$C$13 = "Pump B", 0.72, 0.65))</f>
        <v>2114202.0428436995</v>
      </c>
      <c r="Q136" s="118">
        <f>K136/IF('Parameters and Satisfaction'!$C$13="Pump A", 0.7, IF('Parameters and Satisfaction'!$C$13 = "Pump B", 0.72, 0.65))</f>
        <v>0</v>
      </c>
      <c r="R136" s="118">
        <f>L136/IF('Parameters and Satisfaction'!$C$13="Pump A", 0.7, IF('Parameters and Satisfaction'!$C$13 = "Pump B", 0.72, 0.65))</f>
        <v>2219510.8424537233</v>
      </c>
      <c r="S136" s="118"/>
      <c r="T136" s="118">
        <f>N136+$F$47+IF('Parameters and Satisfaction'!$C$19="Ozone", 'Filtration System'!AA100*1000000, 0)</f>
        <v>7219113.3596314639</v>
      </c>
      <c r="U136" s="118">
        <f>O136+$F$47+IF('Parameters and Satisfaction'!$C$19="Ozone", 'Filtration System'!AB100*1000000, 0)</f>
        <v>4687500</v>
      </c>
      <c r="V136" s="118">
        <f>P136+$F$47+IF('Parameters and Satisfaction'!$C$19="Ozone", 'Filtration System'!AC100*1000000, 0)</f>
        <v>6801702.0428436995</v>
      </c>
      <c r="W136" s="118">
        <f>Q136+$F$47+IF('Parameters and Satisfaction'!$C$19="Ozone", 'Filtration System'!AD100*1000000, 0)</f>
        <v>4687500</v>
      </c>
      <c r="X136" s="118">
        <f>R136+$F$47+IF('Parameters and Satisfaction'!$C$19="Ozone", 'Filtration System'!AE100*1000000, 0)</f>
        <v>6907010.8424537238</v>
      </c>
      <c r="Y136" s="118"/>
      <c r="Z136" s="118">
        <f t="shared" si="13"/>
        <v>0.51565095425939023</v>
      </c>
      <c r="AA136" s="118">
        <f t="shared" si="14"/>
        <v>0.33482142857142855</v>
      </c>
      <c r="AB136" s="118">
        <f t="shared" si="15"/>
        <v>0.48583586020312142</v>
      </c>
      <c r="AC136" s="118">
        <f t="shared" si="16"/>
        <v>0.33482142857142855</v>
      </c>
      <c r="AD136" s="118">
        <f t="shared" si="17"/>
        <v>0.49335791731812312</v>
      </c>
      <c r="AE136" s="118"/>
      <c r="AF136" s="118"/>
      <c r="AG136" s="118"/>
      <c r="AK136">
        <f t="shared" si="12"/>
        <v>16450560.000000002</v>
      </c>
      <c r="AL136">
        <f t="shared" si="12"/>
        <v>16450560.000000002</v>
      </c>
      <c r="AM136">
        <f t="shared" si="12"/>
        <v>16450560.000000002</v>
      </c>
      <c r="AN136">
        <f t="shared" si="12"/>
        <v>16450560.000000002</v>
      </c>
      <c r="AO136">
        <f t="shared" si="12"/>
        <v>16450560.000000002</v>
      </c>
    </row>
    <row r="137" spans="1:41">
      <c r="A137" s="185">
        <f>'Water Stuff'!F71</f>
        <v>44628</v>
      </c>
      <c r="B137" s="118">
        <f>'Filtration System'!B101</f>
        <v>10000</v>
      </c>
      <c r="C137" s="118">
        <f>'Filtration System'!C101</f>
        <v>80</v>
      </c>
      <c r="D137" s="118">
        <f>'Filtration System'!D101</f>
        <v>9579.7864597540738</v>
      </c>
      <c r="E137" s="118">
        <f>'Filtration System'!E101</f>
        <v>0</v>
      </c>
      <c r="F137" s="118">
        <f>'Filtration System'!F101</f>
        <v>9041.591905705136</v>
      </c>
      <c r="G137" s="118"/>
      <c r="H137" s="118">
        <f>B137/1000*(1000*9.81*Pumps!$B$14+'Parameters and Satisfaction'!$B$27)</f>
        <v>2680531.7925509624</v>
      </c>
      <c r="I137" s="118">
        <f>C137/1000*(1000*9.81*Pumps!$B$14+'Parameters and Satisfaction'!$B$27)</f>
        <v>21444.254340407701</v>
      </c>
      <c r="J137" s="118">
        <f>D137/1000*(1000*9.81*Pumps!$B$14+'Parameters and Satisfaction'!$B$27)</f>
        <v>2567892.2171220025</v>
      </c>
      <c r="K137" s="118">
        <f>E137/1000*(1000*9.81*Pumps!$B$14+'Parameters and Satisfaction'!$B$27)</f>
        <v>0</v>
      </c>
      <c r="L137" s="118">
        <f>F137/1000*(1000*9.81*Pumps!$B$14+'Parameters and Satisfaction'!$B$27)</f>
        <v>2423627.4558514063</v>
      </c>
      <c r="M137" s="118"/>
      <c r="N137" s="118">
        <f>H137/IF('Parameters and Satisfaction'!$C$13="Pump A", 0.7, IF('Parameters and Satisfaction'!$C$13 = "Pump B", 0.72, 0.65))</f>
        <v>3722960.822987448</v>
      </c>
      <c r="O137" s="118">
        <f>I137/IF('Parameters and Satisfaction'!$C$13="Pump A", 0.7, IF('Parameters and Satisfaction'!$C$13 = "Pump B", 0.72, 0.65))</f>
        <v>29783.686583899584</v>
      </c>
      <c r="P137" s="118">
        <f>J137/IF('Parameters and Satisfaction'!$C$13="Pump A", 0.7, IF('Parameters and Satisfaction'!$C$13 = "Pump B", 0.72, 0.65))</f>
        <v>3566516.9682250037</v>
      </c>
      <c r="Q137" s="118">
        <f>K137/IF('Parameters and Satisfaction'!$C$13="Pump A", 0.7, IF('Parameters and Satisfaction'!$C$13 = "Pump B", 0.72, 0.65))</f>
        <v>0</v>
      </c>
      <c r="R137" s="118">
        <f>L137/IF('Parameters and Satisfaction'!$C$13="Pump A", 0.7, IF('Parameters and Satisfaction'!$C$13 = "Pump B", 0.72, 0.65))</f>
        <v>3366149.2442380646</v>
      </c>
      <c r="S137" s="118"/>
      <c r="T137" s="118">
        <f>N137+$F$47+IF('Parameters and Satisfaction'!$C$19="Ozone", 'Filtration System'!AA101*1000000, 0)</f>
        <v>8410460.8229874484</v>
      </c>
      <c r="U137" s="118">
        <f>O137+$F$47+IF('Parameters and Satisfaction'!$C$19="Ozone", 'Filtration System'!AB101*1000000, 0)</f>
        <v>4717283.6865838999</v>
      </c>
      <c r="V137" s="118">
        <f>P137+$F$47+IF('Parameters and Satisfaction'!$C$19="Ozone", 'Filtration System'!AC101*1000000, 0)</f>
        <v>8254016.9682250042</v>
      </c>
      <c r="W137" s="118">
        <f>Q137+$F$47+IF('Parameters and Satisfaction'!$C$19="Ozone", 'Filtration System'!AD101*1000000, 0)</f>
        <v>4687500</v>
      </c>
      <c r="X137" s="118">
        <f>R137+$F$47+IF('Parameters and Satisfaction'!$C$19="Ozone", 'Filtration System'!AE101*1000000, 0)</f>
        <v>8053649.2442380646</v>
      </c>
      <c r="Y137" s="118"/>
      <c r="Z137" s="118">
        <f t="shared" si="13"/>
        <v>0.6007472016419606</v>
      </c>
      <c r="AA137" s="118">
        <f t="shared" si="14"/>
        <v>0.33694883475599285</v>
      </c>
      <c r="AB137" s="118">
        <f t="shared" si="15"/>
        <v>0.58957264058750025</v>
      </c>
      <c r="AC137" s="118">
        <f t="shared" si="16"/>
        <v>0.33482142857142855</v>
      </c>
      <c r="AD137" s="118">
        <f t="shared" si="17"/>
        <v>0.57526066030271894</v>
      </c>
      <c r="AE137" s="118"/>
      <c r="AF137" s="118"/>
      <c r="AG137" s="118"/>
      <c r="AK137">
        <f t="shared" si="12"/>
        <v>16450560.000000002</v>
      </c>
      <c r="AL137">
        <f t="shared" si="12"/>
        <v>16450560.000000002</v>
      </c>
      <c r="AM137">
        <f t="shared" si="12"/>
        <v>16450560.000000002</v>
      </c>
      <c r="AN137">
        <f t="shared" si="12"/>
        <v>16450560.000000002</v>
      </c>
      <c r="AO137">
        <f t="shared" si="12"/>
        <v>16450560.000000002</v>
      </c>
    </row>
    <row r="138" spans="1:41">
      <c r="A138" s="185">
        <f>'Water Stuff'!F72</f>
        <v>44629</v>
      </c>
      <c r="B138" s="118">
        <f>'Filtration System'!B102</f>
        <v>2120</v>
      </c>
      <c r="C138" s="118">
        <f>'Filtration System'!C102</f>
        <v>80</v>
      </c>
      <c r="D138" s="118">
        <f>'Filtration System'!D102</f>
        <v>1264.051076579593</v>
      </c>
      <c r="E138" s="118">
        <f>'Filtration System'!E102</f>
        <v>1704.2605804528312</v>
      </c>
      <c r="F138" s="118">
        <f>'Filtration System'!F102</f>
        <v>904.89655388987535</v>
      </c>
      <c r="G138" s="118"/>
      <c r="H138" s="118">
        <f>B138/1000*(1000*9.81*Pumps!$B$14+'Parameters and Satisfaction'!$B$27)</f>
        <v>568272.74002080411</v>
      </c>
      <c r="I138" s="118">
        <f>C138/1000*(1000*9.81*Pumps!$B$14+'Parameters and Satisfaction'!$B$27)</f>
        <v>21444.254340407701</v>
      </c>
      <c r="J138" s="118">
        <f>D138/1000*(1000*9.81*Pumps!$B$14+'Parameters and Satisfaction'!$B$27)</f>
        <v>338832.90981798701</v>
      </c>
      <c r="K138" s="118">
        <f>E138/1000*(1000*9.81*Pumps!$B$14+'Parameters and Satisfaction'!$B$27)</f>
        <v>456832.46686951717</v>
      </c>
      <c r="L138" s="118">
        <f>F138/1000*(1000*9.81*Pumps!$B$14+'Parameters and Satisfaction'!$B$27)</f>
        <v>242560.39816716162</v>
      </c>
      <c r="M138" s="118"/>
      <c r="N138" s="118">
        <f>H138/IF('Parameters and Satisfaction'!$C$13="Pump A", 0.7, IF('Parameters and Satisfaction'!$C$13 = "Pump B", 0.72, 0.65))</f>
        <v>789267.69447333901</v>
      </c>
      <c r="O138" s="118">
        <f>I138/IF('Parameters and Satisfaction'!$C$13="Pump A", 0.7, IF('Parameters and Satisfaction'!$C$13 = "Pump B", 0.72, 0.65))</f>
        <v>29783.686583899584</v>
      </c>
      <c r="P138" s="118">
        <f>J138/IF('Parameters and Satisfaction'!$C$13="Pump A", 0.7, IF('Parameters and Satisfaction'!$C$13 = "Pump B", 0.72, 0.65))</f>
        <v>470601.26363609306</v>
      </c>
      <c r="Q138" s="118">
        <f>K138/IF('Parameters and Satisfaction'!$C$13="Pump A", 0.7, IF('Parameters and Satisfaction'!$C$13 = "Pump B", 0.72, 0.65))</f>
        <v>634489.53731877392</v>
      </c>
      <c r="R138" s="118">
        <f>L138/IF('Parameters and Satisfaction'!$C$13="Pump A", 0.7, IF('Parameters and Satisfaction'!$C$13 = "Pump B", 0.72, 0.65))</f>
        <v>336889.44189883559</v>
      </c>
      <c r="S138" s="118"/>
      <c r="T138" s="118">
        <f>N138+$F$47+IF('Parameters and Satisfaction'!$C$19="Ozone", 'Filtration System'!AA102*1000000, 0)</f>
        <v>5476767.6944733392</v>
      </c>
      <c r="U138" s="118">
        <f>O138+$F$47+IF('Parameters and Satisfaction'!$C$19="Ozone", 'Filtration System'!AB102*1000000, 0)</f>
        <v>4717283.6865838999</v>
      </c>
      <c r="V138" s="118">
        <f>P138+$F$47+IF('Parameters and Satisfaction'!$C$19="Ozone", 'Filtration System'!AC102*1000000, 0)</f>
        <v>5158101.2636360927</v>
      </c>
      <c r="W138" s="118">
        <f>Q138+$F$47+IF('Parameters and Satisfaction'!$C$19="Ozone", 'Filtration System'!AD102*1000000, 0)</f>
        <v>5321989.5373187736</v>
      </c>
      <c r="X138" s="118">
        <f>R138+$F$47+IF('Parameters and Satisfaction'!$C$19="Ozone", 'Filtration System'!AE102*1000000, 0)</f>
        <v>5024389.4418988358</v>
      </c>
      <c r="Y138" s="118"/>
      <c r="Z138" s="118">
        <f t="shared" si="13"/>
        <v>0.3911976924623814</v>
      </c>
      <c r="AA138" s="118">
        <f t="shared" si="14"/>
        <v>0.33694883475599285</v>
      </c>
      <c r="AB138" s="118">
        <f t="shared" si="15"/>
        <v>0.36843580454543517</v>
      </c>
      <c r="AC138" s="118">
        <f t="shared" si="16"/>
        <v>0.38014210980848384</v>
      </c>
      <c r="AD138" s="118">
        <f t="shared" si="17"/>
        <v>0.35888496013563115</v>
      </c>
      <c r="AE138" s="118"/>
      <c r="AF138" s="118"/>
      <c r="AG138" s="118"/>
      <c r="AK138">
        <f t="shared" si="12"/>
        <v>16450560.000000002</v>
      </c>
      <c r="AL138">
        <f t="shared" si="12"/>
        <v>16450560.000000002</v>
      </c>
      <c r="AM138">
        <f t="shared" si="12"/>
        <v>16450560.000000002</v>
      </c>
      <c r="AN138">
        <f t="shared" si="12"/>
        <v>16450560.000000002</v>
      </c>
      <c r="AO138">
        <f t="shared" si="12"/>
        <v>16450560.000000002</v>
      </c>
    </row>
    <row r="139" spans="1:41">
      <c r="A139" s="185">
        <f>'Water Stuff'!F73</f>
        <v>44630</v>
      </c>
      <c r="B139" s="118">
        <f>'Filtration System'!B103</f>
        <v>480</v>
      </c>
      <c r="C139" s="118">
        <f>'Filtration System'!C103</f>
        <v>560</v>
      </c>
      <c r="D139" s="118">
        <f>'Filtration System'!D103</f>
        <v>1894.2641939288947</v>
      </c>
      <c r="E139" s="118">
        <f>'Filtration System'!E103</f>
        <v>0</v>
      </c>
      <c r="F139" s="118">
        <f>'Filtration System'!F103</f>
        <v>2062.2243020110018</v>
      </c>
      <c r="G139" s="118"/>
      <c r="H139" s="118">
        <f>B139/1000*(1000*9.81*Pumps!$B$14+'Parameters and Satisfaction'!$B$27)</f>
        <v>128665.52604244619</v>
      </c>
      <c r="I139" s="118">
        <f>C139/1000*(1000*9.81*Pumps!$B$14+'Parameters and Satisfaction'!$B$27)</f>
        <v>150109.7803828539</v>
      </c>
      <c r="J139" s="118">
        <f>D139/1000*(1000*9.81*Pumps!$B$14+'Parameters and Satisfaction'!$B$27)</f>
        <v>507763.53953173239</v>
      </c>
      <c r="K139" s="118">
        <f>E139/1000*(1000*9.81*Pumps!$B$14+'Parameters and Satisfaction'!$B$27)</f>
        <v>0</v>
      </c>
      <c r="L139" s="118">
        <f>F139/1000*(1000*9.81*Pumps!$B$14+'Parameters and Satisfaction'!$B$27)</f>
        <v>552785.78049117071</v>
      </c>
      <c r="M139" s="118"/>
      <c r="N139" s="118">
        <f>H139/IF('Parameters and Satisfaction'!$C$13="Pump A", 0.7, IF('Parameters and Satisfaction'!$C$13 = "Pump B", 0.72, 0.65))</f>
        <v>178702.11950339749</v>
      </c>
      <c r="O139" s="118">
        <f>I139/IF('Parameters and Satisfaction'!$C$13="Pump A", 0.7, IF('Parameters and Satisfaction'!$C$13 = "Pump B", 0.72, 0.65))</f>
        <v>208485.8060872971</v>
      </c>
      <c r="P139" s="118">
        <f>J139/IF('Parameters and Satisfaction'!$C$13="Pump A", 0.7, IF('Parameters and Satisfaction'!$C$13 = "Pump B", 0.72, 0.65))</f>
        <v>705227.13823851722</v>
      </c>
      <c r="Q139" s="118">
        <f>K139/IF('Parameters and Satisfaction'!$C$13="Pump A", 0.7, IF('Parameters and Satisfaction'!$C$13 = "Pump B", 0.72, 0.65))</f>
        <v>0</v>
      </c>
      <c r="R139" s="118">
        <f>L139/IF('Parameters and Satisfaction'!$C$13="Pump A", 0.7, IF('Parameters and Satisfaction'!$C$13 = "Pump B", 0.72, 0.65))</f>
        <v>767758.02845995931</v>
      </c>
      <c r="S139" s="118"/>
      <c r="T139" s="118">
        <f>N139+$F$47+IF('Parameters and Satisfaction'!$C$19="Ozone", 'Filtration System'!AA103*1000000, 0)</f>
        <v>4866202.1195033975</v>
      </c>
      <c r="U139" s="118">
        <f>O139+$F$47+IF('Parameters and Satisfaction'!$C$19="Ozone", 'Filtration System'!AB103*1000000, 0)</f>
        <v>4895985.8060872974</v>
      </c>
      <c r="V139" s="118">
        <f>P139+$F$47+IF('Parameters and Satisfaction'!$C$19="Ozone", 'Filtration System'!AC103*1000000, 0)</f>
        <v>5392727.1382385176</v>
      </c>
      <c r="W139" s="118">
        <f>Q139+$F$47+IF('Parameters and Satisfaction'!$C$19="Ozone", 'Filtration System'!AD103*1000000, 0)</f>
        <v>4687500</v>
      </c>
      <c r="X139" s="118">
        <f>R139+$F$47+IF('Parameters and Satisfaction'!$C$19="Ozone", 'Filtration System'!AE103*1000000, 0)</f>
        <v>5455258.0284599597</v>
      </c>
      <c r="Y139" s="118"/>
      <c r="Z139" s="118">
        <f t="shared" si="13"/>
        <v>0.34758586567881411</v>
      </c>
      <c r="AA139" s="118">
        <f t="shared" si="14"/>
        <v>0.34971327186337836</v>
      </c>
      <c r="AB139" s="118">
        <f t="shared" si="15"/>
        <v>0.38519479558846553</v>
      </c>
      <c r="AC139" s="118">
        <f t="shared" si="16"/>
        <v>0.33482142857142855</v>
      </c>
      <c r="AD139" s="118">
        <f t="shared" si="17"/>
        <v>0.38966128774713998</v>
      </c>
      <c r="AE139" s="118"/>
      <c r="AF139" s="118"/>
      <c r="AG139" s="118"/>
      <c r="AK139">
        <f t="shared" si="12"/>
        <v>16450560.000000002</v>
      </c>
      <c r="AL139">
        <f t="shared" si="12"/>
        <v>16450560.000000002</v>
      </c>
      <c r="AM139">
        <f t="shared" si="12"/>
        <v>16450560.000000002</v>
      </c>
      <c r="AN139">
        <f t="shared" si="12"/>
        <v>16450560.000000002</v>
      </c>
      <c r="AO139">
        <f t="shared" si="12"/>
        <v>16450560.000000002</v>
      </c>
    </row>
    <row r="140" spans="1:41">
      <c r="A140" s="185">
        <f>'Water Stuff'!F74</f>
        <v>44631</v>
      </c>
      <c r="B140" s="118">
        <f>'Filtration System'!B104</f>
        <v>0</v>
      </c>
      <c r="C140" s="118">
        <f>'Filtration System'!C104</f>
        <v>2720</v>
      </c>
      <c r="D140" s="118">
        <f>'Filtration System'!D104</f>
        <v>0</v>
      </c>
      <c r="E140" s="118">
        <f>'Filtration System'!E104</f>
        <v>2167.5779945992922</v>
      </c>
      <c r="F140" s="118">
        <f>'Filtration System'!F104</f>
        <v>0</v>
      </c>
      <c r="G140" s="118"/>
      <c r="H140" s="118">
        <f>B140/1000*(1000*9.81*Pumps!$B$14+'Parameters and Satisfaction'!$B$27)</f>
        <v>0</v>
      </c>
      <c r="I140" s="118">
        <f>C140/1000*(1000*9.81*Pumps!$B$14+'Parameters and Satisfaction'!$B$27)</f>
        <v>729104.64757386188</v>
      </c>
      <c r="J140" s="118">
        <f>D140/1000*(1000*9.81*Pumps!$B$14+'Parameters and Satisfaction'!$B$27)</f>
        <v>0</v>
      </c>
      <c r="K140" s="118">
        <f>E140/1000*(1000*9.81*Pumps!$B$14+'Parameters and Satisfaction'!$B$27)</f>
        <v>581026.17273572611</v>
      </c>
      <c r="L140" s="118">
        <f>F140/1000*(1000*9.81*Pumps!$B$14+'Parameters and Satisfaction'!$B$27)</f>
        <v>0</v>
      </c>
      <c r="M140" s="118"/>
      <c r="N140" s="118">
        <f>H140/IF('Parameters and Satisfaction'!$C$13="Pump A", 0.7, IF('Parameters and Satisfaction'!$C$13 = "Pump B", 0.72, 0.65))</f>
        <v>0</v>
      </c>
      <c r="O140" s="118">
        <f>I140/IF('Parameters and Satisfaction'!$C$13="Pump A", 0.7, IF('Parameters and Satisfaction'!$C$13 = "Pump B", 0.72, 0.65))</f>
        <v>1012645.343852586</v>
      </c>
      <c r="P140" s="118">
        <f>J140/IF('Parameters and Satisfaction'!$C$13="Pump A", 0.7, IF('Parameters and Satisfaction'!$C$13 = "Pump B", 0.72, 0.65))</f>
        <v>0</v>
      </c>
      <c r="Q140" s="118">
        <f>K140/IF('Parameters and Satisfaction'!$C$13="Pump A", 0.7, IF('Parameters and Satisfaction'!$C$13 = "Pump B", 0.72, 0.65))</f>
        <v>806980.79546628625</v>
      </c>
      <c r="R140" s="118">
        <f>L140/IF('Parameters and Satisfaction'!$C$13="Pump A", 0.7, IF('Parameters and Satisfaction'!$C$13 = "Pump B", 0.72, 0.65))</f>
        <v>0</v>
      </c>
      <c r="S140" s="118"/>
      <c r="T140" s="118">
        <f>N140+$F$47+IF('Parameters and Satisfaction'!$C$19="Ozone", 'Filtration System'!AA104*1000000, 0)</f>
        <v>4687500</v>
      </c>
      <c r="U140" s="118">
        <f>O140+$F$47+IF('Parameters and Satisfaction'!$C$19="Ozone", 'Filtration System'!AB104*1000000, 0)</f>
        <v>5700145.3438525861</v>
      </c>
      <c r="V140" s="118">
        <f>P140+$F$47+IF('Parameters and Satisfaction'!$C$19="Ozone", 'Filtration System'!AC104*1000000, 0)</f>
        <v>4687500</v>
      </c>
      <c r="W140" s="118">
        <f>Q140+$F$47+IF('Parameters and Satisfaction'!$C$19="Ozone", 'Filtration System'!AD104*1000000, 0)</f>
        <v>5494480.7954662861</v>
      </c>
      <c r="X140" s="118">
        <f>R140+$F$47+IF('Parameters and Satisfaction'!$C$19="Ozone", 'Filtration System'!AE104*1000000, 0)</f>
        <v>4687500</v>
      </c>
      <c r="Y140" s="118"/>
      <c r="Z140" s="118">
        <f t="shared" si="13"/>
        <v>0.33482142857142855</v>
      </c>
      <c r="AA140" s="118">
        <f t="shared" si="14"/>
        <v>0.40715323884661331</v>
      </c>
      <c r="AB140" s="118">
        <f t="shared" si="15"/>
        <v>0.33482142857142855</v>
      </c>
      <c r="AC140" s="118">
        <f t="shared" si="16"/>
        <v>0.3924629139618776</v>
      </c>
      <c r="AD140" s="118">
        <f t="shared" si="17"/>
        <v>0.33482142857142855</v>
      </c>
      <c r="AE140" s="118"/>
      <c r="AF140" s="118"/>
      <c r="AG140" s="118"/>
      <c r="AK140">
        <f t="shared" ref="AK140:AO149" si="18">$D$57</f>
        <v>16450560.000000002</v>
      </c>
      <c r="AL140">
        <f t="shared" si="18"/>
        <v>16450560.000000002</v>
      </c>
      <c r="AM140">
        <f t="shared" si="18"/>
        <v>16450560.000000002</v>
      </c>
      <c r="AN140">
        <f t="shared" si="18"/>
        <v>16450560.000000002</v>
      </c>
      <c r="AO140">
        <f t="shared" si="18"/>
        <v>16450560.000000002</v>
      </c>
    </row>
    <row r="141" spans="1:41">
      <c r="A141" s="185">
        <f>'Water Stuff'!F75</f>
        <v>44632</v>
      </c>
      <c r="B141" s="118">
        <f>'Filtration System'!B105</f>
        <v>560</v>
      </c>
      <c r="C141" s="118">
        <f>'Filtration System'!C105</f>
        <v>1720</v>
      </c>
      <c r="D141" s="118">
        <f>'Filtration System'!D105</f>
        <v>0</v>
      </c>
      <c r="E141" s="118">
        <f>'Filtration System'!E105</f>
        <v>0</v>
      </c>
      <c r="F141" s="118">
        <f>'Filtration System'!F105</f>
        <v>114.55986407956419</v>
      </c>
      <c r="G141" s="118"/>
      <c r="H141" s="118">
        <f>B141/1000*(1000*9.81*Pumps!$B$14+'Parameters and Satisfaction'!$B$27)</f>
        <v>150109.7803828539</v>
      </c>
      <c r="I141" s="118">
        <f>C141/1000*(1000*9.81*Pumps!$B$14+'Parameters and Satisfaction'!$B$27)</f>
        <v>461051.46831876552</v>
      </c>
      <c r="J141" s="118">
        <f>D141/1000*(1000*9.81*Pumps!$B$14+'Parameters and Satisfaction'!$B$27)</f>
        <v>0</v>
      </c>
      <c r="K141" s="118">
        <f>E141/1000*(1000*9.81*Pumps!$B$14+'Parameters and Satisfaction'!$B$27)</f>
        <v>0</v>
      </c>
      <c r="L141" s="118">
        <f>F141/1000*(1000*9.81*Pumps!$B$14+'Parameters and Satisfaction'!$B$27)</f>
        <v>30708.135781558878</v>
      </c>
      <c r="M141" s="118"/>
      <c r="N141" s="118">
        <f>H141/IF('Parameters and Satisfaction'!$C$13="Pump A", 0.7, IF('Parameters and Satisfaction'!$C$13 = "Pump B", 0.72, 0.65))</f>
        <v>208485.8060872971</v>
      </c>
      <c r="O141" s="118">
        <f>I141/IF('Parameters and Satisfaction'!$C$13="Pump A", 0.7, IF('Parameters and Satisfaction'!$C$13 = "Pump B", 0.72, 0.65))</f>
        <v>640349.26155384106</v>
      </c>
      <c r="P141" s="118">
        <f>J141/IF('Parameters and Satisfaction'!$C$13="Pump A", 0.7, IF('Parameters and Satisfaction'!$C$13 = "Pump B", 0.72, 0.65))</f>
        <v>0</v>
      </c>
      <c r="Q141" s="118">
        <f>K141/IF('Parameters and Satisfaction'!$C$13="Pump A", 0.7, IF('Parameters and Satisfaction'!$C$13 = "Pump B", 0.72, 0.65))</f>
        <v>0</v>
      </c>
      <c r="R141" s="118">
        <f>L141/IF('Parameters and Satisfaction'!$C$13="Pump A", 0.7, IF('Parameters and Satisfaction'!$C$13 = "Pump B", 0.72, 0.65))</f>
        <v>42650.188585498443</v>
      </c>
      <c r="S141" s="118"/>
      <c r="T141" s="118">
        <f>N141+$F$47+IF('Parameters and Satisfaction'!$C$19="Ozone", 'Filtration System'!AA105*1000000, 0)</f>
        <v>4895985.8060872974</v>
      </c>
      <c r="U141" s="118">
        <f>O141+$F$47+IF('Parameters and Satisfaction'!$C$19="Ozone", 'Filtration System'!AB105*1000000, 0)</f>
        <v>5327849.2615538407</v>
      </c>
      <c r="V141" s="118">
        <f>P141+$F$47+IF('Parameters and Satisfaction'!$C$19="Ozone", 'Filtration System'!AC105*1000000, 0)</f>
        <v>4687500</v>
      </c>
      <c r="W141" s="118">
        <f>Q141+$F$47+IF('Parameters and Satisfaction'!$C$19="Ozone", 'Filtration System'!AD105*1000000, 0)</f>
        <v>4687500</v>
      </c>
      <c r="X141" s="118">
        <f>R141+$F$47+IF('Parameters and Satisfaction'!$C$19="Ozone", 'Filtration System'!AE105*1000000, 0)</f>
        <v>4730150.1885854984</v>
      </c>
      <c r="Y141" s="118"/>
      <c r="Z141" s="118">
        <f t="shared" si="13"/>
        <v>0.34971327186337836</v>
      </c>
      <c r="AA141" s="118">
        <f t="shared" si="14"/>
        <v>0.38056066153956003</v>
      </c>
      <c r="AB141" s="118">
        <f t="shared" si="15"/>
        <v>0.33482142857142855</v>
      </c>
      <c r="AC141" s="118">
        <f t="shared" si="16"/>
        <v>0.33482142857142855</v>
      </c>
      <c r="AD141" s="118">
        <f t="shared" si="17"/>
        <v>0.33786787061324991</v>
      </c>
      <c r="AE141" s="118"/>
      <c r="AF141" s="118"/>
      <c r="AG141" s="118"/>
      <c r="AK141">
        <f t="shared" si="18"/>
        <v>16450560.000000002</v>
      </c>
      <c r="AL141">
        <f t="shared" si="18"/>
        <v>16450560.000000002</v>
      </c>
      <c r="AM141">
        <f t="shared" si="18"/>
        <v>16450560.000000002</v>
      </c>
      <c r="AN141">
        <f t="shared" si="18"/>
        <v>16450560.000000002</v>
      </c>
      <c r="AO141">
        <f t="shared" si="18"/>
        <v>16450560.000000002</v>
      </c>
    </row>
    <row r="142" spans="1:41">
      <c r="A142" s="185">
        <f>'Water Stuff'!F76</f>
        <v>44633</v>
      </c>
      <c r="B142" s="118">
        <f>'Filtration System'!B106</f>
        <v>4040</v>
      </c>
      <c r="C142" s="118">
        <f>'Filtration System'!C106</f>
        <v>3479.9999999999995</v>
      </c>
      <c r="D142" s="118">
        <f>'Filtration System'!D106</f>
        <v>4088.6348146146138</v>
      </c>
      <c r="E142" s="118">
        <f>'Filtration System'!E106</f>
        <v>1367.5848147356412</v>
      </c>
      <c r="F142" s="118">
        <f>'Filtration System'!F106</f>
        <v>1010.4368655488424</v>
      </c>
      <c r="G142" s="118"/>
      <c r="H142" s="118">
        <f>B142/1000*(1000*9.81*Pumps!$B$14+'Parameters and Satisfaction'!$B$27)</f>
        <v>1082934.8441905889</v>
      </c>
      <c r="I142" s="118">
        <f>C142/1000*(1000*9.81*Pumps!$B$14+'Parameters and Satisfaction'!$B$27)</f>
        <v>932825.06380773475</v>
      </c>
      <c r="J142" s="118">
        <f>D142/1000*(1000*9.81*Pumps!$B$14+'Parameters and Satisfaction'!$B$27)</f>
        <v>1095971.5608705182</v>
      </c>
      <c r="K142" s="118">
        <f>E142/1000*(1000*9.81*Pumps!$B$14+'Parameters and Satisfaction'!$B$27)</f>
        <v>366585.45749088045</v>
      </c>
      <c r="L142" s="118">
        <f>F142/1000*(1000*9.81*Pumps!$B$14+'Parameters and Satisfaction'!$B$27)</f>
        <v>270850.81424692145</v>
      </c>
      <c r="M142" s="118"/>
      <c r="N142" s="118">
        <f>H142/IF('Parameters and Satisfaction'!$C$13="Pump A", 0.7, IF('Parameters and Satisfaction'!$C$13 = "Pump B", 0.72, 0.65))</f>
        <v>1504076.1724869292</v>
      </c>
      <c r="O142" s="118">
        <f>I142/IF('Parameters and Satisfaction'!$C$13="Pump A", 0.7, IF('Parameters and Satisfaction'!$C$13 = "Pump B", 0.72, 0.65))</f>
        <v>1295590.3663996316</v>
      </c>
      <c r="P142" s="118">
        <f>J142/IF('Parameters and Satisfaction'!$C$13="Pump A", 0.7, IF('Parameters and Satisfaction'!$C$13 = "Pump B", 0.72, 0.65))</f>
        <v>1522182.7234312755</v>
      </c>
      <c r="Q142" s="118">
        <f>K142/IF('Parameters and Satisfaction'!$C$13="Pump A", 0.7, IF('Parameters and Satisfaction'!$C$13 = "Pump B", 0.72, 0.65))</f>
        <v>509146.46873733395</v>
      </c>
      <c r="R142" s="118">
        <f>L142/IF('Parameters and Satisfaction'!$C$13="Pump A", 0.7, IF('Parameters and Satisfaction'!$C$13 = "Pump B", 0.72, 0.65))</f>
        <v>376181.68645405758</v>
      </c>
      <c r="S142" s="118"/>
      <c r="T142" s="118">
        <f>N142+$F$47+IF('Parameters and Satisfaction'!$C$19="Ozone", 'Filtration System'!AA106*1000000, 0)</f>
        <v>6191576.1724869292</v>
      </c>
      <c r="U142" s="118">
        <f>O142+$F$47+IF('Parameters and Satisfaction'!$C$19="Ozone", 'Filtration System'!AB106*1000000, 0)</f>
        <v>5983090.3663996318</v>
      </c>
      <c r="V142" s="118">
        <f>P142+$F$47+IF('Parameters and Satisfaction'!$C$19="Ozone", 'Filtration System'!AC106*1000000, 0)</f>
        <v>6209682.7234312752</v>
      </c>
      <c r="W142" s="118">
        <f>Q142+$F$47+IF('Parameters and Satisfaction'!$C$19="Ozone", 'Filtration System'!AD106*1000000, 0)</f>
        <v>5196646.468737334</v>
      </c>
      <c r="X142" s="118">
        <f>R142+$F$47+IF('Parameters and Satisfaction'!$C$19="Ozone", 'Filtration System'!AE106*1000000, 0)</f>
        <v>5063681.6864540577</v>
      </c>
      <c r="Y142" s="118"/>
      <c r="Z142" s="118">
        <f t="shared" si="13"/>
        <v>0.44225544089192353</v>
      </c>
      <c r="AA142" s="118">
        <f t="shared" si="14"/>
        <v>0.42736359759997372</v>
      </c>
      <c r="AB142" s="118">
        <f t="shared" si="15"/>
        <v>0.44354876595937681</v>
      </c>
      <c r="AC142" s="118">
        <f t="shared" si="16"/>
        <v>0.37118903348123816</v>
      </c>
      <c r="AD142" s="118">
        <f t="shared" si="17"/>
        <v>0.36169154903243267</v>
      </c>
      <c r="AE142" s="118"/>
      <c r="AF142" s="118"/>
      <c r="AG142" s="118"/>
      <c r="AK142">
        <f t="shared" si="18"/>
        <v>16450560.000000002</v>
      </c>
      <c r="AL142">
        <f t="shared" si="18"/>
        <v>16450560.000000002</v>
      </c>
      <c r="AM142">
        <f t="shared" si="18"/>
        <v>16450560.000000002</v>
      </c>
      <c r="AN142">
        <f t="shared" si="18"/>
        <v>16450560.000000002</v>
      </c>
      <c r="AO142">
        <f t="shared" si="18"/>
        <v>16450560.000000002</v>
      </c>
    </row>
    <row r="143" spans="1:41">
      <c r="A143" s="185">
        <f>'Water Stuff'!F77</f>
        <v>44634</v>
      </c>
      <c r="B143" s="118">
        <f>'Filtration System'!B107</f>
        <v>2760</v>
      </c>
      <c r="C143" s="118">
        <f>'Filtration System'!C107</f>
        <v>120</v>
      </c>
      <c r="D143" s="118">
        <f>'Filtration System'!D107</f>
        <v>2400.8356252107797</v>
      </c>
      <c r="E143" s="118">
        <f>'Filtration System'!E107</f>
        <v>1300.0867516456635</v>
      </c>
      <c r="F143" s="118">
        <f>'Filtration System'!F107</f>
        <v>2590.4973880788757</v>
      </c>
      <c r="G143" s="118"/>
      <c r="H143" s="118">
        <f>B143/1000*(1000*9.81*Pumps!$B$14+'Parameters and Satisfaction'!$B$27)</f>
        <v>739826.77474406559</v>
      </c>
      <c r="I143" s="118">
        <f>C143/1000*(1000*9.81*Pumps!$B$14+'Parameters and Satisfaction'!$B$27)</f>
        <v>32166.381510611547</v>
      </c>
      <c r="J143" s="118">
        <f>D143/1000*(1000*9.81*Pumps!$B$14+'Parameters and Satisfaction'!$B$27)</f>
        <v>643551.62220664625</v>
      </c>
      <c r="K143" s="118">
        <f>E143/1000*(1000*9.81*Pumps!$B$14+'Parameters and Satisfaction'!$B$27)</f>
        <v>348492.38708605082</v>
      </c>
      <c r="L143" s="118">
        <f>F143/1000*(1000*9.81*Pumps!$B$14+'Parameters and Satisfaction'!$B$27)</f>
        <v>694391.06072656554</v>
      </c>
      <c r="M143" s="118"/>
      <c r="N143" s="118">
        <f>H143/IF('Parameters and Satisfaction'!$C$13="Pump A", 0.7, IF('Parameters and Satisfaction'!$C$13 = "Pump B", 0.72, 0.65))</f>
        <v>1027537.1871445356</v>
      </c>
      <c r="O143" s="118">
        <f>I143/IF('Parameters and Satisfaction'!$C$13="Pump A", 0.7, IF('Parameters and Satisfaction'!$C$13 = "Pump B", 0.72, 0.65))</f>
        <v>44675.529875849374</v>
      </c>
      <c r="P143" s="118">
        <f>J143/IF('Parameters and Satisfaction'!$C$13="Pump A", 0.7, IF('Parameters and Satisfaction'!$C$13 = "Pump B", 0.72, 0.65))</f>
        <v>893821.69750923093</v>
      </c>
      <c r="Q143" s="118">
        <f>K143/IF('Parameters and Satisfaction'!$C$13="Pump A", 0.7, IF('Parameters and Satisfaction'!$C$13 = "Pump B", 0.72, 0.65))</f>
        <v>484017.20428618172</v>
      </c>
      <c r="R143" s="118">
        <f>L143/IF('Parameters and Satisfaction'!$C$13="Pump A", 0.7, IF('Parameters and Satisfaction'!$C$13 = "Pump B", 0.72, 0.65))</f>
        <v>964432.02878689661</v>
      </c>
      <c r="S143" s="118"/>
      <c r="T143" s="118">
        <f>N143+$F$47+IF('Parameters and Satisfaction'!$C$19="Ozone", 'Filtration System'!AA107*1000000, 0)</f>
        <v>5715037.1871445356</v>
      </c>
      <c r="U143" s="118">
        <f>O143+$F$47+IF('Parameters and Satisfaction'!$C$19="Ozone", 'Filtration System'!AB107*1000000, 0)</f>
        <v>4732175.5298758494</v>
      </c>
      <c r="V143" s="118">
        <f>P143+$F$47+IF('Parameters and Satisfaction'!$C$19="Ozone", 'Filtration System'!AC107*1000000, 0)</f>
        <v>5581321.697509231</v>
      </c>
      <c r="W143" s="118">
        <f>Q143+$F$47+IF('Parameters and Satisfaction'!$C$19="Ozone", 'Filtration System'!AD107*1000000, 0)</f>
        <v>5171517.2042861814</v>
      </c>
      <c r="X143" s="118">
        <f>R143+$F$47+IF('Parameters and Satisfaction'!$C$19="Ozone", 'Filtration System'!AE107*1000000, 0)</f>
        <v>5651932.0287868967</v>
      </c>
      <c r="Y143" s="118"/>
      <c r="Z143" s="118">
        <f t="shared" si="13"/>
        <v>0.40821694193889541</v>
      </c>
      <c r="AA143" s="118">
        <f t="shared" si="14"/>
        <v>0.33801253784827495</v>
      </c>
      <c r="AB143" s="118">
        <f t="shared" si="15"/>
        <v>0.39866583553637364</v>
      </c>
      <c r="AC143" s="118">
        <f t="shared" si="16"/>
        <v>0.36939408602044155</v>
      </c>
      <c r="AD143" s="118">
        <f t="shared" si="17"/>
        <v>0.40370943062763548</v>
      </c>
      <c r="AE143" s="118"/>
      <c r="AF143" s="118"/>
      <c r="AG143" s="118"/>
      <c r="AK143">
        <f t="shared" si="18"/>
        <v>16450560.000000002</v>
      </c>
      <c r="AL143">
        <f t="shared" si="18"/>
        <v>16450560.000000002</v>
      </c>
      <c r="AM143">
        <f t="shared" si="18"/>
        <v>16450560.000000002</v>
      </c>
      <c r="AN143">
        <f t="shared" si="18"/>
        <v>16450560.000000002</v>
      </c>
      <c r="AO143">
        <f t="shared" si="18"/>
        <v>16450560.000000002</v>
      </c>
    </row>
    <row r="144" spans="1:41">
      <c r="A144" s="185">
        <f>'Water Stuff'!F78</f>
        <v>44635</v>
      </c>
      <c r="B144" s="118">
        <f>'Filtration System'!B108</f>
        <v>4560</v>
      </c>
      <c r="C144" s="118">
        <f>'Filtration System'!C108</f>
        <v>0</v>
      </c>
      <c r="D144" s="118">
        <f>'Filtration System'!D108</f>
        <v>5390.9864041559258</v>
      </c>
      <c r="E144" s="118">
        <f>'Filtration System'!E108</f>
        <v>0</v>
      </c>
      <c r="F144" s="118">
        <f>'Filtration System'!F108</f>
        <v>6480.2568696047911</v>
      </c>
      <c r="G144" s="118"/>
      <c r="H144" s="118">
        <f>B144/1000*(1000*9.81*Pumps!$B$14+'Parameters and Satisfaction'!$B$27)</f>
        <v>1222322.4974032387</v>
      </c>
      <c r="I144" s="118">
        <f>C144/1000*(1000*9.81*Pumps!$B$14+'Parameters and Satisfaction'!$B$27)</f>
        <v>0</v>
      </c>
      <c r="J144" s="118">
        <f>D144/1000*(1000*9.81*Pumps!$B$14+'Parameters and Satisfaction'!$B$27)</f>
        <v>1445071.0449549949</v>
      </c>
      <c r="K144" s="118">
        <f>E144/1000*(1000*9.81*Pumps!$B$14+'Parameters and Satisfaction'!$B$27)</f>
        <v>0</v>
      </c>
      <c r="L144" s="118">
        <f>F144/1000*(1000*9.81*Pumps!$B$14+'Parameters and Satisfaction'!$B$27)</f>
        <v>1737053.4562872418</v>
      </c>
      <c r="M144" s="118"/>
      <c r="N144" s="118">
        <f>H144/IF('Parameters and Satisfaction'!$C$13="Pump A", 0.7, IF('Parameters and Satisfaction'!$C$13 = "Pump B", 0.72, 0.65))</f>
        <v>1697670.135282276</v>
      </c>
      <c r="O144" s="118">
        <f>I144/IF('Parameters and Satisfaction'!$C$13="Pump A", 0.7, IF('Parameters and Satisfaction'!$C$13 = "Pump B", 0.72, 0.65))</f>
        <v>0</v>
      </c>
      <c r="P144" s="118">
        <f>J144/IF('Parameters and Satisfaction'!$C$13="Pump A", 0.7, IF('Parameters and Satisfaction'!$C$13 = "Pump B", 0.72, 0.65))</f>
        <v>2007043.1179930486</v>
      </c>
      <c r="Q144" s="118">
        <f>K144/IF('Parameters and Satisfaction'!$C$13="Pump A", 0.7, IF('Parameters and Satisfaction'!$C$13 = "Pump B", 0.72, 0.65))</f>
        <v>0</v>
      </c>
      <c r="R144" s="118">
        <f>L144/IF('Parameters and Satisfaction'!$C$13="Pump A", 0.7, IF('Parameters and Satisfaction'!$C$13 = "Pump B", 0.72, 0.65))</f>
        <v>2412574.2448433912</v>
      </c>
      <c r="S144" s="118"/>
      <c r="T144" s="118">
        <f>N144+$F$47+IF('Parameters and Satisfaction'!$C$19="Ozone", 'Filtration System'!AA108*1000000, 0)</f>
        <v>6385170.1352822762</v>
      </c>
      <c r="U144" s="118">
        <f>O144+$F$47+IF('Parameters and Satisfaction'!$C$19="Ozone", 'Filtration System'!AB108*1000000, 0)</f>
        <v>4687500</v>
      </c>
      <c r="V144" s="118">
        <f>P144+$F$47+IF('Parameters and Satisfaction'!$C$19="Ozone", 'Filtration System'!AC108*1000000, 0)</f>
        <v>6694543.1179930484</v>
      </c>
      <c r="W144" s="118">
        <f>Q144+$F$47+IF('Parameters and Satisfaction'!$C$19="Ozone", 'Filtration System'!AD108*1000000, 0)</f>
        <v>4687500</v>
      </c>
      <c r="X144" s="118">
        <f>R144+$F$47+IF('Parameters and Satisfaction'!$C$19="Ozone", 'Filtration System'!AE108*1000000, 0)</f>
        <v>7100074.2448433917</v>
      </c>
      <c r="Y144" s="118"/>
      <c r="Z144" s="118">
        <f t="shared" si="13"/>
        <v>0.45608358109159114</v>
      </c>
      <c r="AA144" s="118">
        <f t="shared" si="14"/>
        <v>0.33482142857142855</v>
      </c>
      <c r="AB144" s="118">
        <f t="shared" si="15"/>
        <v>0.47818165128521772</v>
      </c>
      <c r="AC144" s="118">
        <f t="shared" si="16"/>
        <v>0.33482142857142855</v>
      </c>
      <c r="AD144" s="118">
        <f t="shared" si="17"/>
        <v>0.50714816034595656</v>
      </c>
      <c r="AE144" s="118"/>
      <c r="AF144" s="118"/>
      <c r="AG144" s="118"/>
      <c r="AK144">
        <f t="shared" si="18"/>
        <v>16450560.000000002</v>
      </c>
      <c r="AL144">
        <f t="shared" si="18"/>
        <v>16450560.000000002</v>
      </c>
      <c r="AM144">
        <f t="shared" si="18"/>
        <v>16450560.000000002</v>
      </c>
      <c r="AN144">
        <f t="shared" si="18"/>
        <v>16450560.000000002</v>
      </c>
      <c r="AO144">
        <f t="shared" si="18"/>
        <v>16450560.000000002</v>
      </c>
    </row>
    <row r="145" spans="1:41">
      <c r="A145" s="185">
        <f>'Water Stuff'!F79</f>
        <v>44636</v>
      </c>
      <c r="B145" s="118">
        <f>'Filtration System'!B109</f>
        <v>1080</v>
      </c>
      <c r="C145" s="118">
        <f>'Filtration System'!C109</f>
        <v>0</v>
      </c>
      <c r="D145" s="118">
        <f>'Filtration System'!D109</f>
        <v>333.372474713374</v>
      </c>
      <c r="E145" s="118">
        <f>'Filtration System'!E109</f>
        <v>311.5530828476314</v>
      </c>
      <c r="F145" s="118">
        <f>'Filtration System'!F109</f>
        <v>0</v>
      </c>
      <c r="G145" s="118"/>
      <c r="H145" s="118">
        <f>B145/1000*(1000*9.81*Pumps!$B$14+'Parameters and Satisfaction'!$B$27)</f>
        <v>289497.43359550397</v>
      </c>
      <c r="I145" s="118">
        <f>C145/1000*(1000*9.81*Pumps!$B$14+'Parameters and Satisfaction'!$B$27)</f>
        <v>0</v>
      </c>
      <c r="J145" s="118">
        <f>D145/1000*(1000*9.81*Pumps!$B$14+'Parameters and Satisfaction'!$B$27)</f>
        <v>89361.551723059078</v>
      </c>
      <c r="K145" s="118">
        <f>E145/1000*(1000*9.81*Pumps!$B$14+'Parameters and Satisfaction'!$B$27)</f>
        <v>83512.794364033994</v>
      </c>
      <c r="L145" s="118">
        <f>F145/1000*(1000*9.81*Pumps!$B$14+'Parameters and Satisfaction'!$B$27)</f>
        <v>0</v>
      </c>
      <c r="M145" s="118"/>
      <c r="N145" s="118">
        <f>H145/IF('Parameters and Satisfaction'!$C$13="Pump A", 0.7, IF('Parameters and Satisfaction'!$C$13 = "Pump B", 0.72, 0.65))</f>
        <v>402079.76888264442</v>
      </c>
      <c r="O145" s="118">
        <f>I145/IF('Parameters and Satisfaction'!$C$13="Pump A", 0.7, IF('Parameters and Satisfaction'!$C$13 = "Pump B", 0.72, 0.65))</f>
        <v>0</v>
      </c>
      <c r="P145" s="118">
        <f>J145/IF('Parameters and Satisfaction'!$C$13="Pump A", 0.7, IF('Parameters and Satisfaction'!$C$13 = "Pump B", 0.72, 0.65))</f>
        <v>124113.2662820265</v>
      </c>
      <c r="Q145" s="118">
        <f>K145/IF('Parameters and Satisfaction'!$C$13="Pump A", 0.7, IF('Parameters and Satisfaction'!$C$13 = "Pump B", 0.72, 0.65))</f>
        <v>115989.99217226944</v>
      </c>
      <c r="R145" s="118">
        <f>L145/IF('Parameters and Satisfaction'!$C$13="Pump A", 0.7, IF('Parameters and Satisfaction'!$C$13 = "Pump B", 0.72, 0.65))</f>
        <v>0</v>
      </c>
      <c r="S145" s="118"/>
      <c r="T145" s="118">
        <f>N145+$F$47+IF('Parameters and Satisfaction'!$C$19="Ozone", 'Filtration System'!AA109*1000000, 0)</f>
        <v>5089579.7688826444</v>
      </c>
      <c r="U145" s="118">
        <f>O145+$F$47+IF('Parameters and Satisfaction'!$C$19="Ozone", 'Filtration System'!AB109*1000000, 0)</f>
        <v>4687500</v>
      </c>
      <c r="V145" s="118">
        <f>P145+$F$47+IF('Parameters and Satisfaction'!$C$19="Ozone", 'Filtration System'!AC109*1000000, 0)</f>
        <v>4811613.2662820267</v>
      </c>
      <c r="W145" s="118">
        <f>Q145+$F$47+IF('Parameters and Satisfaction'!$C$19="Ozone", 'Filtration System'!AD109*1000000, 0)</f>
        <v>4803489.9921722692</v>
      </c>
      <c r="X145" s="118">
        <f>R145+$F$47+IF('Parameters and Satisfaction'!$C$19="Ozone", 'Filtration System'!AE109*1000000, 0)</f>
        <v>4687500</v>
      </c>
      <c r="Y145" s="118"/>
      <c r="Z145" s="118">
        <f t="shared" si="13"/>
        <v>0.36354141206304602</v>
      </c>
      <c r="AA145" s="118">
        <f t="shared" si="14"/>
        <v>0.33482142857142855</v>
      </c>
      <c r="AB145" s="118">
        <f t="shared" si="15"/>
        <v>0.34368666187728764</v>
      </c>
      <c r="AC145" s="118">
        <f t="shared" si="16"/>
        <v>0.34310642801230495</v>
      </c>
      <c r="AD145" s="118">
        <f t="shared" si="17"/>
        <v>0.33482142857142855</v>
      </c>
      <c r="AE145" s="118"/>
      <c r="AF145" s="118"/>
      <c r="AG145" s="118"/>
      <c r="AK145">
        <f t="shared" si="18"/>
        <v>16450560.000000002</v>
      </c>
      <c r="AL145">
        <f t="shared" si="18"/>
        <v>16450560.000000002</v>
      </c>
      <c r="AM145">
        <f t="shared" si="18"/>
        <v>16450560.000000002</v>
      </c>
      <c r="AN145">
        <f t="shared" si="18"/>
        <v>16450560.000000002</v>
      </c>
      <c r="AO145">
        <f t="shared" si="18"/>
        <v>16450560.000000002</v>
      </c>
    </row>
    <row r="146" spans="1:41">
      <c r="A146" s="185">
        <f>'Water Stuff'!F80</f>
        <v>44637</v>
      </c>
      <c r="B146" s="118">
        <f>'Filtration System'!B110</f>
        <v>80</v>
      </c>
      <c r="C146" s="118">
        <f>'Filtration System'!C110</f>
        <v>0</v>
      </c>
      <c r="D146" s="118">
        <f>'Filtration System'!D110</f>
        <v>960.2146682475975</v>
      </c>
      <c r="E146" s="118">
        <f>'Filtration System'!E110</f>
        <v>0</v>
      </c>
      <c r="F146" s="118">
        <f>'Filtration System'!F110</f>
        <v>2606.9927389085142</v>
      </c>
      <c r="G146" s="118"/>
      <c r="H146" s="118">
        <f>B146/1000*(1000*9.81*Pumps!$B$14+'Parameters and Satisfaction'!$B$27)</f>
        <v>21444.254340407701</v>
      </c>
      <c r="I146" s="118">
        <f>C146/1000*(1000*9.81*Pumps!$B$14+'Parameters and Satisfaction'!$B$27)</f>
        <v>0</v>
      </c>
      <c r="J146" s="118">
        <f>D146/1000*(1000*9.81*Pumps!$B$14+'Parameters and Satisfaction'!$B$27)</f>
        <v>257388.59459114601</v>
      </c>
      <c r="K146" s="118">
        <f>E146/1000*(1000*9.81*Pumps!$B$14+'Parameters and Satisfaction'!$B$27)</f>
        <v>0</v>
      </c>
      <c r="L146" s="118">
        <f>F146/1000*(1000*9.81*Pumps!$B$14+'Parameters and Satisfaction'!$B$27)</f>
        <v>698812.69195937831</v>
      </c>
      <c r="M146" s="118"/>
      <c r="N146" s="118">
        <f>H146/IF('Parameters and Satisfaction'!$C$13="Pump A", 0.7, IF('Parameters and Satisfaction'!$C$13 = "Pump B", 0.72, 0.65))</f>
        <v>29783.686583899584</v>
      </c>
      <c r="O146" s="118">
        <f>I146/IF('Parameters and Satisfaction'!$C$13="Pump A", 0.7, IF('Parameters and Satisfaction'!$C$13 = "Pump B", 0.72, 0.65))</f>
        <v>0</v>
      </c>
      <c r="P146" s="118">
        <f>J146/IF('Parameters and Satisfaction'!$C$13="Pump A", 0.7, IF('Parameters and Satisfaction'!$C$13 = "Pump B", 0.72, 0.65))</f>
        <v>357484.1591543695</v>
      </c>
      <c r="Q146" s="118">
        <f>K146/IF('Parameters and Satisfaction'!$C$13="Pump A", 0.7, IF('Parameters and Satisfaction'!$C$13 = "Pump B", 0.72, 0.65))</f>
        <v>0</v>
      </c>
      <c r="R146" s="118">
        <f>L146/IF('Parameters and Satisfaction'!$C$13="Pump A", 0.7, IF('Parameters and Satisfaction'!$C$13 = "Pump B", 0.72, 0.65))</f>
        <v>970573.18327691441</v>
      </c>
      <c r="S146" s="118"/>
      <c r="T146" s="118">
        <f>N146+$F$47+IF('Parameters and Satisfaction'!$C$19="Ozone", 'Filtration System'!AA110*1000000, 0)</f>
        <v>4717283.6865838999</v>
      </c>
      <c r="U146" s="118">
        <f>O146+$F$47+IF('Parameters and Satisfaction'!$C$19="Ozone", 'Filtration System'!AB110*1000000, 0)</f>
        <v>4687500</v>
      </c>
      <c r="V146" s="118">
        <f>P146+$F$47+IF('Parameters and Satisfaction'!$C$19="Ozone", 'Filtration System'!AC110*1000000, 0)</f>
        <v>5044984.1591543695</v>
      </c>
      <c r="W146" s="118">
        <f>Q146+$F$47+IF('Parameters and Satisfaction'!$C$19="Ozone", 'Filtration System'!AD110*1000000, 0)</f>
        <v>4687500</v>
      </c>
      <c r="X146" s="118">
        <f>R146+$F$47+IF('Parameters and Satisfaction'!$C$19="Ozone", 'Filtration System'!AE110*1000000, 0)</f>
        <v>5658073.1832769141</v>
      </c>
      <c r="Y146" s="118"/>
      <c r="Z146" s="118">
        <f t="shared" si="13"/>
        <v>0.33694883475599285</v>
      </c>
      <c r="AA146" s="118">
        <f t="shared" si="14"/>
        <v>0.33482142857142855</v>
      </c>
      <c r="AB146" s="118">
        <f t="shared" si="15"/>
        <v>0.36035601136816925</v>
      </c>
      <c r="AC146" s="118">
        <f t="shared" si="16"/>
        <v>0.33482142857142855</v>
      </c>
      <c r="AD146" s="118">
        <f t="shared" si="17"/>
        <v>0.40414808451977957</v>
      </c>
      <c r="AE146" s="118"/>
      <c r="AF146" s="118"/>
      <c r="AG146" s="118"/>
      <c r="AK146">
        <f t="shared" si="18"/>
        <v>16450560.000000002</v>
      </c>
      <c r="AL146">
        <f t="shared" si="18"/>
        <v>16450560.000000002</v>
      </c>
      <c r="AM146">
        <f t="shared" si="18"/>
        <v>16450560.000000002</v>
      </c>
      <c r="AN146">
        <f t="shared" si="18"/>
        <v>16450560.000000002</v>
      </c>
      <c r="AO146">
        <f t="shared" si="18"/>
        <v>16450560.000000002</v>
      </c>
    </row>
    <row r="147" spans="1:41">
      <c r="A147" s="185">
        <f>'Water Stuff'!F81</f>
        <v>44638</v>
      </c>
      <c r="B147" s="118">
        <f>'Filtration System'!B111</f>
        <v>6200</v>
      </c>
      <c r="C147" s="118">
        <f>'Filtration System'!C111</f>
        <v>6200</v>
      </c>
      <c r="D147" s="118">
        <f>'Filtration System'!D111</f>
        <v>3023.2156266124703</v>
      </c>
      <c r="E147" s="118">
        <f>'Filtration System'!E111</f>
        <v>6777.6126463287437</v>
      </c>
      <c r="F147" s="118">
        <f>'Filtration System'!F111</f>
        <v>1136.74683137585</v>
      </c>
      <c r="G147" s="118"/>
      <c r="H147" s="118">
        <f>B147/1000*(1000*9.81*Pumps!$B$14+'Parameters and Satisfaction'!$B$27)</f>
        <v>1661929.7113815967</v>
      </c>
      <c r="I147" s="118">
        <f>C147/1000*(1000*9.81*Pumps!$B$14+'Parameters and Satisfaction'!$B$27)</f>
        <v>1661929.7113815967</v>
      </c>
      <c r="J147" s="118">
        <f>D147/1000*(1000*9.81*Pumps!$B$14+'Parameters and Satisfaction'!$B$27)</f>
        <v>810382.56028716057</v>
      </c>
      <c r="K147" s="118">
        <f>E147/1000*(1000*9.81*Pumps!$B$14+'Parameters and Satisfaction'!$B$27)</f>
        <v>1816760.6176079661</v>
      </c>
      <c r="L147" s="118">
        <f>F147/1000*(1000*9.81*Pumps!$B$14+'Parameters and Satisfaction'!$B$27)</f>
        <v>304708.60215845337</v>
      </c>
      <c r="M147" s="118"/>
      <c r="N147" s="118">
        <f>H147/IF('Parameters and Satisfaction'!$C$13="Pump A", 0.7, IF('Parameters and Satisfaction'!$C$13 = "Pump B", 0.72, 0.65))</f>
        <v>2308235.7102522179</v>
      </c>
      <c r="O147" s="118">
        <f>I147/IF('Parameters and Satisfaction'!$C$13="Pump A", 0.7, IF('Parameters and Satisfaction'!$C$13 = "Pump B", 0.72, 0.65))</f>
        <v>2308235.7102522179</v>
      </c>
      <c r="P147" s="118">
        <f>J147/IF('Parameters and Satisfaction'!$C$13="Pump A", 0.7, IF('Parameters and Satisfaction'!$C$13 = "Pump B", 0.72, 0.65))</f>
        <v>1125531.3337321675</v>
      </c>
      <c r="Q147" s="118">
        <f>K147/IF('Parameters and Satisfaction'!$C$13="Pump A", 0.7, IF('Parameters and Satisfaction'!$C$13 = "Pump B", 0.72, 0.65))</f>
        <v>2523278.6355666197</v>
      </c>
      <c r="R147" s="118">
        <f>L147/IF('Parameters and Satisfaction'!$C$13="Pump A", 0.7, IF('Parameters and Satisfaction'!$C$13 = "Pump B", 0.72, 0.65))</f>
        <v>423206.39188674081</v>
      </c>
      <c r="S147" s="118"/>
      <c r="T147" s="118">
        <f>N147+$F$47+IF('Parameters and Satisfaction'!$C$19="Ozone", 'Filtration System'!AA111*1000000, 0)</f>
        <v>6995735.7102522179</v>
      </c>
      <c r="U147" s="118">
        <f>O147+$F$47+IF('Parameters and Satisfaction'!$C$19="Ozone", 'Filtration System'!AB111*1000000, 0)</f>
        <v>6995735.7102522179</v>
      </c>
      <c r="V147" s="118">
        <f>P147+$F$47+IF('Parameters and Satisfaction'!$C$19="Ozone", 'Filtration System'!AC111*1000000, 0)</f>
        <v>5813031.3337321673</v>
      </c>
      <c r="W147" s="118">
        <f>Q147+$F$47+IF('Parameters and Satisfaction'!$C$19="Ozone", 'Filtration System'!AD111*1000000, 0)</f>
        <v>7210778.6355666202</v>
      </c>
      <c r="X147" s="118">
        <f>R147+$F$47+IF('Parameters and Satisfaction'!$C$19="Ozone", 'Filtration System'!AE111*1000000, 0)</f>
        <v>5110706.3918867409</v>
      </c>
      <c r="Y147" s="118"/>
      <c r="Z147" s="118">
        <f t="shared" si="13"/>
        <v>0.49969540787515843</v>
      </c>
      <c r="AA147" s="118">
        <f t="shared" si="14"/>
        <v>0.49969540787515843</v>
      </c>
      <c r="AB147" s="118">
        <f t="shared" si="15"/>
        <v>0.41521652383801194</v>
      </c>
      <c r="AC147" s="118">
        <f t="shared" si="16"/>
        <v>0.51505561682618717</v>
      </c>
      <c r="AD147" s="118">
        <f t="shared" si="17"/>
        <v>0.36505045656333862</v>
      </c>
      <c r="AE147" s="118"/>
      <c r="AF147" s="118"/>
      <c r="AG147" s="118"/>
      <c r="AK147">
        <f t="shared" si="18"/>
        <v>16450560.000000002</v>
      </c>
      <c r="AL147">
        <f t="shared" si="18"/>
        <v>16450560.000000002</v>
      </c>
      <c r="AM147">
        <f t="shared" si="18"/>
        <v>16450560.000000002</v>
      </c>
      <c r="AN147">
        <f t="shared" si="18"/>
        <v>16450560.000000002</v>
      </c>
      <c r="AO147">
        <f t="shared" si="18"/>
        <v>16450560.000000002</v>
      </c>
    </row>
    <row r="148" spans="1:41">
      <c r="A148" s="185">
        <f>'Water Stuff'!F82</f>
        <v>44639</v>
      </c>
      <c r="B148" s="118">
        <f>'Filtration System'!B112</f>
        <v>320</v>
      </c>
      <c r="C148" s="118">
        <f>'Filtration System'!C112</f>
        <v>7080</v>
      </c>
      <c r="D148" s="118">
        <f>'Filtration System'!D112</f>
        <v>1647.8114441517055</v>
      </c>
      <c r="E148" s="118">
        <f>'Filtration System'!E112</f>
        <v>7974.3088035864503</v>
      </c>
      <c r="F148" s="118">
        <f>'Filtration System'!F112</f>
        <v>3375.7492906320558</v>
      </c>
      <c r="G148" s="118"/>
      <c r="H148" s="118">
        <f>B148/1000*(1000*9.81*Pumps!$B$14+'Parameters and Satisfaction'!$B$27)</f>
        <v>85777.017361630802</v>
      </c>
      <c r="I148" s="118">
        <f>C148/1000*(1000*9.81*Pumps!$B$14+'Parameters and Satisfaction'!$B$27)</f>
        <v>1897816.5091260814</v>
      </c>
      <c r="J148" s="118">
        <f>D148/1000*(1000*9.81*Pumps!$B$14+'Parameters and Satisfaction'!$B$27)</f>
        <v>441701.09641779616</v>
      </c>
      <c r="K148" s="118">
        <f>E148/1000*(1000*9.81*Pumps!$B$14+'Parameters and Satisfaction'!$B$27)</f>
        <v>2137538.8271632507</v>
      </c>
      <c r="L148" s="118">
        <f>F148/1000*(1000*9.81*Pumps!$B$14+'Parameters and Satisfaction'!$B$27)</f>
        <v>904880.32972205838</v>
      </c>
      <c r="M148" s="118"/>
      <c r="N148" s="118">
        <f>H148/IF('Parameters and Satisfaction'!$C$13="Pump A", 0.7, IF('Parameters and Satisfaction'!$C$13 = "Pump B", 0.72, 0.65))</f>
        <v>119134.74633559833</v>
      </c>
      <c r="O148" s="118">
        <f>I148/IF('Parameters and Satisfaction'!$C$13="Pump A", 0.7, IF('Parameters and Satisfaction'!$C$13 = "Pump B", 0.72, 0.65))</f>
        <v>2635856.262675113</v>
      </c>
      <c r="P148" s="118">
        <f>J148/IF('Parameters and Satisfaction'!$C$13="Pump A", 0.7, IF('Parameters and Satisfaction'!$C$13 = "Pump B", 0.72, 0.65))</f>
        <v>613473.74502471695</v>
      </c>
      <c r="Q148" s="118">
        <f>K148/IF('Parameters and Satisfaction'!$C$13="Pump A", 0.7, IF('Parameters and Satisfaction'!$C$13 = "Pump B", 0.72, 0.65))</f>
        <v>2968803.9266156261</v>
      </c>
      <c r="R148" s="118">
        <f>L148/IF('Parameters and Satisfaction'!$C$13="Pump A", 0.7, IF('Parameters and Satisfaction'!$C$13 = "Pump B", 0.72, 0.65))</f>
        <v>1256778.2357250811</v>
      </c>
      <c r="S148" s="118"/>
      <c r="T148" s="118">
        <f>N148+$F$47+IF('Parameters and Satisfaction'!$C$19="Ozone", 'Filtration System'!AA112*1000000, 0)</f>
        <v>4806634.7463355986</v>
      </c>
      <c r="U148" s="118">
        <f>O148+$F$47+IF('Parameters and Satisfaction'!$C$19="Ozone", 'Filtration System'!AB112*1000000, 0)</f>
        <v>7323356.262675113</v>
      </c>
      <c r="V148" s="118">
        <f>P148+$F$47+IF('Parameters and Satisfaction'!$C$19="Ozone", 'Filtration System'!AC112*1000000, 0)</f>
        <v>5300973.7450247165</v>
      </c>
      <c r="W148" s="118">
        <f>Q148+$F$47+IF('Parameters and Satisfaction'!$C$19="Ozone", 'Filtration System'!AD112*1000000, 0)</f>
        <v>7656303.9266156256</v>
      </c>
      <c r="X148" s="118">
        <f>R148+$F$47+IF('Parameters and Satisfaction'!$C$19="Ozone", 'Filtration System'!AE112*1000000, 0)</f>
        <v>5944278.2357250806</v>
      </c>
      <c r="Y148" s="118"/>
      <c r="Z148" s="118">
        <f t="shared" si="13"/>
        <v>0.34333105330968561</v>
      </c>
      <c r="AA148" s="118">
        <f t="shared" si="14"/>
        <v>0.52309687590536524</v>
      </c>
      <c r="AB148" s="118">
        <f t="shared" si="15"/>
        <v>0.37864098178747974</v>
      </c>
      <c r="AC148" s="118">
        <f t="shared" si="16"/>
        <v>0.54687885190111607</v>
      </c>
      <c r="AD148" s="118">
        <f t="shared" si="17"/>
        <v>0.42459130255179145</v>
      </c>
      <c r="AE148" s="118"/>
      <c r="AF148" s="118"/>
      <c r="AG148" s="118"/>
      <c r="AK148">
        <f t="shared" si="18"/>
        <v>16450560.000000002</v>
      </c>
      <c r="AL148">
        <f t="shared" si="18"/>
        <v>16450560.000000002</v>
      </c>
      <c r="AM148">
        <f t="shared" si="18"/>
        <v>16450560.000000002</v>
      </c>
      <c r="AN148">
        <f t="shared" si="18"/>
        <v>16450560.000000002</v>
      </c>
      <c r="AO148">
        <f t="shared" si="18"/>
        <v>16450560.000000002</v>
      </c>
    </row>
    <row r="149" spans="1:41">
      <c r="A149" s="185">
        <f>'Water Stuff'!F83</f>
        <v>44640</v>
      </c>
      <c r="B149" s="118">
        <f>'Filtration System'!B113</f>
        <v>320</v>
      </c>
      <c r="C149" s="118">
        <f>'Filtration System'!C113</f>
        <v>5720</v>
      </c>
      <c r="D149" s="118">
        <f>'Filtration System'!D113</f>
        <v>1612.3568156879023</v>
      </c>
      <c r="E149" s="118">
        <f>'Filtration System'!E113</f>
        <v>7365.2591999890601</v>
      </c>
      <c r="F149" s="118">
        <f>'Filtration System'!F113</f>
        <v>0</v>
      </c>
      <c r="G149" s="118"/>
      <c r="H149" s="118">
        <f>B149/1000*(1000*9.81*Pumps!$B$14+'Parameters and Satisfaction'!$B$27)</f>
        <v>85777.017361630802</v>
      </c>
      <c r="I149" s="118">
        <f>C149/1000*(1000*9.81*Pumps!$B$14+'Parameters and Satisfaction'!$B$27)</f>
        <v>1533264.1853391505</v>
      </c>
      <c r="J149" s="118">
        <f>D149/1000*(1000*9.81*Pumps!$B$14+'Parameters and Satisfaction'!$B$27)</f>
        <v>432197.37053876545</v>
      </c>
      <c r="K149" s="118">
        <f>E149/1000*(1000*9.81*Pumps!$B$14+'Parameters and Satisfaction'!$B$27)</f>
        <v>1974281.1445949143</v>
      </c>
      <c r="L149" s="118">
        <f>F149/1000*(1000*9.81*Pumps!$B$14+'Parameters and Satisfaction'!$B$27)</f>
        <v>0</v>
      </c>
      <c r="M149" s="118"/>
      <c r="N149" s="118">
        <f>H149/IF('Parameters and Satisfaction'!$C$13="Pump A", 0.7, IF('Parameters and Satisfaction'!$C$13 = "Pump B", 0.72, 0.65))</f>
        <v>119134.74633559833</v>
      </c>
      <c r="O149" s="118">
        <f>I149/IF('Parameters and Satisfaction'!$C$13="Pump A", 0.7, IF('Parameters and Satisfaction'!$C$13 = "Pump B", 0.72, 0.65))</f>
        <v>2129533.59074882</v>
      </c>
      <c r="P149" s="118">
        <f>J149/IF('Parameters and Satisfaction'!$C$13="Pump A", 0.7, IF('Parameters and Satisfaction'!$C$13 = "Pump B", 0.72, 0.65))</f>
        <v>600274.12574828533</v>
      </c>
      <c r="Q149" s="118">
        <f>K149/IF('Parameters and Satisfaction'!$C$13="Pump A", 0.7, IF('Parameters and Satisfaction'!$C$13 = "Pump B", 0.72, 0.65))</f>
        <v>2742057.1452707145</v>
      </c>
      <c r="R149" s="118">
        <f>L149/IF('Parameters and Satisfaction'!$C$13="Pump A", 0.7, IF('Parameters and Satisfaction'!$C$13 = "Pump B", 0.72, 0.65))</f>
        <v>0</v>
      </c>
      <c r="S149" s="118"/>
      <c r="T149" s="118">
        <f>N149+$F$47+IF('Parameters and Satisfaction'!$C$19="Ozone", 'Filtration System'!AA113*1000000, 0)</f>
        <v>4806634.7463355986</v>
      </c>
      <c r="U149" s="118">
        <f>O149+$F$47+IF('Parameters and Satisfaction'!$C$19="Ozone", 'Filtration System'!AB113*1000000, 0)</f>
        <v>6817033.5907488205</v>
      </c>
      <c r="V149" s="118">
        <f>P149+$F$47+IF('Parameters and Satisfaction'!$C$19="Ozone", 'Filtration System'!AC113*1000000, 0)</f>
        <v>5287774.1257482851</v>
      </c>
      <c r="W149" s="118">
        <f>Q149+$F$47+IF('Parameters and Satisfaction'!$C$19="Ozone", 'Filtration System'!AD113*1000000, 0)</f>
        <v>7429557.1452707145</v>
      </c>
      <c r="X149" s="118">
        <f>R149+$F$47+IF('Parameters and Satisfaction'!$C$19="Ozone", 'Filtration System'!AE113*1000000, 0)</f>
        <v>4687500</v>
      </c>
      <c r="Y149" s="118"/>
      <c r="Z149" s="118">
        <f t="shared" si="13"/>
        <v>0.34333105330968561</v>
      </c>
      <c r="AA149" s="118">
        <f t="shared" si="14"/>
        <v>0.48693097076777286</v>
      </c>
      <c r="AB149" s="118">
        <f t="shared" si="15"/>
        <v>0.37769815183916322</v>
      </c>
      <c r="AC149" s="118">
        <f t="shared" si="16"/>
        <v>0.53068265323362251</v>
      </c>
      <c r="AD149" s="118">
        <f t="shared" si="17"/>
        <v>0.33482142857142855</v>
      </c>
      <c r="AE149" s="118"/>
      <c r="AF149" s="118"/>
      <c r="AG149" s="118"/>
      <c r="AK149">
        <f t="shared" si="18"/>
        <v>16450560.000000002</v>
      </c>
      <c r="AL149">
        <f t="shared" si="18"/>
        <v>16450560.000000002</v>
      </c>
      <c r="AM149">
        <f t="shared" si="18"/>
        <v>16450560.000000002</v>
      </c>
      <c r="AN149">
        <f t="shared" si="18"/>
        <v>16450560.000000002</v>
      </c>
      <c r="AO149">
        <f t="shared" si="18"/>
        <v>16450560.000000002</v>
      </c>
    </row>
    <row r="150" spans="1:41">
      <c r="A150" s="185">
        <f>'Water Stuff'!F84</f>
        <v>44641</v>
      </c>
      <c r="B150" s="118">
        <f>'Filtration System'!B114</f>
        <v>1520</v>
      </c>
      <c r="C150" s="118">
        <f>'Filtration System'!C114</f>
        <v>0</v>
      </c>
      <c r="D150" s="118">
        <f>'Filtration System'!D114</f>
        <v>1462.2369324268816</v>
      </c>
      <c r="E150" s="118">
        <f>'Filtration System'!E114</f>
        <v>0</v>
      </c>
      <c r="F150" s="118">
        <f>'Filtration System'!F114</f>
        <v>0</v>
      </c>
      <c r="G150" s="118"/>
      <c r="H150" s="118">
        <f>B150/1000*(1000*9.81*Pumps!$B$14+'Parameters and Satisfaction'!$B$27)</f>
        <v>407440.83246774628</v>
      </c>
      <c r="I150" s="118">
        <f>C150/1000*(1000*9.81*Pumps!$B$14+'Parameters and Satisfaction'!$B$27)</f>
        <v>0</v>
      </c>
      <c r="J150" s="118">
        <f>D150/1000*(1000*9.81*Pumps!$B$14+'Parameters and Satisfaction'!$B$27)</f>
        <v>391957.25856124493</v>
      </c>
      <c r="K150" s="118">
        <f>E150/1000*(1000*9.81*Pumps!$B$14+'Parameters and Satisfaction'!$B$27)</f>
        <v>0</v>
      </c>
      <c r="L150" s="118">
        <f>F150/1000*(1000*9.81*Pumps!$B$14+'Parameters and Satisfaction'!$B$27)</f>
        <v>0</v>
      </c>
      <c r="M150" s="118"/>
      <c r="N150" s="118">
        <f>H150/IF('Parameters and Satisfaction'!$C$13="Pump A", 0.7, IF('Parameters and Satisfaction'!$C$13 = "Pump B", 0.72, 0.65))</f>
        <v>565890.04509409203</v>
      </c>
      <c r="O150" s="118">
        <f>I150/IF('Parameters and Satisfaction'!$C$13="Pump A", 0.7, IF('Parameters and Satisfaction'!$C$13 = "Pump B", 0.72, 0.65))</f>
        <v>0</v>
      </c>
      <c r="P150" s="118">
        <f>J150/IF('Parameters and Satisfaction'!$C$13="Pump A", 0.7, IF('Parameters and Satisfaction'!$C$13 = "Pump B", 0.72, 0.65))</f>
        <v>544385.08133506239</v>
      </c>
      <c r="Q150" s="118">
        <f>K150/IF('Parameters and Satisfaction'!$C$13="Pump A", 0.7, IF('Parameters and Satisfaction'!$C$13 = "Pump B", 0.72, 0.65))</f>
        <v>0</v>
      </c>
      <c r="R150" s="118">
        <f>L150/IF('Parameters and Satisfaction'!$C$13="Pump A", 0.7, IF('Parameters and Satisfaction'!$C$13 = "Pump B", 0.72, 0.65))</f>
        <v>0</v>
      </c>
      <c r="S150" s="118"/>
      <c r="T150" s="118">
        <f>N150+$F$47+IF('Parameters and Satisfaction'!$C$19="Ozone", 'Filtration System'!AA114*1000000, 0)</f>
        <v>5253390.0450940924</v>
      </c>
      <c r="U150" s="118">
        <f>O150+$F$47+IF('Parameters and Satisfaction'!$C$19="Ozone", 'Filtration System'!AB114*1000000, 0)</f>
        <v>4687500</v>
      </c>
      <c r="V150" s="118">
        <f>P150+$F$47+IF('Parameters and Satisfaction'!$C$19="Ozone", 'Filtration System'!AC114*1000000, 0)</f>
        <v>5231885.0813350622</v>
      </c>
      <c r="W150" s="118">
        <f>Q150+$F$47+IF('Parameters and Satisfaction'!$C$19="Ozone", 'Filtration System'!AD114*1000000, 0)</f>
        <v>4687500</v>
      </c>
      <c r="X150" s="118">
        <f>R150+$F$47+IF('Parameters and Satisfaction'!$C$19="Ozone", 'Filtration System'!AE114*1000000, 0)</f>
        <v>4687500</v>
      </c>
      <c r="Y150" s="118"/>
      <c r="Z150" s="118">
        <f t="shared" si="13"/>
        <v>0.37524214607814943</v>
      </c>
      <c r="AA150" s="118">
        <f t="shared" si="14"/>
        <v>0.33482142857142855</v>
      </c>
      <c r="AB150" s="118">
        <f t="shared" si="15"/>
        <v>0.37370607723821875</v>
      </c>
      <c r="AC150" s="118">
        <f t="shared" si="16"/>
        <v>0.33482142857142855</v>
      </c>
      <c r="AD150" s="118">
        <f t="shared" si="17"/>
        <v>0.33482142857142855</v>
      </c>
      <c r="AE150" s="118"/>
      <c r="AF150" s="118"/>
      <c r="AG150" s="118"/>
      <c r="AK150">
        <f t="shared" ref="AK150:AO160" si="19">$D$57</f>
        <v>16450560.000000002</v>
      </c>
      <c r="AL150">
        <f t="shared" si="19"/>
        <v>16450560.000000002</v>
      </c>
      <c r="AM150">
        <f t="shared" si="19"/>
        <v>16450560.000000002</v>
      </c>
      <c r="AN150">
        <f t="shared" si="19"/>
        <v>16450560.000000002</v>
      </c>
      <c r="AO150">
        <f t="shared" si="19"/>
        <v>16450560.000000002</v>
      </c>
    </row>
    <row r="151" spans="1:41">
      <c r="A151" s="185">
        <f>'Water Stuff'!F85</f>
        <v>44642</v>
      </c>
      <c r="B151" s="118">
        <f>'Filtration System'!B115</f>
        <v>520</v>
      </c>
      <c r="C151" s="118">
        <f>'Filtration System'!C115</f>
        <v>1400</v>
      </c>
      <c r="D151" s="118">
        <f>'Filtration System'!D115</f>
        <v>0</v>
      </c>
      <c r="E151" s="118">
        <f>'Filtration System'!E115</f>
        <v>359.67339101243999</v>
      </c>
      <c r="F151" s="118">
        <f>'Filtration System'!F115</f>
        <v>0</v>
      </c>
      <c r="G151" s="118"/>
      <c r="H151" s="118">
        <f>B151/1000*(1000*9.81*Pumps!$B$14+'Parameters and Satisfaction'!$B$27)</f>
        <v>139387.65321265004</v>
      </c>
      <c r="I151" s="118">
        <f>C151/1000*(1000*9.81*Pumps!$B$14+'Parameters and Satisfaction'!$B$27)</f>
        <v>375274.45095713472</v>
      </c>
      <c r="J151" s="118">
        <f>D151/1000*(1000*9.81*Pumps!$B$14+'Parameters and Satisfaction'!$B$27)</f>
        <v>0</v>
      </c>
      <c r="K151" s="118">
        <f>E151/1000*(1000*9.81*Pumps!$B$14+'Parameters and Satisfaction'!$B$27)</f>
        <v>96411.595954345903</v>
      </c>
      <c r="L151" s="118">
        <f>F151/1000*(1000*9.81*Pumps!$B$14+'Parameters and Satisfaction'!$B$27)</f>
        <v>0</v>
      </c>
      <c r="M151" s="118"/>
      <c r="N151" s="118">
        <f>H151/IF('Parameters and Satisfaction'!$C$13="Pump A", 0.7, IF('Parameters and Satisfaction'!$C$13 = "Pump B", 0.72, 0.65))</f>
        <v>193593.9627953473</v>
      </c>
      <c r="O151" s="118">
        <f>I151/IF('Parameters and Satisfaction'!$C$13="Pump A", 0.7, IF('Parameters and Satisfaction'!$C$13 = "Pump B", 0.72, 0.65))</f>
        <v>521214.51521824265</v>
      </c>
      <c r="P151" s="118">
        <f>J151/IF('Parameters and Satisfaction'!$C$13="Pump A", 0.7, IF('Parameters and Satisfaction'!$C$13 = "Pump B", 0.72, 0.65))</f>
        <v>0</v>
      </c>
      <c r="Q151" s="118">
        <f>K151/IF('Parameters and Satisfaction'!$C$13="Pump A", 0.7, IF('Parameters and Satisfaction'!$C$13 = "Pump B", 0.72, 0.65))</f>
        <v>133904.99438103597</v>
      </c>
      <c r="R151" s="118">
        <f>L151/IF('Parameters and Satisfaction'!$C$13="Pump A", 0.7, IF('Parameters and Satisfaction'!$C$13 = "Pump B", 0.72, 0.65))</f>
        <v>0</v>
      </c>
      <c r="S151" s="118"/>
      <c r="T151" s="118">
        <f>N151+$F$47+IF('Parameters and Satisfaction'!$C$19="Ozone", 'Filtration System'!AA115*1000000, 0)</f>
        <v>4881093.962795347</v>
      </c>
      <c r="U151" s="118">
        <f>O151+$F$47+IF('Parameters and Satisfaction'!$C$19="Ozone", 'Filtration System'!AB115*1000000, 0)</f>
        <v>5208714.515218243</v>
      </c>
      <c r="V151" s="118">
        <f>P151+$F$47+IF('Parameters and Satisfaction'!$C$19="Ozone", 'Filtration System'!AC115*1000000, 0)</f>
        <v>4687500</v>
      </c>
      <c r="W151" s="118">
        <f>Q151+$F$47+IF('Parameters and Satisfaction'!$C$19="Ozone", 'Filtration System'!AD115*1000000, 0)</f>
        <v>4821404.9943810357</v>
      </c>
      <c r="X151" s="118">
        <f>R151+$F$47+IF('Parameters and Satisfaction'!$C$19="Ozone", 'Filtration System'!AE115*1000000, 0)</f>
        <v>4687500</v>
      </c>
      <c r="Y151" s="118"/>
      <c r="Z151" s="118">
        <f t="shared" si="13"/>
        <v>0.34864956877109621</v>
      </c>
      <c r="AA151" s="118">
        <f t="shared" si="14"/>
        <v>0.37205103680130308</v>
      </c>
      <c r="AB151" s="118">
        <f t="shared" si="15"/>
        <v>0.33482142857142855</v>
      </c>
      <c r="AC151" s="118">
        <f t="shared" si="16"/>
        <v>0.34438607102721686</v>
      </c>
      <c r="AD151" s="118">
        <f t="shared" si="17"/>
        <v>0.33482142857142855</v>
      </c>
      <c r="AE151" s="118"/>
      <c r="AF151" s="118"/>
      <c r="AG151" s="118"/>
      <c r="AK151">
        <f t="shared" si="19"/>
        <v>16450560.000000002</v>
      </c>
      <c r="AL151">
        <f t="shared" si="19"/>
        <v>16450560.000000002</v>
      </c>
      <c r="AM151">
        <f t="shared" si="19"/>
        <v>16450560.000000002</v>
      </c>
      <c r="AN151">
        <f t="shared" si="19"/>
        <v>16450560.000000002</v>
      </c>
      <c r="AO151">
        <f t="shared" si="19"/>
        <v>16450560.000000002</v>
      </c>
    </row>
    <row r="152" spans="1:41">
      <c r="A152" s="185">
        <f>'Water Stuff'!F86</f>
        <v>44643</v>
      </c>
      <c r="B152" s="118">
        <f>'Filtration System'!B116</f>
        <v>0</v>
      </c>
      <c r="C152" s="118">
        <f>'Filtration System'!C116</f>
        <v>1920</v>
      </c>
      <c r="D152" s="118">
        <f>'Filtration System'!D116</f>
        <v>1175.0018125527984</v>
      </c>
      <c r="E152" s="118">
        <f>'Filtration System'!E116</f>
        <v>482.06154272145454</v>
      </c>
      <c r="F152" s="118">
        <f>'Filtration System'!F116</f>
        <v>326.47067157287444</v>
      </c>
      <c r="G152" s="118"/>
      <c r="H152" s="118">
        <f>B152/1000*(1000*9.81*Pumps!$B$14+'Parameters and Satisfaction'!$B$27)</f>
        <v>0</v>
      </c>
      <c r="I152" s="118">
        <f>C152/1000*(1000*9.81*Pumps!$B$14+'Parameters and Satisfaction'!$B$27)</f>
        <v>514662.10416978475</v>
      </c>
      <c r="J152" s="118">
        <f>D152/1000*(1000*9.81*Pumps!$B$14+'Parameters and Satisfaction'!$B$27)</f>
        <v>314962.97148527822</v>
      </c>
      <c r="K152" s="118">
        <f>E152/1000*(1000*9.81*Pumps!$B$14+'Parameters and Satisfaction'!$B$27)</f>
        <v>129218.12912310228</v>
      </c>
      <c r="L152" s="118">
        <f>F152/1000*(1000*9.81*Pumps!$B$14+'Parameters and Satisfaction'!$B$27)</f>
        <v>87511.50144865537</v>
      </c>
      <c r="M152" s="118"/>
      <c r="N152" s="118">
        <f>H152/IF('Parameters and Satisfaction'!$C$13="Pump A", 0.7, IF('Parameters and Satisfaction'!$C$13 = "Pump B", 0.72, 0.65))</f>
        <v>0</v>
      </c>
      <c r="O152" s="118">
        <f>I152/IF('Parameters and Satisfaction'!$C$13="Pump A", 0.7, IF('Parameters and Satisfaction'!$C$13 = "Pump B", 0.72, 0.65))</f>
        <v>714808.47801358998</v>
      </c>
      <c r="P152" s="118">
        <f>J152/IF('Parameters and Satisfaction'!$C$13="Pump A", 0.7, IF('Parameters and Satisfaction'!$C$13 = "Pump B", 0.72, 0.65))</f>
        <v>437448.57150733087</v>
      </c>
      <c r="Q152" s="118">
        <f>K152/IF('Parameters and Satisfaction'!$C$13="Pump A", 0.7, IF('Parameters and Satisfaction'!$C$13 = "Pump B", 0.72, 0.65))</f>
        <v>179469.62378208651</v>
      </c>
      <c r="R152" s="118">
        <f>L152/IF('Parameters and Satisfaction'!$C$13="Pump A", 0.7, IF('Parameters and Satisfaction'!$C$13 = "Pump B", 0.72, 0.65))</f>
        <v>121543.75201202134</v>
      </c>
      <c r="S152" s="118"/>
      <c r="T152" s="118">
        <f>N152+$F$47+IF('Parameters and Satisfaction'!$C$19="Ozone", 'Filtration System'!AA116*1000000, 0)</f>
        <v>4687500</v>
      </c>
      <c r="U152" s="118">
        <f>O152+$F$47+IF('Parameters and Satisfaction'!$C$19="Ozone", 'Filtration System'!AB116*1000000, 0)</f>
        <v>5402308.47801359</v>
      </c>
      <c r="V152" s="118">
        <f>P152+$F$47+IF('Parameters and Satisfaction'!$C$19="Ozone", 'Filtration System'!AC116*1000000, 0)</f>
        <v>5124948.571507331</v>
      </c>
      <c r="W152" s="118">
        <f>Q152+$F$47+IF('Parameters and Satisfaction'!$C$19="Ozone", 'Filtration System'!AD116*1000000, 0)</f>
        <v>4866969.6237820862</v>
      </c>
      <c r="X152" s="118">
        <f>R152+$F$47+IF('Parameters and Satisfaction'!$C$19="Ozone", 'Filtration System'!AE116*1000000, 0)</f>
        <v>4809043.7520120209</v>
      </c>
      <c r="Y152" s="118"/>
      <c r="Z152" s="118">
        <f t="shared" si="13"/>
        <v>0.33482142857142855</v>
      </c>
      <c r="AA152" s="118">
        <f t="shared" si="14"/>
        <v>0.38587917700097069</v>
      </c>
      <c r="AB152" s="118">
        <f t="shared" si="15"/>
        <v>0.36606775510766648</v>
      </c>
      <c r="AC152" s="118">
        <f t="shared" si="16"/>
        <v>0.34764068741300613</v>
      </c>
      <c r="AD152" s="118">
        <f t="shared" si="17"/>
        <v>0.34350312514371578</v>
      </c>
      <c r="AE152" s="118"/>
      <c r="AF152" s="118"/>
      <c r="AG152" s="118"/>
      <c r="AK152">
        <f t="shared" si="19"/>
        <v>16450560.000000002</v>
      </c>
      <c r="AL152">
        <f t="shared" si="19"/>
        <v>16450560.000000002</v>
      </c>
      <c r="AM152">
        <f t="shared" si="19"/>
        <v>16450560.000000002</v>
      </c>
      <c r="AN152">
        <f t="shared" si="19"/>
        <v>16450560.000000002</v>
      </c>
      <c r="AO152">
        <f t="shared" si="19"/>
        <v>16450560.000000002</v>
      </c>
    </row>
    <row r="153" spans="1:41">
      <c r="A153" s="185">
        <f>'Water Stuff'!F87</f>
        <v>44644</v>
      </c>
      <c r="B153" s="118">
        <f>'Filtration System'!B117</f>
        <v>800</v>
      </c>
      <c r="C153" s="118">
        <f>'Filtration System'!C117</f>
        <v>3640</v>
      </c>
      <c r="D153" s="118">
        <f>'Filtration System'!D117</f>
        <v>411.33264155682241</v>
      </c>
      <c r="E153" s="118">
        <f>'Filtration System'!E117</f>
        <v>4532.2357183624781</v>
      </c>
      <c r="F153" s="118">
        <f>'Filtration System'!F117</f>
        <v>1447.1055418279059</v>
      </c>
      <c r="G153" s="118"/>
      <c r="H153" s="118">
        <f>B153/1000*(1000*9.81*Pumps!$B$14+'Parameters and Satisfaction'!$B$27)</f>
        <v>214442.54340407701</v>
      </c>
      <c r="I153" s="118">
        <f>C153/1000*(1000*9.81*Pumps!$B$14+'Parameters and Satisfaction'!$B$27)</f>
        <v>975713.57248855033</v>
      </c>
      <c r="J153" s="118">
        <f>D153/1000*(1000*9.81*Pumps!$B$14+'Parameters and Satisfaction'!$B$27)</f>
        <v>110259.02230070317</v>
      </c>
      <c r="K153" s="118">
        <f>E153/1000*(1000*9.81*Pumps!$B$14+'Parameters and Satisfaction'!$B$27)</f>
        <v>1214880.1934405672</v>
      </c>
      <c r="L153" s="118">
        <f>F153/1000*(1000*9.81*Pumps!$B$14+'Parameters and Satisfaction'!$B$27)</f>
        <v>387901.24120463885</v>
      </c>
      <c r="M153" s="118"/>
      <c r="N153" s="118">
        <f>H153/IF('Parameters and Satisfaction'!$C$13="Pump A", 0.7, IF('Parameters and Satisfaction'!$C$13 = "Pump B", 0.72, 0.65))</f>
        <v>297836.86583899584</v>
      </c>
      <c r="O153" s="118">
        <f>I153/IF('Parameters and Satisfaction'!$C$13="Pump A", 0.7, IF('Parameters and Satisfaction'!$C$13 = "Pump B", 0.72, 0.65))</f>
        <v>1355157.7395674312</v>
      </c>
      <c r="P153" s="118">
        <f>J153/IF('Parameters and Satisfaction'!$C$13="Pump A", 0.7, IF('Parameters and Satisfaction'!$C$13 = "Pump B", 0.72, 0.65))</f>
        <v>153137.53097319885</v>
      </c>
      <c r="Q153" s="118">
        <f>K153/IF('Parameters and Satisfaction'!$C$13="Pump A", 0.7, IF('Parameters and Satisfaction'!$C$13 = "Pump B", 0.72, 0.65))</f>
        <v>1687333.6020007879</v>
      </c>
      <c r="R153" s="118">
        <f>L153/IF('Parameters and Satisfaction'!$C$13="Pump A", 0.7, IF('Parameters and Satisfaction'!$C$13 = "Pump B", 0.72, 0.65))</f>
        <v>538751.72389533173</v>
      </c>
      <c r="S153" s="118"/>
      <c r="T153" s="118">
        <f>N153+$F$47+IF('Parameters and Satisfaction'!$C$19="Ozone", 'Filtration System'!AA117*1000000, 0)</f>
        <v>4985336.8658389961</v>
      </c>
      <c r="U153" s="118">
        <f>O153+$F$47+IF('Parameters and Satisfaction'!$C$19="Ozone", 'Filtration System'!AB117*1000000, 0)</f>
        <v>6042657.7395674307</v>
      </c>
      <c r="V153" s="118">
        <f>P153+$F$47+IF('Parameters and Satisfaction'!$C$19="Ozone", 'Filtration System'!AC117*1000000, 0)</f>
        <v>4840637.5309731988</v>
      </c>
      <c r="W153" s="118">
        <f>Q153+$F$47+IF('Parameters and Satisfaction'!$C$19="Ozone", 'Filtration System'!AD117*1000000, 0)</f>
        <v>6374833.6020007879</v>
      </c>
      <c r="X153" s="118">
        <f>R153+$F$47+IF('Parameters and Satisfaction'!$C$19="Ozone", 'Filtration System'!AE117*1000000, 0)</f>
        <v>5226251.7238953318</v>
      </c>
      <c r="Y153" s="118"/>
      <c r="Z153" s="118">
        <f t="shared" si="13"/>
        <v>0.35609549041707117</v>
      </c>
      <c r="AA153" s="118">
        <f t="shared" si="14"/>
        <v>0.43161840996910217</v>
      </c>
      <c r="AB153" s="118">
        <f t="shared" si="15"/>
        <v>0.34575982364094276</v>
      </c>
      <c r="AC153" s="118">
        <f t="shared" si="16"/>
        <v>0.45534525728577058</v>
      </c>
      <c r="AD153" s="118">
        <f t="shared" si="17"/>
        <v>0.37330369456395229</v>
      </c>
      <c r="AE153" s="118"/>
      <c r="AF153" s="118"/>
      <c r="AG153" s="118"/>
      <c r="AK153">
        <f t="shared" si="19"/>
        <v>16450560.000000002</v>
      </c>
      <c r="AL153">
        <f t="shared" si="19"/>
        <v>16450560.000000002</v>
      </c>
      <c r="AM153">
        <f t="shared" si="19"/>
        <v>16450560.000000002</v>
      </c>
      <c r="AN153">
        <f t="shared" si="19"/>
        <v>16450560.000000002</v>
      </c>
      <c r="AO153">
        <f t="shared" si="19"/>
        <v>16450560.000000002</v>
      </c>
    </row>
    <row r="154" spans="1:41">
      <c r="A154" s="185">
        <f>'Water Stuff'!F88</f>
        <v>44645</v>
      </c>
      <c r="B154" s="118">
        <f>'Filtration System'!B118</f>
        <v>6200</v>
      </c>
      <c r="C154" s="118">
        <f>'Filtration System'!C118</f>
        <v>10000</v>
      </c>
      <c r="D154" s="118">
        <f>'Filtration System'!D118</f>
        <v>3069.7437613432558</v>
      </c>
      <c r="E154" s="118">
        <f>'Filtration System'!E118</f>
        <v>10000</v>
      </c>
      <c r="F154" s="118">
        <f>'Filtration System'!F118</f>
        <v>4117.9709978378842</v>
      </c>
      <c r="G154" s="118"/>
      <c r="H154" s="118">
        <f>B154/1000*(1000*9.81*Pumps!$B$14+'Parameters and Satisfaction'!$B$27)</f>
        <v>1661929.7113815967</v>
      </c>
      <c r="I154" s="118">
        <f>C154/1000*(1000*9.81*Pumps!$B$14+'Parameters and Satisfaction'!$B$27)</f>
        <v>2680531.7925509624</v>
      </c>
      <c r="J154" s="118">
        <f>D154/1000*(1000*9.81*Pumps!$B$14+'Parameters and Satisfaction'!$B$27)</f>
        <v>822854.57472655713</v>
      </c>
      <c r="K154" s="118">
        <f>E154/1000*(1000*9.81*Pumps!$B$14+'Parameters and Satisfaction'!$B$27)</f>
        <v>2680531.7925509624</v>
      </c>
      <c r="L154" s="118">
        <f>F154/1000*(1000*9.81*Pumps!$B$14+'Parameters and Satisfaction'!$B$27)</f>
        <v>1103835.2180507258</v>
      </c>
      <c r="M154" s="118"/>
      <c r="N154" s="118">
        <f>H154/IF('Parameters and Satisfaction'!$C$13="Pump A", 0.7, IF('Parameters and Satisfaction'!$C$13 = "Pump B", 0.72, 0.65))</f>
        <v>2308235.7102522179</v>
      </c>
      <c r="O154" s="118">
        <f>I154/IF('Parameters and Satisfaction'!$C$13="Pump A", 0.7, IF('Parameters and Satisfaction'!$C$13 = "Pump B", 0.72, 0.65))</f>
        <v>3722960.822987448</v>
      </c>
      <c r="P154" s="118">
        <f>J154/IF('Parameters and Satisfaction'!$C$13="Pump A", 0.7, IF('Parameters and Satisfaction'!$C$13 = "Pump B", 0.72, 0.65))</f>
        <v>1142853.5760091071</v>
      </c>
      <c r="Q154" s="118">
        <f>K154/IF('Parameters and Satisfaction'!$C$13="Pump A", 0.7, IF('Parameters and Satisfaction'!$C$13 = "Pump B", 0.72, 0.65))</f>
        <v>3722960.822987448</v>
      </c>
      <c r="R154" s="118">
        <f>L154/IF('Parameters and Satisfaction'!$C$13="Pump A", 0.7, IF('Parameters and Satisfaction'!$C$13 = "Pump B", 0.72, 0.65))</f>
        <v>1533104.4695148969</v>
      </c>
      <c r="S154" s="118"/>
      <c r="T154" s="118">
        <f>N154+$F$47+IF('Parameters and Satisfaction'!$C$19="Ozone", 'Filtration System'!AA118*1000000, 0)</f>
        <v>6995735.7102522179</v>
      </c>
      <c r="U154" s="118">
        <f>O154+$F$47+IF('Parameters and Satisfaction'!$C$19="Ozone", 'Filtration System'!AB118*1000000, 0)</f>
        <v>8410460.8229874484</v>
      </c>
      <c r="V154" s="118">
        <f>P154+$F$47+IF('Parameters and Satisfaction'!$C$19="Ozone", 'Filtration System'!AC118*1000000, 0)</f>
        <v>5830353.5760091068</v>
      </c>
      <c r="W154" s="118">
        <f>Q154+$F$47+IF('Parameters and Satisfaction'!$C$19="Ozone", 'Filtration System'!AD118*1000000, 0)</f>
        <v>8410460.8229874484</v>
      </c>
      <c r="X154" s="118">
        <f>R154+$F$47+IF('Parameters and Satisfaction'!$C$19="Ozone", 'Filtration System'!AE118*1000000, 0)</f>
        <v>6220604.4695148971</v>
      </c>
      <c r="Y154" s="118"/>
      <c r="Z154" s="118">
        <f t="shared" si="13"/>
        <v>0.49969540787515843</v>
      </c>
      <c r="AA154" s="118">
        <f t="shared" si="14"/>
        <v>0.6007472016419606</v>
      </c>
      <c r="AB154" s="118">
        <f t="shared" si="15"/>
        <v>0.41645382685779336</v>
      </c>
      <c r="AC154" s="118">
        <f t="shared" si="16"/>
        <v>0.6007472016419606</v>
      </c>
      <c r="AD154" s="118">
        <f t="shared" si="17"/>
        <v>0.44432889067963549</v>
      </c>
      <c r="AE154" s="118"/>
      <c r="AF154" s="118"/>
      <c r="AG154" s="118"/>
      <c r="AK154">
        <f t="shared" si="19"/>
        <v>16450560.000000002</v>
      </c>
      <c r="AL154">
        <f t="shared" si="19"/>
        <v>16450560.000000002</v>
      </c>
      <c r="AM154">
        <f t="shared" si="19"/>
        <v>16450560.000000002</v>
      </c>
      <c r="AN154">
        <f t="shared" si="19"/>
        <v>16450560.000000002</v>
      </c>
      <c r="AO154">
        <f t="shared" si="19"/>
        <v>16450560.000000002</v>
      </c>
    </row>
    <row r="155" spans="1:41">
      <c r="A155" s="185">
        <f>'Water Stuff'!F89</f>
        <v>44646</v>
      </c>
      <c r="B155" s="118">
        <f>'Filtration System'!B119</f>
        <v>40</v>
      </c>
      <c r="C155" s="118">
        <f>'Filtration System'!C119</f>
        <v>6640.0000000000009</v>
      </c>
      <c r="D155" s="118">
        <f>'Filtration System'!D119</f>
        <v>0</v>
      </c>
      <c r="E155" s="118">
        <f>'Filtration System'!E119</f>
        <v>7680.9471331378318</v>
      </c>
      <c r="F155" s="118">
        <f>'Filtration System'!F119</f>
        <v>1721.3766622187766</v>
      </c>
      <c r="G155" s="118"/>
      <c r="H155" s="118">
        <f>B155/1000*(1000*9.81*Pumps!$B$14+'Parameters and Satisfaction'!$B$27)</f>
        <v>10722.12717020385</v>
      </c>
      <c r="I155" s="118">
        <f>C155/1000*(1000*9.81*Pumps!$B$14+'Parameters and Satisfaction'!$B$27)</f>
        <v>1779873.1102538393</v>
      </c>
      <c r="J155" s="118">
        <f>D155/1000*(1000*9.81*Pumps!$B$14+'Parameters and Satisfaction'!$B$27)</f>
        <v>0</v>
      </c>
      <c r="K155" s="118">
        <f>E155/1000*(1000*9.81*Pumps!$B$14+'Parameters and Satisfaction'!$B$27)</f>
        <v>2058902.2987279128</v>
      </c>
      <c r="L155" s="118">
        <f>F155/1000*(1000*9.81*Pumps!$B$14+'Parameters and Satisfaction'!$B$27)</f>
        <v>461420.48700326897</v>
      </c>
      <c r="M155" s="118"/>
      <c r="N155" s="118">
        <f>H155/IF('Parameters and Satisfaction'!$C$13="Pump A", 0.7, IF('Parameters and Satisfaction'!$C$13 = "Pump B", 0.72, 0.65))</f>
        <v>14891.843291949792</v>
      </c>
      <c r="O155" s="118">
        <f>I155/IF('Parameters and Satisfaction'!$C$13="Pump A", 0.7, IF('Parameters and Satisfaction'!$C$13 = "Pump B", 0.72, 0.65))</f>
        <v>2472045.986463666</v>
      </c>
      <c r="P155" s="118">
        <f>J155/IF('Parameters and Satisfaction'!$C$13="Pump A", 0.7, IF('Parameters and Satisfaction'!$C$13 = "Pump B", 0.72, 0.65))</f>
        <v>0</v>
      </c>
      <c r="Q155" s="118">
        <f>K155/IF('Parameters and Satisfaction'!$C$13="Pump A", 0.7, IF('Parameters and Satisfaction'!$C$13 = "Pump B", 0.72, 0.65))</f>
        <v>2859586.5260109901</v>
      </c>
      <c r="R155" s="118">
        <f>L155/IF('Parameters and Satisfaction'!$C$13="Pump A", 0.7, IF('Parameters and Satisfaction'!$C$13 = "Pump B", 0.72, 0.65))</f>
        <v>640861.78750454029</v>
      </c>
      <c r="S155" s="118"/>
      <c r="T155" s="118">
        <f>N155+$F$47+IF('Parameters and Satisfaction'!$C$19="Ozone", 'Filtration System'!AA119*1000000, 0)</f>
        <v>4702391.8432919495</v>
      </c>
      <c r="U155" s="118">
        <f>O155+$F$47+IF('Parameters and Satisfaction'!$C$19="Ozone", 'Filtration System'!AB119*1000000, 0)</f>
        <v>7159545.986463666</v>
      </c>
      <c r="V155" s="118">
        <f>P155+$F$47+IF('Parameters and Satisfaction'!$C$19="Ozone", 'Filtration System'!AC119*1000000, 0)</f>
        <v>4687500</v>
      </c>
      <c r="W155" s="118">
        <f>Q155+$F$47+IF('Parameters and Satisfaction'!$C$19="Ozone", 'Filtration System'!AD119*1000000, 0)</f>
        <v>7547086.5260109901</v>
      </c>
      <c r="X155" s="118">
        <f>R155+$F$47+IF('Parameters and Satisfaction'!$C$19="Ozone", 'Filtration System'!AE119*1000000, 0)</f>
        <v>5328361.7875045408</v>
      </c>
      <c r="Y155" s="118"/>
      <c r="Z155" s="118">
        <f t="shared" si="13"/>
        <v>0.3358851316637107</v>
      </c>
      <c r="AA155" s="118">
        <f t="shared" si="14"/>
        <v>0.51139614189026183</v>
      </c>
      <c r="AB155" s="118">
        <f t="shared" si="15"/>
        <v>0.33482142857142855</v>
      </c>
      <c r="AC155" s="118">
        <f t="shared" si="16"/>
        <v>0.53907760900078505</v>
      </c>
      <c r="AD155" s="118">
        <f t="shared" si="17"/>
        <v>0.38059727053603865</v>
      </c>
      <c r="AE155" s="118"/>
      <c r="AF155" s="118"/>
      <c r="AG155" s="118"/>
      <c r="AK155">
        <f t="shared" si="19"/>
        <v>16450560.000000002</v>
      </c>
      <c r="AL155">
        <f t="shared" si="19"/>
        <v>16450560.000000002</v>
      </c>
      <c r="AM155">
        <f t="shared" si="19"/>
        <v>16450560.000000002</v>
      </c>
      <c r="AN155">
        <f t="shared" si="19"/>
        <v>16450560.000000002</v>
      </c>
      <c r="AO155">
        <f t="shared" si="19"/>
        <v>16450560.000000002</v>
      </c>
    </row>
    <row r="156" spans="1:41">
      <c r="A156" s="185">
        <f>'Water Stuff'!F90</f>
        <v>44647</v>
      </c>
      <c r="B156" s="118">
        <f>'Filtration System'!B120</f>
        <v>880.00000000000011</v>
      </c>
      <c r="C156" s="118">
        <f>'Filtration System'!C120</f>
        <v>5240</v>
      </c>
      <c r="D156" s="118">
        <f>'Filtration System'!D120</f>
        <v>25.097477670321478</v>
      </c>
      <c r="E156" s="118">
        <f>'Filtration System'!E120</f>
        <v>4239.4750348759981</v>
      </c>
      <c r="F156" s="118">
        <f>'Filtration System'!F120</f>
        <v>267.17714392705579</v>
      </c>
      <c r="G156" s="118"/>
      <c r="H156" s="118">
        <f>B156/1000*(1000*9.81*Pumps!$B$14+'Parameters and Satisfaction'!$B$27)</f>
        <v>235886.79774448473</v>
      </c>
      <c r="I156" s="118">
        <f>C156/1000*(1000*9.81*Pumps!$B$14+'Parameters and Satisfaction'!$B$27)</f>
        <v>1404598.6592967045</v>
      </c>
      <c r="J156" s="118">
        <f>D156/1000*(1000*9.81*Pumps!$B$14+'Parameters and Satisfaction'!$B$27)</f>
        <v>6727.4586808134582</v>
      </c>
      <c r="K156" s="118">
        <f>E156/1000*(1000*9.81*Pumps!$B$14+'Parameters and Satisfaction'!$B$27)</f>
        <v>1136404.7614711211</v>
      </c>
      <c r="L156" s="118">
        <f>F156/1000*(1000*9.81*Pumps!$B$14+'Parameters and Satisfaction'!$B$27)</f>
        <v>71617.682853943727</v>
      </c>
      <c r="M156" s="118"/>
      <c r="N156" s="118">
        <f>H156/IF('Parameters and Satisfaction'!$C$13="Pump A", 0.7, IF('Parameters and Satisfaction'!$C$13 = "Pump B", 0.72, 0.65))</f>
        <v>327620.5524228955</v>
      </c>
      <c r="O156" s="118">
        <f>I156/IF('Parameters and Satisfaction'!$C$13="Pump A", 0.7, IF('Parameters and Satisfaction'!$C$13 = "Pump B", 0.72, 0.65))</f>
        <v>1950831.471245423</v>
      </c>
      <c r="P156" s="118">
        <f>J156/IF('Parameters and Satisfaction'!$C$13="Pump A", 0.7, IF('Parameters and Satisfaction'!$C$13 = "Pump B", 0.72, 0.65))</f>
        <v>9343.692612240915</v>
      </c>
      <c r="Q156" s="118">
        <f>K156/IF('Parameters and Satisfaction'!$C$13="Pump A", 0.7, IF('Parameters and Satisfaction'!$C$13 = "Pump B", 0.72, 0.65))</f>
        <v>1578339.9464876682</v>
      </c>
      <c r="R156" s="118">
        <f>L156/IF('Parameters and Satisfaction'!$C$13="Pump A", 0.7, IF('Parameters and Satisfaction'!$C$13 = "Pump B", 0.72, 0.65))</f>
        <v>99469.003963810741</v>
      </c>
      <c r="S156" s="118"/>
      <c r="T156" s="118">
        <f>N156+$F$47+IF('Parameters and Satisfaction'!$C$19="Ozone", 'Filtration System'!AA120*1000000, 0)</f>
        <v>5015120.5524228951</v>
      </c>
      <c r="U156" s="118">
        <f>O156+$F$47+IF('Parameters and Satisfaction'!$C$19="Ozone", 'Filtration System'!AB120*1000000, 0)</f>
        <v>6638331.471245423</v>
      </c>
      <c r="V156" s="118">
        <f>P156+$F$47+IF('Parameters and Satisfaction'!$C$19="Ozone", 'Filtration System'!AC120*1000000, 0)</f>
        <v>4696843.692612241</v>
      </c>
      <c r="W156" s="118">
        <f>Q156+$F$47+IF('Parameters and Satisfaction'!$C$19="Ozone", 'Filtration System'!AD120*1000000, 0)</f>
        <v>6265839.946487668</v>
      </c>
      <c r="X156" s="118">
        <f>R156+$F$47+IF('Parameters and Satisfaction'!$C$19="Ozone", 'Filtration System'!AE120*1000000, 0)</f>
        <v>4786969.0039638104</v>
      </c>
      <c r="Y156" s="118"/>
      <c r="Z156" s="118">
        <f t="shared" si="13"/>
        <v>0.35822289660163537</v>
      </c>
      <c r="AA156" s="118">
        <f t="shared" si="14"/>
        <v>0.47416653366038736</v>
      </c>
      <c r="AB156" s="118">
        <f t="shared" si="15"/>
        <v>0.33548883518658862</v>
      </c>
      <c r="AC156" s="118">
        <f t="shared" si="16"/>
        <v>0.44755999617769054</v>
      </c>
      <c r="AD156" s="118">
        <f t="shared" si="17"/>
        <v>0.34192635742598648</v>
      </c>
      <c r="AE156" s="118"/>
      <c r="AF156" s="118"/>
      <c r="AG156" s="118"/>
      <c r="AK156">
        <f t="shared" si="19"/>
        <v>16450560.000000002</v>
      </c>
      <c r="AL156">
        <f t="shared" si="19"/>
        <v>16450560.000000002</v>
      </c>
      <c r="AM156">
        <f t="shared" si="19"/>
        <v>16450560.000000002</v>
      </c>
      <c r="AN156">
        <f t="shared" si="19"/>
        <v>16450560.000000002</v>
      </c>
      <c r="AO156">
        <f t="shared" si="19"/>
        <v>16450560.000000002</v>
      </c>
    </row>
    <row r="157" spans="1:41">
      <c r="A157" s="185">
        <f>'Water Stuff'!F91</f>
        <v>44648</v>
      </c>
      <c r="B157" s="118">
        <f>'Filtration System'!B121</f>
        <v>4720</v>
      </c>
      <c r="C157" s="118">
        <f>'Filtration System'!C121</f>
        <v>10000</v>
      </c>
      <c r="D157" s="118">
        <f>'Filtration System'!D121</f>
        <v>4739.514869804806</v>
      </c>
      <c r="E157" s="118">
        <f>'Filtration System'!E121</f>
        <v>10000</v>
      </c>
      <c r="F157" s="118">
        <f>'Filtration System'!F121</f>
        <v>4342.9626963984119</v>
      </c>
      <c r="G157" s="118"/>
      <c r="H157" s="118">
        <f>B157/1000*(1000*9.81*Pumps!$B$14+'Parameters and Satisfaction'!$B$27)</f>
        <v>1265211.0060840542</v>
      </c>
      <c r="I157" s="118">
        <f>C157/1000*(1000*9.81*Pumps!$B$14+'Parameters and Satisfaction'!$B$27)</f>
        <v>2680531.7925509624</v>
      </c>
      <c r="J157" s="118">
        <f>D157/1000*(1000*9.81*Pumps!$B$14+'Parameters and Satisfaction'!$B$27)</f>
        <v>1270442.0289779818</v>
      </c>
      <c r="K157" s="118">
        <f>E157/1000*(1000*9.81*Pumps!$B$14+'Parameters and Satisfaction'!$B$27)</f>
        <v>2680531.7925509624</v>
      </c>
      <c r="L157" s="118">
        <f>F157/1000*(1000*9.81*Pumps!$B$14+'Parameters and Satisfaction'!$B$27)</f>
        <v>1164144.9581558795</v>
      </c>
      <c r="M157" s="118"/>
      <c r="N157" s="118">
        <f>H157/IF('Parameters and Satisfaction'!$C$13="Pump A", 0.7, IF('Parameters and Satisfaction'!$C$13 = "Pump B", 0.72, 0.65))</f>
        <v>1757237.5084500755</v>
      </c>
      <c r="O157" s="118">
        <f>I157/IF('Parameters and Satisfaction'!$C$13="Pump A", 0.7, IF('Parameters and Satisfaction'!$C$13 = "Pump B", 0.72, 0.65))</f>
        <v>3722960.822987448</v>
      </c>
      <c r="P157" s="118">
        <f>J157/IF('Parameters and Satisfaction'!$C$13="Pump A", 0.7, IF('Parameters and Satisfaction'!$C$13 = "Pump B", 0.72, 0.65))</f>
        <v>1764502.8180249748</v>
      </c>
      <c r="Q157" s="118">
        <f>K157/IF('Parameters and Satisfaction'!$C$13="Pump A", 0.7, IF('Parameters and Satisfaction'!$C$13 = "Pump B", 0.72, 0.65))</f>
        <v>3722960.822987448</v>
      </c>
      <c r="R157" s="118">
        <f>L157/IF('Parameters and Satisfaction'!$C$13="Pump A", 0.7, IF('Parameters and Satisfaction'!$C$13 = "Pump B", 0.72, 0.65))</f>
        <v>1616867.9974387216</v>
      </c>
      <c r="S157" s="118"/>
      <c r="T157" s="118">
        <f>N157+$F$47+IF('Parameters and Satisfaction'!$C$19="Ozone", 'Filtration System'!AA121*1000000, 0)</f>
        <v>6444737.508450076</v>
      </c>
      <c r="U157" s="118">
        <f>O157+$F$47+IF('Parameters and Satisfaction'!$C$19="Ozone", 'Filtration System'!AB121*1000000, 0)</f>
        <v>8410460.8229874484</v>
      </c>
      <c r="V157" s="118">
        <f>P157+$F$47+IF('Parameters and Satisfaction'!$C$19="Ozone", 'Filtration System'!AC121*1000000, 0)</f>
        <v>6452002.8180249743</v>
      </c>
      <c r="W157" s="118">
        <f>Q157+$F$47+IF('Parameters and Satisfaction'!$C$19="Ozone", 'Filtration System'!AD121*1000000, 0)</f>
        <v>8410460.8229874484</v>
      </c>
      <c r="X157" s="118">
        <f>R157+$F$47+IF('Parameters and Satisfaction'!$C$19="Ozone", 'Filtration System'!AE121*1000000, 0)</f>
        <v>6304367.9974387214</v>
      </c>
      <c r="Y157" s="118"/>
      <c r="Z157" s="118">
        <f t="shared" si="13"/>
        <v>0.4603383934607197</v>
      </c>
      <c r="AA157" s="118">
        <f t="shared" si="14"/>
        <v>0.6007472016419606</v>
      </c>
      <c r="AB157" s="118">
        <f t="shared" si="15"/>
        <v>0.46085734414464102</v>
      </c>
      <c r="AC157" s="118">
        <f t="shared" si="16"/>
        <v>0.6007472016419606</v>
      </c>
      <c r="AD157" s="118">
        <f t="shared" si="17"/>
        <v>0.4503119998170515</v>
      </c>
      <c r="AE157" s="118"/>
      <c r="AF157" s="118"/>
      <c r="AG157" s="118"/>
      <c r="AK157">
        <f t="shared" si="19"/>
        <v>16450560.000000002</v>
      </c>
      <c r="AL157">
        <f t="shared" si="19"/>
        <v>16450560.000000002</v>
      </c>
      <c r="AM157">
        <f t="shared" si="19"/>
        <v>16450560.000000002</v>
      </c>
      <c r="AN157">
        <f t="shared" si="19"/>
        <v>16450560.000000002</v>
      </c>
      <c r="AO157">
        <f t="shared" si="19"/>
        <v>16450560.000000002</v>
      </c>
    </row>
    <row r="158" spans="1:41">
      <c r="A158" s="185">
        <f>'Water Stuff'!F92</f>
        <v>44649</v>
      </c>
      <c r="B158" s="118">
        <f>'Filtration System'!B122</f>
        <v>8320</v>
      </c>
      <c r="C158" s="118">
        <f>'Filtration System'!C122</f>
        <v>2000</v>
      </c>
      <c r="D158" s="118">
        <f>'Filtration System'!D122</f>
        <v>7396.8684896840587</v>
      </c>
      <c r="E158" s="118">
        <f>'Filtration System'!E122</f>
        <v>407.83372257972161</v>
      </c>
      <c r="F158" s="118">
        <f>'Filtration System'!F122</f>
        <v>4691.9921719231115</v>
      </c>
      <c r="G158" s="118"/>
      <c r="H158" s="118">
        <f>B158/1000*(1000*9.81*Pumps!$B$14+'Parameters and Satisfaction'!$B$27)</f>
        <v>2230202.4514024006</v>
      </c>
      <c r="I158" s="118">
        <f>C158/1000*(1000*9.81*Pumps!$B$14+'Parameters and Satisfaction'!$B$27)</f>
        <v>536106.35851019248</v>
      </c>
      <c r="J158" s="118">
        <f>D158/1000*(1000*9.81*Pumps!$B$14+'Parameters and Satisfaction'!$B$27)</f>
        <v>1982754.1151916541</v>
      </c>
      <c r="K158" s="118">
        <f>E158/1000*(1000*9.81*Pumps!$B$14+'Parameters and Satisfaction'!$B$27)</f>
        <v>109321.12594493531</v>
      </c>
      <c r="L158" s="118">
        <f>F158/1000*(1000*9.81*Pumps!$B$14+'Parameters and Satisfaction'!$B$27)</f>
        <v>1257703.4187240142</v>
      </c>
      <c r="M158" s="118"/>
      <c r="N158" s="118">
        <f>H158/IF('Parameters and Satisfaction'!$C$13="Pump A", 0.7, IF('Parameters and Satisfaction'!$C$13 = "Pump B", 0.72, 0.65))</f>
        <v>3097503.4047255567</v>
      </c>
      <c r="O158" s="118">
        <f>I158/IF('Parameters and Satisfaction'!$C$13="Pump A", 0.7, IF('Parameters and Satisfaction'!$C$13 = "Pump B", 0.72, 0.65))</f>
        <v>744592.16459748964</v>
      </c>
      <c r="P158" s="118">
        <f>J158/IF('Parameters and Satisfaction'!$C$13="Pump A", 0.7, IF('Parameters and Satisfaction'!$C$13 = "Pump B", 0.72, 0.65))</f>
        <v>2753825.1599884084</v>
      </c>
      <c r="Q158" s="118">
        <f>K158/IF('Parameters and Satisfaction'!$C$13="Pump A", 0.7, IF('Parameters and Satisfaction'!$C$13 = "Pump B", 0.72, 0.65))</f>
        <v>151834.89714574348</v>
      </c>
      <c r="R158" s="118">
        <f>L158/IF('Parameters and Satisfaction'!$C$13="Pump A", 0.7, IF('Parameters and Satisfaction'!$C$13 = "Pump B", 0.72, 0.65))</f>
        <v>1746810.3037833532</v>
      </c>
      <c r="S158" s="118"/>
      <c r="T158" s="118">
        <f>N158+$F$47+IF('Parameters and Satisfaction'!$C$19="Ozone", 'Filtration System'!AA122*1000000, 0)</f>
        <v>7785003.4047255572</v>
      </c>
      <c r="U158" s="118">
        <f>O158+$F$47+IF('Parameters and Satisfaction'!$C$19="Ozone", 'Filtration System'!AB122*1000000, 0)</f>
        <v>5432092.1645974899</v>
      </c>
      <c r="V158" s="118">
        <f>P158+$F$47+IF('Parameters and Satisfaction'!$C$19="Ozone", 'Filtration System'!AC122*1000000, 0)</f>
        <v>7441325.1599884089</v>
      </c>
      <c r="W158" s="118">
        <f>Q158+$F$47+IF('Parameters and Satisfaction'!$C$19="Ozone", 'Filtration System'!AD122*1000000, 0)</f>
        <v>4839334.8971457435</v>
      </c>
      <c r="X158" s="118">
        <f>R158+$F$47+IF('Parameters and Satisfaction'!$C$19="Ozone", 'Filtration System'!AE122*1000000, 0)</f>
        <v>6434310.3037833534</v>
      </c>
      <c r="Y158" s="118"/>
      <c r="Z158" s="118">
        <f t="shared" si="13"/>
        <v>0.55607167176611128</v>
      </c>
      <c r="AA158" s="118">
        <f t="shared" si="14"/>
        <v>0.38800658318553499</v>
      </c>
      <c r="AB158" s="118">
        <f t="shared" si="15"/>
        <v>0.53152322571345778</v>
      </c>
      <c r="AC158" s="118">
        <f t="shared" si="16"/>
        <v>0.34566677836755311</v>
      </c>
      <c r="AD158" s="118">
        <f t="shared" si="17"/>
        <v>0.4595935931273824</v>
      </c>
      <c r="AE158" s="118"/>
      <c r="AF158" s="118"/>
      <c r="AG158" s="118"/>
      <c r="AK158">
        <f t="shared" si="19"/>
        <v>16450560.000000002</v>
      </c>
      <c r="AL158">
        <f t="shared" si="19"/>
        <v>16450560.000000002</v>
      </c>
      <c r="AM158">
        <f t="shared" si="19"/>
        <v>16450560.000000002</v>
      </c>
      <c r="AN158">
        <f t="shared" si="19"/>
        <v>16450560.000000002</v>
      </c>
      <c r="AO158">
        <f t="shared" si="19"/>
        <v>16450560.000000002</v>
      </c>
    </row>
    <row r="159" spans="1:41">
      <c r="A159" s="185">
        <f>'Water Stuff'!F93</f>
        <v>44650</v>
      </c>
      <c r="B159" s="118">
        <f>'Filtration System'!B123</f>
        <v>600</v>
      </c>
      <c r="C159" s="118">
        <f>'Filtration System'!C123</f>
        <v>7540.0000000000009</v>
      </c>
      <c r="D159" s="118">
        <f>'Filtration System'!D123</f>
        <v>0</v>
      </c>
      <c r="E159" s="118">
        <f>'Filtration System'!E123</f>
        <v>4789.7577491582242</v>
      </c>
      <c r="F159" s="118">
        <f>'Filtration System'!F123</f>
        <v>0</v>
      </c>
      <c r="G159" s="118"/>
      <c r="H159" s="118">
        <f>B159/1000*(1000*9.81*Pumps!$B$14+'Parameters and Satisfaction'!$B$27)</f>
        <v>160831.90755305774</v>
      </c>
      <c r="I159" s="118">
        <f>C159/1000*(1000*9.81*Pumps!$B$14+'Parameters and Satisfaction'!$B$27)</f>
        <v>2021120.971583426</v>
      </c>
      <c r="J159" s="118">
        <f>D159/1000*(1000*9.81*Pumps!$B$14+'Parameters and Satisfaction'!$B$27)</f>
        <v>0</v>
      </c>
      <c r="K159" s="118">
        <f>E159/1000*(1000*9.81*Pumps!$B$14+'Parameters and Satisfaction'!$B$27)</f>
        <v>1283909.7925235957</v>
      </c>
      <c r="L159" s="118">
        <f>F159/1000*(1000*9.81*Pumps!$B$14+'Parameters and Satisfaction'!$B$27)</f>
        <v>0</v>
      </c>
      <c r="M159" s="118"/>
      <c r="N159" s="118">
        <f>H159/IF('Parameters and Satisfaction'!$C$13="Pump A", 0.7, IF('Parameters and Satisfaction'!$C$13 = "Pump B", 0.72, 0.65))</f>
        <v>223377.64937924687</v>
      </c>
      <c r="O159" s="118">
        <f>I159/IF('Parameters and Satisfaction'!$C$13="Pump A", 0.7, IF('Parameters and Satisfaction'!$C$13 = "Pump B", 0.72, 0.65))</f>
        <v>2807112.4605325363</v>
      </c>
      <c r="P159" s="118">
        <f>J159/IF('Parameters and Satisfaction'!$C$13="Pump A", 0.7, IF('Parameters and Satisfaction'!$C$13 = "Pump B", 0.72, 0.65))</f>
        <v>0</v>
      </c>
      <c r="Q159" s="118">
        <f>K159/IF('Parameters and Satisfaction'!$C$13="Pump A", 0.7, IF('Parameters and Satisfaction'!$C$13 = "Pump B", 0.72, 0.65))</f>
        <v>1783208.0451716608</v>
      </c>
      <c r="R159" s="118">
        <f>L159/IF('Parameters and Satisfaction'!$C$13="Pump A", 0.7, IF('Parameters and Satisfaction'!$C$13 = "Pump B", 0.72, 0.65))</f>
        <v>0</v>
      </c>
      <c r="S159" s="118"/>
      <c r="T159" s="118">
        <f>N159+$F$47+IF('Parameters and Satisfaction'!$C$19="Ozone", 'Filtration System'!AA123*1000000, 0)</f>
        <v>4910877.6493792469</v>
      </c>
      <c r="U159" s="118">
        <f>O159+$F$47+IF('Parameters and Satisfaction'!$C$19="Ozone", 'Filtration System'!AB123*1000000, 0)</f>
        <v>7494612.4605325367</v>
      </c>
      <c r="V159" s="118">
        <f>P159+$F$47+IF('Parameters and Satisfaction'!$C$19="Ozone", 'Filtration System'!AC123*1000000, 0)</f>
        <v>4687500</v>
      </c>
      <c r="W159" s="118">
        <f>Q159+$F$47+IF('Parameters and Satisfaction'!$C$19="Ozone", 'Filtration System'!AD123*1000000, 0)</f>
        <v>6470708.0451716613</v>
      </c>
      <c r="X159" s="118">
        <f>R159+$F$47+IF('Parameters and Satisfaction'!$C$19="Ozone", 'Filtration System'!AE123*1000000, 0)</f>
        <v>4687500</v>
      </c>
      <c r="Y159" s="118"/>
      <c r="Z159" s="118">
        <f t="shared" si="13"/>
        <v>0.35077697495566051</v>
      </c>
      <c r="AA159" s="118">
        <f t="shared" si="14"/>
        <v>0.53532946146660976</v>
      </c>
      <c r="AB159" s="118">
        <f t="shared" si="15"/>
        <v>0.33482142857142855</v>
      </c>
      <c r="AC159" s="118">
        <f t="shared" si="16"/>
        <v>0.46219343179797578</v>
      </c>
      <c r="AD159" s="118">
        <f t="shared" si="17"/>
        <v>0.33482142857142855</v>
      </c>
      <c r="AE159" s="118"/>
      <c r="AF159" s="118"/>
      <c r="AG159" s="118"/>
      <c r="AK159">
        <f t="shared" si="19"/>
        <v>16450560.000000002</v>
      </c>
      <c r="AL159">
        <f t="shared" si="19"/>
        <v>16450560.000000002</v>
      </c>
      <c r="AM159">
        <f t="shared" si="19"/>
        <v>16450560.000000002</v>
      </c>
      <c r="AN159">
        <f t="shared" si="19"/>
        <v>16450560.000000002</v>
      </c>
      <c r="AO159">
        <f t="shared" si="19"/>
        <v>16450560.000000002</v>
      </c>
    </row>
    <row r="160" spans="1:41">
      <c r="A160" s="185">
        <f>'Water Stuff'!F94</f>
        <v>44651</v>
      </c>
      <c r="B160" s="118">
        <f>'Filtration System'!B124</f>
        <v>0</v>
      </c>
      <c r="C160" s="118">
        <f>'Filtration System'!C124</f>
        <v>2320</v>
      </c>
      <c r="D160" s="118">
        <f>'Filtration System'!D124</f>
        <v>1219.5601119174694</v>
      </c>
      <c r="E160" s="118">
        <f>'Filtration System'!E124</f>
        <v>2693.29983108326</v>
      </c>
      <c r="F160" s="118">
        <f>'Filtration System'!F124</f>
        <v>1343.2343789158469</v>
      </c>
      <c r="G160" s="118"/>
      <c r="H160" s="118">
        <f>B160/1000*(1000*9.81*Pumps!$B$14+'Parameters and Satisfaction'!$B$27)</f>
        <v>0</v>
      </c>
      <c r="I160" s="118">
        <f>C160/1000*(1000*9.81*Pumps!$B$14+'Parameters and Satisfaction'!$B$27)</f>
        <v>621883.37587182329</v>
      </c>
      <c r="J160" s="118">
        <f>D160/1000*(1000*9.81*Pumps!$B$14+'Parameters and Satisfaction'!$B$27)</f>
        <v>326906.96529217868</v>
      </c>
      <c r="K160" s="118">
        <f>E160/1000*(1000*9.81*Pumps!$B$14+'Parameters and Satisfaction'!$B$27)</f>
        <v>721947.58240908151</v>
      </c>
      <c r="L160" s="118">
        <f>F160/1000*(1000*9.81*Pumps!$B$14+'Parameters and Satisfaction'!$B$27)</f>
        <v>360058.24575313739</v>
      </c>
      <c r="M160" s="118"/>
      <c r="N160" s="118">
        <f>H160/IF('Parameters and Satisfaction'!$C$13="Pump A", 0.7, IF('Parameters and Satisfaction'!$C$13 = "Pump B", 0.72, 0.65))</f>
        <v>0</v>
      </c>
      <c r="O160" s="118">
        <f>I160/IF('Parameters and Satisfaction'!$C$13="Pump A", 0.7, IF('Parameters and Satisfaction'!$C$13 = "Pump B", 0.72, 0.65))</f>
        <v>863726.91093308793</v>
      </c>
      <c r="P160" s="118">
        <f>J160/IF('Parameters and Satisfaction'!$C$13="Pump A", 0.7, IF('Parameters and Satisfaction'!$C$13 = "Pump B", 0.72, 0.65))</f>
        <v>454037.45179469261</v>
      </c>
      <c r="Q160" s="118">
        <f>K160/IF('Parameters and Satisfaction'!$C$13="Pump A", 0.7, IF('Parameters and Satisfaction'!$C$13 = "Pump B", 0.72, 0.65))</f>
        <v>1002704.9755681688</v>
      </c>
      <c r="R160" s="118">
        <f>L160/IF('Parameters and Satisfaction'!$C$13="Pump A", 0.7, IF('Parameters and Satisfaction'!$C$13 = "Pump B", 0.72, 0.65))</f>
        <v>500080.89687935752</v>
      </c>
      <c r="S160" s="118"/>
      <c r="T160" s="118">
        <f>N160+$F$47+IF('Parameters and Satisfaction'!$C$19="Ozone", 'Filtration System'!AA124*1000000, 0)</f>
        <v>4687500</v>
      </c>
      <c r="U160" s="118">
        <f>O160+$F$47+IF('Parameters and Satisfaction'!$C$19="Ozone", 'Filtration System'!AB124*1000000, 0)</f>
        <v>5551226.9109330876</v>
      </c>
      <c r="V160" s="118">
        <f>P160+$F$47+IF('Parameters and Satisfaction'!$C$19="Ozone", 'Filtration System'!AC124*1000000, 0)</f>
        <v>5141537.4517946923</v>
      </c>
      <c r="W160" s="118">
        <f>Q160+$F$47+IF('Parameters and Satisfaction'!$C$19="Ozone", 'Filtration System'!AD124*1000000, 0)</f>
        <v>5690204.9755681688</v>
      </c>
      <c r="X160" s="118">
        <f>R160+$F$47+IF('Parameters and Satisfaction'!$C$19="Ozone", 'Filtration System'!AE124*1000000, 0)</f>
        <v>5187580.8968793573</v>
      </c>
      <c r="Y160" s="118"/>
      <c r="Z160" s="118">
        <f t="shared" si="13"/>
        <v>0.33482142857142855</v>
      </c>
      <c r="AA160" s="118">
        <f t="shared" si="14"/>
        <v>0.396516207923792</v>
      </c>
      <c r="AB160" s="118">
        <f t="shared" si="15"/>
        <v>0.36725267512819232</v>
      </c>
      <c r="AC160" s="118">
        <f t="shared" si="16"/>
        <v>0.40644321254058347</v>
      </c>
      <c r="AD160" s="118">
        <f t="shared" si="17"/>
        <v>0.3705414926342398</v>
      </c>
      <c r="AE160" s="118"/>
      <c r="AF160" s="118"/>
      <c r="AG160" s="118"/>
      <c r="AK160">
        <f t="shared" si="19"/>
        <v>16450560.000000002</v>
      </c>
      <c r="AL160">
        <f t="shared" si="19"/>
        <v>16450560.000000002</v>
      </c>
      <c r="AM160">
        <f t="shared" si="19"/>
        <v>16450560.000000002</v>
      </c>
      <c r="AN160">
        <f t="shared" si="19"/>
        <v>16450560.000000002</v>
      </c>
      <c r="AO160">
        <f t="shared" si="19"/>
        <v>16450560.000000002</v>
      </c>
    </row>
    <row r="161" spans="1:41">
      <c r="A161" s="185">
        <f>'Water Stuff'!F95</f>
        <v>44652</v>
      </c>
      <c r="B161" s="118">
        <f>'Filtration System'!B125</f>
        <v>0</v>
      </c>
      <c r="C161" s="118">
        <f>'Filtration System'!C125</f>
        <v>0</v>
      </c>
      <c r="D161" s="118">
        <f>'Filtration System'!D125</f>
        <v>0</v>
      </c>
      <c r="E161" s="118">
        <f>'Filtration System'!E125</f>
        <v>0</v>
      </c>
      <c r="F161" s="118">
        <f>'Filtration System'!F125</f>
        <v>0</v>
      </c>
      <c r="G161" s="118"/>
      <c r="H161" s="118">
        <f>B161/1000*(1000*9.81*Pumps!$B$14+'Parameters and Satisfaction'!$B$27)</f>
        <v>0</v>
      </c>
      <c r="I161" s="118">
        <f>C161/1000*(1000*9.81*Pumps!$B$14+'Parameters and Satisfaction'!$B$27)</f>
        <v>0</v>
      </c>
      <c r="J161" s="118">
        <f>D161/1000*(1000*9.81*Pumps!$B$14+'Parameters and Satisfaction'!$B$27)</f>
        <v>0</v>
      </c>
      <c r="K161" s="118">
        <f>E161/1000*(1000*9.81*Pumps!$B$14+'Parameters and Satisfaction'!$B$27)</f>
        <v>0</v>
      </c>
      <c r="L161" s="118">
        <f>F161/1000*(1000*9.81*Pumps!$B$14+'Parameters and Satisfaction'!$B$27)</f>
        <v>0</v>
      </c>
      <c r="M161" s="118"/>
      <c r="N161" s="118">
        <f>H161/IF('Parameters and Satisfaction'!$C$13="Pump A", 0.7, IF('Parameters and Satisfaction'!$C$13 = "Pump B", 0.72, 0.65))</f>
        <v>0</v>
      </c>
      <c r="O161" s="118">
        <f>I161/IF('Parameters and Satisfaction'!$C$13="Pump A", 0.7, IF('Parameters and Satisfaction'!$C$13 = "Pump B", 0.72, 0.65))</f>
        <v>0</v>
      </c>
      <c r="P161" s="118">
        <f>J161/IF('Parameters and Satisfaction'!$C$13="Pump A", 0.7, IF('Parameters and Satisfaction'!$C$13 = "Pump B", 0.72, 0.65))</f>
        <v>0</v>
      </c>
      <c r="Q161" s="118">
        <f>K161/IF('Parameters and Satisfaction'!$C$13="Pump A", 0.7, IF('Parameters and Satisfaction'!$C$13 = "Pump B", 0.72, 0.65))</f>
        <v>0</v>
      </c>
      <c r="R161" s="118">
        <f>L161/IF('Parameters and Satisfaction'!$C$13="Pump A", 0.7, IF('Parameters and Satisfaction'!$C$13 = "Pump B", 0.72, 0.65))</f>
        <v>0</v>
      </c>
      <c r="S161" s="118"/>
      <c r="T161" s="118">
        <f>N161+$F$47+IF('Parameters and Satisfaction'!$C$19="Ozone", 'Filtration System'!AA125*1000000, 0)</f>
        <v>4687500</v>
      </c>
      <c r="U161" s="118">
        <f>O161+$F$47+IF('Parameters and Satisfaction'!$C$19="Ozone", 'Filtration System'!AB125*1000000, 0)</f>
        <v>4687500</v>
      </c>
      <c r="V161" s="118">
        <f>P161+$F$47+IF('Parameters and Satisfaction'!$C$19="Ozone", 'Filtration System'!AC125*1000000, 0)</f>
        <v>4687500</v>
      </c>
      <c r="W161" s="118">
        <f>Q161+$F$47+IF('Parameters and Satisfaction'!$C$19="Ozone", 'Filtration System'!AD125*1000000, 0)</f>
        <v>4687500</v>
      </c>
      <c r="X161" s="118">
        <f>R161+$F$47+IF('Parameters and Satisfaction'!$C$19="Ozone", 'Filtration System'!AE125*1000000, 0)</f>
        <v>4687500</v>
      </c>
      <c r="Y161" s="118"/>
      <c r="Z161" s="118">
        <f t="shared" si="13"/>
        <v>0.33482142857142855</v>
      </c>
      <c r="AA161" s="118">
        <f t="shared" si="14"/>
        <v>0.33482142857142855</v>
      </c>
      <c r="AB161" s="118">
        <f t="shared" si="15"/>
        <v>0.33482142857142855</v>
      </c>
      <c r="AC161" s="118">
        <f t="shared" si="16"/>
        <v>0.33482142857142855</v>
      </c>
      <c r="AD161" s="118">
        <f t="shared" si="17"/>
        <v>0.33482142857142855</v>
      </c>
      <c r="AE161" s="118"/>
      <c r="AF161" s="118"/>
      <c r="AG161" s="118"/>
      <c r="AK161">
        <f t="shared" ref="AK161:AO170" si="20">$D$58</f>
        <v>18506880</v>
      </c>
      <c r="AL161">
        <f t="shared" si="20"/>
        <v>18506880</v>
      </c>
      <c r="AM161">
        <f t="shared" si="20"/>
        <v>18506880</v>
      </c>
      <c r="AN161">
        <f t="shared" si="20"/>
        <v>18506880</v>
      </c>
      <c r="AO161">
        <f t="shared" si="20"/>
        <v>18506880</v>
      </c>
    </row>
    <row r="162" spans="1:41">
      <c r="A162" s="185">
        <f>'Water Stuff'!F96</f>
        <v>44653</v>
      </c>
      <c r="B162" s="118">
        <f>'Filtration System'!B126</f>
        <v>1120</v>
      </c>
      <c r="C162" s="118">
        <f>'Filtration System'!C126</f>
        <v>6740.0000000000009</v>
      </c>
      <c r="D162" s="118">
        <f>'Filtration System'!D126</f>
        <v>898.94935669706479</v>
      </c>
      <c r="E162" s="118">
        <f>'Filtration System'!E126</f>
        <v>5294.7791403435021</v>
      </c>
      <c r="F162" s="118">
        <f>'Filtration System'!F126</f>
        <v>29.252886324259819</v>
      </c>
      <c r="G162" s="118"/>
      <c r="H162" s="118">
        <f>B162/1000*(1000*9.81*Pumps!$B$14+'Parameters and Satisfaction'!$B$27)</f>
        <v>300219.56076570781</v>
      </c>
      <c r="I162" s="118">
        <f>C162/1000*(1000*9.81*Pumps!$B$14+'Parameters and Satisfaction'!$B$27)</f>
        <v>1806678.4281793491</v>
      </c>
      <c r="J162" s="118">
        <f>D162/1000*(1000*9.81*Pumps!$B$14+'Parameters and Satisfaction'!$B$27)</f>
        <v>240966.23305197177</v>
      </c>
      <c r="K162" s="118">
        <f>E162/1000*(1000*9.81*Pumps!$B$14+'Parameters and Satisfaction'!$B$27)</f>
        <v>1419282.3820226411</v>
      </c>
      <c r="L162" s="118">
        <f>F162/1000*(1000*9.81*Pumps!$B$14+'Parameters and Satisfaction'!$B$27)</f>
        <v>7841.3291816057708</v>
      </c>
      <c r="M162" s="118"/>
      <c r="N162" s="118">
        <f>H162/IF('Parameters and Satisfaction'!$C$13="Pump A", 0.7, IF('Parameters and Satisfaction'!$C$13 = "Pump B", 0.72, 0.65))</f>
        <v>416971.61217459419</v>
      </c>
      <c r="O162" s="118">
        <f>I162/IF('Parameters and Satisfaction'!$C$13="Pump A", 0.7, IF('Parameters and Satisfaction'!$C$13 = "Pump B", 0.72, 0.65))</f>
        <v>2509275.5946935406</v>
      </c>
      <c r="P162" s="118">
        <f>J162/IF('Parameters and Satisfaction'!$C$13="Pump A", 0.7, IF('Parameters and Satisfaction'!$C$13 = "Pump B", 0.72, 0.65))</f>
        <v>334675.32368329412</v>
      </c>
      <c r="Q162" s="118">
        <f>K162/IF('Parameters and Satisfaction'!$C$13="Pump A", 0.7, IF('Parameters and Satisfaction'!$C$13 = "Pump B", 0.72, 0.65))</f>
        <v>1971225.5305870017</v>
      </c>
      <c r="R162" s="118">
        <f>L162/IF('Parameters and Satisfaction'!$C$13="Pump A", 0.7, IF('Parameters and Satisfaction'!$C$13 = "Pump B", 0.72, 0.65))</f>
        <v>10890.73497445246</v>
      </c>
      <c r="S162" s="118"/>
      <c r="T162" s="118">
        <f>N162+$F$47+IF('Parameters and Satisfaction'!$C$19="Ozone", 'Filtration System'!AA126*1000000, 0)</f>
        <v>5104471.6121745938</v>
      </c>
      <c r="U162" s="118">
        <f>O162+$F$47+IF('Parameters and Satisfaction'!$C$19="Ozone", 'Filtration System'!AB126*1000000, 0)</f>
        <v>7196775.5946935406</v>
      </c>
      <c r="V162" s="118">
        <f>P162+$F$47+IF('Parameters and Satisfaction'!$C$19="Ozone", 'Filtration System'!AC126*1000000, 0)</f>
        <v>5022175.3236832945</v>
      </c>
      <c r="W162" s="118">
        <f>Q162+$F$47+IF('Parameters and Satisfaction'!$C$19="Ozone", 'Filtration System'!AD126*1000000, 0)</f>
        <v>6658725.5305870017</v>
      </c>
      <c r="X162" s="118">
        <f>R162+$F$47+IF('Parameters and Satisfaction'!$C$19="Ozone", 'Filtration System'!AE126*1000000, 0)</f>
        <v>4698390.7349744523</v>
      </c>
      <c r="Y162" s="118"/>
      <c r="Z162" s="118">
        <f t="shared" si="13"/>
        <v>0.36460511515532812</v>
      </c>
      <c r="AA162" s="118">
        <f t="shared" si="14"/>
        <v>0.51405539962096714</v>
      </c>
      <c r="AB162" s="118">
        <f t="shared" si="15"/>
        <v>0.35872680883452102</v>
      </c>
      <c r="AC162" s="118">
        <f t="shared" si="16"/>
        <v>0.47562325218478585</v>
      </c>
      <c r="AD162" s="118">
        <f t="shared" si="17"/>
        <v>0.33559933821246085</v>
      </c>
      <c r="AE162" s="118"/>
      <c r="AF162" s="118"/>
      <c r="AG162" s="118"/>
      <c r="AK162">
        <f t="shared" si="20"/>
        <v>18506880</v>
      </c>
      <c r="AL162">
        <f t="shared" si="20"/>
        <v>18506880</v>
      </c>
      <c r="AM162">
        <f t="shared" si="20"/>
        <v>18506880</v>
      </c>
      <c r="AN162">
        <f t="shared" si="20"/>
        <v>18506880</v>
      </c>
      <c r="AO162">
        <f t="shared" si="20"/>
        <v>18506880</v>
      </c>
    </row>
    <row r="163" spans="1:41">
      <c r="A163" s="185">
        <f>'Water Stuff'!F97</f>
        <v>44654</v>
      </c>
      <c r="B163" s="118">
        <f>'Filtration System'!B127</f>
        <v>4079.9999999999991</v>
      </c>
      <c r="C163" s="118">
        <f>'Filtration System'!C127</f>
        <v>1800</v>
      </c>
      <c r="D163" s="118">
        <f>'Filtration System'!D127</f>
        <v>2691.7046106085481</v>
      </c>
      <c r="E163" s="118">
        <f>'Filtration System'!E127</f>
        <v>0</v>
      </c>
      <c r="F163" s="118">
        <f>'Filtration System'!F127</f>
        <v>4452.7367553051699</v>
      </c>
      <c r="G163" s="118"/>
      <c r="H163" s="118">
        <f>B163/1000*(1000*9.81*Pumps!$B$14+'Parameters and Satisfaction'!$B$27)</f>
        <v>1093656.9713607924</v>
      </c>
      <c r="I163" s="118">
        <f>C163/1000*(1000*9.81*Pumps!$B$14+'Parameters and Satisfaction'!$B$27)</f>
        <v>482495.72265917325</v>
      </c>
      <c r="J163" s="118">
        <f>D163/1000*(1000*9.81*Pumps!$B$14+'Parameters and Satisfaction'!$B$27)</f>
        <v>721519.97848922224</v>
      </c>
      <c r="K163" s="118">
        <f>E163/1000*(1000*9.81*Pumps!$B$14+'Parameters and Satisfaction'!$B$27)</f>
        <v>0</v>
      </c>
      <c r="L163" s="118">
        <f>F163/1000*(1000*9.81*Pumps!$B$14+'Parameters and Satisfaction'!$B$27)</f>
        <v>1193570.2436455723</v>
      </c>
      <c r="M163" s="118"/>
      <c r="N163" s="118">
        <f>H163/IF('Parameters and Satisfaction'!$C$13="Pump A", 0.7, IF('Parameters and Satisfaction'!$C$13 = "Pump B", 0.72, 0.65))</f>
        <v>1518968.0157788785</v>
      </c>
      <c r="O163" s="118">
        <f>I163/IF('Parameters and Satisfaction'!$C$13="Pump A", 0.7, IF('Parameters and Satisfaction'!$C$13 = "Pump B", 0.72, 0.65))</f>
        <v>670132.9481377406</v>
      </c>
      <c r="P163" s="118">
        <f>J163/IF('Parameters and Satisfaction'!$C$13="Pump A", 0.7, IF('Parameters and Satisfaction'!$C$13 = "Pump B", 0.72, 0.65))</f>
        <v>1002111.0812350309</v>
      </c>
      <c r="Q163" s="118">
        <f>K163/IF('Parameters and Satisfaction'!$C$13="Pump A", 0.7, IF('Parameters and Satisfaction'!$C$13 = "Pump B", 0.72, 0.65))</f>
        <v>0</v>
      </c>
      <c r="R163" s="118">
        <f>L163/IF('Parameters and Satisfaction'!$C$13="Pump A", 0.7, IF('Parameters and Satisfaction'!$C$13 = "Pump B", 0.72, 0.65))</f>
        <v>1657736.4495077394</v>
      </c>
      <c r="S163" s="118"/>
      <c r="T163" s="118">
        <f>N163+$F$47+IF('Parameters and Satisfaction'!$C$19="Ozone", 'Filtration System'!AA127*1000000, 0)</f>
        <v>6206468.0157788787</v>
      </c>
      <c r="U163" s="118">
        <f>O163+$F$47+IF('Parameters and Satisfaction'!$C$19="Ozone", 'Filtration System'!AB127*1000000, 0)</f>
        <v>5357632.9481377406</v>
      </c>
      <c r="V163" s="118">
        <f>P163+$F$47+IF('Parameters and Satisfaction'!$C$19="Ozone", 'Filtration System'!AC127*1000000, 0)</f>
        <v>5689611.0812350307</v>
      </c>
      <c r="W163" s="118">
        <f>Q163+$F$47+IF('Parameters and Satisfaction'!$C$19="Ozone", 'Filtration System'!AD127*1000000, 0)</f>
        <v>4687500</v>
      </c>
      <c r="X163" s="118">
        <f>R163+$F$47+IF('Parameters and Satisfaction'!$C$19="Ozone", 'Filtration System'!AE127*1000000, 0)</f>
        <v>6345236.4495077394</v>
      </c>
      <c r="Y163" s="118"/>
      <c r="Z163" s="118">
        <f t="shared" si="13"/>
        <v>0.44331914398420563</v>
      </c>
      <c r="AA163" s="118">
        <f t="shared" si="14"/>
        <v>0.38268806772412434</v>
      </c>
      <c r="AB163" s="118">
        <f t="shared" si="15"/>
        <v>0.40640079151678793</v>
      </c>
      <c r="AC163" s="118">
        <f t="shared" si="16"/>
        <v>0.33482142857142855</v>
      </c>
      <c r="AD163" s="118">
        <f t="shared" si="17"/>
        <v>0.4532311749648385</v>
      </c>
      <c r="AE163" s="118"/>
      <c r="AF163" s="118"/>
      <c r="AG163" s="118"/>
      <c r="AK163">
        <f t="shared" si="20"/>
        <v>18506880</v>
      </c>
      <c r="AL163">
        <f t="shared" si="20"/>
        <v>18506880</v>
      </c>
      <c r="AM163">
        <f t="shared" si="20"/>
        <v>18506880</v>
      </c>
      <c r="AN163">
        <f t="shared" si="20"/>
        <v>18506880</v>
      </c>
      <c r="AO163">
        <f t="shared" si="20"/>
        <v>18506880</v>
      </c>
    </row>
    <row r="164" spans="1:41">
      <c r="A164" s="185">
        <f>'Water Stuff'!F98</f>
        <v>44655</v>
      </c>
      <c r="B164" s="118">
        <f>'Filtration System'!B128</f>
        <v>520</v>
      </c>
      <c r="C164" s="118">
        <f>'Filtration System'!C128</f>
        <v>1680</v>
      </c>
      <c r="D164" s="118">
        <f>'Filtration System'!D128</f>
        <v>1617.5169400175182</v>
      </c>
      <c r="E164" s="118">
        <f>'Filtration System'!E128</f>
        <v>1403.0290408400456</v>
      </c>
      <c r="F164" s="118">
        <f>'Filtration System'!F128</f>
        <v>639.25923670127281</v>
      </c>
      <c r="G164" s="118"/>
      <c r="H164" s="118">
        <f>B164/1000*(1000*9.81*Pumps!$B$14+'Parameters and Satisfaction'!$B$27)</f>
        <v>139387.65321265004</v>
      </c>
      <c r="I164" s="118">
        <f>C164/1000*(1000*9.81*Pumps!$B$14+'Parameters and Satisfaction'!$B$27)</f>
        <v>450329.34114856168</v>
      </c>
      <c r="J164" s="118">
        <f>D164/1000*(1000*9.81*Pumps!$B$14+'Parameters and Satisfaction'!$B$27)</f>
        <v>433580.55827067059</v>
      </c>
      <c r="K164" s="118">
        <f>E164/1000*(1000*9.81*Pumps!$B$14+'Parameters and Satisfaction'!$B$27)</f>
        <v>376086.39498440252</v>
      </c>
      <c r="L164" s="118">
        <f>F164/1000*(1000*9.81*Pumps!$B$14+'Parameters and Satisfaction'!$B$27)</f>
        <v>171355.47076596229</v>
      </c>
      <c r="M164" s="118"/>
      <c r="N164" s="118">
        <f>H164/IF('Parameters and Satisfaction'!$C$13="Pump A", 0.7, IF('Parameters and Satisfaction'!$C$13 = "Pump B", 0.72, 0.65))</f>
        <v>193593.9627953473</v>
      </c>
      <c r="O164" s="118">
        <f>I164/IF('Parameters and Satisfaction'!$C$13="Pump A", 0.7, IF('Parameters and Satisfaction'!$C$13 = "Pump B", 0.72, 0.65))</f>
        <v>625457.41826189123</v>
      </c>
      <c r="P164" s="118">
        <f>J164/IF('Parameters and Satisfaction'!$C$13="Pump A", 0.7, IF('Parameters and Satisfaction'!$C$13 = "Pump B", 0.72, 0.65))</f>
        <v>602195.21982037579</v>
      </c>
      <c r="Q164" s="118">
        <f>K164/IF('Parameters and Satisfaction'!$C$13="Pump A", 0.7, IF('Parameters and Satisfaction'!$C$13 = "Pump B", 0.72, 0.65))</f>
        <v>522342.21525611461</v>
      </c>
      <c r="R164" s="118">
        <f>L164/IF('Parameters and Satisfaction'!$C$13="Pump A", 0.7, IF('Parameters and Satisfaction'!$C$13 = "Pump B", 0.72, 0.65))</f>
        <v>237993.70939716985</v>
      </c>
      <c r="S164" s="118"/>
      <c r="T164" s="118">
        <f>N164+$F$47+IF('Parameters and Satisfaction'!$C$19="Ozone", 'Filtration System'!AA128*1000000, 0)</f>
        <v>4881093.962795347</v>
      </c>
      <c r="U164" s="118">
        <f>O164+$F$47+IF('Parameters and Satisfaction'!$C$19="Ozone", 'Filtration System'!AB128*1000000, 0)</f>
        <v>5312957.4182618912</v>
      </c>
      <c r="V164" s="118">
        <f>P164+$F$47+IF('Parameters and Satisfaction'!$C$19="Ozone", 'Filtration System'!AC128*1000000, 0)</f>
        <v>5289695.2198203756</v>
      </c>
      <c r="W164" s="118">
        <f>Q164+$F$47+IF('Parameters and Satisfaction'!$C$19="Ozone", 'Filtration System'!AD128*1000000, 0)</f>
        <v>5209842.2152561145</v>
      </c>
      <c r="X164" s="118">
        <f>R164+$F$47+IF('Parameters and Satisfaction'!$C$19="Ozone", 'Filtration System'!AE128*1000000, 0)</f>
        <v>4925493.7093971698</v>
      </c>
      <c r="Y164" s="118"/>
      <c r="Z164" s="118">
        <f t="shared" si="13"/>
        <v>0.34864956877109621</v>
      </c>
      <c r="AA164" s="118">
        <f t="shared" si="14"/>
        <v>0.37949695844727793</v>
      </c>
      <c r="AB164" s="118">
        <f t="shared" si="15"/>
        <v>0.37783537284431257</v>
      </c>
      <c r="AC164" s="118">
        <f t="shared" si="16"/>
        <v>0.37213158680400815</v>
      </c>
      <c r="AD164" s="118">
        <f t="shared" si="17"/>
        <v>0.35182097924265499</v>
      </c>
      <c r="AE164" s="118"/>
      <c r="AF164" s="118"/>
      <c r="AG164" s="118"/>
      <c r="AK164">
        <f t="shared" si="20"/>
        <v>18506880</v>
      </c>
      <c r="AL164">
        <f t="shared" si="20"/>
        <v>18506880</v>
      </c>
      <c r="AM164">
        <f t="shared" si="20"/>
        <v>18506880</v>
      </c>
      <c r="AN164">
        <f t="shared" si="20"/>
        <v>18506880</v>
      </c>
      <c r="AO164">
        <f t="shared" si="20"/>
        <v>18506880</v>
      </c>
    </row>
    <row r="165" spans="1:41">
      <c r="A165" s="185">
        <f>'Water Stuff'!F99</f>
        <v>44656</v>
      </c>
      <c r="B165" s="118">
        <f>'Filtration System'!B129</f>
        <v>3180</v>
      </c>
      <c r="C165" s="118">
        <f>'Filtration System'!C129</f>
        <v>120</v>
      </c>
      <c r="D165" s="118">
        <f>'Filtration System'!D129</f>
        <v>4025.2334083431592</v>
      </c>
      <c r="E165" s="118">
        <f>'Filtration System'!E129</f>
        <v>0</v>
      </c>
      <c r="F165" s="118">
        <f>'Filtration System'!F129</f>
        <v>5569.7859713428716</v>
      </c>
      <c r="G165" s="118"/>
      <c r="H165" s="118">
        <f>B165/1000*(1000*9.81*Pumps!$B$14+'Parameters and Satisfaction'!$B$27)</f>
        <v>852409.11003120604</v>
      </c>
      <c r="I165" s="118">
        <f>C165/1000*(1000*9.81*Pumps!$B$14+'Parameters and Satisfaction'!$B$27)</f>
        <v>32166.381510611547</v>
      </c>
      <c r="J165" s="118">
        <f>D165/1000*(1000*9.81*Pumps!$B$14+'Parameters and Satisfaction'!$B$27)</f>
        <v>1078976.612350211</v>
      </c>
      <c r="K165" s="118">
        <f>E165/1000*(1000*9.81*Pumps!$B$14+'Parameters and Satisfaction'!$B$27)</f>
        <v>0</v>
      </c>
      <c r="L165" s="118">
        <f>F165/1000*(1000*9.81*Pumps!$B$14+'Parameters and Satisfaction'!$B$27)</f>
        <v>1492998.837388891</v>
      </c>
      <c r="M165" s="118"/>
      <c r="N165" s="118">
        <f>H165/IF('Parameters and Satisfaction'!$C$13="Pump A", 0.7, IF('Parameters and Satisfaction'!$C$13 = "Pump B", 0.72, 0.65))</f>
        <v>1183901.5417100084</v>
      </c>
      <c r="O165" s="118">
        <f>I165/IF('Parameters and Satisfaction'!$C$13="Pump A", 0.7, IF('Parameters and Satisfaction'!$C$13 = "Pump B", 0.72, 0.65))</f>
        <v>44675.529875849374</v>
      </c>
      <c r="P165" s="118">
        <f>J165/IF('Parameters and Satisfaction'!$C$13="Pump A", 0.7, IF('Parameters and Satisfaction'!$C$13 = "Pump B", 0.72, 0.65))</f>
        <v>1498578.628264182</v>
      </c>
      <c r="Q165" s="118">
        <f>K165/IF('Parameters and Satisfaction'!$C$13="Pump A", 0.7, IF('Parameters and Satisfaction'!$C$13 = "Pump B", 0.72, 0.65))</f>
        <v>0</v>
      </c>
      <c r="R165" s="118">
        <f>L165/IF('Parameters and Satisfaction'!$C$13="Pump A", 0.7, IF('Parameters and Satisfaction'!$C$13 = "Pump B", 0.72, 0.65))</f>
        <v>2073609.4963734599</v>
      </c>
      <c r="S165" s="118"/>
      <c r="T165" s="118">
        <f>N165+$F$47+IF('Parameters and Satisfaction'!$C$19="Ozone", 'Filtration System'!AA129*1000000, 0)</f>
        <v>5871401.5417100079</v>
      </c>
      <c r="U165" s="118">
        <f>O165+$F$47+IF('Parameters and Satisfaction'!$C$19="Ozone", 'Filtration System'!AB129*1000000, 0)</f>
        <v>4732175.5298758494</v>
      </c>
      <c r="V165" s="118">
        <f>P165+$F$47+IF('Parameters and Satisfaction'!$C$19="Ozone", 'Filtration System'!AC129*1000000, 0)</f>
        <v>6186078.6282641822</v>
      </c>
      <c r="W165" s="118">
        <f>Q165+$F$47+IF('Parameters and Satisfaction'!$C$19="Ozone", 'Filtration System'!AD129*1000000, 0)</f>
        <v>4687500</v>
      </c>
      <c r="X165" s="118">
        <f>R165+$F$47+IF('Parameters and Satisfaction'!$C$19="Ozone", 'Filtration System'!AE129*1000000, 0)</f>
        <v>6761109.4963734597</v>
      </c>
      <c r="Y165" s="118"/>
      <c r="Z165" s="118">
        <f t="shared" si="13"/>
        <v>0.41938582440785771</v>
      </c>
      <c r="AA165" s="118">
        <f t="shared" si="14"/>
        <v>0.33801253784827495</v>
      </c>
      <c r="AB165" s="118">
        <f t="shared" si="15"/>
        <v>0.44186275916172729</v>
      </c>
      <c r="AC165" s="118">
        <f t="shared" si="16"/>
        <v>0.33482142857142855</v>
      </c>
      <c r="AD165" s="118">
        <f t="shared" si="17"/>
        <v>0.48293639259810428</v>
      </c>
      <c r="AE165" s="118"/>
      <c r="AF165" s="118"/>
      <c r="AG165" s="118"/>
      <c r="AK165">
        <f t="shared" si="20"/>
        <v>18506880</v>
      </c>
      <c r="AL165">
        <f t="shared" si="20"/>
        <v>18506880</v>
      </c>
      <c r="AM165">
        <f t="shared" si="20"/>
        <v>18506880</v>
      </c>
      <c r="AN165">
        <f t="shared" si="20"/>
        <v>18506880</v>
      </c>
      <c r="AO165">
        <f t="shared" si="20"/>
        <v>18506880</v>
      </c>
    </row>
    <row r="166" spans="1:41">
      <c r="A166" s="185">
        <f>'Water Stuff'!F100</f>
        <v>44657</v>
      </c>
      <c r="B166" s="118">
        <f>'Filtration System'!B130</f>
        <v>1880</v>
      </c>
      <c r="C166" s="118">
        <f>'Filtration System'!C130</f>
        <v>0</v>
      </c>
      <c r="D166" s="118">
        <f>'Filtration System'!D130</f>
        <v>0</v>
      </c>
      <c r="E166" s="118">
        <f>'Filtration System'!E130</f>
        <v>0</v>
      </c>
      <c r="F166" s="118">
        <f>'Filtration System'!F130</f>
        <v>0</v>
      </c>
      <c r="G166" s="118"/>
      <c r="H166" s="118">
        <f>B166/1000*(1000*9.81*Pumps!$B$14+'Parameters and Satisfaction'!$B$27)</f>
        <v>503939.97699958092</v>
      </c>
      <c r="I166" s="118">
        <f>C166/1000*(1000*9.81*Pumps!$B$14+'Parameters and Satisfaction'!$B$27)</f>
        <v>0</v>
      </c>
      <c r="J166" s="118">
        <f>D166/1000*(1000*9.81*Pumps!$B$14+'Parameters and Satisfaction'!$B$27)</f>
        <v>0</v>
      </c>
      <c r="K166" s="118">
        <f>E166/1000*(1000*9.81*Pumps!$B$14+'Parameters and Satisfaction'!$B$27)</f>
        <v>0</v>
      </c>
      <c r="L166" s="118">
        <f>F166/1000*(1000*9.81*Pumps!$B$14+'Parameters and Satisfaction'!$B$27)</f>
        <v>0</v>
      </c>
      <c r="M166" s="118"/>
      <c r="N166" s="118">
        <f>H166/IF('Parameters and Satisfaction'!$C$13="Pump A", 0.7, IF('Parameters and Satisfaction'!$C$13 = "Pump B", 0.72, 0.65))</f>
        <v>699916.63472164015</v>
      </c>
      <c r="O166" s="118">
        <f>I166/IF('Parameters and Satisfaction'!$C$13="Pump A", 0.7, IF('Parameters and Satisfaction'!$C$13 = "Pump B", 0.72, 0.65))</f>
        <v>0</v>
      </c>
      <c r="P166" s="118">
        <f>J166/IF('Parameters and Satisfaction'!$C$13="Pump A", 0.7, IF('Parameters and Satisfaction'!$C$13 = "Pump B", 0.72, 0.65))</f>
        <v>0</v>
      </c>
      <c r="Q166" s="118">
        <f>K166/IF('Parameters and Satisfaction'!$C$13="Pump A", 0.7, IF('Parameters and Satisfaction'!$C$13 = "Pump B", 0.72, 0.65))</f>
        <v>0</v>
      </c>
      <c r="R166" s="118">
        <f>L166/IF('Parameters and Satisfaction'!$C$13="Pump A", 0.7, IF('Parameters and Satisfaction'!$C$13 = "Pump B", 0.72, 0.65))</f>
        <v>0</v>
      </c>
      <c r="S166" s="118"/>
      <c r="T166" s="118">
        <f>N166+$F$47+IF('Parameters and Satisfaction'!$C$19="Ozone", 'Filtration System'!AA130*1000000, 0)</f>
        <v>5387416.6347216405</v>
      </c>
      <c r="U166" s="118">
        <f>O166+$F$47+IF('Parameters and Satisfaction'!$C$19="Ozone", 'Filtration System'!AB130*1000000, 0)</f>
        <v>4687500</v>
      </c>
      <c r="V166" s="118">
        <f>P166+$F$47+IF('Parameters and Satisfaction'!$C$19="Ozone", 'Filtration System'!AC130*1000000, 0)</f>
        <v>4687500</v>
      </c>
      <c r="W166" s="118">
        <f>Q166+$F$47+IF('Parameters and Satisfaction'!$C$19="Ozone", 'Filtration System'!AD130*1000000, 0)</f>
        <v>4687500</v>
      </c>
      <c r="X166" s="118">
        <f>R166+$F$47+IF('Parameters and Satisfaction'!$C$19="Ozone", 'Filtration System'!AE130*1000000, 0)</f>
        <v>4687500</v>
      </c>
      <c r="Y166" s="118"/>
      <c r="Z166" s="118">
        <f t="shared" si="13"/>
        <v>0.38481547390868859</v>
      </c>
      <c r="AA166" s="118">
        <f t="shared" si="14"/>
        <v>0.33482142857142855</v>
      </c>
      <c r="AB166" s="118">
        <f t="shared" si="15"/>
        <v>0.33482142857142855</v>
      </c>
      <c r="AC166" s="118">
        <f t="shared" si="16"/>
        <v>0.33482142857142855</v>
      </c>
      <c r="AD166" s="118">
        <f t="shared" si="17"/>
        <v>0.33482142857142855</v>
      </c>
      <c r="AE166" s="118"/>
      <c r="AF166" s="118"/>
      <c r="AG166" s="118"/>
      <c r="AK166">
        <f t="shared" si="20"/>
        <v>18506880</v>
      </c>
      <c r="AL166">
        <f t="shared" si="20"/>
        <v>18506880</v>
      </c>
      <c r="AM166">
        <f t="shared" si="20"/>
        <v>18506880</v>
      </c>
      <c r="AN166">
        <f t="shared" si="20"/>
        <v>18506880</v>
      </c>
      <c r="AO166">
        <f t="shared" si="20"/>
        <v>18506880</v>
      </c>
    </row>
    <row r="167" spans="1:41">
      <c r="A167" s="185">
        <f>'Water Stuff'!F101</f>
        <v>44658</v>
      </c>
      <c r="B167" s="118">
        <f>'Filtration System'!B131</f>
        <v>2720</v>
      </c>
      <c r="C167" s="118">
        <f>'Filtration System'!C131</f>
        <v>0</v>
      </c>
      <c r="D167" s="118">
        <f>'Filtration System'!D131</f>
        <v>1366.0004200741923</v>
      </c>
      <c r="E167" s="118">
        <f>'Filtration System'!E131</f>
        <v>299.72097775250222</v>
      </c>
      <c r="F167" s="118">
        <f>'Filtration System'!F131</f>
        <v>0</v>
      </c>
      <c r="G167" s="118"/>
      <c r="H167" s="118">
        <f>B167/1000*(1000*9.81*Pumps!$B$14+'Parameters and Satisfaction'!$B$27)</f>
        <v>729104.64757386188</v>
      </c>
      <c r="I167" s="118">
        <f>C167/1000*(1000*9.81*Pumps!$B$14+'Parameters and Satisfaction'!$B$27)</f>
        <v>0</v>
      </c>
      <c r="J167" s="118">
        <f>D167/1000*(1000*9.81*Pumps!$B$14+'Parameters and Satisfaction'!$B$27)</f>
        <v>366160.75546468428</v>
      </c>
      <c r="K167" s="118">
        <f>E167/1000*(1000*9.81*Pumps!$B$14+'Parameters and Satisfaction'!$B$27)</f>
        <v>80341.16097600419</v>
      </c>
      <c r="L167" s="118">
        <f>F167/1000*(1000*9.81*Pumps!$B$14+'Parameters and Satisfaction'!$B$27)</f>
        <v>0</v>
      </c>
      <c r="M167" s="118"/>
      <c r="N167" s="118">
        <f>H167/IF('Parameters and Satisfaction'!$C$13="Pump A", 0.7, IF('Parameters and Satisfaction'!$C$13 = "Pump B", 0.72, 0.65))</f>
        <v>1012645.343852586</v>
      </c>
      <c r="O167" s="118">
        <f>I167/IF('Parameters and Satisfaction'!$C$13="Pump A", 0.7, IF('Parameters and Satisfaction'!$C$13 = "Pump B", 0.72, 0.65))</f>
        <v>0</v>
      </c>
      <c r="P167" s="118">
        <f>J167/IF('Parameters and Satisfaction'!$C$13="Pump A", 0.7, IF('Parameters and Satisfaction'!$C$13 = "Pump B", 0.72, 0.65))</f>
        <v>508556.60481206153</v>
      </c>
      <c r="Q167" s="118">
        <f>K167/IF('Parameters and Satisfaction'!$C$13="Pump A", 0.7, IF('Parameters and Satisfaction'!$C$13 = "Pump B", 0.72, 0.65))</f>
        <v>111584.94580000582</v>
      </c>
      <c r="R167" s="118">
        <f>L167/IF('Parameters and Satisfaction'!$C$13="Pump A", 0.7, IF('Parameters and Satisfaction'!$C$13 = "Pump B", 0.72, 0.65))</f>
        <v>0</v>
      </c>
      <c r="S167" s="118"/>
      <c r="T167" s="118">
        <f>N167+$F$47+IF('Parameters and Satisfaction'!$C$19="Ozone", 'Filtration System'!AA131*1000000, 0)</f>
        <v>5700145.3438525861</v>
      </c>
      <c r="U167" s="118">
        <f>O167+$F$47+IF('Parameters and Satisfaction'!$C$19="Ozone", 'Filtration System'!AB131*1000000, 0)</f>
        <v>4687500</v>
      </c>
      <c r="V167" s="118">
        <f>P167+$F$47+IF('Parameters and Satisfaction'!$C$19="Ozone", 'Filtration System'!AC131*1000000, 0)</f>
        <v>5196056.6048120614</v>
      </c>
      <c r="W167" s="118">
        <f>Q167+$F$47+IF('Parameters and Satisfaction'!$C$19="Ozone", 'Filtration System'!AD131*1000000, 0)</f>
        <v>4799084.9458000055</v>
      </c>
      <c r="X167" s="118">
        <f>R167+$F$47+IF('Parameters and Satisfaction'!$C$19="Ozone", 'Filtration System'!AE131*1000000, 0)</f>
        <v>4687500</v>
      </c>
      <c r="Y167" s="118"/>
      <c r="Z167" s="118">
        <f t="shared" si="13"/>
        <v>0.40715323884661331</v>
      </c>
      <c r="AA167" s="118">
        <f t="shared" si="14"/>
        <v>0.33482142857142855</v>
      </c>
      <c r="AB167" s="118">
        <f t="shared" si="15"/>
        <v>0.37114690034371867</v>
      </c>
      <c r="AC167" s="118">
        <f t="shared" si="16"/>
        <v>0.34279178184285752</v>
      </c>
      <c r="AD167" s="118">
        <f t="shared" si="17"/>
        <v>0.33482142857142855</v>
      </c>
      <c r="AE167" s="118"/>
      <c r="AF167" s="118"/>
      <c r="AG167" s="118"/>
      <c r="AK167">
        <f t="shared" si="20"/>
        <v>18506880</v>
      </c>
      <c r="AL167">
        <f t="shared" si="20"/>
        <v>18506880</v>
      </c>
      <c r="AM167">
        <f t="shared" si="20"/>
        <v>18506880</v>
      </c>
      <c r="AN167">
        <f t="shared" si="20"/>
        <v>18506880</v>
      </c>
      <c r="AO167">
        <f t="shared" si="20"/>
        <v>18506880</v>
      </c>
    </row>
    <row r="168" spans="1:41">
      <c r="A168" s="185">
        <f>'Water Stuff'!F102</f>
        <v>44659</v>
      </c>
      <c r="B168" s="118">
        <f>'Filtration System'!B132</f>
        <v>1120</v>
      </c>
      <c r="C168" s="118">
        <f>'Filtration System'!C132</f>
        <v>0</v>
      </c>
      <c r="D168" s="118">
        <f>'Filtration System'!D132</f>
        <v>1028.3897634148564</v>
      </c>
      <c r="E168" s="118">
        <f>'Filtration System'!E132</f>
        <v>0</v>
      </c>
      <c r="F168" s="118">
        <f>'Filtration System'!F132</f>
        <v>2623.6384983693342</v>
      </c>
      <c r="G168" s="118"/>
      <c r="H168" s="118">
        <f>B168/1000*(1000*9.81*Pumps!$B$14+'Parameters and Satisfaction'!$B$27)</f>
        <v>300219.56076570781</v>
      </c>
      <c r="I168" s="118">
        <f>C168/1000*(1000*9.81*Pumps!$B$14+'Parameters and Satisfaction'!$B$27)</f>
        <v>0</v>
      </c>
      <c r="J168" s="118">
        <f>D168/1000*(1000*9.81*Pumps!$B$14+'Parameters and Satisfaction'!$B$27)</f>
        <v>275663.14559674851</v>
      </c>
      <c r="K168" s="118">
        <f>E168/1000*(1000*9.81*Pumps!$B$14+'Parameters and Satisfaction'!$B$27)</f>
        <v>0</v>
      </c>
      <c r="L168" s="118">
        <f>F168/1000*(1000*9.81*Pumps!$B$14+'Parameters and Satisfaction'!$B$27)</f>
        <v>703274.64070396672</v>
      </c>
      <c r="M168" s="118"/>
      <c r="N168" s="118">
        <f>H168/IF('Parameters and Satisfaction'!$C$13="Pump A", 0.7, IF('Parameters and Satisfaction'!$C$13 = "Pump B", 0.72, 0.65))</f>
        <v>416971.61217459419</v>
      </c>
      <c r="O168" s="118">
        <f>I168/IF('Parameters and Satisfaction'!$C$13="Pump A", 0.7, IF('Parameters and Satisfaction'!$C$13 = "Pump B", 0.72, 0.65))</f>
        <v>0</v>
      </c>
      <c r="P168" s="118">
        <f>J168/IF('Parameters and Satisfaction'!$C$13="Pump A", 0.7, IF('Parameters and Satisfaction'!$C$13 = "Pump B", 0.72, 0.65))</f>
        <v>382865.47999548406</v>
      </c>
      <c r="Q168" s="118">
        <f>K168/IF('Parameters and Satisfaction'!$C$13="Pump A", 0.7, IF('Parameters and Satisfaction'!$C$13 = "Pump B", 0.72, 0.65))</f>
        <v>0</v>
      </c>
      <c r="R168" s="118">
        <f>L168/IF('Parameters and Satisfaction'!$C$13="Pump A", 0.7, IF('Parameters and Satisfaction'!$C$13 = "Pump B", 0.72, 0.65))</f>
        <v>976770.33431106491</v>
      </c>
      <c r="S168" s="118"/>
      <c r="T168" s="118">
        <f>N168+$F$47+IF('Parameters and Satisfaction'!$C$19="Ozone", 'Filtration System'!AA132*1000000, 0)</f>
        <v>5104471.6121745938</v>
      </c>
      <c r="U168" s="118">
        <f>O168+$F$47+IF('Parameters and Satisfaction'!$C$19="Ozone", 'Filtration System'!AB132*1000000, 0)</f>
        <v>4687500</v>
      </c>
      <c r="V168" s="118">
        <f>P168+$F$47+IF('Parameters and Satisfaction'!$C$19="Ozone", 'Filtration System'!AC132*1000000, 0)</f>
        <v>5070365.4799954845</v>
      </c>
      <c r="W168" s="118">
        <f>Q168+$F$47+IF('Parameters and Satisfaction'!$C$19="Ozone", 'Filtration System'!AD132*1000000, 0)</f>
        <v>4687500</v>
      </c>
      <c r="X168" s="118">
        <f>R168+$F$47+IF('Parameters and Satisfaction'!$C$19="Ozone", 'Filtration System'!AE132*1000000, 0)</f>
        <v>5664270.3343110653</v>
      </c>
      <c r="Y168" s="118"/>
      <c r="Z168" s="118">
        <f t="shared" si="13"/>
        <v>0.36460511515532812</v>
      </c>
      <c r="AA168" s="118">
        <f t="shared" si="14"/>
        <v>0.33482142857142855</v>
      </c>
      <c r="AB168" s="118">
        <f t="shared" si="15"/>
        <v>0.36216896285682032</v>
      </c>
      <c r="AC168" s="118">
        <f t="shared" si="16"/>
        <v>0.33482142857142855</v>
      </c>
      <c r="AD168" s="118">
        <f t="shared" si="17"/>
        <v>0.40459073816507607</v>
      </c>
      <c r="AE168" s="118"/>
      <c r="AF168" s="118"/>
      <c r="AG168" s="118"/>
      <c r="AK168">
        <f t="shared" si="20"/>
        <v>18506880</v>
      </c>
      <c r="AL168">
        <f t="shared" si="20"/>
        <v>18506880</v>
      </c>
      <c r="AM168">
        <f t="shared" si="20"/>
        <v>18506880</v>
      </c>
      <c r="AN168">
        <f t="shared" si="20"/>
        <v>18506880</v>
      </c>
      <c r="AO168">
        <f t="shared" si="20"/>
        <v>18506880</v>
      </c>
    </row>
    <row r="169" spans="1:41">
      <c r="A169" s="185">
        <f>'Water Stuff'!F103</f>
        <v>44660</v>
      </c>
      <c r="B169" s="118">
        <f>'Filtration System'!B133</f>
        <v>0</v>
      </c>
      <c r="C169" s="118">
        <f>'Filtration System'!C133</f>
        <v>640</v>
      </c>
      <c r="D169" s="118">
        <f>'Filtration System'!D133</f>
        <v>0</v>
      </c>
      <c r="E169" s="118">
        <f>'Filtration System'!E133</f>
        <v>0</v>
      </c>
      <c r="F169" s="118">
        <f>'Filtration System'!F133</f>
        <v>0</v>
      </c>
      <c r="G169" s="118"/>
      <c r="H169" s="118">
        <f>B169/1000*(1000*9.81*Pumps!$B$14+'Parameters and Satisfaction'!$B$27)</f>
        <v>0</v>
      </c>
      <c r="I169" s="118">
        <f>C169/1000*(1000*9.81*Pumps!$B$14+'Parameters and Satisfaction'!$B$27)</f>
        <v>171554.0347232616</v>
      </c>
      <c r="J169" s="118">
        <f>D169/1000*(1000*9.81*Pumps!$B$14+'Parameters and Satisfaction'!$B$27)</f>
        <v>0</v>
      </c>
      <c r="K169" s="118">
        <f>E169/1000*(1000*9.81*Pumps!$B$14+'Parameters and Satisfaction'!$B$27)</f>
        <v>0</v>
      </c>
      <c r="L169" s="118">
        <f>F169/1000*(1000*9.81*Pumps!$B$14+'Parameters and Satisfaction'!$B$27)</f>
        <v>0</v>
      </c>
      <c r="M169" s="118"/>
      <c r="N169" s="118">
        <f>H169/IF('Parameters and Satisfaction'!$C$13="Pump A", 0.7, IF('Parameters and Satisfaction'!$C$13 = "Pump B", 0.72, 0.65))</f>
        <v>0</v>
      </c>
      <c r="O169" s="118">
        <f>I169/IF('Parameters and Satisfaction'!$C$13="Pump A", 0.7, IF('Parameters and Satisfaction'!$C$13 = "Pump B", 0.72, 0.65))</f>
        <v>238269.49267119667</v>
      </c>
      <c r="P169" s="118">
        <f>J169/IF('Parameters and Satisfaction'!$C$13="Pump A", 0.7, IF('Parameters and Satisfaction'!$C$13 = "Pump B", 0.72, 0.65))</f>
        <v>0</v>
      </c>
      <c r="Q169" s="118">
        <f>K169/IF('Parameters and Satisfaction'!$C$13="Pump A", 0.7, IF('Parameters and Satisfaction'!$C$13 = "Pump B", 0.72, 0.65))</f>
        <v>0</v>
      </c>
      <c r="R169" s="118">
        <f>L169/IF('Parameters and Satisfaction'!$C$13="Pump A", 0.7, IF('Parameters and Satisfaction'!$C$13 = "Pump B", 0.72, 0.65))</f>
        <v>0</v>
      </c>
      <c r="S169" s="118"/>
      <c r="T169" s="118">
        <f>N169+$F$47+IF('Parameters and Satisfaction'!$C$19="Ozone", 'Filtration System'!AA133*1000000, 0)</f>
        <v>4687500</v>
      </c>
      <c r="U169" s="118">
        <f>O169+$F$47+IF('Parameters and Satisfaction'!$C$19="Ozone", 'Filtration System'!AB133*1000000, 0)</f>
        <v>4925769.4926711963</v>
      </c>
      <c r="V169" s="118">
        <f>P169+$F$47+IF('Parameters and Satisfaction'!$C$19="Ozone", 'Filtration System'!AC133*1000000, 0)</f>
        <v>4687500</v>
      </c>
      <c r="W169" s="118">
        <f>Q169+$F$47+IF('Parameters and Satisfaction'!$C$19="Ozone", 'Filtration System'!AD133*1000000, 0)</f>
        <v>4687500</v>
      </c>
      <c r="X169" s="118">
        <f>R169+$F$47+IF('Parameters and Satisfaction'!$C$19="Ozone", 'Filtration System'!AE133*1000000, 0)</f>
        <v>4687500</v>
      </c>
      <c r="Y169" s="118"/>
      <c r="Z169" s="118">
        <f t="shared" si="13"/>
        <v>0.33482142857142855</v>
      </c>
      <c r="AA169" s="118">
        <f t="shared" si="14"/>
        <v>0.35184067804794261</v>
      </c>
      <c r="AB169" s="118">
        <f t="shared" si="15"/>
        <v>0.33482142857142855</v>
      </c>
      <c r="AC169" s="118">
        <f t="shared" si="16"/>
        <v>0.33482142857142855</v>
      </c>
      <c r="AD169" s="118">
        <f t="shared" si="17"/>
        <v>0.33482142857142855</v>
      </c>
      <c r="AE169" s="118"/>
      <c r="AF169" s="118"/>
      <c r="AG169" s="118"/>
      <c r="AK169">
        <f t="shared" si="20"/>
        <v>18506880</v>
      </c>
      <c r="AL169">
        <f t="shared" si="20"/>
        <v>18506880</v>
      </c>
      <c r="AM169">
        <f t="shared" si="20"/>
        <v>18506880</v>
      </c>
      <c r="AN169">
        <f t="shared" si="20"/>
        <v>18506880</v>
      </c>
      <c r="AO169">
        <f t="shared" si="20"/>
        <v>18506880</v>
      </c>
    </row>
    <row r="170" spans="1:41">
      <c r="A170" s="185">
        <f>'Water Stuff'!F104</f>
        <v>44661</v>
      </c>
      <c r="B170" s="118">
        <f>'Filtration System'!B134</f>
        <v>3320.0000000000005</v>
      </c>
      <c r="C170" s="118">
        <f>'Filtration System'!C134</f>
        <v>8040.0000000000009</v>
      </c>
      <c r="D170" s="118">
        <f>'Filtration System'!D134</f>
        <v>715.35485876194173</v>
      </c>
      <c r="E170" s="118">
        <f>'Filtration System'!E134</f>
        <v>9745.1438691104759</v>
      </c>
      <c r="F170" s="118">
        <f>'Filtration System'!F134</f>
        <v>0</v>
      </c>
      <c r="G170" s="118"/>
      <c r="H170" s="118">
        <f>B170/1000*(1000*9.81*Pumps!$B$14+'Parameters and Satisfaction'!$B$27)</f>
        <v>889936.55512691964</v>
      </c>
      <c r="I170" s="118">
        <f>C170/1000*(1000*9.81*Pumps!$B$14+'Parameters and Satisfaction'!$B$27)</f>
        <v>2155147.5612109741</v>
      </c>
      <c r="J170" s="118">
        <f>D170/1000*(1000*9.81*Pumps!$B$14+'Parameters and Satisfaction'!$B$27)</f>
        <v>191753.14418671883</v>
      </c>
      <c r="K170" s="118">
        <f>E170/1000*(1000*9.81*Pumps!$B$14+'Parameters and Satisfaction'!$B$27)</f>
        <v>2612216.7964133727</v>
      </c>
      <c r="L170" s="118">
        <f>F170/1000*(1000*9.81*Pumps!$B$14+'Parameters and Satisfaction'!$B$27)</f>
        <v>0</v>
      </c>
      <c r="M170" s="118"/>
      <c r="N170" s="118">
        <f>H170/IF('Parameters and Satisfaction'!$C$13="Pump A", 0.7, IF('Parameters and Satisfaction'!$C$13 = "Pump B", 0.72, 0.65))</f>
        <v>1236022.993231833</v>
      </c>
      <c r="O170" s="118">
        <f>I170/IF('Parameters and Satisfaction'!$C$13="Pump A", 0.7, IF('Parameters and Satisfaction'!$C$13 = "Pump B", 0.72, 0.65))</f>
        <v>2993260.5016819085</v>
      </c>
      <c r="P170" s="118">
        <f>J170/IF('Parameters and Satisfaction'!$C$13="Pump A", 0.7, IF('Parameters and Satisfaction'!$C$13 = "Pump B", 0.72, 0.65))</f>
        <v>266323.8113704428</v>
      </c>
      <c r="Q170" s="118">
        <f>K170/IF('Parameters and Satisfaction'!$C$13="Pump A", 0.7, IF('Parameters and Satisfaction'!$C$13 = "Pump B", 0.72, 0.65))</f>
        <v>3628078.8839074625</v>
      </c>
      <c r="R170" s="118">
        <f>L170/IF('Parameters and Satisfaction'!$C$13="Pump A", 0.7, IF('Parameters and Satisfaction'!$C$13 = "Pump B", 0.72, 0.65))</f>
        <v>0</v>
      </c>
      <c r="S170" s="118"/>
      <c r="T170" s="118">
        <f>N170+$F$47+IF('Parameters and Satisfaction'!$C$19="Ozone", 'Filtration System'!AA134*1000000, 0)</f>
        <v>5923522.993231833</v>
      </c>
      <c r="U170" s="118">
        <f>O170+$F$47+IF('Parameters and Satisfaction'!$C$19="Ozone", 'Filtration System'!AB134*1000000, 0)</f>
        <v>7680760.501681909</v>
      </c>
      <c r="V170" s="118">
        <f>P170+$F$47+IF('Parameters and Satisfaction'!$C$19="Ozone", 'Filtration System'!AC134*1000000, 0)</f>
        <v>4953823.8113704426</v>
      </c>
      <c r="W170" s="118">
        <f>Q170+$F$47+IF('Parameters and Satisfaction'!$C$19="Ozone", 'Filtration System'!AD134*1000000, 0)</f>
        <v>8315578.8839074625</v>
      </c>
      <c r="X170" s="118">
        <f>R170+$F$47+IF('Parameters and Satisfaction'!$C$19="Ozone", 'Filtration System'!AE134*1000000, 0)</f>
        <v>4687500</v>
      </c>
      <c r="Y170" s="118"/>
      <c r="Z170" s="118">
        <f t="shared" si="13"/>
        <v>0.42310878523084522</v>
      </c>
      <c r="AA170" s="118">
        <f t="shared" si="14"/>
        <v>0.54862575012013637</v>
      </c>
      <c r="AB170" s="118">
        <f t="shared" si="15"/>
        <v>0.35384455795503161</v>
      </c>
      <c r="AC170" s="118">
        <f t="shared" si="16"/>
        <v>0.59396992027910445</v>
      </c>
      <c r="AD170" s="118">
        <f t="shared" si="17"/>
        <v>0.33482142857142855</v>
      </c>
      <c r="AE170" s="118"/>
      <c r="AF170" s="118"/>
      <c r="AG170" s="118"/>
      <c r="AK170">
        <f t="shared" si="20"/>
        <v>18506880</v>
      </c>
      <c r="AL170">
        <f t="shared" si="20"/>
        <v>18506880</v>
      </c>
      <c r="AM170">
        <f t="shared" si="20"/>
        <v>18506880</v>
      </c>
      <c r="AN170">
        <f t="shared" si="20"/>
        <v>18506880</v>
      </c>
      <c r="AO170">
        <f t="shared" si="20"/>
        <v>18506880</v>
      </c>
    </row>
    <row r="171" spans="1:41">
      <c r="A171" s="185">
        <f>'Water Stuff'!F105</f>
        <v>44662</v>
      </c>
      <c r="B171" s="118">
        <f>'Filtration System'!B135</f>
        <v>0</v>
      </c>
      <c r="C171" s="118">
        <f>'Filtration System'!C135</f>
        <v>1839.9999999999998</v>
      </c>
      <c r="D171" s="118">
        <f>'Filtration System'!D135</f>
        <v>0</v>
      </c>
      <c r="E171" s="118">
        <f>'Filtration System'!E135</f>
        <v>708.06655839193979</v>
      </c>
      <c r="F171" s="118">
        <f>'Filtration System'!F135</f>
        <v>0</v>
      </c>
      <c r="G171" s="118"/>
      <c r="H171" s="118">
        <f>B171/1000*(1000*9.81*Pumps!$B$14+'Parameters and Satisfaction'!$B$27)</f>
        <v>0</v>
      </c>
      <c r="I171" s="118">
        <f>C171/1000*(1000*9.81*Pumps!$B$14+'Parameters and Satisfaction'!$B$27)</f>
        <v>493217.84982937702</v>
      </c>
      <c r="J171" s="118">
        <f>D171/1000*(1000*9.81*Pumps!$B$14+'Parameters and Satisfaction'!$B$27)</f>
        <v>0</v>
      </c>
      <c r="K171" s="118">
        <f>E171/1000*(1000*9.81*Pumps!$B$14+'Parameters and Satisfaction'!$B$27)</f>
        <v>189799.4921011737</v>
      </c>
      <c r="L171" s="118">
        <f>F171/1000*(1000*9.81*Pumps!$B$14+'Parameters and Satisfaction'!$B$27)</f>
        <v>0</v>
      </c>
      <c r="M171" s="118"/>
      <c r="N171" s="118">
        <f>H171/IF('Parameters and Satisfaction'!$C$13="Pump A", 0.7, IF('Parameters and Satisfaction'!$C$13 = "Pump B", 0.72, 0.65))</f>
        <v>0</v>
      </c>
      <c r="O171" s="118">
        <f>I171/IF('Parameters and Satisfaction'!$C$13="Pump A", 0.7, IF('Parameters and Satisfaction'!$C$13 = "Pump B", 0.72, 0.65))</f>
        <v>685024.79142969032</v>
      </c>
      <c r="P171" s="118">
        <f>J171/IF('Parameters and Satisfaction'!$C$13="Pump A", 0.7, IF('Parameters and Satisfaction'!$C$13 = "Pump B", 0.72, 0.65))</f>
        <v>0</v>
      </c>
      <c r="Q171" s="118">
        <f>K171/IF('Parameters and Satisfaction'!$C$13="Pump A", 0.7, IF('Parameters and Satisfaction'!$C$13 = "Pump B", 0.72, 0.65))</f>
        <v>263610.40569607459</v>
      </c>
      <c r="R171" s="118">
        <f>L171/IF('Parameters and Satisfaction'!$C$13="Pump A", 0.7, IF('Parameters and Satisfaction'!$C$13 = "Pump B", 0.72, 0.65))</f>
        <v>0</v>
      </c>
      <c r="S171" s="118"/>
      <c r="T171" s="118">
        <f>N171+$F$47+IF('Parameters and Satisfaction'!$C$19="Ozone", 'Filtration System'!AA135*1000000, 0)</f>
        <v>4687500</v>
      </c>
      <c r="U171" s="118">
        <f>O171+$F$47+IF('Parameters and Satisfaction'!$C$19="Ozone", 'Filtration System'!AB135*1000000, 0)</f>
        <v>5372524.7914296901</v>
      </c>
      <c r="V171" s="118">
        <f>P171+$F$47+IF('Parameters and Satisfaction'!$C$19="Ozone", 'Filtration System'!AC135*1000000, 0)</f>
        <v>4687500</v>
      </c>
      <c r="W171" s="118">
        <f>Q171+$F$47+IF('Parameters and Satisfaction'!$C$19="Ozone", 'Filtration System'!AD135*1000000, 0)</f>
        <v>4951110.4056960745</v>
      </c>
      <c r="X171" s="118">
        <f>R171+$F$47+IF('Parameters and Satisfaction'!$C$19="Ozone", 'Filtration System'!AE135*1000000, 0)</f>
        <v>4687500</v>
      </c>
      <c r="Y171" s="118"/>
      <c r="Z171" s="118">
        <f t="shared" si="13"/>
        <v>0.33482142857142855</v>
      </c>
      <c r="AA171" s="118">
        <f t="shared" si="14"/>
        <v>0.38375177081640643</v>
      </c>
      <c r="AB171" s="118">
        <f t="shared" si="15"/>
        <v>0.33482142857142855</v>
      </c>
      <c r="AC171" s="118">
        <f t="shared" si="16"/>
        <v>0.35365074326400531</v>
      </c>
      <c r="AD171" s="118">
        <f t="shared" si="17"/>
        <v>0.33482142857142855</v>
      </c>
      <c r="AE171" s="118"/>
      <c r="AF171" s="118"/>
      <c r="AG171" s="118"/>
      <c r="AK171">
        <f t="shared" ref="AK171:AO180" si="21">$D$58</f>
        <v>18506880</v>
      </c>
      <c r="AL171">
        <f t="shared" si="21"/>
        <v>18506880</v>
      </c>
      <c r="AM171">
        <f t="shared" si="21"/>
        <v>18506880</v>
      </c>
      <c r="AN171">
        <f t="shared" si="21"/>
        <v>18506880</v>
      </c>
      <c r="AO171">
        <f t="shared" si="21"/>
        <v>18506880</v>
      </c>
    </row>
    <row r="172" spans="1:41">
      <c r="A172" s="185">
        <f>'Water Stuff'!F106</f>
        <v>44663</v>
      </c>
      <c r="B172" s="118">
        <f>'Filtration System'!B136</f>
        <v>0</v>
      </c>
      <c r="C172" s="118">
        <f>'Filtration System'!C136</f>
        <v>4880</v>
      </c>
      <c r="D172" s="118">
        <f>'Filtration System'!D136</f>
        <v>0</v>
      </c>
      <c r="E172" s="118">
        <f>'Filtration System'!E136</f>
        <v>4004.0674684828882</v>
      </c>
      <c r="F172" s="118">
        <f>'Filtration System'!F136</f>
        <v>1295.0216314153402</v>
      </c>
      <c r="G172" s="118"/>
      <c r="H172" s="118">
        <f>B172/1000*(1000*9.81*Pumps!$B$14+'Parameters and Satisfaction'!$B$27)</f>
        <v>0</v>
      </c>
      <c r="I172" s="118">
        <f>C172/1000*(1000*9.81*Pumps!$B$14+'Parameters and Satisfaction'!$B$27)</f>
        <v>1308099.5147648696</v>
      </c>
      <c r="J172" s="118">
        <f>D172/1000*(1000*9.81*Pumps!$B$14+'Parameters and Satisfaction'!$B$27)</f>
        <v>0</v>
      </c>
      <c r="K172" s="118">
        <f>E172/1000*(1000*9.81*Pumps!$B$14+'Parameters and Satisfaction'!$B$27)</f>
        <v>1073303.0148787431</v>
      </c>
      <c r="L172" s="118">
        <f>F172/1000*(1000*9.81*Pumps!$B$14+'Parameters and Satisfaction'!$B$27)</f>
        <v>347134.66550500336</v>
      </c>
      <c r="M172" s="118"/>
      <c r="N172" s="118">
        <f>H172/IF('Parameters and Satisfaction'!$C$13="Pump A", 0.7, IF('Parameters and Satisfaction'!$C$13 = "Pump B", 0.72, 0.65))</f>
        <v>0</v>
      </c>
      <c r="O172" s="118">
        <f>I172/IF('Parameters and Satisfaction'!$C$13="Pump A", 0.7, IF('Parameters and Satisfaction'!$C$13 = "Pump B", 0.72, 0.65))</f>
        <v>1816804.8816178746</v>
      </c>
      <c r="P172" s="118">
        <f>J172/IF('Parameters and Satisfaction'!$C$13="Pump A", 0.7, IF('Parameters and Satisfaction'!$C$13 = "Pump B", 0.72, 0.65))</f>
        <v>0</v>
      </c>
      <c r="Q172" s="118">
        <f>K172/IF('Parameters and Satisfaction'!$C$13="Pump A", 0.7, IF('Parameters and Satisfaction'!$C$13 = "Pump B", 0.72, 0.65))</f>
        <v>1490698.631776032</v>
      </c>
      <c r="R172" s="118">
        <f>L172/IF('Parameters and Satisfaction'!$C$13="Pump A", 0.7, IF('Parameters and Satisfaction'!$C$13 = "Pump B", 0.72, 0.65))</f>
        <v>482131.47986806021</v>
      </c>
      <c r="S172" s="118"/>
      <c r="T172" s="118">
        <f>N172+$F$47+IF('Parameters and Satisfaction'!$C$19="Ozone", 'Filtration System'!AA136*1000000, 0)</f>
        <v>4687500</v>
      </c>
      <c r="U172" s="118">
        <f>O172+$F$47+IF('Parameters and Satisfaction'!$C$19="Ozone", 'Filtration System'!AB136*1000000, 0)</f>
        <v>6504304.8816178748</v>
      </c>
      <c r="V172" s="118">
        <f>P172+$F$47+IF('Parameters and Satisfaction'!$C$19="Ozone", 'Filtration System'!AC136*1000000, 0)</f>
        <v>4687500</v>
      </c>
      <c r="W172" s="118">
        <f>Q172+$F$47+IF('Parameters and Satisfaction'!$C$19="Ozone", 'Filtration System'!AD136*1000000, 0)</f>
        <v>6178198.631776032</v>
      </c>
      <c r="X172" s="118">
        <f>R172+$F$47+IF('Parameters and Satisfaction'!$C$19="Ozone", 'Filtration System'!AE136*1000000, 0)</f>
        <v>5169631.47986806</v>
      </c>
      <c r="Y172" s="118"/>
      <c r="Z172" s="118">
        <f t="shared" si="13"/>
        <v>0.33482142857142855</v>
      </c>
      <c r="AA172" s="118">
        <f t="shared" si="14"/>
        <v>0.4645932058298482</v>
      </c>
      <c r="AB172" s="118">
        <f t="shared" si="15"/>
        <v>0.33482142857142855</v>
      </c>
      <c r="AC172" s="118">
        <f t="shared" si="16"/>
        <v>0.44129990226971655</v>
      </c>
      <c r="AD172" s="118">
        <f t="shared" si="17"/>
        <v>0.36925939141914715</v>
      </c>
      <c r="AE172" s="118"/>
      <c r="AF172" s="118"/>
      <c r="AG172" s="118"/>
      <c r="AK172">
        <f t="shared" si="21"/>
        <v>18506880</v>
      </c>
      <c r="AL172">
        <f t="shared" si="21"/>
        <v>18506880</v>
      </c>
      <c r="AM172">
        <f t="shared" si="21"/>
        <v>18506880</v>
      </c>
      <c r="AN172">
        <f t="shared" si="21"/>
        <v>18506880</v>
      </c>
      <c r="AO172">
        <f t="shared" si="21"/>
        <v>18506880</v>
      </c>
    </row>
    <row r="173" spans="1:41">
      <c r="A173" s="185">
        <f>'Water Stuff'!F107</f>
        <v>44664</v>
      </c>
      <c r="B173" s="118">
        <f>'Filtration System'!B137</f>
        <v>0</v>
      </c>
      <c r="C173" s="118">
        <f>'Filtration System'!C137</f>
        <v>3240</v>
      </c>
      <c r="D173" s="118">
        <f>'Filtration System'!D137</f>
        <v>0</v>
      </c>
      <c r="E173" s="118">
        <f>'Filtration System'!E137</f>
        <v>1450.3903364352395</v>
      </c>
      <c r="F173" s="118">
        <f>'Filtration System'!F137</f>
        <v>844.41742668494135</v>
      </c>
      <c r="G173" s="118"/>
      <c r="H173" s="118">
        <f>B173/1000*(1000*9.81*Pumps!$B$14+'Parameters and Satisfaction'!$B$27)</f>
        <v>0</v>
      </c>
      <c r="I173" s="118">
        <f>C173/1000*(1000*9.81*Pumps!$B$14+'Parameters and Satisfaction'!$B$27)</f>
        <v>868492.30078651186</v>
      </c>
      <c r="J173" s="118">
        <f>D173/1000*(1000*9.81*Pumps!$B$14+'Parameters and Satisfaction'!$B$27)</f>
        <v>0</v>
      </c>
      <c r="K173" s="118">
        <f>E173/1000*(1000*9.81*Pumps!$B$14+'Parameters and Satisfaction'!$B$27)</f>
        <v>388781.74084233458</v>
      </c>
      <c r="L173" s="118">
        <f>F173/1000*(1000*9.81*Pumps!$B$14+'Parameters and Satisfaction'!$B$27)</f>
        <v>226348.77584130567</v>
      </c>
      <c r="M173" s="118"/>
      <c r="N173" s="118">
        <f>H173/IF('Parameters and Satisfaction'!$C$13="Pump A", 0.7, IF('Parameters and Satisfaction'!$C$13 = "Pump B", 0.72, 0.65))</f>
        <v>0</v>
      </c>
      <c r="O173" s="118">
        <f>I173/IF('Parameters and Satisfaction'!$C$13="Pump A", 0.7, IF('Parameters and Satisfaction'!$C$13 = "Pump B", 0.72, 0.65))</f>
        <v>1206239.3066479331</v>
      </c>
      <c r="P173" s="118">
        <f>J173/IF('Parameters and Satisfaction'!$C$13="Pump A", 0.7, IF('Parameters and Satisfaction'!$C$13 = "Pump B", 0.72, 0.65))</f>
        <v>0</v>
      </c>
      <c r="Q173" s="118">
        <f>K173/IF('Parameters and Satisfaction'!$C$13="Pump A", 0.7, IF('Parameters and Satisfaction'!$C$13 = "Pump B", 0.72, 0.65))</f>
        <v>539974.64005879802</v>
      </c>
      <c r="R173" s="118">
        <f>L173/IF('Parameters and Satisfaction'!$C$13="Pump A", 0.7, IF('Parameters and Satisfaction'!$C$13 = "Pump B", 0.72, 0.65))</f>
        <v>314373.29977959121</v>
      </c>
      <c r="S173" s="118"/>
      <c r="T173" s="118">
        <f>N173+$F$47+IF('Parameters and Satisfaction'!$C$19="Ozone", 'Filtration System'!AA137*1000000, 0)</f>
        <v>4687500</v>
      </c>
      <c r="U173" s="118">
        <f>O173+$F$47+IF('Parameters and Satisfaction'!$C$19="Ozone", 'Filtration System'!AB137*1000000, 0)</f>
        <v>5893739.3066479331</v>
      </c>
      <c r="V173" s="118">
        <f>P173+$F$47+IF('Parameters and Satisfaction'!$C$19="Ozone", 'Filtration System'!AC137*1000000, 0)</f>
        <v>4687500</v>
      </c>
      <c r="W173" s="118">
        <f>Q173+$F$47+IF('Parameters and Satisfaction'!$C$19="Ozone", 'Filtration System'!AD137*1000000, 0)</f>
        <v>5227474.6400587978</v>
      </c>
      <c r="X173" s="118">
        <f>R173+$F$47+IF('Parameters and Satisfaction'!$C$19="Ozone", 'Filtration System'!AE137*1000000, 0)</f>
        <v>5001873.2997795912</v>
      </c>
      <c r="Y173" s="118"/>
      <c r="Z173" s="118">
        <f t="shared" si="13"/>
        <v>0.33482142857142855</v>
      </c>
      <c r="AA173" s="118">
        <f t="shared" si="14"/>
        <v>0.42098137904628091</v>
      </c>
      <c r="AB173" s="118">
        <f t="shared" si="15"/>
        <v>0.33482142857142855</v>
      </c>
      <c r="AC173" s="118">
        <f t="shared" si="16"/>
        <v>0.37339104571848558</v>
      </c>
      <c r="AD173" s="118">
        <f t="shared" si="17"/>
        <v>0.35727666426997079</v>
      </c>
      <c r="AE173" s="118"/>
      <c r="AF173" s="118"/>
      <c r="AG173" s="118"/>
      <c r="AK173">
        <f t="shared" si="21"/>
        <v>18506880</v>
      </c>
      <c r="AL173">
        <f t="shared" si="21"/>
        <v>18506880</v>
      </c>
      <c r="AM173">
        <f t="shared" si="21"/>
        <v>18506880</v>
      </c>
      <c r="AN173">
        <f t="shared" si="21"/>
        <v>18506880</v>
      </c>
      <c r="AO173">
        <f t="shared" si="21"/>
        <v>18506880</v>
      </c>
    </row>
    <row r="174" spans="1:41">
      <c r="A174" s="185">
        <f>'Water Stuff'!F108</f>
        <v>44665</v>
      </c>
      <c r="B174" s="118">
        <f>'Filtration System'!B138</f>
        <v>2960</v>
      </c>
      <c r="C174" s="118">
        <f>'Filtration System'!C138</f>
        <v>300</v>
      </c>
      <c r="D174" s="118">
        <f>'Filtration System'!D138</f>
        <v>2860.236636771278</v>
      </c>
      <c r="E174" s="118">
        <f>'Filtration System'!E138</f>
        <v>0</v>
      </c>
      <c r="F174" s="118">
        <f>'Filtration System'!F138</f>
        <v>1928.2503310488814</v>
      </c>
      <c r="G174" s="118"/>
      <c r="H174" s="118">
        <f>B174/1000*(1000*9.81*Pumps!$B$14+'Parameters and Satisfaction'!$B$27)</f>
        <v>793437.41059508489</v>
      </c>
      <c r="I174" s="118">
        <f>C174/1000*(1000*9.81*Pumps!$B$14+'Parameters and Satisfaction'!$B$27)</f>
        <v>80415.95377652887</v>
      </c>
      <c r="J174" s="118">
        <f>D174/1000*(1000*9.81*Pumps!$B$14+'Parameters and Satisfaction'!$B$27)</f>
        <v>766695.52390844491</v>
      </c>
      <c r="K174" s="118">
        <f>E174/1000*(1000*9.81*Pumps!$B$14+'Parameters and Satisfaction'!$B$27)</f>
        <v>0</v>
      </c>
      <c r="L174" s="118">
        <f>F174/1000*(1000*9.81*Pumps!$B$14+'Parameters and Satisfaction'!$B$27)</f>
        <v>516873.63163734449</v>
      </c>
      <c r="M174" s="118"/>
      <c r="N174" s="118">
        <f>H174/IF('Parameters and Satisfaction'!$C$13="Pump A", 0.7, IF('Parameters and Satisfaction'!$C$13 = "Pump B", 0.72, 0.65))</f>
        <v>1101996.4036042846</v>
      </c>
      <c r="O174" s="118">
        <f>I174/IF('Parameters and Satisfaction'!$C$13="Pump A", 0.7, IF('Parameters and Satisfaction'!$C$13 = "Pump B", 0.72, 0.65))</f>
        <v>111688.82468962343</v>
      </c>
      <c r="P174" s="118">
        <f>J174/IF('Parameters and Satisfaction'!$C$13="Pump A", 0.7, IF('Parameters and Satisfaction'!$C$13 = "Pump B", 0.72, 0.65))</f>
        <v>1064854.8943172847</v>
      </c>
      <c r="Q174" s="118">
        <f>K174/IF('Parameters and Satisfaction'!$C$13="Pump A", 0.7, IF('Parameters and Satisfaction'!$C$13 = "Pump B", 0.72, 0.65))</f>
        <v>0</v>
      </c>
      <c r="R174" s="118">
        <f>L174/IF('Parameters and Satisfaction'!$C$13="Pump A", 0.7, IF('Parameters and Satisfaction'!$C$13 = "Pump B", 0.72, 0.65))</f>
        <v>717880.04394075624</v>
      </c>
      <c r="S174" s="118"/>
      <c r="T174" s="118">
        <f>N174+$F$47+IF('Parameters and Satisfaction'!$C$19="Ozone", 'Filtration System'!AA138*1000000, 0)</f>
        <v>5789496.4036042849</v>
      </c>
      <c r="U174" s="118">
        <f>O174+$F$47+IF('Parameters and Satisfaction'!$C$19="Ozone", 'Filtration System'!AB138*1000000, 0)</f>
        <v>4799188.824689623</v>
      </c>
      <c r="V174" s="118">
        <f>P174+$F$47+IF('Parameters and Satisfaction'!$C$19="Ozone", 'Filtration System'!AC138*1000000, 0)</f>
        <v>5752354.8943172842</v>
      </c>
      <c r="W174" s="118">
        <f>Q174+$F$47+IF('Parameters and Satisfaction'!$C$19="Ozone", 'Filtration System'!AD138*1000000, 0)</f>
        <v>4687500</v>
      </c>
      <c r="X174" s="118">
        <f>R174+$F$47+IF('Parameters and Satisfaction'!$C$19="Ozone", 'Filtration System'!AE138*1000000, 0)</f>
        <v>5405380.0439407565</v>
      </c>
      <c r="Y174" s="118"/>
      <c r="Z174" s="118">
        <f t="shared" si="13"/>
        <v>0.41353545740030606</v>
      </c>
      <c r="AA174" s="118">
        <f t="shared" si="14"/>
        <v>0.3427992017635445</v>
      </c>
      <c r="AB174" s="118">
        <f t="shared" si="15"/>
        <v>0.41088249245123459</v>
      </c>
      <c r="AC174" s="118">
        <f t="shared" si="16"/>
        <v>0.33482142857142855</v>
      </c>
      <c r="AD174" s="118">
        <f t="shared" si="17"/>
        <v>0.38609857456719687</v>
      </c>
      <c r="AE174" s="118"/>
      <c r="AF174" s="118"/>
      <c r="AG174" s="118"/>
      <c r="AK174">
        <f t="shared" si="21"/>
        <v>18506880</v>
      </c>
      <c r="AL174">
        <f t="shared" si="21"/>
        <v>18506880</v>
      </c>
      <c r="AM174">
        <f t="shared" si="21"/>
        <v>18506880</v>
      </c>
      <c r="AN174">
        <f t="shared" si="21"/>
        <v>18506880</v>
      </c>
      <c r="AO174">
        <f t="shared" si="21"/>
        <v>18506880</v>
      </c>
    </row>
    <row r="175" spans="1:41">
      <c r="A175" s="185">
        <f>'Water Stuff'!F109</f>
        <v>44666</v>
      </c>
      <c r="B175" s="118">
        <f>'Filtration System'!B139</f>
        <v>4160</v>
      </c>
      <c r="C175" s="118">
        <f>'Filtration System'!C139</f>
        <v>7440.0000000000009</v>
      </c>
      <c r="D175" s="118">
        <f>'Filtration System'!D139</f>
        <v>4572.3924181472521</v>
      </c>
      <c r="E175" s="118">
        <f>'Filtration System'!E139</f>
        <v>8320.5462302474407</v>
      </c>
      <c r="F175" s="118">
        <f>'Filtration System'!F139</f>
        <v>2647.3467697943579</v>
      </c>
      <c r="G175" s="118"/>
      <c r="H175" s="118">
        <f>B175/1000*(1000*9.81*Pumps!$B$14+'Parameters and Satisfaction'!$B$27)</f>
        <v>1115101.2257012003</v>
      </c>
      <c r="I175" s="118">
        <f>C175/1000*(1000*9.81*Pumps!$B$14+'Parameters and Satisfaction'!$B$27)</f>
        <v>1994315.6536579165</v>
      </c>
      <c r="J175" s="118">
        <f>D175/1000*(1000*9.81*Pumps!$B$14+'Parameters and Satisfaction'!$B$27)</f>
        <v>1225644.3244862682</v>
      </c>
      <c r="K175" s="118">
        <f>E175/1000*(1000*9.81*Pumps!$B$14+'Parameters and Satisfaction'!$B$27)</f>
        <v>2230348.8701568325</v>
      </c>
      <c r="L175" s="118">
        <f>F175/1000*(1000*9.81*Pumps!$B$14+'Parameters and Satisfaction'!$B$27)</f>
        <v>709629.71823408699</v>
      </c>
      <c r="M175" s="118"/>
      <c r="N175" s="118">
        <f>H175/IF('Parameters and Satisfaction'!$C$13="Pump A", 0.7, IF('Parameters and Satisfaction'!$C$13 = "Pump B", 0.72, 0.65))</f>
        <v>1548751.7023627784</v>
      </c>
      <c r="O175" s="118">
        <f>I175/IF('Parameters and Satisfaction'!$C$13="Pump A", 0.7, IF('Parameters and Satisfaction'!$C$13 = "Pump B", 0.72, 0.65))</f>
        <v>2769882.8523026616</v>
      </c>
      <c r="P175" s="118">
        <f>J175/IF('Parameters and Satisfaction'!$C$13="Pump A", 0.7, IF('Parameters and Satisfaction'!$C$13 = "Pump B", 0.72, 0.65))</f>
        <v>1702283.784008706</v>
      </c>
      <c r="Q175" s="118">
        <f>K175/IF('Parameters and Satisfaction'!$C$13="Pump A", 0.7, IF('Parameters and Satisfaction'!$C$13 = "Pump B", 0.72, 0.65))</f>
        <v>3097706.7641067118</v>
      </c>
      <c r="R175" s="118">
        <f>L175/IF('Parameters and Satisfaction'!$C$13="Pump A", 0.7, IF('Parameters and Satisfaction'!$C$13 = "Pump B", 0.72, 0.65))</f>
        <v>985596.8308806764</v>
      </c>
      <c r="S175" s="118"/>
      <c r="T175" s="118">
        <f>N175+$F$47+IF('Parameters and Satisfaction'!$C$19="Ozone", 'Filtration System'!AA139*1000000, 0)</f>
        <v>6236251.7023627786</v>
      </c>
      <c r="U175" s="118">
        <f>O175+$F$47+IF('Parameters and Satisfaction'!$C$19="Ozone", 'Filtration System'!AB139*1000000, 0)</f>
        <v>7457382.8523026612</v>
      </c>
      <c r="V175" s="118">
        <f>P175+$F$47+IF('Parameters and Satisfaction'!$C$19="Ozone", 'Filtration System'!AC139*1000000, 0)</f>
        <v>6389783.784008706</v>
      </c>
      <c r="W175" s="118">
        <f>Q175+$F$47+IF('Parameters and Satisfaction'!$C$19="Ozone", 'Filtration System'!AD139*1000000, 0)</f>
        <v>7785206.7641067114</v>
      </c>
      <c r="X175" s="118">
        <f>R175+$F$47+IF('Parameters and Satisfaction'!$C$19="Ozone", 'Filtration System'!AE139*1000000, 0)</f>
        <v>5673096.8308806764</v>
      </c>
      <c r="Y175" s="118"/>
      <c r="Z175" s="118">
        <f t="shared" si="13"/>
        <v>0.44544655016876988</v>
      </c>
      <c r="AA175" s="118">
        <f t="shared" si="14"/>
        <v>0.53267020373590435</v>
      </c>
      <c r="AB175" s="118">
        <f t="shared" si="15"/>
        <v>0.45641312742919327</v>
      </c>
      <c r="AC175" s="118">
        <f t="shared" si="16"/>
        <v>0.5560861974361937</v>
      </c>
      <c r="AD175" s="118">
        <f t="shared" si="17"/>
        <v>0.40522120220576258</v>
      </c>
      <c r="AE175" s="118"/>
      <c r="AF175" s="118"/>
      <c r="AG175" s="118"/>
      <c r="AK175">
        <f t="shared" si="21"/>
        <v>18506880</v>
      </c>
      <c r="AL175">
        <f t="shared" si="21"/>
        <v>18506880</v>
      </c>
      <c r="AM175">
        <f t="shared" si="21"/>
        <v>18506880</v>
      </c>
      <c r="AN175">
        <f t="shared" si="21"/>
        <v>18506880</v>
      </c>
      <c r="AO175">
        <f t="shared" si="21"/>
        <v>18506880</v>
      </c>
    </row>
    <row r="176" spans="1:41">
      <c r="A176" s="185">
        <f>'Water Stuff'!F110</f>
        <v>44667</v>
      </c>
      <c r="B176" s="118">
        <f>'Filtration System'!B140</f>
        <v>7480</v>
      </c>
      <c r="C176" s="118">
        <f>'Filtration System'!C140</f>
        <v>600</v>
      </c>
      <c r="D176" s="118">
        <f>'Filtration System'!D140</f>
        <v>5981.0607970723604</v>
      </c>
      <c r="E176" s="118">
        <f>'Filtration System'!E140</f>
        <v>0</v>
      </c>
      <c r="F176" s="118">
        <f>'Filtration System'!F140</f>
        <v>5749.7005943025461</v>
      </c>
      <c r="G176" s="118"/>
      <c r="H176" s="118">
        <f>B176/1000*(1000*9.81*Pumps!$B$14+'Parameters and Satisfaction'!$B$27)</f>
        <v>2005037.78082812</v>
      </c>
      <c r="I176" s="118">
        <f>C176/1000*(1000*9.81*Pumps!$B$14+'Parameters and Satisfaction'!$B$27)</f>
        <v>160831.90755305774</v>
      </c>
      <c r="J176" s="118">
        <f>D176/1000*(1000*9.81*Pumps!$B$14+'Parameters and Satisfaction'!$B$27)</f>
        <v>1603242.3619732661</v>
      </c>
      <c r="K176" s="118">
        <f>E176/1000*(1000*9.81*Pumps!$B$14+'Parameters and Satisfaction'!$B$27)</f>
        <v>0</v>
      </c>
      <c r="L176" s="118">
        <f>F176/1000*(1000*9.81*Pumps!$B$14+'Parameters and Satisfaction'!$B$27)</f>
        <v>1541225.5240677136</v>
      </c>
      <c r="M176" s="118"/>
      <c r="N176" s="118">
        <f>H176/IF('Parameters and Satisfaction'!$C$13="Pump A", 0.7, IF('Parameters and Satisfaction'!$C$13 = "Pump B", 0.72, 0.65))</f>
        <v>2784774.6955946111</v>
      </c>
      <c r="O176" s="118">
        <f>I176/IF('Parameters and Satisfaction'!$C$13="Pump A", 0.7, IF('Parameters and Satisfaction'!$C$13 = "Pump B", 0.72, 0.65))</f>
        <v>223377.64937924687</v>
      </c>
      <c r="P176" s="118">
        <f>J176/IF('Parameters and Satisfaction'!$C$13="Pump A", 0.7, IF('Parameters and Satisfaction'!$C$13 = "Pump B", 0.72, 0.65))</f>
        <v>2226725.5027406476</v>
      </c>
      <c r="Q176" s="118">
        <f>K176/IF('Parameters and Satisfaction'!$C$13="Pump A", 0.7, IF('Parameters and Satisfaction'!$C$13 = "Pump B", 0.72, 0.65))</f>
        <v>0</v>
      </c>
      <c r="R176" s="118">
        <f>L176/IF('Parameters and Satisfaction'!$C$13="Pump A", 0.7, IF('Parameters and Satisfaction'!$C$13 = "Pump B", 0.72, 0.65))</f>
        <v>2140591.0056496025</v>
      </c>
      <c r="S176" s="118"/>
      <c r="T176" s="118">
        <f>N176+$F$47+IF('Parameters and Satisfaction'!$C$19="Ozone", 'Filtration System'!AA140*1000000, 0)</f>
        <v>7472274.6955946106</v>
      </c>
      <c r="U176" s="118">
        <f>O176+$F$47+IF('Parameters and Satisfaction'!$C$19="Ozone", 'Filtration System'!AB140*1000000, 0)</f>
        <v>4910877.6493792469</v>
      </c>
      <c r="V176" s="118">
        <f>P176+$F$47+IF('Parameters and Satisfaction'!$C$19="Ozone", 'Filtration System'!AC140*1000000, 0)</f>
        <v>6914225.5027406476</v>
      </c>
      <c r="W176" s="118">
        <f>Q176+$F$47+IF('Parameters and Satisfaction'!$C$19="Ozone", 'Filtration System'!AD140*1000000, 0)</f>
        <v>4687500</v>
      </c>
      <c r="X176" s="118">
        <f>R176+$F$47+IF('Parameters and Satisfaction'!$C$19="Ozone", 'Filtration System'!AE140*1000000, 0)</f>
        <v>6828091.005649602</v>
      </c>
      <c r="Y176" s="118"/>
      <c r="Z176" s="118">
        <f t="shared" si="13"/>
        <v>0.53373390682818644</v>
      </c>
      <c r="AA176" s="118">
        <f t="shared" si="14"/>
        <v>0.35077697495566051</v>
      </c>
      <c r="AB176" s="118">
        <f t="shared" si="15"/>
        <v>0.49387325019576056</v>
      </c>
      <c r="AC176" s="118">
        <f t="shared" si="16"/>
        <v>0.33482142857142855</v>
      </c>
      <c r="AD176" s="118">
        <f t="shared" si="17"/>
        <v>0.48772078611782871</v>
      </c>
      <c r="AE176" s="118"/>
      <c r="AF176" s="118"/>
      <c r="AG176" s="118"/>
      <c r="AK176">
        <f t="shared" si="21"/>
        <v>18506880</v>
      </c>
      <c r="AL176">
        <f t="shared" si="21"/>
        <v>18506880</v>
      </c>
      <c r="AM176">
        <f t="shared" si="21"/>
        <v>18506880</v>
      </c>
      <c r="AN176">
        <f t="shared" si="21"/>
        <v>18506880</v>
      </c>
      <c r="AO176">
        <f t="shared" si="21"/>
        <v>18506880</v>
      </c>
    </row>
    <row r="177" spans="1:41">
      <c r="A177" s="185">
        <f>'Water Stuff'!F111</f>
        <v>44668</v>
      </c>
      <c r="B177" s="118">
        <f>'Filtration System'!B141</f>
        <v>1960.0000000000002</v>
      </c>
      <c r="C177" s="118">
        <f>'Filtration System'!C141</f>
        <v>0</v>
      </c>
      <c r="D177" s="118">
        <f>'Filtration System'!D141</f>
        <v>0</v>
      </c>
      <c r="E177" s="118">
        <f>'Filtration System'!E141</f>
        <v>973.9081195115906</v>
      </c>
      <c r="F177" s="118">
        <f>'Filtration System'!F141</f>
        <v>0</v>
      </c>
      <c r="G177" s="118"/>
      <c r="H177" s="118">
        <f>B177/1000*(1000*9.81*Pumps!$B$14+'Parameters and Satisfaction'!$B$27)</f>
        <v>525384.23133998865</v>
      </c>
      <c r="I177" s="118">
        <f>C177/1000*(1000*9.81*Pumps!$B$14+'Parameters and Satisfaction'!$B$27)</f>
        <v>0</v>
      </c>
      <c r="J177" s="118">
        <f>D177/1000*(1000*9.81*Pumps!$B$14+'Parameters and Satisfaction'!$B$27)</f>
        <v>0</v>
      </c>
      <c r="K177" s="118">
        <f>E177/1000*(1000*9.81*Pumps!$B$14+'Parameters and Satisfaction'!$B$27)</f>
        <v>261059.16773743409</v>
      </c>
      <c r="L177" s="118">
        <f>F177/1000*(1000*9.81*Pumps!$B$14+'Parameters and Satisfaction'!$B$27)</f>
        <v>0</v>
      </c>
      <c r="M177" s="118"/>
      <c r="N177" s="118">
        <f>H177/IF('Parameters and Satisfaction'!$C$13="Pump A", 0.7, IF('Parameters and Satisfaction'!$C$13 = "Pump B", 0.72, 0.65))</f>
        <v>729700.32130553981</v>
      </c>
      <c r="O177" s="118">
        <f>I177/IF('Parameters and Satisfaction'!$C$13="Pump A", 0.7, IF('Parameters and Satisfaction'!$C$13 = "Pump B", 0.72, 0.65))</f>
        <v>0</v>
      </c>
      <c r="P177" s="118">
        <f>J177/IF('Parameters and Satisfaction'!$C$13="Pump A", 0.7, IF('Parameters and Satisfaction'!$C$13 = "Pump B", 0.72, 0.65))</f>
        <v>0</v>
      </c>
      <c r="Q177" s="118">
        <f>K177/IF('Parameters and Satisfaction'!$C$13="Pump A", 0.7, IF('Parameters and Satisfaction'!$C$13 = "Pump B", 0.72, 0.65))</f>
        <v>362582.17741310294</v>
      </c>
      <c r="R177" s="118">
        <f>L177/IF('Parameters and Satisfaction'!$C$13="Pump A", 0.7, IF('Parameters and Satisfaction'!$C$13 = "Pump B", 0.72, 0.65))</f>
        <v>0</v>
      </c>
      <c r="S177" s="118"/>
      <c r="T177" s="118">
        <f>N177+$F$47+IF('Parameters and Satisfaction'!$C$19="Ozone", 'Filtration System'!AA141*1000000, 0)</f>
        <v>5417200.3213055395</v>
      </c>
      <c r="U177" s="118">
        <f>O177+$F$47+IF('Parameters and Satisfaction'!$C$19="Ozone", 'Filtration System'!AB141*1000000, 0)</f>
        <v>4687500</v>
      </c>
      <c r="V177" s="118">
        <f>P177+$F$47+IF('Parameters and Satisfaction'!$C$19="Ozone", 'Filtration System'!AC141*1000000, 0)</f>
        <v>4687500</v>
      </c>
      <c r="W177" s="118">
        <f>Q177+$F$47+IF('Parameters and Satisfaction'!$C$19="Ozone", 'Filtration System'!AD141*1000000, 0)</f>
        <v>5050082.1774131032</v>
      </c>
      <c r="X177" s="118">
        <f>R177+$F$47+IF('Parameters and Satisfaction'!$C$19="Ozone", 'Filtration System'!AE141*1000000, 0)</f>
        <v>4687500</v>
      </c>
      <c r="Y177" s="118"/>
      <c r="Z177" s="118">
        <f t="shared" si="13"/>
        <v>0.38694288009325284</v>
      </c>
      <c r="AA177" s="118">
        <f t="shared" si="14"/>
        <v>0.33482142857142855</v>
      </c>
      <c r="AB177" s="118">
        <f t="shared" si="15"/>
        <v>0.33482142857142855</v>
      </c>
      <c r="AC177" s="118">
        <f t="shared" si="16"/>
        <v>0.36072015552950737</v>
      </c>
      <c r="AD177" s="118">
        <f t="shared" si="17"/>
        <v>0.33482142857142855</v>
      </c>
      <c r="AE177" s="118"/>
      <c r="AF177" s="118"/>
      <c r="AG177" s="118"/>
      <c r="AK177">
        <f t="shared" si="21"/>
        <v>18506880</v>
      </c>
      <c r="AL177">
        <f t="shared" si="21"/>
        <v>18506880</v>
      </c>
      <c r="AM177">
        <f t="shared" si="21"/>
        <v>18506880</v>
      </c>
      <c r="AN177">
        <f t="shared" si="21"/>
        <v>18506880</v>
      </c>
      <c r="AO177">
        <f t="shared" si="21"/>
        <v>18506880</v>
      </c>
    </row>
    <row r="178" spans="1:41">
      <c r="A178" s="185">
        <f>'Water Stuff'!F112</f>
        <v>44669</v>
      </c>
      <c r="B178" s="118">
        <f>'Filtration System'!B142</f>
        <v>380</v>
      </c>
      <c r="C178" s="118">
        <f>'Filtration System'!C142</f>
        <v>0</v>
      </c>
      <c r="D178" s="118">
        <f>'Filtration System'!D142</f>
        <v>0</v>
      </c>
      <c r="E178" s="118">
        <f>'Filtration System'!E142</f>
        <v>0</v>
      </c>
      <c r="F178" s="118">
        <f>'Filtration System'!F142</f>
        <v>1190.8564051651022</v>
      </c>
      <c r="G178" s="118"/>
      <c r="H178" s="118">
        <f>B178/1000*(1000*9.81*Pumps!$B$14+'Parameters and Satisfaction'!$B$27)</f>
        <v>101860.20811693657</v>
      </c>
      <c r="I178" s="118">
        <f>C178/1000*(1000*9.81*Pumps!$B$14+'Parameters and Satisfaction'!$B$27)</f>
        <v>0</v>
      </c>
      <c r="J178" s="118">
        <f>D178/1000*(1000*9.81*Pumps!$B$14+'Parameters and Satisfaction'!$B$27)</f>
        <v>0</v>
      </c>
      <c r="K178" s="118">
        <f>E178/1000*(1000*9.81*Pumps!$B$14+'Parameters and Satisfaction'!$B$27)</f>
        <v>0</v>
      </c>
      <c r="L178" s="118">
        <f>F178/1000*(1000*9.81*Pumps!$B$14+'Parameters and Satisfaction'!$B$27)</f>
        <v>319212.84544080059</v>
      </c>
      <c r="M178" s="118"/>
      <c r="N178" s="118">
        <f>H178/IF('Parameters and Satisfaction'!$C$13="Pump A", 0.7, IF('Parameters and Satisfaction'!$C$13 = "Pump B", 0.72, 0.65))</f>
        <v>141472.51127352301</v>
      </c>
      <c r="O178" s="118">
        <f>I178/IF('Parameters and Satisfaction'!$C$13="Pump A", 0.7, IF('Parameters and Satisfaction'!$C$13 = "Pump B", 0.72, 0.65))</f>
        <v>0</v>
      </c>
      <c r="P178" s="118">
        <f>J178/IF('Parameters and Satisfaction'!$C$13="Pump A", 0.7, IF('Parameters and Satisfaction'!$C$13 = "Pump B", 0.72, 0.65))</f>
        <v>0</v>
      </c>
      <c r="Q178" s="118">
        <f>K178/IF('Parameters and Satisfaction'!$C$13="Pump A", 0.7, IF('Parameters and Satisfaction'!$C$13 = "Pump B", 0.72, 0.65))</f>
        <v>0</v>
      </c>
      <c r="R178" s="118">
        <f>L178/IF('Parameters and Satisfaction'!$C$13="Pump A", 0.7, IF('Parameters and Satisfaction'!$C$13 = "Pump B", 0.72, 0.65))</f>
        <v>443351.17422333418</v>
      </c>
      <c r="S178" s="118"/>
      <c r="T178" s="118">
        <f>N178+$F$47+IF('Parameters and Satisfaction'!$C$19="Ozone", 'Filtration System'!AA142*1000000, 0)</f>
        <v>4828972.5112735229</v>
      </c>
      <c r="U178" s="118">
        <f>O178+$F$47+IF('Parameters and Satisfaction'!$C$19="Ozone", 'Filtration System'!AB142*1000000, 0)</f>
        <v>4687500</v>
      </c>
      <c r="V178" s="118">
        <f>P178+$F$47+IF('Parameters and Satisfaction'!$C$19="Ozone", 'Filtration System'!AC142*1000000, 0)</f>
        <v>4687500</v>
      </c>
      <c r="W178" s="118">
        <f>Q178+$F$47+IF('Parameters and Satisfaction'!$C$19="Ozone", 'Filtration System'!AD142*1000000, 0)</f>
        <v>4687500</v>
      </c>
      <c r="X178" s="118">
        <f>R178+$F$47+IF('Parameters and Satisfaction'!$C$19="Ozone", 'Filtration System'!AE142*1000000, 0)</f>
        <v>5130851.1742233345</v>
      </c>
      <c r="Y178" s="118"/>
      <c r="Z178" s="118">
        <f t="shared" si="13"/>
        <v>0.34492660794810875</v>
      </c>
      <c r="AA178" s="118">
        <f t="shared" si="14"/>
        <v>0.33482142857142855</v>
      </c>
      <c r="AB178" s="118">
        <f t="shared" si="15"/>
        <v>0.33482142857142855</v>
      </c>
      <c r="AC178" s="118">
        <f t="shared" si="16"/>
        <v>0.33482142857142855</v>
      </c>
      <c r="AD178" s="118">
        <f t="shared" si="17"/>
        <v>0.36648936958738104</v>
      </c>
      <c r="AE178" s="118"/>
      <c r="AF178" s="118"/>
      <c r="AG178" s="118"/>
      <c r="AK178">
        <f t="shared" si="21"/>
        <v>18506880</v>
      </c>
      <c r="AL178">
        <f t="shared" si="21"/>
        <v>18506880</v>
      </c>
      <c r="AM178">
        <f t="shared" si="21"/>
        <v>18506880</v>
      </c>
      <c r="AN178">
        <f t="shared" si="21"/>
        <v>18506880</v>
      </c>
      <c r="AO178">
        <f t="shared" si="21"/>
        <v>18506880</v>
      </c>
    </row>
    <row r="179" spans="1:41">
      <c r="A179" s="185">
        <f>'Water Stuff'!F113</f>
        <v>44670</v>
      </c>
      <c r="B179" s="118">
        <f>'Filtration System'!B143</f>
        <v>4200</v>
      </c>
      <c r="C179" s="118">
        <f>'Filtration System'!C143</f>
        <v>0</v>
      </c>
      <c r="D179" s="118">
        <f>'Filtration System'!D143</f>
        <v>3185.7479766396123</v>
      </c>
      <c r="E179" s="118">
        <f>'Filtration System'!E143</f>
        <v>0</v>
      </c>
      <c r="F179" s="118">
        <f>'Filtration System'!F143</f>
        <v>805.18431017676482</v>
      </c>
      <c r="G179" s="118"/>
      <c r="H179" s="118">
        <f>B179/1000*(1000*9.81*Pumps!$B$14+'Parameters and Satisfaction'!$B$27)</f>
        <v>1125823.3528714043</v>
      </c>
      <c r="I179" s="118">
        <f>C179/1000*(1000*9.81*Pumps!$B$14+'Parameters and Satisfaction'!$B$27)</f>
        <v>0</v>
      </c>
      <c r="J179" s="118">
        <f>D179/1000*(1000*9.81*Pumps!$B$14+'Parameters and Satisfaction'!$B$27)</f>
        <v>853949.87344373821</v>
      </c>
      <c r="K179" s="118">
        <f>E179/1000*(1000*9.81*Pumps!$B$14+'Parameters and Satisfaction'!$B$27)</f>
        <v>0</v>
      </c>
      <c r="L179" s="118">
        <f>F179/1000*(1000*9.81*Pumps!$B$14+'Parameters and Satisfaction'!$B$27)</f>
        <v>215832.21422920335</v>
      </c>
      <c r="M179" s="118"/>
      <c r="N179" s="118">
        <f>H179/IF('Parameters and Satisfaction'!$C$13="Pump A", 0.7, IF('Parameters and Satisfaction'!$C$13 = "Pump B", 0.72, 0.65))</f>
        <v>1563643.5456547283</v>
      </c>
      <c r="O179" s="118">
        <f>I179/IF('Parameters and Satisfaction'!$C$13="Pump A", 0.7, IF('Parameters and Satisfaction'!$C$13 = "Pump B", 0.72, 0.65))</f>
        <v>0</v>
      </c>
      <c r="P179" s="118">
        <f>J179/IF('Parameters and Satisfaction'!$C$13="Pump A", 0.7, IF('Parameters and Satisfaction'!$C$13 = "Pump B", 0.72, 0.65))</f>
        <v>1186041.4908940808</v>
      </c>
      <c r="Q179" s="118">
        <f>K179/IF('Parameters and Satisfaction'!$C$13="Pump A", 0.7, IF('Parameters and Satisfaction'!$C$13 = "Pump B", 0.72, 0.65))</f>
        <v>0</v>
      </c>
      <c r="R179" s="118">
        <f>L179/IF('Parameters and Satisfaction'!$C$13="Pump A", 0.7, IF('Parameters and Satisfaction'!$C$13 = "Pump B", 0.72, 0.65))</f>
        <v>299766.96420722688</v>
      </c>
      <c r="S179" s="118"/>
      <c r="T179" s="118">
        <f>N179+$F$47+IF('Parameters and Satisfaction'!$C$19="Ozone", 'Filtration System'!AA143*1000000, 0)</f>
        <v>6251143.5456547281</v>
      </c>
      <c r="U179" s="118">
        <f>O179+$F$47+IF('Parameters and Satisfaction'!$C$19="Ozone", 'Filtration System'!AB143*1000000, 0)</f>
        <v>4687500</v>
      </c>
      <c r="V179" s="118">
        <f>P179+$F$47+IF('Parameters and Satisfaction'!$C$19="Ozone", 'Filtration System'!AC143*1000000, 0)</f>
        <v>5873541.4908940811</v>
      </c>
      <c r="W179" s="118">
        <f>Q179+$F$47+IF('Parameters and Satisfaction'!$C$19="Ozone", 'Filtration System'!AD143*1000000, 0)</f>
        <v>4687500</v>
      </c>
      <c r="X179" s="118">
        <f>R179+$F$47+IF('Parameters and Satisfaction'!$C$19="Ozone", 'Filtration System'!AE143*1000000, 0)</f>
        <v>4987266.9642072264</v>
      </c>
      <c r="Y179" s="118"/>
      <c r="Z179" s="118">
        <f t="shared" si="13"/>
        <v>0.44651025326105198</v>
      </c>
      <c r="AA179" s="118">
        <f t="shared" si="14"/>
        <v>0.33482142857142855</v>
      </c>
      <c r="AB179" s="118">
        <f t="shared" si="15"/>
        <v>0.4195386779210058</v>
      </c>
      <c r="AC179" s="118">
        <f t="shared" si="16"/>
        <v>0.33482142857142855</v>
      </c>
      <c r="AD179" s="118">
        <f t="shared" si="17"/>
        <v>0.35623335458623046</v>
      </c>
      <c r="AE179" s="118"/>
      <c r="AF179" s="118"/>
      <c r="AG179" s="118"/>
      <c r="AK179">
        <f t="shared" si="21"/>
        <v>18506880</v>
      </c>
      <c r="AL179">
        <f t="shared" si="21"/>
        <v>18506880</v>
      </c>
      <c r="AM179">
        <f t="shared" si="21"/>
        <v>18506880</v>
      </c>
      <c r="AN179">
        <f t="shared" si="21"/>
        <v>18506880</v>
      </c>
      <c r="AO179">
        <f t="shared" si="21"/>
        <v>18506880</v>
      </c>
    </row>
    <row r="180" spans="1:41">
      <c r="A180" s="185">
        <f>'Water Stuff'!F114</f>
        <v>44671</v>
      </c>
      <c r="B180" s="118">
        <f>'Filtration System'!B144</f>
        <v>6000</v>
      </c>
      <c r="C180" s="118">
        <f>'Filtration System'!C144</f>
        <v>220.00000000000003</v>
      </c>
      <c r="D180" s="118">
        <f>'Filtration System'!D144</f>
        <v>6033.8807964540447</v>
      </c>
      <c r="E180" s="118">
        <f>'Filtration System'!E144</f>
        <v>0</v>
      </c>
      <c r="F180" s="118">
        <f>'Filtration System'!F144</f>
        <v>7448.5181579605824</v>
      </c>
      <c r="G180" s="118"/>
      <c r="H180" s="118">
        <f>B180/1000*(1000*9.81*Pumps!$B$14+'Parameters and Satisfaction'!$B$27)</f>
        <v>1608319.0755305775</v>
      </c>
      <c r="I180" s="118">
        <f>C180/1000*(1000*9.81*Pumps!$B$14+'Parameters and Satisfaction'!$B$27)</f>
        <v>58971.699436121184</v>
      </c>
      <c r="J180" s="118">
        <f>D180/1000*(1000*9.81*Pumps!$B$14+'Parameters and Satisfaction'!$B$27)</f>
        <v>1617400.930735779</v>
      </c>
      <c r="K180" s="118">
        <f>E180/1000*(1000*9.81*Pumps!$B$14+'Parameters and Satisfaction'!$B$27)</f>
        <v>0</v>
      </c>
      <c r="L180" s="118">
        <f>F180/1000*(1000*9.81*Pumps!$B$14+'Parameters and Satisfaction'!$B$27)</f>
        <v>1996598.9729806473</v>
      </c>
      <c r="M180" s="118"/>
      <c r="N180" s="118">
        <f>H180/IF('Parameters and Satisfaction'!$C$13="Pump A", 0.7, IF('Parameters and Satisfaction'!$C$13 = "Pump B", 0.72, 0.65))</f>
        <v>2233776.4937924687</v>
      </c>
      <c r="O180" s="118">
        <f>I180/IF('Parameters and Satisfaction'!$C$13="Pump A", 0.7, IF('Parameters and Satisfaction'!$C$13 = "Pump B", 0.72, 0.65))</f>
        <v>81905.138105723876</v>
      </c>
      <c r="P180" s="118">
        <f>J180/IF('Parameters and Satisfaction'!$C$13="Pump A", 0.7, IF('Parameters and Satisfaction'!$C$13 = "Pump B", 0.72, 0.65))</f>
        <v>2246390.1815774711</v>
      </c>
      <c r="Q180" s="118">
        <f>K180/IF('Parameters and Satisfaction'!$C$13="Pump A", 0.7, IF('Parameters and Satisfaction'!$C$13 = "Pump B", 0.72, 0.65))</f>
        <v>0</v>
      </c>
      <c r="R180" s="118">
        <f>L180/IF('Parameters and Satisfaction'!$C$13="Pump A", 0.7, IF('Parameters and Satisfaction'!$C$13 = "Pump B", 0.72, 0.65))</f>
        <v>2773054.129139788</v>
      </c>
      <c r="S180" s="118"/>
      <c r="T180" s="118">
        <f>N180+$F$47+IF('Parameters and Satisfaction'!$C$19="Ozone", 'Filtration System'!AA144*1000000, 0)</f>
        <v>6921276.4937924687</v>
      </c>
      <c r="U180" s="118">
        <f>O180+$F$47+IF('Parameters and Satisfaction'!$C$19="Ozone", 'Filtration System'!AB144*1000000, 0)</f>
        <v>4769405.138105724</v>
      </c>
      <c r="V180" s="118">
        <f>P180+$F$47+IF('Parameters and Satisfaction'!$C$19="Ozone", 'Filtration System'!AC144*1000000, 0)</f>
        <v>6933890.1815774711</v>
      </c>
      <c r="W180" s="118">
        <f>Q180+$F$47+IF('Parameters and Satisfaction'!$C$19="Ozone", 'Filtration System'!AD144*1000000, 0)</f>
        <v>4687500</v>
      </c>
      <c r="X180" s="118">
        <f>R180+$F$47+IF('Parameters and Satisfaction'!$C$19="Ozone", 'Filtration System'!AE144*1000000, 0)</f>
        <v>7460554.1291397884</v>
      </c>
      <c r="Y180" s="118"/>
      <c r="Z180" s="118">
        <f t="shared" si="13"/>
        <v>0.49437689241374777</v>
      </c>
      <c r="AA180" s="118">
        <f t="shared" si="14"/>
        <v>0.34067179557898031</v>
      </c>
      <c r="AB180" s="118">
        <f t="shared" si="15"/>
        <v>0.49527787011267649</v>
      </c>
      <c r="AC180" s="118">
        <f t="shared" si="16"/>
        <v>0.33482142857142855</v>
      </c>
      <c r="AD180" s="118">
        <f t="shared" si="17"/>
        <v>0.53289672350998485</v>
      </c>
      <c r="AE180" s="118"/>
      <c r="AF180" s="118"/>
      <c r="AG180" s="118"/>
      <c r="AK180">
        <f t="shared" si="21"/>
        <v>18506880</v>
      </c>
      <c r="AL180">
        <f t="shared" si="21"/>
        <v>18506880</v>
      </c>
      <c r="AM180">
        <f t="shared" si="21"/>
        <v>18506880</v>
      </c>
      <c r="AN180">
        <f t="shared" si="21"/>
        <v>18506880</v>
      </c>
      <c r="AO180">
        <f t="shared" si="21"/>
        <v>18506880</v>
      </c>
    </row>
    <row r="181" spans="1:41">
      <c r="A181" s="185">
        <f>'Water Stuff'!F115</f>
        <v>44672</v>
      </c>
      <c r="B181" s="118">
        <f>'Filtration System'!B145</f>
        <v>0</v>
      </c>
      <c r="C181" s="118">
        <f>'Filtration System'!C145</f>
        <v>80</v>
      </c>
      <c r="D181" s="118">
        <f>'Filtration System'!D145</f>
        <v>1741.9976132109948</v>
      </c>
      <c r="E181" s="118">
        <f>'Filtration System'!E145</f>
        <v>0</v>
      </c>
      <c r="F181" s="118">
        <f>'Filtration System'!F145</f>
        <v>0</v>
      </c>
      <c r="G181" s="118"/>
      <c r="H181" s="118">
        <f>B181/1000*(1000*9.81*Pumps!$B$14+'Parameters and Satisfaction'!$B$27)</f>
        <v>0</v>
      </c>
      <c r="I181" s="118">
        <f>C181/1000*(1000*9.81*Pumps!$B$14+'Parameters and Satisfaction'!$B$27)</f>
        <v>21444.254340407701</v>
      </c>
      <c r="J181" s="118">
        <f>D181/1000*(1000*9.81*Pumps!$B$14+'Parameters and Satisfaction'!$B$27)</f>
        <v>466947.9984759966</v>
      </c>
      <c r="K181" s="118">
        <f>E181/1000*(1000*9.81*Pumps!$B$14+'Parameters and Satisfaction'!$B$27)</f>
        <v>0</v>
      </c>
      <c r="L181" s="118">
        <f>F181/1000*(1000*9.81*Pumps!$B$14+'Parameters and Satisfaction'!$B$27)</f>
        <v>0</v>
      </c>
      <c r="M181" s="118"/>
      <c r="N181" s="118">
        <f>H181/IF('Parameters and Satisfaction'!$C$13="Pump A", 0.7, IF('Parameters and Satisfaction'!$C$13 = "Pump B", 0.72, 0.65))</f>
        <v>0</v>
      </c>
      <c r="O181" s="118">
        <f>I181/IF('Parameters and Satisfaction'!$C$13="Pump A", 0.7, IF('Parameters and Satisfaction'!$C$13 = "Pump B", 0.72, 0.65))</f>
        <v>29783.686583899584</v>
      </c>
      <c r="P181" s="118">
        <f>J181/IF('Parameters and Satisfaction'!$C$13="Pump A", 0.7, IF('Parameters and Satisfaction'!$C$13 = "Pump B", 0.72, 0.65))</f>
        <v>648538.88677221758</v>
      </c>
      <c r="Q181" s="118">
        <f>K181/IF('Parameters and Satisfaction'!$C$13="Pump A", 0.7, IF('Parameters and Satisfaction'!$C$13 = "Pump B", 0.72, 0.65))</f>
        <v>0</v>
      </c>
      <c r="R181" s="118">
        <f>L181/IF('Parameters and Satisfaction'!$C$13="Pump A", 0.7, IF('Parameters and Satisfaction'!$C$13 = "Pump B", 0.72, 0.65))</f>
        <v>0</v>
      </c>
      <c r="S181" s="118"/>
      <c r="T181" s="118">
        <f>N181+$F$47+IF('Parameters and Satisfaction'!$C$19="Ozone", 'Filtration System'!AA145*1000000, 0)</f>
        <v>4687500</v>
      </c>
      <c r="U181" s="118">
        <f>O181+$F$47+IF('Parameters and Satisfaction'!$C$19="Ozone", 'Filtration System'!AB145*1000000, 0)</f>
        <v>4717283.6865838999</v>
      </c>
      <c r="V181" s="118">
        <f>P181+$F$47+IF('Parameters and Satisfaction'!$C$19="Ozone", 'Filtration System'!AC145*1000000, 0)</f>
        <v>5336038.8867722172</v>
      </c>
      <c r="W181" s="118">
        <f>Q181+$F$47+IF('Parameters and Satisfaction'!$C$19="Ozone", 'Filtration System'!AD145*1000000, 0)</f>
        <v>4687500</v>
      </c>
      <c r="X181" s="118">
        <f>R181+$F$47+IF('Parameters and Satisfaction'!$C$19="Ozone", 'Filtration System'!AE145*1000000, 0)</f>
        <v>4687500</v>
      </c>
      <c r="Y181" s="118"/>
      <c r="Z181" s="118">
        <f t="shared" si="13"/>
        <v>0.33482142857142855</v>
      </c>
      <c r="AA181" s="118">
        <f t="shared" si="14"/>
        <v>0.33694883475599285</v>
      </c>
      <c r="AB181" s="118">
        <f t="shared" si="15"/>
        <v>0.38114563476944407</v>
      </c>
      <c r="AC181" s="118">
        <f t="shared" si="16"/>
        <v>0.33482142857142855</v>
      </c>
      <c r="AD181" s="118">
        <f t="shared" si="17"/>
        <v>0.33482142857142855</v>
      </c>
      <c r="AE181" s="118"/>
      <c r="AF181" s="118"/>
      <c r="AG181" s="118"/>
      <c r="AK181">
        <f t="shared" ref="AK181:AO190" si="22">$D$58</f>
        <v>18506880</v>
      </c>
      <c r="AL181">
        <f t="shared" si="22"/>
        <v>18506880</v>
      </c>
      <c r="AM181">
        <f t="shared" si="22"/>
        <v>18506880</v>
      </c>
      <c r="AN181">
        <f t="shared" si="22"/>
        <v>18506880</v>
      </c>
      <c r="AO181">
        <f t="shared" si="22"/>
        <v>18506880</v>
      </c>
    </row>
    <row r="182" spans="1:41">
      <c r="A182" s="185">
        <f>'Water Stuff'!F116</f>
        <v>44673</v>
      </c>
      <c r="B182" s="118">
        <f>'Filtration System'!B146</f>
        <v>880.00000000000011</v>
      </c>
      <c r="C182" s="118">
        <f>'Filtration System'!C146</f>
        <v>1639.9999999999998</v>
      </c>
      <c r="D182" s="118">
        <f>'Filtration System'!D146</f>
        <v>0</v>
      </c>
      <c r="E182" s="118">
        <f>'Filtration System'!E146</f>
        <v>821.9751337661769</v>
      </c>
      <c r="F182" s="118">
        <f>'Filtration System'!F146</f>
        <v>0</v>
      </c>
      <c r="G182" s="118"/>
      <c r="H182" s="118">
        <f>B182/1000*(1000*9.81*Pumps!$B$14+'Parameters and Satisfaction'!$B$27)</f>
        <v>235886.79774448473</v>
      </c>
      <c r="I182" s="118">
        <f>C182/1000*(1000*9.81*Pumps!$B$14+'Parameters and Satisfaction'!$B$27)</f>
        <v>439607.21397835773</v>
      </c>
      <c r="J182" s="118">
        <f>D182/1000*(1000*9.81*Pumps!$B$14+'Parameters and Satisfaction'!$B$27)</f>
        <v>0</v>
      </c>
      <c r="K182" s="118">
        <f>E182/1000*(1000*9.81*Pumps!$B$14+'Parameters and Satisfaction'!$B$27)</f>
        <v>220333.04787465674</v>
      </c>
      <c r="L182" s="118">
        <f>F182/1000*(1000*9.81*Pumps!$B$14+'Parameters and Satisfaction'!$B$27)</f>
        <v>0</v>
      </c>
      <c r="M182" s="118"/>
      <c r="N182" s="118">
        <f>H182/IF('Parameters and Satisfaction'!$C$13="Pump A", 0.7, IF('Parameters and Satisfaction'!$C$13 = "Pump B", 0.72, 0.65))</f>
        <v>327620.5524228955</v>
      </c>
      <c r="O182" s="118">
        <f>I182/IF('Parameters and Satisfaction'!$C$13="Pump A", 0.7, IF('Parameters and Satisfaction'!$C$13 = "Pump B", 0.72, 0.65))</f>
        <v>610565.57496994128</v>
      </c>
      <c r="P182" s="118">
        <f>J182/IF('Parameters and Satisfaction'!$C$13="Pump A", 0.7, IF('Parameters and Satisfaction'!$C$13 = "Pump B", 0.72, 0.65))</f>
        <v>0</v>
      </c>
      <c r="Q182" s="118">
        <f>K182/IF('Parameters and Satisfaction'!$C$13="Pump A", 0.7, IF('Parameters and Satisfaction'!$C$13 = "Pump B", 0.72, 0.65))</f>
        <v>306018.12204813439</v>
      </c>
      <c r="R182" s="118">
        <f>L182/IF('Parameters and Satisfaction'!$C$13="Pump A", 0.7, IF('Parameters and Satisfaction'!$C$13 = "Pump B", 0.72, 0.65))</f>
        <v>0</v>
      </c>
      <c r="S182" s="118"/>
      <c r="T182" s="118">
        <f>N182+$F$47+IF('Parameters and Satisfaction'!$C$19="Ozone", 'Filtration System'!AA146*1000000, 0)</f>
        <v>5015120.5524228951</v>
      </c>
      <c r="U182" s="118">
        <f>O182+$F$47+IF('Parameters and Satisfaction'!$C$19="Ozone", 'Filtration System'!AB146*1000000, 0)</f>
        <v>5298065.5749699418</v>
      </c>
      <c r="V182" s="118">
        <f>P182+$F$47+IF('Parameters and Satisfaction'!$C$19="Ozone", 'Filtration System'!AC146*1000000, 0)</f>
        <v>4687500</v>
      </c>
      <c r="W182" s="118">
        <f>Q182+$F$47+IF('Parameters and Satisfaction'!$C$19="Ozone", 'Filtration System'!AD146*1000000, 0)</f>
        <v>4993518.122048134</v>
      </c>
      <c r="X182" s="118">
        <f>R182+$F$47+IF('Parameters and Satisfaction'!$C$19="Ozone", 'Filtration System'!AE146*1000000, 0)</f>
        <v>4687500</v>
      </c>
      <c r="Y182" s="118"/>
      <c r="Z182" s="118">
        <f t="shared" si="13"/>
        <v>0.35822289660163537</v>
      </c>
      <c r="AA182" s="118">
        <f t="shared" si="14"/>
        <v>0.37843325535499583</v>
      </c>
      <c r="AB182" s="118">
        <f t="shared" si="15"/>
        <v>0.33482142857142855</v>
      </c>
      <c r="AC182" s="118">
        <f t="shared" si="16"/>
        <v>0.35667986586058098</v>
      </c>
      <c r="AD182" s="118">
        <f t="shared" si="17"/>
        <v>0.33482142857142855</v>
      </c>
      <c r="AE182" s="118"/>
      <c r="AF182" s="118"/>
      <c r="AG182" s="118"/>
      <c r="AK182">
        <f t="shared" si="22"/>
        <v>18506880</v>
      </c>
      <c r="AL182">
        <f t="shared" si="22"/>
        <v>18506880</v>
      </c>
      <c r="AM182">
        <f t="shared" si="22"/>
        <v>18506880</v>
      </c>
      <c r="AN182">
        <f t="shared" si="22"/>
        <v>18506880</v>
      </c>
      <c r="AO182">
        <f t="shared" si="22"/>
        <v>18506880</v>
      </c>
    </row>
    <row r="183" spans="1:41">
      <c r="A183" s="185">
        <f>'Water Stuff'!F117</f>
        <v>44674</v>
      </c>
      <c r="B183" s="118">
        <f>'Filtration System'!B147</f>
        <v>2560</v>
      </c>
      <c r="C183" s="118">
        <f>'Filtration System'!C147</f>
        <v>1680</v>
      </c>
      <c r="D183" s="118">
        <f>'Filtration System'!D147</f>
        <v>0</v>
      </c>
      <c r="E183" s="118">
        <f>'Filtration System'!E147</f>
        <v>63.476498615699484</v>
      </c>
      <c r="F183" s="118">
        <f>'Filtration System'!F147</f>
        <v>0</v>
      </c>
      <c r="G183" s="118"/>
      <c r="H183" s="118">
        <f>B183/1000*(1000*9.81*Pumps!$B$14+'Parameters and Satisfaction'!$B$27)</f>
        <v>686216.13889304642</v>
      </c>
      <c r="I183" s="118">
        <f>C183/1000*(1000*9.81*Pumps!$B$14+'Parameters and Satisfaction'!$B$27)</f>
        <v>450329.34114856168</v>
      </c>
      <c r="J183" s="118">
        <f>D183/1000*(1000*9.81*Pumps!$B$14+'Parameters and Satisfaction'!$B$27)</f>
        <v>0</v>
      </c>
      <c r="K183" s="118">
        <f>E183/1000*(1000*9.81*Pumps!$B$14+'Parameters and Satisfaction'!$B$27)</f>
        <v>17015.077261919963</v>
      </c>
      <c r="L183" s="118">
        <f>F183/1000*(1000*9.81*Pumps!$B$14+'Parameters and Satisfaction'!$B$27)</f>
        <v>0</v>
      </c>
      <c r="M183" s="118"/>
      <c r="N183" s="118">
        <f>H183/IF('Parameters and Satisfaction'!$C$13="Pump A", 0.7, IF('Parameters and Satisfaction'!$C$13 = "Pump B", 0.72, 0.65))</f>
        <v>953077.97068478668</v>
      </c>
      <c r="O183" s="118">
        <f>I183/IF('Parameters and Satisfaction'!$C$13="Pump A", 0.7, IF('Parameters and Satisfaction'!$C$13 = "Pump B", 0.72, 0.65))</f>
        <v>625457.41826189123</v>
      </c>
      <c r="P183" s="118">
        <f>J183/IF('Parameters and Satisfaction'!$C$13="Pump A", 0.7, IF('Parameters and Satisfaction'!$C$13 = "Pump B", 0.72, 0.65))</f>
        <v>0</v>
      </c>
      <c r="Q183" s="118">
        <f>K183/IF('Parameters and Satisfaction'!$C$13="Pump A", 0.7, IF('Parameters and Satisfaction'!$C$13 = "Pump B", 0.72, 0.65))</f>
        <v>23632.051752666615</v>
      </c>
      <c r="R183" s="118">
        <f>L183/IF('Parameters and Satisfaction'!$C$13="Pump A", 0.7, IF('Parameters and Satisfaction'!$C$13 = "Pump B", 0.72, 0.65))</f>
        <v>0</v>
      </c>
      <c r="S183" s="118"/>
      <c r="T183" s="118">
        <f>N183+$F$47+IF('Parameters and Satisfaction'!$C$19="Ozone", 'Filtration System'!AA147*1000000, 0)</f>
        <v>5640577.9706847863</v>
      </c>
      <c r="U183" s="118">
        <f>O183+$F$47+IF('Parameters and Satisfaction'!$C$19="Ozone", 'Filtration System'!AB147*1000000, 0)</f>
        <v>5312957.4182618912</v>
      </c>
      <c r="V183" s="118">
        <f>P183+$F$47+IF('Parameters and Satisfaction'!$C$19="Ozone", 'Filtration System'!AC147*1000000, 0)</f>
        <v>4687500</v>
      </c>
      <c r="W183" s="118">
        <f>Q183+$F$47+IF('Parameters and Satisfaction'!$C$19="Ozone", 'Filtration System'!AD147*1000000, 0)</f>
        <v>4711132.0517526669</v>
      </c>
      <c r="X183" s="118">
        <f>R183+$F$47+IF('Parameters and Satisfaction'!$C$19="Ozone", 'Filtration System'!AE147*1000000, 0)</f>
        <v>4687500</v>
      </c>
      <c r="Y183" s="118"/>
      <c r="Z183" s="118">
        <f t="shared" si="13"/>
        <v>0.40289842647748475</v>
      </c>
      <c r="AA183" s="118">
        <f t="shared" si="14"/>
        <v>0.37949695844727793</v>
      </c>
      <c r="AB183" s="118">
        <f t="shared" si="15"/>
        <v>0.33482142857142855</v>
      </c>
      <c r="AC183" s="118">
        <f t="shared" si="16"/>
        <v>0.33650943226804764</v>
      </c>
      <c r="AD183" s="118">
        <f t="shared" si="17"/>
        <v>0.33482142857142855</v>
      </c>
      <c r="AE183" s="118"/>
      <c r="AF183" s="118"/>
      <c r="AG183" s="118"/>
      <c r="AK183">
        <f t="shared" si="22"/>
        <v>18506880</v>
      </c>
      <c r="AL183">
        <f t="shared" si="22"/>
        <v>18506880</v>
      </c>
      <c r="AM183">
        <f t="shared" si="22"/>
        <v>18506880</v>
      </c>
      <c r="AN183">
        <f t="shared" si="22"/>
        <v>18506880</v>
      </c>
      <c r="AO183">
        <f t="shared" si="22"/>
        <v>18506880</v>
      </c>
    </row>
    <row r="184" spans="1:41">
      <c r="A184" s="185">
        <f>'Water Stuff'!F118</f>
        <v>44675</v>
      </c>
      <c r="B184" s="118">
        <f>'Filtration System'!B148</f>
        <v>5200</v>
      </c>
      <c r="C184" s="118">
        <f>'Filtration System'!C148</f>
        <v>360</v>
      </c>
      <c r="D184" s="118">
        <f>'Filtration System'!D148</f>
        <v>2205.2829737145616</v>
      </c>
      <c r="E184" s="118">
        <f>'Filtration System'!E148</f>
        <v>0</v>
      </c>
      <c r="F184" s="118">
        <f>'Filtration System'!F148</f>
        <v>424.89830026089061</v>
      </c>
      <c r="G184" s="118"/>
      <c r="H184" s="118">
        <f>B184/1000*(1000*9.81*Pumps!$B$14+'Parameters and Satisfaction'!$B$27)</f>
        <v>1393876.5321265005</v>
      </c>
      <c r="I184" s="118">
        <f>C184/1000*(1000*9.81*Pumps!$B$14+'Parameters and Satisfaction'!$B$27)</f>
        <v>96499.144531834638</v>
      </c>
      <c r="J184" s="118">
        <f>D184/1000*(1000*9.81*Pumps!$B$14+'Parameters and Satisfaction'!$B$27)</f>
        <v>591133.11226132116</v>
      </c>
      <c r="K184" s="118">
        <f>E184/1000*(1000*9.81*Pumps!$B$14+'Parameters and Satisfaction'!$B$27)</f>
        <v>0</v>
      </c>
      <c r="L184" s="118">
        <f>F184/1000*(1000*9.81*Pumps!$B$14+'Parameters and Satisfaction'!$B$27)</f>
        <v>113895.34024501822</v>
      </c>
      <c r="M184" s="118"/>
      <c r="N184" s="118">
        <f>H184/IF('Parameters and Satisfaction'!$C$13="Pump A", 0.7, IF('Parameters and Satisfaction'!$C$13 = "Pump B", 0.72, 0.65))</f>
        <v>1935939.627953473</v>
      </c>
      <c r="O184" s="118">
        <f>I184/IF('Parameters and Satisfaction'!$C$13="Pump A", 0.7, IF('Parameters and Satisfaction'!$C$13 = "Pump B", 0.72, 0.65))</f>
        <v>134026.58962754812</v>
      </c>
      <c r="P184" s="118">
        <f>J184/IF('Parameters and Satisfaction'!$C$13="Pump A", 0.7, IF('Parameters and Satisfaction'!$C$13 = "Pump B", 0.72, 0.65))</f>
        <v>821018.21147405717</v>
      </c>
      <c r="Q184" s="118">
        <f>K184/IF('Parameters and Satisfaction'!$C$13="Pump A", 0.7, IF('Parameters and Satisfaction'!$C$13 = "Pump B", 0.72, 0.65))</f>
        <v>0</v>
      </c>
      <c r="R184" s="118">
        <f>L184/IF('Parameters and Satisfaction'!$C$13="Pump A", 0.7, IF('Parameters and Satisfaction'!$C$13 = "Pump B", 0.72, 0.65))</f>
        <v>158187.9725625253</v>
      </c>
      <c r="S184" s="118"/>
      <c r="T184" s="118">
        <f>N184+$F$47+IF('Parameters and Satisfaction'!$C$19="Ozone", 'Filtration System'!AA148*1000000, 0)</f>
        <v>6623439.6279534735</v>
      </c>
      <c r="U184" s="118">
        <f>O184+$F$47+IF('Parameters and Satisfaction'!$C$19="Ozone", 'Filtration System'!AB148*1000000, 0)</f>
        <v>4821526.5896275481</v>
      </c>
      <c r="V184" s="118">
        <f>P184+$F$47+IF('Parameters and Satisfaction'!$C$19="Ozone", 'Filtration System'!AC148*1000000, 0)</f>
        <v>5508518.2114740573</v>
      </c>
      <c r="W184" s="118">
        <f>Q184+$F$47+IF('Parameters and Satisfaction'!$C$19="Ozone", 'Filtration System'!AD148*1000000, 0)</f>
        <v>4687500</v>
      </c>
      <c r="X184" s="118">
        <f>R184+$F$47+IF('Parameters and Satisfaction'!$C$19="Ozone", 'Filtration System'!AE148*1000000, 0)</f>
        <v>4845687.9725625254</v>
      </c>
      <c r="Y184" s="118"/>
      <c r="Z184" s="118">
        <f t="shared" si="13"/>
        <v>0.47310283056810526</v>
      </c>
      <c r="AA184" s="118">
        <f t="shared" si="14"/>
        <v>0.34439475640196771</v>
      </c>
      <c r="AB184" s="118">
        <f t="shared" si="15"/>
        <v>0.39346558653386121</v>
      </c>
      <c r="AC184" s="118">
        <f t="shared" si="16"/>
        <v>0.33482142857142855</v>
      </c>
      <c r="AD184" s="118">
        <f t="shared" si="17"/>
        <v>0.3461205694687518</v>
      </c>
      <c r="AE184" s="118"/>
      <c r="AF184" s="118"/>
      <c r="AG184" s="118"/>
      <c r="AK184">
        <f t="shared" si="22"/>
        <v>18506880</v>
      </c>
      <c r="AL184">
        <f t="shared" si="22"/>
        <v>18506880</v>
      </c>
      <c r="AM184">
        <f t="shared" si="22"/>
        <v>18506880</v>
      </c>
      <c r="AN184">
        <f t="shared" si="22"/>
        <v>18506880</v>
      </c>
      <c r="AO184">
        <f t="shared" si="22"/>
        <v>18506880</v>
      </c>
    </row>
    <row r="185" spans="1:41">
      <c r="A185" s="185">
        <f>'Water Stuff'!F119</f>
        <v>44676</v>
      </c>
      <c r="B185" s="118">
        <f>'Filtration System'!B149</f>
        <v>360</v>
      </c>
      <c r="C185" s="118">
        <f>'Filtration System'!C149</f>
        <v>0</v>
      </c>
      <c r="D185" s="118">
        <f>'Filtration System'!D149</f>
        <v>0</v>
      </c>
      <c r="E185" s="118">
        <f>'Filtration System'!E149</f>
        <v>0</v>
      </c>
      <c r="F185" s="118">
        <f>'Filtration System'!F149</f>
        <v>573.09481045649488</v>
      </c>
      <c r="G185" s="118"/>
      <c r="H185" s="118">
        <f>B185/1000*(1000*9.81*Pumps!$B$14+'Parameters and Satisfaction'!$B$27)</f>
        <v>96499.144531834638</v>
      </c>
      <c r="I185" s="118">
        <f>C185/1000*(1000*9.81*Pumps!$B$14+'Parameters and Satisfaction'!$B$27)</f>
        <v>0</v>
      </c>
      <c r="J185" s="118">
        <f>D185/1000*(1000*9.81*Pumps!$B$14+'Parameters and Satisfaction'!$B$27)</f>
        <v>0</v>
      </c>
      <c r="K185" s="118">
        <f>E185/1000*(1000*9.81*Pumps!$B$14+'Parameters and Satisfaction'!$B$27)</f>
        <v>0</v>
      </c>
      <c r="L185" s="118">
        <f>F185/1000*(1000*9.81*Pumps!$B$14+'Parameters and Satisfaction'!$B$27)</f>
        <v>153619.88595746024</v>
      </c>
      <c r="M185" s="118"/>
      <c r="N185" s="118">
        <f>H185/IF('Parameters and Satisfaction'!$C$13="Pump A", 0.7, IF('Parameters and Satisfaction'!$C$13 = "Pump B", 0.72, 0.65))</f>
        <v>134026.58962754812</v>
      </c>
      <c r="O185" s="118">
        <f>I185/IF('Parameters and Satisfaction'!$C$13="Pump A", 0.7, IF('Parameters and Satisfaction'!$C$13 = "Pump B", 0.72, 0.65))</f>
        <v>0</v>
      </c>
      <c r="P185" s="118">
        <f>J185/IF('Parameters and Satisfaction'!$C$13="Pump A", 0.7, IF('Parameters and Satisfaction'!$C$13 = "Pump B", 0.72, 0.65))</f>
        <v>0</v>
      </c>
      <c r="Q185" s="118">
        <f>K185/IF('Parameters and Satisfaction'!$C$13="Pump A", 0.7, IF('Parameters and Satisfaction'!$C$13 = "Pump B", 0.72, 0.65))</f>
        <v>0</v>
      </c>
      <c r="R185" s="118">
        <f>L185/IF('Parameters and Satisfaction'!$C$13="Pump A", 0.7, IF('Parameters and Satisfaction'!$C$13 = "Pump B", 0.72, 0.65))</f>
        <v>213360.95271869478</v>
      </c>
      <c r="S185" s="118"/>
      <c r="T185" s="118">
        <f>N185+$F$47+IF('Parameters and Satisfaction'!$C$19="Ozone", 'Filtration System'!AA149*1000000, 0)</f>
        <v>4821526.5896275481</v>
      </c>
      <c r="U185" s="118">
        <f>O185+$F$47+IF('Parameters and Satisfaction'!$C$19="Ozone", 'Filtration System'!AB149*1000000, 0)</f>
        <v>4687500</v>
      </c>
      <c r="V185" s="118">
        <f>P185+$F$47+IF('Parameters and Satisfaction'!$C$19="Ozone", 'Filtration System'!AC149*1000000, 0)</f>
        <v>4687500</v>
      </c>
      <c r="W185" s="118">
        <f>Q185+$F$47+IF('Parameters and Satisfaction'!$C$19="Ozone", 'Filtration System'!AD149*1000000, 0)</f>
        <v>4687500</v>
      </c>
      <c r="X185" s="118">
        <f>R185+$F$47+IF('Parameters and Satisfaction'!$C$19="Ozone", 'Filtration System'!AE149*1000000, 0)</f>
        <v>4900860.9527186947</v>
      </c>
      <c r="Y185" s="118"/>
      <c r="Z185" s="118">
        <f t="shared" si="13"/>
        <v>0.34439475640196771</v>
      </c>
      <c r="AA185" s="118">
        <f t="shared" si="14"/>
        <v>0.33482142857142855</v>
      </c>
      <c r="AB185" s="118">
        <f t="shared" si="15"/>
        <v>0.33482142857142855</v>
      </c>
      <c r="AC185" s="118">
        <f t="shared" si="16"/>
        <v>0.33482142857142855</v>
      </c>
      <c r="AD185" s="118">
        <f t="shared" si="17"/>
        <v>0.35006149662276392</v>
      </c>
      <c r="AE185" s="118"/>
      <c r="AF185" s="118"/>
      <c r="AG185" s="118"/>
      <c r="AK185">
        <f t="shared" si="22"/>
        <v>18506880</v>
      </c>
      <c r="AL185">
        <f t="shared" si="22"/>
        <v>18506880</v>
      </c>
      <c r="AM185">
        <f t="shared" si="22"/>
        <v>18506880</v>
      </c>
      <c r="AN185">
        <f t="shared" si="22"/>
        <v>18506880</v>
      </c>
      <c r="AO185">
        <f t="shared" si="22"/>
        <v>18506880</v>
      </c>
    </row>
    <row r="186" spans="1:41">
      <c r="A186" s="185">
        <f>'Water Stuff'!F120</f>
        <v>44677</v>
      </c>
      <c r="B186" s="118">
        <f>'Filtration System'!B150</f>
        <v>7000</v>
      </c>
      <c r="C186" s="118">
        <f>'Filtration System'!C150</f>
        <v>840</v>
      </c>
      <c r="D186" s="118">
        <f>'Filtration System'!D150</f>
        <v>6902.8271834177513</v>
      </c>
      <c r="E186" s="118">
        <f>'Filtration System'!E150</f>
        <v>1141.7365632378501</v>
      </c>
      <c r="F186" s="118">
        <f>'Filtration System'!F150</f>
        <v>4834.3064888069002</v>
      </c>
      <c r="G186" s="118"/>
      <c r="H186" s="118">
        <f>B186/1000*(1000*9.81*Pumps!$B$14+'Parameters and Satisfaction'!$B$27)</f>
        <v>1876372.2547856737</v>
      </c>
      <c r="I186" s="118">
        <f>C186/1000*(1000*9.81*Pumps!$B$14+'Parameters and Satisfaction'!$B$27)</f>
        <v>225164.67057428084</v>
      </c>
      <c r="J186" s="118">
        <f>D186/1000*(1000*9.81*Pumps!$B$14+'Parameters and Satisfaction'!$B$27)</f>
        <v>1850324.7723636297</v>
      </c>
      <c r="K186" s="118">
        <f>E186/1000*(1000*9.81*Pumps!$B$14+'Parameters and Satisfaction'!$B$27)</f>
        <v>306046.11564769293</v>
      </c>
      <c r="L186" s="118">
        <f>F186/1000*(1000*9.81*Pumps!$B$14+'Parameters and Satisfaction'!$B$27)</f>
        <v>1295851.2238182309</v>
      </c>
      <c r="M186" s="118"/>
      <c r="N186" s="118">
        <f>H186/IF('Parameters and Satisfaction'!$C$13="Pump A", 0.7, IF('Parameters and Satisfaction'!$C$13 = "Pump B", 0.72, 0.65))</f>
        <v>2606072.5760912136</v>
      </c>
      <c r="O186" s="118">
        <f>I186/IF('Parameters and Satisfaction'!$C$13="Pump A", 0.7, IF('Parameters and Satisfaction'!$C$13 = "Pump B", 0.72, 0.65))</f>
        <v>312728.70913094562</v>
      </c>
      <c r="P186" s="118">
        <f>J186/IF('Parameters and Satisfaction'!$C$13="Pump A", 0.7, IF('Parameters and Satisfaction'!$C$13 = "Pump B", 0.72, 0.65))</f>
        <v>2569895.5171717079</v>
      </c>
      <c r="Q186" s="118">
        <f>K186/IF('Parameters and Satisfaction'!$C$13="Pump A", 0.7, IF('Parameters and Satisfaction'!$C$13 = "Pump B", 0.72, 0.65))</f>
        <v>425064.04951068462</v>
      </c>
      <c r="R186" s="118">
        <f>L186/IF('Parameters and Satisfaction'!$C$13="Pump A", 0.7, IF('Parameters and Satisfaction'!$C$13 = "Pump B", 0.72, 0.65))</f>
        <v>1799793.3664142096</v>
      </c>
      <c r="S186" s="118"/>
      <c r="T186" s="118">
        <f>N186+$F$47+IF('Parameters and Satisfaction'!$C$19="Ozone", 'Filtration System'!AA150*1000000, 0)</f>
        <v>7293572.5760912132</v>
      </c>
      <c r="U186" s="118">
        <f>O186+$F$47+IF('Parameters and Satisfaction'!$C$19="Ozone", 'Filtration System'!AB150*1000000, 0)</f>
        <v>5000228.7091309456</v>
      </c>
      <c r="V186" s="118">
        <f>P186+$F$47+IF('Parameters and Satisfaction'!$C$19="Ozone", 'Filtration System'!AC150*1000000, 0)</f>
        <v>7257395.5171717079</v>
      </c>
      <c r="W186" s="118">
        <f>Q186+$F$47+IF('Parameters and Satisfaction'!$C$19="Ozone", 'Filtration System'!AD150*1000000, 0)</f>
        <v>5112564.0495106848</v>
      </c>
      <c r="X186" s="118">
        <f>R186+$F$47+IF('Parameters and Satisfaction'!$C$19="Ozone", 'Filtration System'!AE150*1000000, 0)</f>
        <v>6487293.3664142098</v>
      </c>
      <c r="Y186" s="118"/>
      <c r="Z186" s="118">
        <f t="shared" si="13"/>
        <v>0.52096946972080094</v>
      </c>
      <c r="AA186" s="118">
        <f t="shared" si="14"/>
        <v>0.35715919350935327</v>
      </c>
      <c r="AB186" s="118">
        <f t="shared" si="15"/>
        <v>0.51838539408369344</v>
      </c>
      <c r="AC186" s="118">
        <f t="shared" si="16"/>
        <v>0.36518314639362032</v>
      </c>
      <c r="AD186" s="118">
        <f t="shared" si="17"/>
        <v>0.463378097601015</v>
      </c>
      <c r="AE186" s="118"/>
      <c r="AF186" s="118"/>
      <c r="AG186" s="118"/>
      <c r="AK186">
        <f t="shared" si="22"/>
        <v>18506880</v>
      </c>
      <c r="AL186">
        <f t="shared" si="22"/>
        <v>18506880</v>
      </c>
      <c r="AM186">
        <f t="shared" si="22"/>
        <v>18506880</v>
      </c>
      <c r="AN186">
        <f t="shared" si="22"/>
        <v>18506880</v>
      </c>
      <c r="AO186">
        <f t="shared" si="22"/>
        <v>18506880</v>
      </c>
    </row>
    <row r="187" spans="1:41">
      <c r="A187" s="185">
        <f>'Water Stuff'!F121</f>
        <v>44678</v>
      </c>
      <c r="B187" s="118">
        <f>'Filtration System'!B151</f>
        <v>1440</v>
      </c>
      <c r="C187" s="118">
        <f>'Filtration System'!C151</f>
        <v>4480</v>
      </c>
      <c r="D187" s="118">
        <f>'Filtration System'!D151</f>
        <v>2322.6544901247321</v>
      </c>
      <c r="E187" s="118">
        <f>'Filtration System'!E151</f>
        <v>4507.997694359924</v>
      </c>
      <c r="F187" s="118">
        <f>'Filtration System'!F151</f>
        <v>3629.647723380564</v>
      </c>
      <c r="G187" s="118"/>
      <c r="H187" s="118">
        <f>B187/1000*(1000*9.81*Pumps!$B$14+'Parameters and Satisfaction'!$B$27)</f>
        <v>385996.57812733855</v>
      </c>
      <c r="I187" s="118">
        <f>C187/1000*(1000*9.81*Pumps!$B$14+'Parameters and Satisfaction'!$B$27)</f>
        <v>1200878.2430628312</v>
      </c>
      <c r="J187" s="118">
        <f>D187/1000*(1000*9.81*Pumps!$B$14+'Parameters and Satisfaction'!$B$27)</f>
        <v>622594.92038905888</v>
      </c>
      <c r="K187" s="118">
        <f>E187/1000*(1000*9.81*Pumps!$B$14+'Parameters and Satisfaction'!$B$27)</f>
        <v>1208383.1140478211</v>
      </c>
      <c r="L187" s="118">
        <f>F187/1000*(1000*9.81*Pumps!$B$14+'Parameters and Satisfaction'!$B$27)</f>
        <v>972938.61182818236</v>
      </c>
      <c r="M187" s="118"/>
      <c r="N187" s="118">
        <f>H187/IF('Parameters and Satisfaction'!$C$13="Pump A", 0.7, IF('Parameters and Satisfaction'!$C$13 = "Pump B", 0.72, 0.65))</f>
        <v>536106.35851019248</v>
      </c>
      <c r="O187" s="118">
        <f>I187/IF('Parameters and Satisfaction'!$C$13="Pump A", 0.7, IF('Parameters and Satisfaction'!$C$13 = "Pump B", 0.72, 0.65))</f>
        <v>1667886.4486983768</v>
      </c>
      <c r="P187" s="118">
        <f>J187/IF('Parameters and Satisfaction'!$C$13="Pump A", 0.7, IF('Parameters and Satisfaction'!$C$13 = "Pump B", 0.72, 0.65))</f>
        <v>864715.16720702627</v>
      </c>
      <c r="Q187" s="118">
        <f>K187/IF('Parameters and Satisfaction'!$C$13="Pump A", 0.7, IF('Parameters and Satisfaction'!$C$13 = "Pump B", 0.72, 0.65))</f>
        <v>1678309.8806219739</v>
      </c>
      <c r="R187" s="118">
        <f>L187/IF('Parameters and Satisfaction'!$C$13="Pump A", 0.7, IF('Parameters and Satisfaction'!$C$13 = "Pump B", 0.72, 0.65))</f>
        <v>1351303.6275391423</v>
      </c>
      <c r="S187" s="118"/>
      <c r="T187" s="118">
        <f>N187+$F$47+IF('Parameters and Satisfaction'!$C$19="Ozone", 'Filtration System'!AA151*1000000, 0)</f>
        <v>5223606.3585101925</v>
      </c>
      <c r="U187" s="118">
        <f>O187+$F$47+IF('Parameters and Satisfaction'!$C$19="Ozone", 'Filtration System'!AB151*1000000, 0)</f>
        <v>6355386.4486983772</v>
      </c>
      <c r="V187" s="118">
        <f>P187+$F$47+IF('Parameters and Satisfaction'!$C$19="Ozone", 'Filtration System'!AC151*1000000, 0)</f>
        <v>5552215.1672070259</v>
      </c>
      <c r="W187" s="118">
        <f>Q187+$F$47+IF('Parameters and Satisfaction'!$C$19="Ozone", 'Filtration System'!AD151*1000000, 0)</f>
        <v>6365809.8806219734</v>
      </c>
      <c r="X187" s="118">
        <f>R187+$F$47+IF('Parameters and Satisfaction'!$C$19="Ozone", 'Filtration System'!AE151*1000000, 0)</f>
        <v>6038803.627539142</v>
      </c>
      <c r="Y187" s="118"/>
      <c r="Z187" s="118">
        <f t="shared" si="13"/>
        <v>0.37311473989358518</v>
      </c>
      <c r="AA187" s="118">
        <f t="shared" si="14"/>
        <v>0.45395617490702694</v>
      </c>
      <c r="AB187" s="118">
        <f t="shared" si="15"/>
        <v>0.39658679765764471</v>
      </c>
      <c r="AC187" s="118">
        <f t="shared" si="16"/>
        <v>0.45470070575871241</v>
      </c>
      <c r="AD187" s="118">
        <f t="shared" si="17"/>
        <v>0.43134311625279587</v>
      </c>
      <c r="AE187" s="118"/>
      <c r="AF187" s="118"/>
      <c r="AG187" s="118"/>
      <c r="AK187">
        <f t="shared" si="22"/>
        <v>18506880</v>
      </c>
      <c r="AL187">
        <f t="shared" si="22"/>
        <v>18506880</v>
      </c>
      <c r="AM187">
        <f t="shared" si="22"/>
        <v>18506880</v>
      </c>
      <c r="AN187">
        <f t="shared" si="22"/>
        <v>18506880</v>
      </c>
      <c r="AO187">
        <f t="shared" si="22"/>
        <v>18506880</v>
      </c>
    </row>
    <row r="188" spans="1:41">
      <c r="A188" s="185">
        <f>'Water Stuff'!F122</f>
        <v>44679</v>
      </c>
      <c r="B188" s="118">
        <f>'Filtration System'!B152</f>
        <v>160</v>
      </c>
      <c r="C188" s="118">
        <f>'Filtration System'!C152</f>
        <v>3080</v>
      </c>
      <c r="D188" s="118">
        <f>'Filtration System'!D152</f>
        <v>0</v>
      </c>
      <c r="E188" s="118">
        <f>'Filtration System'!E152</f>
        <v>4033.0385855078043</v>
      </c>
      <c r="F188" s="118">
        <f>'Filtration System'!F152</f>
        <v>0</v>
      </c>
      <c r="G188" s="118"/>
      <c r="H188" s="118">
        <f>B188/1000*(1000*9.81*Pumps!$B$14+'Parameters and Satisfaction'!$B$27)</f>
        <v>42888.508680815401</v>
      </c>
      <c r="I188" s="118">
        <f>C188/1000*(1000*9.81*Pumps!$B$14+'Parameters and Satisfaction'!$B$27)</f>
        <v>825603.7921056964</v>
      </c>
      <c r="J188" s="118">
        <f>D188/1000*(1000*9.81*Pumps!$B$14+'Parameters and Satisfaction'!$B$27)</f>
        <v>0</v>
      </c>
      <c r="K188" s="118">
        <f>E188/1000*(1000*9.81*Pumps!$B$14+'Parameters and Satisfaction'!$B$27)</f>
        <v>1081068.8149038432</v>
      </c>
      <c r="L188" s="118">
        <f>F188/1000*(1000*9.81*Pumps!$B$14+'Parameters and Satisfaction'!$B$27)</f>
        <v>0</v>
      </c>
      <c r="M188" s="118"/>
      <c r="N188" s="118">
        <f>H188/IF('Parameters and Satisfaction'!$C$13="Pump A", 0.7, IF('Parameters and Satisfaction'!$C$13 = "Pump B", 0.72, 0.65))</f>
        <v>59567.373167799167</v>
      </c>
      <c r="O188" s="118">
        <f>I188/IF('Parameters and Satisfaction'!$C$13="Pump A", 0.7, IF('Parameters and Satisfaction'!$C$13 = "Pump B", 0.72, 0.65))</f>
        <v>1146671.933480134</v>
      </c>
      <c r="P188" s="118">
        <f>J188/IF('Parameters and Satisfaction'!$C$13="Pump A", 0.7, IF('Parameters and Satisfaction'!$C$13 = "Pump B", 0.72, 0.65))</f>
        <v>0</v>
      </c>
      <c r="Q188" s="118">
        <f>K188/IF('Parameters and Satisfaction'!$C$13="Pump A", 0.7, IF('Parameters and Satisfaction'!$C$13 = "Pump B", 0.72, 0.65))</f>
        <v>1501484.4651442268</v>
      </c>
      <c r="R188" s="118">
        <f>L188/IF('Parameters and Satisfaction'!$C$13="Pump A", 0.7, IF('Parameters and Satisfaction'!$C$13 = "Pump B", 0.72, 0.65))</f>
        <v>0</v>
      </c>
      <c r="S188" s="118"/>
      <c r="T188" s="118">
        <f>N188+$F$47+IF('Parameters and Satisfaction'!$C$19="Ozone", 'Filtration System'!AA152*1000000, 0)</f>
        <v>4747067.3731677989</v>
      </c>
      <c r="U188" s="118">
        <f>O188+$F$47+IF('Parameters and Satisfaction'!$C$19="Ozone", 'Filtration System'!AB152*1000000, 0)</f>
        <v>5834171.9334801342</v>
      </c>
      <c r="V188" s="118">
        <f>P188+$F$47+IF('Parameters and Satisfaction'!$C$19="Ozone", 'Filtration System'!AC152*1000000, 0)</f>
        <v>4687500</v>
      </c>
      <c r="W188" s="118">
        <f>Q188+$F$47+IF('Parameters and Satisfaction'!$C$19="Ozone", 'Filtration System'!AD152*1000000, 0)</f>
        <v>6188984.4651442263</v>
      </c>
      <c r="X188" s="118">
        <f>R188+$F$47+IF('Parameters and Satisfaction'!$C$19="Ozone", 'Filtration System'!AE152*1000000, 0)</f>
        <v>4687500</v>
      </c>
      <c r="Y188" s="118"/>
      <c r="Z188" s="118">
        <f t="shared" si="13"/>
        <v>0.33907624094055705</v>
      </c>
      <c r="AA188" s="118">
        <f t="shared" si="14"/>
        <v>0.41672656667715247</v>
      </c>
      <c r="AB188" s="118">
        <f t="shared" si="15"/>
        <v>0.33482142857142855</v>
      </c>
      <c r="AC188" s="118">
        <f t="shared" si="16"/>
        <v>0.44207031893887333</v>
      </c>
      <c r="AD188" s="118">
        <f t="shared" si="17"/>
        <v>0.33482142857142855</v>
      </c>
      <c r="AE188" s="118"/>
      <c r="AF188" s="118"/>
      <c r="AG188" s="118"/>
      <c r="AK188">
        <f t="shared" si="22"/>
        <v>18506880</v>
      </c>
      <c r="AL188">
        <f t="shared" si="22"/>
        <v>18506880</v>
      </c>
      <c r="AM188">
        <f t="shared" si="22"/>
        <v>18506880</v>
      </c>
      <c r="AN188">
        <f t="shared" si="22"/>
        <v>18506880</v>
      </c>
      <c r="AO188">
        <f t="shared" si="22"/>
        <v>18506880</v>
      </c>
    </row>
    <row r="189" spans="1:41">
      <c r="A189" s="185">
        <f>'Water Stuff'!F123</f>
        <v>44680</v>
      </c>
      <c r="B189" s="118">
        <f>'Filtration System'!B153</f>
        <v>20</v>
      </c>
      <c r="C189" s="118">
        <f>'Filtration System'!C153</f>
        <v>5520</v>
      </c>
      <c r="D189" s="118">
        <f>'Filtration System'!D153</f>
        <v>1127.4393274333986</v>
      </c>
      <c r="E189" s="118">
        <f>'Filtration System'!E153</f>
        <v>2672.3923654649079</v>
      </c>
      <c r="F189" s="118">
        <f>'Filtration System'!F153</f>
        <v>1385.7718456386913</v>
      </c>
      <c r="G189" s="118"/>
      <c r="H189" s="118">
        <f>B189/1000*(1000*9.81*Pumps!$B$14+'Parameters and Satisfaction'!$B$27)</f>
        <v>5361.0635851019251</v>
      </c>
      <c r="I189" s="118">
        <f>C189/1000*(1000*9.81*Pumps!$B$14+'Parameters and Satisfaction'!$B$27)</f>
        <v>1479653.5494881312</v>
      </c>
      <c r="J189" s="118">
        <f>D189/1000*(1000*9.81*Pumps!$B$14+'Parameters and Satisfaction'!$B$27)</f>
        <v>302213.69613574998</v>
      </c>
      <c r="K189" s="118">
        <f>E189/1000*(1000*9.81*Pumps!$B$14+'Parameters and Satisfaction'!$B$27)</f>
        <v>716343.26977991569</v>
      </c>
      <c r="L189" s="118">
        <f>F189/1000*(1000*9.81*Pumps!$B$14+'Parameters and Satisfaction'!$B$27)</f>
        <v>371460.54894565372</v>
      </c>
      <c r="M189" s="118"/>
      <c r="N189" s="118">
        <f>H189/IF('Parameters and Satisfaction'!$C$13="Pump A", 0.7, IF('Parameters and Satisfaction'!$C$13 = "Pump B", 0.72, 0.65))</f>
        <v>7445.9216459748959</v>
      </c>
      <c r="O189" s="118">
        <f>I189/IF('Parameters and Satisfaction'!$C$13="Pump A", 0.7, IF('Parameters and Satisfaction'!$C$13 = "Pump B", 0.72, 0.65))</f>
        <v>2055074.3742890712</v>
      </c>
      <c r="P189" s="118">
        <f>J189/IF('Parameters and Satisfaction'!$C$13="Pump A", 0.7, IF('Parameters and Satisfaction'!$C$13 = "Pump B", 0.72, 0.65))</f>
        <v>419741.24463298608</v>
      </c>
      <c r="Q189" s="118">
        <f>K189/IF('Parameters and Satisfaction'!$C$13="Pump A", 0.7, IF('Parameters and Satisfaction'!$C$13 = "Pump B", 0.72, 0.65))</f>
        <v>994921.20802766073</v>
      </c>
      <c r="R189" s="118">
        <f>L189/IF('Parameters and Satisfaction'!$C$13="Pump A", 0.7, IF('Parameters and Satisfaction'!$C$13 = "Pump B", 0.72, 0.65))</f>
        <v>515917.42909118574</v>
      </c>
      <c r="S189" s="118"/>
      <c r="T189" s="118">
        <f>N189+$F$47+IF('Parameters and Satisfaction'!$C$19="Ozone", 'Filtration System'!AA153*1000000, 0)</f>
        <v>4694945.9216459747</v>
      </c>
      <c r="U189" s="118">
        <f>O189+$F$47+IF('Parameters and Satisfaction'!$C$19="Ozone", 'Filtration System'!AB153*1000000, 0)</f>
        <v>6742574.3742890712</v>
      </c>
      <c r="V189" s="118">
        <f>P189+$F$47+IF('Parameters and Satisfaction'!$C$19="Ozone", 'Filtration System'!AC153*1000000, 0)</f>
        <v>5107241.2446329864</v>
      </c>
      <c r="W189" s="118">
        <f>Q189+$F$47+IF('Parameters and Satisfaction'!$C$19="Ozone", 'Filtration System'!AD153*1000000, 0)</f>
        <v>5682421.2080276608</v>
      </c>
      <c r="X189" s="118">
        <f>R189+$F$47+IF('Parameters and Satisfaction'!$C$19="Ozone", 'Filtration System'!AE153*1000000, 0)</f>
        <v>5203417.4290911853</v>
      </c>
      <c r="Y189" s="118"/>
      <c r="Z189" s="118">
        <f t="shared" si="13"/>
        <v>0.33535328011756965</v>
      </c>
      <c r="AA189" s="118">
        <f t="shared" si="14"/>
        <v>0.48161245530636221</v>
      </c>
      <c r="AB189" s="118">
        <f t="shared" si="15"/>
        <v>0.36480294604521329</v>
      </c>
      <c r="AC189" s="118">
        <f t="shared" si="16"/>
        <v>0.40588722914483294</v>
      </c>
      <c r="AD189" s="118">
        <f t="shared" si="17"/>
        <v>0.37167267350651323</v>
      </c>
      <c r="AE189" s="118"/>
      <c r="AF189" s="118"/>
      <c r="AG189" s="118"/>
      <c r="AK189">
        <f t="shared" si="22"/>
        <v>18506880</v>
      </c>
      <c r="AL189">
        <f t="shared" si="22"/>
        <v>18506880</v>
      </c>
      <c r="AM189">
        <f t="shared" si="22"/>
        <v>18506880</v>
      </c>
      <c r="AN189">
        <f t="shared" si="22"/>
        <v>18506880</v>
      </c>
      <c r="AO189">
        <f t="shared" si="22"/>
        <v>18506880</v>
      </c>
    </row>
    <row r="190" spans="1:41">
      <c r="A190" s="185">
        <f>'Water Stuff'!F124</f>
        <v>44681</v>
      </c>
      <c r="B190" s="118">
        <f>'Filtration System'!B154</f>
        <v>0</v>
      </c>
      <c r="C190" s="118">
        <f>'Filtration System'!C154</f>
        <v>960</v>
      </c>
      <c r="D190" s="118">
        <f>'Filtration System'!D154</f>
        <v>0</v>
      </c>
      <c r="E190" s="118">
        <f>'Filtration System'!E154</f>
        <v>2031.3010771900858</v>
      </c>
      <c r="F190" s="118">
        <f>'Filtration System'!F154</f>
        <v>767.61189539077077</v>
      </c>
      <c r="G190" s="118"/>
      <c r="H190" s="118">
        <f>B190/1000*(1000*9.81*Pumps!$B$14+'Parameters and Satisfaction'!$B$27)</f>
        <v>0</v>
      </c>
      <c r="I190" s="118">
        <f>C190/1000*(1000*9.81*Pumps!$B$14+'Parameters and Satisfaction'!$B$27)</f>
        <v>257331.05208489238</v>
      </c>
      <c r="J190" s="118">
        <f>D190/1000*(1000*9.81*Pumps!$B$14+'Parameters and Satisfaction'!$B$27)</f>
        <v>0</v>
      </c>
      <c r="K190" s="118">
        <f>E190/1000*(1000*9.81*Pumps!$B$14+'Parameters and Satisfaction'!$B$27)</f>
        <v>544496.71176510421</v>
      </c>
      <c r="L190" s="118">
        <f>F190/1000*(1000*9.81*Pumps!$B$14+'Parameters and Satisfaction'!$B$27)</f>
        <v>205760.80899352647</v>
      </c>
      <c r="M190" s="118"/>
      <c r="N190" s="118">
        <f>H190/IF('Parameters and Satisfaction'!$C$13="Pump A", 0.7, IF('Parameters and Satisfaction'!$C$13 = "Pump B", 0.72, 0.65))</f>
        <v>0</v>
      </c>
      <c r="O190" s="118">
        <f>I190/IF('Parameters and Satisfaction'!$C$13="Pump A", 0.7, IF('Parameters and Satisfaction'!$C$13 = "Pump B", 0.72, 0.65))</f>
        <v>357404.23900679499</v>
      </c>
      <c r="P190" s="118">
        <f>J190/IF('Parameters and Satisfaction'!$C$13="Pump A", 0.7, IF('Parameters and Satisfaction'!$C$13 = "Pump B", 0.72, 0.65))</f>
        <v>0</v>
      </c>
      <c r="Q190" s="118">
        <f>K190/IF('Parameters and Satisfaction'!$C$13="Pump A", 0.7, IF('Parameters and Satisfaction'!$C$13 = "Pump B", 0.72, 0.65))</f>
        <v>756245.43300708919</v>
      </c>
      <c r="R190" s="118">
        <f>L190/IF('Parameters and Satisfaction'!$C$13="Pump A", 0.7, IF('Parameters and Satisfaction'!$C$13 = "Pump B", 0.72, 0.65))</f>
        <v>285778.9013798979</v>
      </c>
      <c r="S190" s="118"/>
      <c r="T190" s="118">
        <f>N190+$F$47+IF('Parameters and Satisfaction'!$C$19="Ozone", 'Filtration System'!AA154*1000000, 0)</f>
        <v>4687500</v>
      </c>
      <c r="U190" s="118">
        <f>O190+$F$47+IF('Parameters and Satisfaction'!$C$19="Ozone", 'Filtration System'!AB154*1000000, 0)</f>
        <v>5044904.239006795</v>
      </c>
      <c r="V190" s="118">
        <f>P190+$F$47+IF('Parameters and Satisfaction'!$C$19="Ozone", 'Filtration System'!AC154*1000000, 0)</f>
        <v>4687500</v>
      </c>
      <c r="W190" s="118">
        <f>Q190+$F$47+IF('Parameters and Satisfaction'!$C$19="Ozone", 'Filtration System'!AD154*1000000, 0)</f>
        <v>5443745.4330070894</v>
      </c>
      <c r="X190" s="118">
        <f>R190+$F$47+IF('Parameters and Satisfaction'!$C$19="Ozone", 'Filtration System'!AE154*1000000, 0)</f>
        <v>4973278.9013798982</v>
      </c>
      <c r="Y190" s="118"/>
      <c r="Z190" s="118">
        <f t="shared" si="13"/>
        <v>0.33482142857142855</v>
      </c>
      <c r="AA190" s="118">
        <f t="shared" si="14"/>
        <v>0.36035030278619962</v>
      </c>
      <c r="AB190" s="118">
        <f t="shared" si="15"/>
        <v>0.33482142857142855</v>
      </c>
      <c r="AC190" s="118">
        <f t="shared" si="16"/>
        <v>0.3888389595005064</v>
      </c>
      <c r="AD190" s="118">
        <f t="shared" si="17"/>
        <v>0.3552342072414213</v>
      </c>
      <c r="AE190" s="118"/>
      <c r="AF190" s="118"/>
      <c r="AG190" s="118"/>
      <c r="AK190">
        <f t="shared" si="22"/>
        <v>18506880</v>
      </c>
      <c r="AL190">
        <f t="shared" si="22"/>
        <v>18506880</v>
      </c>
      <c r="AM190">
        <f t="shared" si="22"/>
        <v>18506880</v>
      </c>
      <c r="AN190">
        <f t="shared" si="22"/>
        <v>18506880</v>
      </c>
      <c r="AO190">
        <f t="shared" si="22"/>
        <v>18506880</v>
      </c>
    </row>
    <row r="191" spans="1:41">
      <c r="A191" s="185">
        <f>'Water Stuff'!F125</f>
        <v>44682</v>
      </c>
      <c r="B191" s="118">
        <f>'Filtration System'!B155</f>
        <v>0</v>
      </c>
      <c r="C191" s="118">
        <f>'Filtration System'!C155</f>
        <v>160</v>
      </c>
      <c r="D191" s="118">
        <f>'Filtration System'!D155</f>
        <v>541.32729457115124</v>
      </c>
      <c r="E191" s="118">
        <f>'Filtration System'!E155</f>
        <v>80.555113125858483</v>
      </c>
      <c r="F191" s="118">
        <f>'Filtration System'!F155</f>
        <v>1291.2394026716995</v>
      </c>
      <c r="G191" s="118"/>
      <c r="H191" s="118">
        <f>B191/1000*(1000*9.81*Pumps!$B$14+'Parameters and Satisfaction'!$B$27)</f>
        <v>0</v>
      </c>
      <c r="I191" s="118">
        <f>C191/1000*(1000*9.81*Pumps!$B$14+'Parameters and Satisfaction'!$B$27)</f>
        <v>42888.508680815401</v>
      </c>
      <c r="J191" s="118">
        <f>D191/1000*(1000*9.81*Pumps!$B$14+'Parameters and Satisfaction'!$B$27)</f>
        <v>145104.5023273571</v>
      </c>
      <c r="K191" s="118">
        <f>E191/1000*(1000*9.81*Pumps!$B$14+'Parameters and Satisfaction'!$B$27)</f>
        <v>21593.054178640301</v>
      </c>
      <c r="L191" s="118">
        <f>F191/1000*(1000*9.81*Pumps!$B$14+'Parameters and Satisfaction'!$B$27)</f>
        <v>346120.82706560049</v>
      </c>
      <c r="M191" s="118"/>
      <c r="N191" s="118">
        <f>H191/IF('Parameters and Satisfaction'!$C$13="Pump A", 0.7, IF('Parameters and Satisfaction'!$C$13 = "Pump B", 0.72, 0.65))</f>
        <v>0</v>
      </c>
      <c r="O191" s="118">
        <f>I191/IF('Parameters and Satisfaction'!$C$13="Pump A", 0.7, IF('Parameters and Satisfaction'!$C$13 = "Pump B", 0.72, 0.65))</f>
        <v>59567.373167799167</v>
      </c>
      <c r="P191" s="118">
        <f>J191/IF('Parameters and Satisfaction'!$C$13="Pump A", 0.7, IF('Parameters and Satisfaction'!$C$13 = "Pump B", 0.72, 0.65))</f>
        <v>201534.0310102182</v>
      </c>
      <c r="Q191" s="118">
        <f>K191/IF('Parameters and Satisfaction'!$C$13="Pump A", 0.7, IF('Parameters and Satisfaction'!$C$13 = "Pump B", 0.72, 0.65))</f>
        <v>29990.353025889308</v>
      </c>
      <c r="R191" s="118">
        <f>L191/IF('Parameters and Satisfaction'!$C$13="Pump A", 0.7, IF('Parameters and Satisfaction'!$C$13 = "Pump B", 0.72, 0.65))</f>
        <v>480723.37092444516</v>
      </c>
      <c r="S191" s="118"/>
      <c r="T191" s="118">
        <f>N191+$F$47+IF('Parameters and Satisfaction'!$C$19="Ozone", 'Filtration System'!AA155*1000000, 0)</f>
        <v>4687500</v>
      </c>
      <c r="U191" s="118">
        <f>O191+$F$47+IF('Parameters and Satisfaction'!$C$19="Ozone", 'Filtration System'!AB155*1000000, 0)</f>
        <v>4747067.3731677989</v>
      </c>
      <c r="V191" s="118">
        <f>P191+$F$47+IF('Parameters and Satisfaction'!$C$19="Ozone", 'Filtration System'!AC155*1000000, 0)</f>
        <v>4889034.031010218</v>
      </c>
      <c r="W191" s="118">
        <f>Q191+$F$47+IF('Parameters and Satisfaction'!$C$19="Ozone", 'Filtration System'!AD155*1000000, 0)</f>
        <v>4717490.353025889</v>
      </c>
      <c r="X191" s="118">
        <f>R191+$F$47+IF('Parameters and Satisfaction'!$C$19="Ozone", 'Filtration System'!AE155*1000000, 0)</f>
        <v>5168223.3709244449</v>
      </c>
      <c r="Y191" s="118"/>
      <c r="Z191" s="118">
        <f t="shared" si="13"/>
        <v>0.33482142857142855</v>
      </c>
      <c r="AA191" s="118">
        <f t="shared" si="14"/>
        <v>0.33907624094055705</v>
      </c>
      <c r="AB191" s="118">
        <f t="shared" si="15"/>
        <v>0.34921671650072983</v>
      </c>
      <c r="AC191" s="118">
        <f t="shared" si="16"/>
        <v>0.33696359664470638</v>
      </c>
      <c r="AD191" s="118">
        <f t="shared" si="17"/>
        <v>0.36915881220888891</v>
      </c>
      <c r="AE191" s="118"/>
      <c r="AF191" s="118"/>
      <c r="AG191" s="118"/>
      <c r="AK191">
        <f t="shared" ref="AK191:AO200" si="23">$D$59</f>
        <v>20563200</v>
      </c>
      <c r="AL191">
        <f t="shared" si="23"/>
        <v>20563200</v>
      </c>
      <c r="AM191">
        <f t="shared" si="23"/>
        <v>20563200</v>
      </c>
      <c r="AN191">
        <f t="shared" si="23"/>
        <v>20563200</v>
      </c>
      <c r="AO191">
        <f t="shared" si="23"/>
        <v>20563200</v>
      </c>
    </row>
    <row r="192" spans="1:41">
      <c r="A192" s="185">
        <f>'Water Stuff'!F126</f>
        <v>44683</v>
      </c>
      <c r="B192" s="118">
        <f>'Filtration System'!B156</f>
        <v>400</v>
      </c>
      <c r="C192" s="118">
        <f>'Filtration System'!C156</f>
        <v>0</v>
      </c>
      <c r="D192" s="118">
        <f>'Filtration System'!D156</f>
        <v>1752.4805774596771</v>
      </c>
      <c r="E192" s="118">
        <f>'Filtration System'!E156</f>
        <v>1665.2585333120119</v>
      </c>
      <c r="F192" s="118">
        <f>'Filtration System'!F156</f>
        <v>0</v>
      </c>
      <c r="G192" s="118"/>
      <c r="H192" s="118">
        <f>B192/1000*(1000*9.81*Pumps!$B$14+'Parameters and Satisfaction'!$B$27)</f>
        <v>107221.2717020385</v>
      </c>
      <c r="I192" s="118">
        <f>C192/1000*(1000*9.81*Pumps!$B$14+'Parameters and Satisfaction'!$B$27)</f>
        <v>0</v>
      </c>
      <c r="J192" s="118">
        <f>D192/1000*(1000*9.81*Pumps!$B$14+'Parameters and Satisfaction'!$B$27)</f>
        <v>469757.99037087336</v>
      </c>
      <c r="K192" s="118">
        <f>E192/1000*(1000*9.81*Pumps!$B$14+'Parameters and Satisfaction'!$B$27)</f>
        <v>446377.84413596336</v>
      </c>
      <c r="L192" s="118">
        <f>F192/1000*(1000*9.81*Pumps!$B$14+'Parameters and Satisfaction'!$B$27)</f>
        <v>0</v>
      </c>
      <c r="M192" s="118"/>
      <c r="N192" s="118">
        <f>H192/IF('Parameters and Satisfaction'!$C$13="Pump A", 0.7, IF('Parameters and Satisfaction'!$C$13 = "Pump B", 0.72, 0.65))</f>
        <v>148918.43291949792</v>
      </c>
      <c r="O192" s="118">
        <f>I192/IF('Parameters and Satisfaction'!$C$13="Pump A", 0.7, IF('Parameters and Satisfaction'!$C$13 = "Pump B", 0.72, 0.65))</f>
        <v>0</v>
      </c>
      <c r="P192" s="118">
        <f>J192/IF('Parameters and Satisfaction'!$C$13="Pump A", 0.7, IF('Parameters and Satisfaction'!$C$13 = "Pump B", 0.72, 0.65))</f>
        <v>652441.6532928797</v>
      </c>
      <c r="Q192" s="118">
        <f>K192/IF('Parameters and Satisfaction'!$C$13="Pump A", 0.7, IF('Parameters and Satisfaction'!$C$13 = "Pump B", 0.72, 0.65))</f>
        <v>619969.22796661581</v>
      </c>
      <c r="R192" s="118">
        <f>L192/IF('Parameters and Satisfaction'!$C$13="Pump A", 0.7, IF('Parameters and Satisfaction'!$C$13 = "Pump B", 0.72, 0.65))</f>
        <v>0</v>
      </c>
      <c r="S192" s="118"/>
      <c r="T192" s="118">
        <f>N192+$F$47+IF('Parameters and Satisfaction'!$C$19="Ozone", 'Filtration System'!AA156*1000000, 0)</f>
        <v>4836418.4329194976</v>
      </c>
      <c r="U192" s="118">
        <f>O192+$F$47+IF('Parameters and Satisfaction'!$C$19="Ozone", 'Filtration System'!AB156*1000000, 0)</f>
        <v>4687500</v>
      </c>
      <c r="V192" s="118">
        <f>P192+$F$47+IF('Parameters and Satisfaction'!$C$19="Ozone", 'Filtration System'!AC156*1000000, 0)</f>
        <v>5339941.6532928795</v>
      </c>
      <c r="W192" s="118">
        <f>Q192+$F$47+IF('Parameters and Satisfaction'!$C$19="Ozone", 'Filtration System'!AD156*1000000, 0)</f>
        <v>5307469.2279666159</v>
      </c>
      <c r="X192" s="118">
        <f>R192+$F$47+IF('Parameters and Satisfaction'!$C$19="Ozone", 'Filtration System'!AE156*1000000, 0)</f>
        <v>4687500</v>
      </c>
      <c r="Y192" s="118"/>
      <c r="Z192" s="118">
        <f t="shared" si="13"/>
        <v>0.3454584594942498</v>
      </c>
      <c r="AA192" s="118">
        <f t="shared" si="14"/>
        <v>0.33482142857142855</v>
      </c>
      <c r="AB192" s="118">
        <f t="shared" si="15"/>
        <v>0.38142440380663423</v>
      </c>
      <c r="AC192" s="118">
        <f t="shared" si="16"/>
        <v>0.37910494485475826</v>
      </c>
      <c r="AD192" s="118">
        <f t="shared" si="17"/>
        <v>0.33482142857142855</v>
      </c>
      <c r="AE192" s="118"/>
      <c r="AF192" s="118"/>
      <c r="AG192" s="118"/>
      <c r="AK192">
        <f t="shared" si="23"/>
        <v>20563200</v>
      </c>
      <c r="AL192">
        <f t="shared" si="23"/>
        <v>20563200</v>
      </c>
      <c r="AM192">
        <f t="shared" si="23"/>
        <v>20563200</v>
      </c>
      <c r="AN192">
        <f t="shared" si="23"/>
        <v>20563200</v>
      </c>
      <c r="AO192">
        <f t="shared" si="23"/>
        <v>20563200</v>
      </c>
    </row>
    <row r="193" spans="1:41">
      <c r="A193" s="185">
        <f>'Water Stuff'!F127</f>
        <v>44684</v>
      </c>
      <c r="B193" s="118">
        <f>'Filtration System'!B157</f>
        <v>919.99999999999989</v>
      </c>
      <c r="C193" s="118">
        <f>'Filtration System'!C157</f>
        <v>0</v>
      </c>
      <c r="D193" s="118">
        <f>'Filtration System'!D157</f>
        <v>0</v>
      </c>
      <c r="E193" s="118">
        <f>'Filtration System'!E157</f>
        <v>1711.2662652276601</v>
      </c>
      <c r="F193" s="118">
        <f>'Filtration System'!F157</f>
        <v>0</v>
      </c>
      <c r="G193" s="118"/>
      <c r="H193" s="118">
        <f>B193/1000*(1000*9.81*Pumps!$B$14+'Parameters and Satisfaction'!$B$27)</f>
        <v>246608.92491468851</v>
      </c>
      <c r="I193" s="118">
        <f>C193/1000*(1000*9.81*Pumps!$B$14+'Parameters and Satisfaction'!$B$27)</f>
        <v>0</v>
      </c>
      <c r="J193" s="118">
        <f>D193/1000*(1000*9.81*Pumps!$B$14+'Parameters and Satisfaction'!$B$27)</f>
        <v>0</v>
      </c>
      <c r="K193" s="118">
        <f>E193/1000*(1000*9.81*Pumps!$B$14+'Parameters and Satisfaction'!$B$27)</f>
        <v>458710.3629462691</v>
      </c>
      <c r="L193" s="118">
        <f>F193/1000*(1000*9.81*Pumps!$B$14+'Parameters and Satisfaction'!$B$27)</f>
        <v>0</v>
      </c>
      <c r="M193" s="118"/>
      <c r="N193" s="118">
        <f>H193/IF('Parameters and Satisfaction'!$C$13="Pump A", 0.7, IF('Parameters and Satisfaction'!$C$13 = "Pump B", 0.72, 0.65))</f>
        <v>342512.39571484516</v>
      </c>
      <c r="O193" s="118">
        <f>I193/IF('Parameters and Satisfaction'!$C$13="Pump A", 0.7, IF('Parameters and Satisfaction'!$C$13 = "Pump B", 0.72, 0.65))</f>
        <v>0</v>
      </c>
      <c r="P193" s="118">
        <f>J193/IF('Parameters and Satisfaction'!$C$13="Pump A", 0.7, IF('Parameters and Satisfaction'!$C$13 = "Pump B", 0.72, 0.65))</f>
        <v>0</v>
      </c>
      <c r="Q193" s="118">
        <f>K193/IF('Parameters and Satisfaction'!$C$13="Pump A", 0.7, IF('Parameters and Satisfaction'!$C$13 = "Pump B", 0.72, 0.65))</f>
        <v>637097.72631426272</v>
      </c>
      <c r="R193" s="118">
        <f>L193/IF('Parameters and Satisfaction'!$C$13="Pump A", 0.7, IF('Parameters and Satisfaction'!$C$13 = "Pump B", 0.72, 0.65))</f>
        <v>0</v>
      </c>
      <c r="S193" s="118"/>
      <c r="T193" s="118">
        <f>N193+$F$47+IF('Parameters and Satisfaction'!$C$19="Ozone", 'Filtration System'!AA157*1000000, 0)</f>
        <v>5030012.3957148455</v>
      </c>
      <c r="U193" s="118">
        <f>O193+$F$47+IF('Parameters and Satisfaction'!$C$19="Ozone", 'Filtration System'!AB157*1000000, 0)</f>
        <v>4687500</v>
      </c>
      <c r="V193" s="118">
        <f>P193+$F$47+IF('Parameters and Satisfaction'!$C$19="Ozone", 'Filtration System'!AC157*1000000, 0)</f>
        <v>4687500</v>
      </c>
      <c r="W193" s="118">
        <f>Q193+$F$47+IF('Parameters and Satisfaction'!$C$19="Ozone", 'Filtration System'!AD157*1000000, 0)</f>
        <v>5324597.7263142625</v>
      </c>
      <c r="X193" s="118">
        <f>R193+$F$47+IF('Parameters and Satisfaction'!$C$19="Ozone", 'Filtration System'!AE157*1000000, 0)</f>
        <v>4687500</v>
      </c>
      <c r="Y193" s="118"/>
      <c r="Z193" s="118">
        <f t="shared" si="13"/>
        <v>0.35928659969391752</v>
      </c>
      <c r="AA193" s="118">
        <f t="shared" si="14"/>
        <v>0.33482142857142855</v>
      </c>
      <c r="AB193" s="118">
        <f t="shared" si="15"/>
        <v>0.33482142857142855</v>
      </c>
      <c r="AC193" s="118">
        <f t="shared" si="16"/>
        <v>0.3803284090224473</v>
      </c>
      <c r="AD193" s="118">
        <f t="shared" si="17"/>
        <v>0.33482142857142855</v>
      </c>
      <c r="AE193" s="118"/>
      <c r="AF193" s="118"/>
      <c r="AG193" s="118"/>
      <c r="AK193">
        <f t="shared" si="23"/>
        <v>20563200</v>
      </c>
      <c r="AL193">
        <f t="shared" si="23"/>
        <v>20563200</v>
      </c>
      <c r="AM193">
        <f t="shared" si="23"/>
        <v>20563200</v>
      </c>
      <c r="AN193">
        <f t="shared" si="23"/>
        <v>20563200</v>
      </c>
      <c r="AO193">
        <f t="shared" si="23"/>
        <v>20563200</v>
      </c>
    </row>
    <row r="194" spans="1:41">
      <c r="A194" s="185">
        <f>'Water Stuff'!F128</f>
        <v>44685</v>
      </c>
      <c r="B194" s="118">
        <f>'Filtration System'!B158</f>
        <v>760</v>
      </c>
      <c r="C194" s="118">
        <f>'Filtration System'!C158</f>
        <v>3960</v>
      </c>
      <c r="D194" s="118">
        <f>'Filtration System'!D158</f>
        <v>2206.8521849309282</v>
      </c>
      <c r="E194" s="118">
        <f>'Filtration System'!E158</f>
        <v>2006.1527923552799</v>
      </c>
      <c r="F194" s="118">
        <f>'Filtration System'!F158</f>
        <v>2166.205052338662</v>
      </c>
      <c r="G194" s="118"/>
      <c r="H194" s="118">
        <f>B194/1000*(1000*9.81*Pumps!$B$14+'Parameters and Satisfaction'!$B$27)</f>
        <v>203720.41623387314</v>
      </c>
      <c r="I194" s="118">
        <f>C194/1000*(1000*9.81*Pumps!$B$14+'Parameters and Satisfaction'!$B$27)</f>
        <v>1061490.589850181</v>
      </c>
      <c r="J194" s="118">
        <f>D194/1000*(1000*9.81*Pumps!$B$14+'Parameters and Satisfaction'!$B$27)</f>
        <v>591553.74431679084</v>
      </c>
      <c r="K194" s="118">
        <f>E194/1000*(1000*9.81*Pumps!$B$14+'Parameters and Satisfaction'!$B$27)</f>
        <v>537755.63406232162</v>
      </c>
      <c r="L194" s="118">
        <f>F194/1000*(1000*9.81*Pumps!$B$14+'Parameters and Satisfaction'!$B$27)</f>
        <v>580658.15119783045</v>
      </c>
      <c r="M194" s="118"/>
      <c r="N194" s="118">
        <f>H194/IF('Parameters and Satisfaction'!$C$13="Pump A", 0.7, IF('Parameters and Satisfaction'!$C$13 = "Pump B", 0.72, 0.65))</f>
        <v>282945.02254704601</v>
      </c>
      <c r="O194" s="118">
        <f>I194/IF('Parameters and Satisfaction'!$C$13="Pump A", 0.7, IF('Parameters and Satisfaction'!$C$13 = "Pump B", 0.72, 0.65))</f>
        <v>1474292.4859030293</v>
      </c>
      <c r="P194" s="118">
        <f>J194/IF('Parameters and Satisfaction'!$C$13="Pump A", 0.7, IF('Parameters and Satisfaction'!$C$13 = "Pump B", 0.72, 0.65))</f>
        <v>821602.42266220949</v>
      </c>
      <c r="Q194" s="118">
        <f>K194/IF('Parameters and Satisfaction'!$C$13="Pump A", 0.7, IF('Parameters and Satisfaction'!$C$13 = "Pump B", 0.72, 0.65))</f>
        <v>746882.82508655789</v>
      </c>
      <c r="R194" s="118">
        <f>L194/IF('Parameters and Satisfaction'!$C$13="Pump A", 0.7, IF('Parameters and Satisfaction'!$C$13 = "Pump B", 0.72, 0.65))</f>
        <v>806469.65444143116</v>
      </c>
      <c r="S194" s="118"/>
      <c r="T194" s="118">
        <f>N194+$F$47+IF('Parameters and Satisfaction'!$C$19="Ozone", 'Filtration System'!AA158*1000000, 0)</f>
        <v>4970445.0225470457</v>
      </c>
      <c r="U194" s="118">
        <f>O194+$F$47+IF('Parameters and Satisfaction'!$C$19="Ozone", 'Filtration System'!AB158*1000000, 0)</f>
        <v>6161792.4859030293</v>
      </c>
      <c r="V194" s="118">
        <f>P194+$F$47+IF('Parameters and Satisfaction'!$C$19="Ozone", 'Filtration System'!AC158*1000000, 0)</f>
        <v>5509102.4226622097</v>
      </c>
      <c r="W194" s="118">
        <f>Q194+$F$47+IF('Parameters and Satisfaction'!$C$19="Ozone", 'Filtration System'!AD158*1000000, 0)</f>
        <v>5434382.8250865582</v>
      </c>
      <c r="X194" s="118">
        <f>R194+$F$47+IF('Parameters and Satisfaction'!$C$19="Ozone", 'Filtration System'!AE158*1000000, 0)</f>
        <v>5493969.6544414312</v>
      </c>
      <c r="Y194" s="118"/>
      <c r="Z194" s="118">
        <f t="shared" si="13"/>
        <v>0.35503178732478896</v>
      </c>
      <c r="AA194" s="118">
        <f t="shared" si="14"/>
        <v>0.44012803470735923</v>
      </c>
      <c r="AB194" s="118">
        <f t="shared" si="15"/>
        <v>0.39350731590444354</v>
      </c>
      <c r="AC194" s="118">
        <f t="shared" si="16"/>
        <v>0.38817020179189704</v>
      </c>
      <c r="AD194" s="118">
        <f t="shared" si="17"/>
        <v>0.39242640388867367</v>
      </c>
      <c r="AE194" s="118"/>
      <c r="AF194" s="118"/>
      <c r="AG194" s="118"/>
      <c r="AK194">
        <f t="shared" si="23"/>
        <v>20563200</v>
      </c>
      <c r="AL194">
        <f t="shared" si="23"/>
        <v>20563200</v>
      </c>
      <c r="AM194">
        <f t="shared" si="23"/>
        <v>20563200</v>
      </c>
      <c r="AN194">
        <f t="shared" si="23"/>
        <v>20563200</v>
      </c>
      <c r="AO194">
        <f t="shared" si="23"/>
        <v>20563200</v>
      </c>
    </row>
    <row r="195" spans="1:41">
      <c r="A195" s="185">
        <f>'Water Stuff'!F129</f>
        <v>44686</v>
      </c>
      <c r="B195" s="118">
        <f>'Filtration System'!B159</f>
        <v>0</v>
      </c>
      <c r="C195" s="118">
        <f>'Filtration System'!C159</f>
        <v>80</v>
      </c>
      <c r="D195" s="118">
        <f>'Filtration System'!D159</f>
        <v>0</v>
      </c>
      <c r="E195" s="118">
        <f>'Filtration System'!E159</f>
        <v>0</v>
      </c>
      <c r="F195" s="118">
        <f>'Filtration System'!F159</f>
        <v>0</v>
      </c>
      <c r="G195" s="118"/>
      <c r="H195" s="118">
        <f>B195/1000*(1000*9.81*Pumps!$B$14+'Parameters and Satisfaction'!$B$27)</f>
        <v>0</v>
      </c>
      <c r="I195" s="118">
        <f>C195/1000*(1000*9.81*Pumps!$B$14+'Parameters and Satisfaction'!$B$27)</f>
        <v>21444.254340407701</v>
      </c>
      <c r="J195" s="118">
        <f>D195/1000*(1000*9.81*Pumps!$B$14+'Parameters and Satisfaction'!$B$27)</f>
        <v>0</v>
      </c>
      <c r="K195" s="118">
        <f>E195/1000*(1000*9.81*Pumps!$B$14+'Parameters and Satisfaction'!$B$27)</f>
        <v>0</v>
      </c>
      <c r="L195" s="118">
        <f>F195/1000*(1000*9.81*Pumps!$B$14+'Parameters and Satisfaction'!$B$27)</f>
        <v>0</v>
      </c>
      <c r="M195" s="118"/>
      <c r="N195" s="118">
        <f>H195/IF('Parameters and Satisfaction'!$C$13="Pump A", 0.7, IF('Parameters and Satisfaction'!$C$13 = "Pump B", 0.72, 0.65))</f>
        <v>0</v>
      </c>
      <c r="O195" s="118">
        <f>I195/IF('Parameters and Satisfaction'!$C$13="Pump A", 0.7, IF('Parameters and Satisfaction'!$C$13 = "Pump B", 0.72, 0.65))</f>
        <v>29783.686583899584</v>
      </c>
      <c r="P195" s="118">
        <f>J195/IF('Parameters and Satisfaction'!$C$13="Pump A", 0.7, IF('Parameters and Satisfaction'!$C$13 = "Pump B", 0.72, 0.65))</f>
        <v>0</v>
      </c>
      <c r="Q195" s="118">
        <f>K195/IF('Parameters and Satisfaction'!$C$13="Pump A", 0.7, IF('Parameters and Satisfaction'!$C$13 = "Pump B", 0.72, 0.65))</f>
        <v>0</v>
      </c>
      <c r="R195" s="118">
        <f>L195/IF('Parameters and Satisfaction'!$C$13="Pump A", 0.7, IF('Parameters and Satisfaction'!$C$13 = "Pump B", 0.72, 0.65))</f>
        <v>0</v>
      </c>
      <c r="S195" s="118"/>
      <c r="T195" s="118">
        <f>N195+$F$47+IF('Parameters and Satisfaction'!$C$19="Ozone", 'Filtration System'!AA159*1000000, 0)</f>
        <v>4687500</v>
      </c>
      <c r="U195" s="118">
        <f>O195+$F$47+IF('Parameters and Satisfaction'!$C$19="Ozone", 'Filtration System'!AB159*1000000, 0)</f>
        <v>4717283.6865838999</v>
      </c>
      <c r="V195" s="118">
        <f>P195+$F$47+IF('Parameters and Satisfaction'!$C$19="Ozone", 'Filtration System'!AC159*1000000, 0)</f>
        <v>4687500</v>
      </c>
      <c r="W195" s="118">
        <f>Q195+$F$47+IF('Parameters and Satisfaction'!$C$19="Ozone", 'Filtration System'!AD159*1000000, 0)</f>
        <v>4687500</v>
      </c>
      <c r="X195" s="118">
        <f>R195+$F$47+IF('Parameters and Satisfaction'!$C$19="Ozone", 'Filtration System'!AE159*1000000, 0)</f>
        <v>4687500</v>
      </c>
      <c r="Y195" s="118"/>
      <c r="Z195" s="118">
        <f t="shared" si="13"/>
        <v>0.33482142857142855</v>
      </c>
      <c r="AA195" s="118">
        <f t="shared" si="14"/>
        <v>0.33694883475599285</v>
      </c>
      <c r="AB195" s="118">
        <f t="shared" si="15"/>
        <v>0.33482142857142855</v>
      </c>
      <c r="AC195" s="118">
        <f t="shared" si="16"/>
        <v>0.33482142857142855</v>
      </c>
      <c r="AD195" s="118">
        <f t="shared" si="17"/>
        <v>0.33482142857142855</v>
      </c>
      <c r="AE195" s="118"/>
      <c r="AF195" s="118"/>
      <c r="AG195" s="118"/>
      <c r="AK195">
        <f t="shared" si="23"/>
        <v>20563200</v>
      </c>
      <c r="AL195">
        <f t="shared" si="23"/>
        <v>20563200</v>
      </c>
      <c r="AM195">
        <f t="shared" si="23"/>
        <v>20563200</v>
      </c>
      <c r="AN195">
        <f t="shared" si="23"/>
        <v>20563200</v>
      </c>
      <c r="AO195">
        <f t="shared" si="23"/>
        <v>20563200</v>
      </c>
    </row>
    <row r="196" spans="1:41">
      <c r="A196" s="185">
        <f>'Water Stuff'!F130</f>
        <v>44687</v>
      </c>
      <c r="B196" s="118">
        <f>'Filtration System'!B160</f>
        <v>0</v>
      </c>
      <c r="C196" s="118">
        <f>'Filtration System'!C160</f>
        <v>0</v>
      </c>
      <c r="D196" s="118">
        <f>'Filtration System'!D160</f>
        <v>0</v>
      </c>
      <c r="E196" s="118">
        <f>'Filtration System'!E160</f>
        <v>0</v>
      </c>
      <c r="F196" s="118">
        <f>'Filtration System'!F160</f>
        <v>0</v>
      </c>
      <c r="G196" s="118"/>
      <c r="H196" s="118">
        <f>B196/1000*(1000*9.81*Pumps!$B$14+'Parameters and Satisfaction'!$B$27)</f>
        <v>0</v>
      </c>
      <c r="I196" s="118">
        <f>C196/1000*(1000*9.81*Pumps!$B$14+'Parameters and Satisfaction'!$B$27)</f>
        <v>0</v>
      </c>
      <c r="J196" s="118">
        <f>D196/1000*(1000*9.81*Pumps!$B$14+'Parameters and Satisfaction'!$B$27)</f>
        <v>0</v>
      </c>
      <c r="K196" s="118">
        <f>E196/1000*(1000*9.81*Pumps!$B$14+'Parameters and Satisfaction'!$B$27)</f>
        <v>0</v>
      </c>
      <c r="L196" s="118">
        <f>F196/1000*(1000*9.81*Pumps!$B$14+'Parameters and Satisfaction'!$B$27)</f>
        <v>0</v>
      </c>
      <c r="M196" s="118"/>
      <c r="N196" s="118">
        <f>H196/IF('Parameters and Satisfaction'!$C$13="Pump A", 0.7, IF('Parameters and Satisfaction'!$C$13 = "Pump B", 0.72, 0.65))</f>
        <v>0</v>
      </c>
      <c r="O196" s="118">
        <f>I196/IF('Parameters and Satisfaction'!$C$13="Pump A", 0.7, IF('Parameters and Satisfaction'!$C$13 = "Pump B", 0.72, 0.65))</f>
        <v>0</v>
      </c>
      <c r="P196" s="118">
        <f>J196/IF('Parameters and Satisfaction'!$C$13="Pump A", 0.7, IF('Parameters and Satisfaction'!$C$13 = "Pump B", 0.72, 0.65))</f>
        <v>0</v>
      </c>
      <c r="Q196" s="118">
        <f>K196/IF('Parameters and Satisfaction'!$C$13="Pump A", 0.7, IF('Parameters and Satisfaction'!$C$13 = "Pump B", 0.72, 0.65))</f>
        <v>0</v>
      </c>
      <c r="R196" s="118">
        <f>L196/IF('Parameters and Satisfaction'!$C$13="Pump A", 0.7, IF('Parameters and Satisfaction'!$C$13 = "Pump B", 0.72, 0.65))</f>
        <v>0</v>
      </c>
      <c r="S196" s="118"/>
      <c r="T196" s="118">
        <f>N196+$F$47+IF('Parameters and Satisfaction'!$C$19="Ozone", 'Filtration System'!AA160*1000000, 0)</f>
        <v>4687500</v>
      </c>
      <c r="U196" s="118">
        <f>O196+$F$47+IF('Parameters and Satisfaction'!$C$19="Ozone", 'Filtration System'!AB160*1000000, 0)</f>
        <v>4687500</v>
      </c>
      <c r="V196" s="118">
        <f>P196+$F$47+IF('Parameters and Satisfaction'!$C$19="Ozone", 'Filtration System'!AC160*1000000, 0)</f>
        <v>4687500</v>
      </c>
      <c r="W196" s="118">
        <f>Q196+$F$47+IF('Parameters and Satisfaction'!$C$19="Ozone", 'Filtration System'!AD160*1000000, 0)</f>
        <v>4687500</v>
      </c>
      <c r="X196" s="118">
        <f>R196+$F$47+IF('Parameters and Satisfaction'!$C$19="Ozone", 'Filtration System'!AE160*1000000, 0)</f>
        <v>4687500</v>
      </c>
      <c r="Y196" s="118"/>
      <c r="Z196" s="118">
        <f t="shared" si="13"/>
        <v>0.33482142857142855</v>
      </c>
      <c r="AA196" s="118">
        <f t="shared" si="14"/>
        <v>0.33482142857142855</v>
      </c>
      <c r="AB196" s="118">
        <f t="shared" si="15"/>
        <v>0.33482142857142855</v>
      </c>
      <c r="AC196" s="118">
        <f t="shared" si="16"/>
        <v>0.33482142857142855</v>
      </c>
      <c r="AD196" s="118">
        <f t="shared" si="17"/>
        <v>0.33482142857142855</v>
      </c>
      <c r="AE196" s="118"/>
      <c r="AF196" s="118"/>
      <c r="AG196" s="118"/>
      <c r="AK196">
        <f t="shared" si="23"/>
        <v>20563200</v>
      </c>
      <c r="AL196">
        <f t="shared" si="23"/>
        <v>20563200</v>
      </c>
      <c r="AM196">
        <f t="shared" si="23"/>
        <v>20563200</v>
      </c>
      <c r="AN196">
        <f t="shared" si="23"/>
        <v>20563200</v>
      </c>
      <c r="AO196">
        <f t="shared" si="23"/>
        <v>20563200</v>
      </c>
    </row>
    <row r="197" spans="1:41">
      <c r="A197" s="185">
        <f>'Water Stuff'!F131</f>
        <v>44688</v>
      </c>
      <c r="B197" s="118">
        <f>'Filtration System'!B161</f>
        <v>0</v>
      </c>
      <c r="C197" s="118">
        <f>'Filtration System'!C161</f>
        <v>0</v>
      </c>
      <c r="D197" s="118">
        <f>'Filtration System'!D161</f>
        <v>0</v>
      </c>
      <c r="E197" s="118">
        <f>'Filtration System'!E161</f>
        <v>0</v>
      </c>
      <c r="F197" s="118">
        <f>'Filtration System'!F161</f>
        <v>0</v>
      </c>
      <c r="G197" s="118"/>
      <c r="H197" s="118">
        <f>B197/1000*(1000*9.81*Pumps!$B$14+'Parameters and Satisfaction'!$B$27)</f>
        <v>0</v>
      </c>
      <c r="I197" s="118">
        <f>C197/1000*(1000*9.81*Pumps!$B$14+'Parameters and Satisfaction'!$B$27)</f>
        <v>0</v>
      </c>
      <c r="J197" s="118">
        <f>D197/1000*(1000*9.81*Pumps!$B$14+'Parameters and Satisfaction'!$B$27)</f>
        <v>0</v>
      </c>
      <c r="K197" s="118">
        <f>E197/1000*(1000*9.81*Pumps!$B$14+'Parameters and Satisfaction'!$B$27)</f>
        <v>0</v>
      </c>
      <c r="L197" s="118">
        <f>F197/1000*(1000*9.81*Pumps!$B$14+'Parameters and Satisfaction'!$B$27)</f>
        <v>0</v>
      </c>
      <c r="M197" s="118"/>
      <c r="N197" s="118">
        <f>H197/IF('Parameters and Satisfaction'!$C$13="Pump A", 0.7, IF('Parameters and Satisfaction'!$C$13 = "Pump B", 0.72, 0.65))</f>
        <v>0</v>
      </c>
      <c r="O197" s="118">
        <f>I197/IF('Parameters and Satisfaction'!$C$13="Pump A", 0.7, IF('Parameters and Satisfaction'!$C$13 = "Pump B", 0.72, 0.65))</f>
        <v>0</v>
      </c>
      <c r="P197" s="118">
        <f>J197/IF('Parameters and Satisfaction'!$C$13="Pump A", 0.7, IF('Parameters and Satisfaction'!$C$13 = "Pump B", 0.72, 0.65))</f>
        <v>0</v>
      </c>
      <c r="Q197" s="118">
        <f>K197/IF('Parameters and Satisfaction'!$C$13="Pump A", 0.7, IF('Parameters and Satisfaction'!$C$13 = "Pump B", 0.72, 0.65))</f>
        <v>0</v>
      </c>
      <c r="R197" s="118">
        <f>L197/IF('Parameters and Satisfaction'!$C$13="Pump A", 0.7, IF('Parameters and Satisfaction'!$C$13 = "Pump B", 0.72, 0.65))</f>
        <v>0</v>
      </c>
      <c r="S197" s="118"/>
      <c r="T197" s="118">
        <f>N197+$F$47+IF('Parameters and Satisfaction'!$C$19="Ozone", 'Filtration System'!AA161*1000000, 0)</f>
        <v>4687500</v>
      </c>
      <c r="U197" s="118">
        <f>O197+$F$47+IF('Parameters and Satisfaction'!$C$19="Ozone", 'Filtration System'!AB161*1000000, 0)</f>
        <v>4687500</v>
      </c>
      <c r="V197" s="118">
        <f>P197+$F$47+IF('Parameters and Satisfaction'!$C$19="Ozone", 'Filtration System'!AC161*1000000, 0)</f>
        <v>4687500</v>
      </c>
      <c r="W197" s="118">
        <f>Q197+$F$47+IF('Parameters and Satisfaction'!$C$19="Ozone", 'Filtration System'!AD161*1000000, 0)</f>
        <v>4687500</v>
      </c>
      <c r="X197" s="118">
        <f>R197+$F$47+IF('Parameters and Satisfaction'!$C$19="Ozone", 'Filtration System'!AE161*1000000, 0)</f>
        <v>4687500</v>
      </c>
      <c r="Y197" s="118"/>
      <c r="Z197" s="118">
        <f t="shared" si="13"/>
        <v>0.33482142857142855</v>
      </c>
      <c r="AA197" s="118">
        <f t="shared" si="14"/>
        <v>0.33482142857142855</v>
      </c>
      <c r="AB197" s="118">
        <f t="shared" si="15"/>
        <v>0.33482142857142855</v>
      </c>
      <c r="AC197" s="118">
        <f t="shared" si="16"/>
        <v>0.33482142857142855</v>
      </c>
      <c r="AD197" s="118">
        <f t="shared" si="17"/>
        <v>0.33482142857142855</v>
      </c>
      <c r="AE197" s="118"/>
      <c r="AF197" s="118"/>
      <c r="AG197" s="118"/>
      <c r="AK197">
        <f t="shared" si="23"/>
        <v>20563200</v>
      </c>
      <c r="AL197">
        <f t="shared" si="23"/>
        <v>20563200</v>
      </c>
      <c r="AM197">
        <f t="shared" si="23"/>
        <v>20563200</v>
      </c>
      <c r="AN197">
        <f t="shared" si="23"/>
        <v>20563200</v>
      </c>
      <c r="AO197">
        <f t="shared" si="23"/>
        <v>20563200</v>
      </c>
    </row>
    <row r="198" spans="1:41">
      <c r="A198" s="185">
        <f>'Water Stuff'!F132</f>
        <v>44689</v>
      </c>
      <c r="B198" s="118">
        <f>'Filtration System'!B162</f>
        <v>0</v>
      </c>
      <c r="C198" s="118">
        <f>'Filtration System'!C162</f>
        <v>0</v>
      </c>
      <c r="D198" s="118">
        <f>'Filtration System'!D162</f>
        <v>1166.6972611714596</v>
      </c>
      <c r="E198" s="118">
        <f>'Filtration System'!E162</f>
        <v>0</v>
      </c>
      <c r="F198" s="118">
        <f>'Filtration System'!F162</f>
        <v>1280.9048479923763</v>
      </c>
      <c r="G198" s="118"/>
      <c r="H198" s="118">
        <f>B198/1000*(1000*9.81*Pumps!$B$14+'Parameters and Satisfaction'!$B$27)</f>
        <v>0</v>
      </c>
      <c r="I198" s="118">
        <f>C198/1000*(1000*9.81*Pumps!$B$14+'Parameters and Satisfaction'!$B$27)</f>
        <v>0</v>
      </c>
      <c r="J198" s="118">
        <f>D198/1000*(1000*9.81*Pumps!$B$14+'Parameters and Satisfaction'!$B$27)</f>
        <v>312736.91008522309</v>
      </c>
      <c r="K198" s="118">
        <f>E198/1000*(1000*9.81*Pumps!$B$14+'Parameters and Satisfaction'!$B$27)</f>
        <v>0</v>
      </c>
      <c r="L198" s="118">
        <f>F198/1000*(1000*9.81*Pumps!$B$14+'Parameters and Satisfaction'!$B$27)</f>
        <v>343350.61682762229</v>
      </c>
      <c r="M198" s="118"/>
      <c r="N198" s="118">
        <f>H198/IF('Parameters and Satisfaction'!$C$13="Pump A", 0.7, IF('Parameters and Satisfaction'!$C$13 = "Pump B", 0.72, 0.65))</f>
        <v>0</v>
      </c>
      <c r="O198" s="118">
        <f>I198/IF('Parameters and Satisfaction'!$C$13="Pump A", 0.7, IF('Parameters and Satisfaction'!$C$13 = "Pump B", 0.72, 0.65))</f>
        <v>0</v>
      </c>
      <c r="P198" s="118">
        <f>J198/IF('Parameters and Satisfaction'!$C$13="Pump A", 0.7, IF('Parameters and Satisfaction'!$C$13 = "Pump B", 0.72, 0.65))</f>
        <v>434356.81956280989</v>
      </c>
      <c r="Q198" s="118">
        <f>K198/IF('Parameters and Satisfaction'!$C$13="Pump A", 0.7, IF('Parameters and Satisfaction'!$C$13 = "Pump B", 0.72, 0.65))</f>
        <v>0</v>
      </c>
      <c r="R198" s="118">
        <f>L198/IF('Parameters and Satisfaction'!$C$13="Pump A", 0.7, IF('Parameters and Satisfaction'!$C$13 = "Pump B", 0.72, 0.65))</f>
        <v>476875.85670503095</v>
      </c>
      <c r="S198" s="118"/>
      <c r="T198" s="118">
        <f>N198+$F$47+IF('Parameters and Satisfaction'!$C$19="Ozone", 'Filtration System'!AA162*1000000, 0)</f>
        <v>4687500</v>
      </c>
      <c r="U198" s="118">
        <f>O198+$F$47+IF('Parameters and Satisfaction'!$C$19="Ozone", 'Filtration System'!AB162*1000000, 0)</f>
        <v>4687500</v>
      </c>
      <c r="V198" s="118">
        <f>P198+$F$47+IF('Parameters and Satisfaction'!$C$19="Ozone", 'Filtration System'!AC162*1000000, 0)</f>
        <v>5121856.8195628095</v>
      </c>
      <c r="W198" s="118">
        <f>Q198+$F$47+IF('Parameters and Satisfaction'!$C$19="Ozone", 'Filtration System'!AD162*1000000, 0)</f>
        <v>4687500</v>
      </c>
      <c r="X198" s="118">
        <f>R198+$F$47+IF('Parameters and Satisfaction'!$C$19="Ozone", 'Filtration System'!AE162*1000000, 0)</f>
        <v>5164375.8567050314</v>
      </c>
      <c r="Y198" s="118"/>
      <c r="Z198" s="118">
        <f t="shared" si="13"/>
        <v>0.33482142857142855</v>
      </c>
      <c r="AA198" s="118">
        <f t="shared" si="14"/>
        <v>0.33482142857142855</v>
      </c>
      <c r="AB198" s="118">
        <f t="shared" si="15"/>
        <v>0.36584691568305783</v>
      </c>
      <c r="AC198" s="118">
        <f t="shared" si="16"/>
        <v>0.33482142857142855</v>
      </c>
      <c r="AD198" s="118">
        <f t="shared" si="17"/>
        <v>0.36888398976464509</v>
      </c>
      <c r="AE198" s="118"/>
      <c r="AF198" s="118"/>
      <c r="AG198" s="118"/>
      <c r="AK198">
        <f t="shared" si="23"/>
        <v>20563200</v>
      </c>
      <c r="AL198">
        <f t="shared" si="23"/>
        <v>20563200</v>
      </c>
      <c r="AM198">
        <f t="shared" si="23"/>
        <v>20563200</v>
      </c>
      <c r="AN198">
        <f t="shared" si="23"/>
        <v>20563200</v>
      </c>
      <c r="AO198">
        <f t="shared" si="23"/>
        <v>20563200</v>
      </c>
    </row>
    <row r="199" spans="1:41">
      <c r="A199" s="185">
        <f>'Water Stuff'!F133</f>
        <v>44690</v>
      </c>
      <c r="B199" s="118">
        <f>'Filtration System'!B163</f>
        <v>0</v>
      </c>
      <c r="C199" s="118">
        <f>'Filtration System'!C163</f>
        <v>0</v>
      </c>
      <c r="D199" s="118">
        <f>'Filtration System'!D163</f>
        <v>1363.6347436762792</v>
      </c>
      <c r="E199" s="118">
        <f>'Filtration System'!E163</f>
        <v>0</v>
      </c>
      <c r="F199" s="118">
        <f>'Filtration System'!F163</f>
        <v>2581.1263284901161</v>
      </c>
      <c r="G199" s="118"/>
      <c r="H199" s="118">
        <f>B199/1000*(1000*9.81*Pumps!$B$14+'Parameters and Satisfaction'!$B$27)</f>
        <v>0</v>
      </c>
      <c r="I199" s="118">
        <f>C199/1000*(1000*9.81*Pumps!$B$14+'Parameters and Satisfaction'!$B$27)</f>
        <v>0</v>
      </c>
      <c r="J199" s="118">
        <f>D199/1000*(1000*9.81*Pumps!$B$14+'Parameters and Satisfaction'!$B$27)</f>
        <v>365526.62838513491</v>
      </c>
      <c r="K199" s="118">
        <f>E199/1000*(1000*9.81*Pumps!$B$14+'Parameters and Satisfaction'!$B$27)</f>
        <v>0</v>
      </c>
      <c r="L199" s="118">
        <f>F199/1000*(1000*9.81*Pumps!$B$14+'Parameters and Satisfaction'!$B$27)</f>
        <v>691879.11841080955</v>
      </c>
      <c r="M199" s="118"/>
      <c r="N199" s="118">
        <f>H199/IF('Parameters and Satisfaction'!$C$13="Pump A", 0.7, IF('Parameters and Satisfaction'!$C$13 = "Pump B", 0.72, 0.65))</f>
        <v>0</v>
      </c>
      <c r="O199" s="118">
        <f>I199/IF('Parameters and Satisfaction'!$C$13="Pump A", 0.7, IF('Parameters and Satisfaction'!$C$13 = "Pump B", 0.72, 0.65))</f>
        <v>0</v>
      </c>
      <c r="P199" s="118">
        <f>J199/IF('Parameters and Satisfaction'!$C$13="Pump A", 0.7, IF('Parameters and Satisfaction'!$C$13 = "Pump B", 0.72, 0.65))</f>
        <v>507675.87275713182</v>
      </c>
      <c r="Q199" s="118">
        <f>K199/IF('Parameters and Satisfaction'!$C$13="Pump A", 0.7, IF('Parameters and Satisfaction'!$C$13 = "Pump B", 0.72, 0.65))</f>
        <v>0</v>
      </c>
      <c r="R199" s="118">
        <f>L199/IF('Parameters and Satisfaction'!$C$13="Pump A", 0.7, IF('Parameters and Satisfaction'!$C$13 = "Pump B", 0.72, 0.65))</f>
        <v>960943.22001501324</v>
      </c>
      <c r="S199" s="118"/>
      <c r="T199" s="118">
        <f>N199+$F$47+IF('Parameters and Satisfaction'!$C$19="Ozone", 'Filtration System'!AA163*1000000, 0)</f>
        <v>4687500</v>
      </c>
      <c r="U199" s="118">
        <f>O199+$F$47+IF('Parameters and Satisfaction'!$C$19="Ozone", 'Filtration System'!AB163*1000000, 0)</f>
        <v>4687500</v>
      </c>
      <c r="V199" s="118">
        <f>P199+$F$47+IF('Parameters and Satisfaction'!$C$19="Ozone", 'Filtration System'!AC163*1000000, 0)</f>
        <v>5195175.8727571322</v>
      </c>
      <c r="W199" s="118">
        <f>Q199+$F$47+IF('Parameters and Satisfaction'!$C$19="Ozone", 'Filtration System'!AD163*1000000, 0)</f>
        <v>4687500</v>
      </c>
      <c r="X199" s="118">
        <f>R199+$F$47+IF('Parameters and Satisfaction'!$C$19="Ozone", 'Filtration System'!AE163*1000000, 0)</f>
        <v>5648443.2200150136</v>
      </c>
      <c r="Y199" s="118"/>
      <c r="Z199" s="118">
        <f t="shared" ref="Z199:Z262" si="24">T199/(40000000*0.35)</f>
        <v>0.33482142857142855</v>
      </c>
      <c r="AA199" s="118">
        <f t="shared" ref="AA199:AA262" si="25">U199/(40000000*0.35)</f>
        <v>0.33482142857142855</v>
      </c>
      <c r="AB199" s="118">
        <f t="shared" ref="AB199:AB262" si="26">V199/(40000000*0.35)</f>
        <v>0.37108399091122374</v>
      </c>
      <c r="AC199" s="118">
        <f t="shared" ref="AC199:AC262" si="27">W199/(40000000*0.35)</f>
        <v>0.33482142857142855</v>
      </c>
      <c r="AD199" s="118">
        <f t="shared" ref="AD199:AD262" si="28">X199/(40000000*0.35)</f>
        <v>0.4034602300010724</v>
      </c>
      <c r="AE199" s="118"/>
      <c r="AF199" s="118"/>
      <c r="AG199" s="118"/>
      <c r="AK199">
        <f t="shared" si="23"/>
        <v>20563200</v>
      </c>
      <c r="AL199">
        <f t="shared" si="23"/>
        <v>20563200</v>
      </c>
      <c r="AM199">
        <f t="shared" si="23"/>
        <v>20563200</v>
      </c>
      <c r="AN199">
        <f t="shared" si="23"/>
        <v>20563200</v>
      </c>
      <c r="AO199">
        <f t="shared" si="23"/>
        <v>20563200</v>
      </c>
    </row>
    <row r="200" spans="1:41">
      <c r="A200" s="185">
        <f>'Water Stuff'!F134</f>
        <v>44691</v>
      </c>
      <c r="B200" s="118">
        <f>'Filtration System'!B164</f>
        <v>40</v>
      </c>
      <c r="C200" s="118">
        <f>'Filtration System'!C164</f>
        <v>80</v>
      </c>
      <c r="D200" s="118">
        <f>'Filtration System'!D164</f>
        <v>1697.4428090681163</v>
      </c>
      <c r="E200" s="118">
        <f>'Filtration System'!E164</f>
        <v>1336.1844554718016</v>
      </c>
      <c r="F200" s="118">
        <f>'Filtration System'!F164</f>
        <v>1417.2257116378953</v>
      </c>
      <c r="G200" s="118"/>
      <c r="H200" s="118">
        <f>B200/1000*(1000*9.81*Pumps!$B$14+'Parameters and Satisfaction'!$B$27)</f>
        <v>10722.12717020385</v>
      </c>
      <c r="I200" s="118">
        <f>C200/1000*(1000*9.81*Pumps!$B$14+'Parameters and Satisfaction'!$B$27)</f>
        <v>21444.254340407701</v>
      </c>
      <c r="J200" s="118">
        <f>D200/1000*(1000*9.81*Pumps!$B$14+'Parameters and Satisfaction'!$B$27)</f>
        <v>455004.94157440984</v>
      </c>
      <c r="K200" s="118">
        <f>E200/1000*(1000*9.81*Pumps!$B$14+'Parameters and Satisfaction'!$B$27)</f>
        <v>358168.49136045598</v>
      </c>
      <c r="L200" s="118">
        <f>F200/1000*(1000*9.81*Pumps!$B$14+'Parameters and Satisfaction'!$B$27)</f>
        <v>379891.8577266041</v>
      </c>
      <c r="M200" s="118"/>
      <c r="N200" s="118">
        <f>H200/IF('Parameters and Satisfaction'!$C$13="Pump A", 0.7, IF('Parameters and Satisfaction'!$C$13 = "Pump B", 0.72, 0.65))</f>
        <v>14891.843291949792</v>
      </c>
      <c r="O200" s="118">
        <f>I200/IF('Parameters and Satisfaction'!$C$13="Pump A", 0.7, IF('Parameters and Satisfaction'!$C$13 = "Pump B", 0.72, 0.65))</f>
        <v>29783.686583899584</v>
      </c>
      <c r="P200" s="118">
        <f>J200/IF('Parameters and Satisfaction'!$C$13="Pump A", 0.7, IF('Parameters and Satisfaction'!$C$13 = "Pump B", 0.72, 0.65))</f>
        <v>631951.30774223595</v>
      </c>
      <c r="Q200" s="118">
        <f>K200/IF('Parameters and Satisfaction'!$C$13="Pump A", 0.7, IF('Parameters and Satisfaction'!$C$13 = "Pump B", 0.72, 0.65))</f>
        <v>497456.23800063331</v>
      </c>
      <c r="R200" s="118">
        <f>L200/IF('Parameters and Satisfaction'!$C$13="Pump A", 0.7, IF('Parameters and Satisfaction'!$C$13 = "Pump B", 0.72, 0.65))</f>
        <v>527627.58017583902</v>
      </c>
      <c r="S200" s="118"/>
      <c r="T200" s="118">
        <f>N200+$F$47+IF('Parameters and Satisfaction'!$C$19="Ozone", 'Filtration System'!AA164*1000000, 0)</f>
        <v>4702391.8432919495</v>
      </c>
      <c r="U200" s="118">
        <f>O200+$F$47+IF('Parameters and Satisfaction'!$C$19="Ozone", 'Filtration System'!AB164*1000000, 0)</f>
        <v>4717283.6865838999</v>
      </c>
      <c r="V200" s="118">
        <f>P200+$F$47+IF('Parameters and Satisfaction'!$C$19="Ozone", 'Filtration System'!AC164*1000000, 0)</f>
        <v>5319451.3077422362</v>
      </c>
      <c r="W200" s="118">
        <f>Q200+$F$47+IF('Parameters and Satisfaction'!$C$19="Ozone", 'Filtration System'!AD164*1000000, 0)</f>
        <v>5184956.2380006332</v>
      </c>
      <c r="X200" s="118">
        <f>R200+$F$47+IF('Parameters and Satisfaction'!$C$19="Ozone", 'Filtration System'!AE164*1000000, 0)</f>
        <v>5215127.5801758394</v>
      </c>
      <c r="Y200" s="118"/>
      <c r="Z200" s="118">
        <f t="shared" si="24"/>
        <v>0.3358851316637107</v>
      </c>
      <c r="AA200" s="118">
        <f t="shared" si="25"/>
        <v>0.33694883475599285</v>
      </c>
      <c r="AB200" s="118">
        <f t="shared" si="26"/>
        <v>0.37996080769587404</v>
      </c>
      <c r="AC200" s="118">
        <f t="shared" si="27"/>
        <v>0.37035401700004522</v>
      </c>
      <c r="AD200" s="118">
        <f t="shared" si="28"/>
        <v>0.37250911286970279</v>
      </c>
      <c r="AE200" s="118"/>
      <c r="AF200" s="118"/>
      <c r="AG200" s="118"/>
      <c r="AK200">
        <f t="shared" si="23"/>
        <v>20563200</v>
      </c>
      <c r="AL200">
        <f t="shared" si="23"/>
        <v>20563200</v>
      </c>
      <c r="AM200">
        <f t="shared" si="23"/>
        <v>20563200</v>
      </c>
      <c r="AN200">
        <f t="shared" si="23"/>
        <v>20563200</v>
      </c>
      <c r="AO200">
        <f t="shared" si="23"/>
        <v>20563200</v>
      </c>
    </row>
    <row r="201" spans="1:41">
      <c r="A201" s="185">
        <f>'Water Stuff'!F135</f>
        <v>44692</v>
      </c>
      <c r="B201" s="118">
        <f>'Filtration System'!B165</f>
        <v>0</v>
      </c>
      <c r="C201" s="118">
        <f>'Filtration System'!C165</f>
        <v>0</v>
      </c>
      <c r="D201" s="118">
        <f>'Filtration System'!D165</f>
        <v>983.01690968277296</v>
      </c>
      <c r="E201" s="118">
        <f>'Filtration System'!E165</f>
        <v>0</v>
      </c>
      <c r="F201" s="118">
        <f>'Filtration System'!F165</f>
        <v>0</v>
      </c>
      <c r="G201" s="118"/>
      <c r="H201" s="118">
        <f>B201/1000*(1000*9.81*Pumps!$B$14+'Parameters and Satisfaction'!$B$27)</f>
        <v>0</v>
      </c>
      <c r="I201" s="118">
        <f>C201/1000*(1000*9.81*Pumps!$B$14+'Parameters and Satisfaction'!$B$27)</f>
        <v>0</v>
      </c>
      <c r="J201" s="118">
        <f>D201/1000*(1000*9.81*Pumps!$B$14+'Parameters and Satisfaction'!$B$27)</f>
        <v>263500.80790198711</v>
      </c>
      <c r="K201" s="118">
        <f>E201/1000*(1000*9.81*Pumps!$B$14+'Parameters and Satisfaction'!$B$27)</f>
        <v>0</v>
      </c>
      <c r="L201" s="118">
        <f>F201/1000*(1000*9.81*Pumps!$B$14+'Parameters and Satisfaction'!$B$27)</f>
        <v>0</v>
      </c>
      <c r="M201" s="118"/>
      <c r="N201" s="118">
        <f>H201/IF('Parameters and Satisfaction'!$C$13="Pump A", 0.7, IF('Parameters and Satisfaction'!$C$13 = "Pump B", 0.72, 0.65))</f>
        <v>0</v>
      </c>
      <c r="O201" s="118">
        <f>I201/IF('Parameters and Satisfaction'!$C$13="Pump A", 0.7, IF('Parameters and Satisfaction'!$C$13 = "Pump B", 0.72, 0.65))</f>
        <v>0</v>
      </c>
      <c r="P201" s="118">
        <f>J201/IF('Parameters and Satisfaction'!$C$13="Pump A", 0.7, IF('Parameters and Satisfaction'!$C$13 = "Pump B", 0.72, 0.65))</f>
        <v>365973.34430831543</v>
      </c>
      <c r="Q201" s="118">
        <f>K201/IF('Parameters and Satisfaction'!$C$13="Pump A", 0.7, IF('Parameters and Satisfaction'!$C$13 = "Pump B", 0.72, 0.65))</f>
        <v>0</v>
      </c>
      <c r="R201" s="118">
        <f>L201/IF('Parameters and Satisfaction'!$C$13="Pump A", 0.7, IF('Parameters and Satisfaction'!$C$13 = "Pump B", 0.72, 0.65))</f>
        <v>0</v>
      </c>
      <c r="S201" s="118"/>
      <c r="T201" s="118">
        <f>N201+$F$47+IF('Parameters and Satisfaction'!$C$19="Ozone", 'Filtration System'!AA165*1000000, 0)</f>
        <v>4687500</v>
      </c>
      <c r="U201" s="118">
        <f>O201+$F$47+IF('Parameters and Satisfaction'!$C$19="Ozone", 'Filtration System'!AB165*1000000, 0)</f>
        <v>4687500</v>
      </c>
      <c r="V201" s="118">
        <f>P201+$F$47+IF('Parameters and Satisfaction'!$C$19="Ozone", 'Filtration System'!AC165*1000000, 0)</f>
        <v>5053473.3443083158</v>
      </c>
      <c r="W201" s="118">
        <f>Q201+$F$47+IF('Parameters and Satisfaction'!$C$19="Ozone", 'Filtration System'!AD165*1000000, 0)</f>
        <v>4687500</v>
      </c>
      <c r="X201" s="118">
        <f>R201+$F$47+IF('Parameters and Satisfaction'!$C$19="Ozone", 'Filtration System'!AE165*1000000, 0)</f>
        <v>4687500</v>
      </c>
      <c r="Y201" s="118"/>
      <c r="Z201" s="118">
        <f t="shared" si="24"/>
        <v>0.33482142857142855</v>
      </c>
      <c r="AA201" s="118">
        <f t="shared" si="25"/>
        <v>0.33482142857142855</v>
      </c>
      <c r="AB201" s="118">
        <f t="shared" si="26"/>
        <v>0.36096238173630829</v>
      </c>
      <c r="AC201" s="118">
        <f t="shared" si="27"/>
        <v>0.33482142857142855</v>
      </c>
      <c r="AD201" s="118">
        <f t="shared" si="28"/>
        <v>0.33482142857142855</v>
      </c>
      <c r="AE201" s="118"/>
      <c r="AF201" s="118"/>
      <c r="AG201" s="118"/>
      <c r="AK201">
        <f t="shared" ref="AK201:AO210" si="29">$D$59</f>
        <v>20563200</v>
      </c>
      <c r="AL201">
        <f t="shared" si="29"/>
        <v>20563200</v>
      </c>
      <c r="AM201">
        <f t="shared" si="29"/>
        <v>20563200</v>
      </c>
      <c r="AN201">
        <f t="shared" si="29"/>
        <v>20563200</v>
      </c>
      <c r="AO201">
        <f t="shared" si="29"/>
        <v>20563200</v>
      </c>
    </row>
    <row r="202" spans="1:41">
      <c r="A202" s="185">
        <f>'Water Stuff'!F136</f>
        <v>44693</v>
      </c>
      <c r="B202" s="118">
        <f>'Filtration System'!B166</f>
        <v>40</v>
      </c>
      <c r="C202" s="118">
        <f>'Filtration System'!C166</f>
        <v>0</v>
      </c>
      <c r="D202" s="118">
        <f>'Filtration System'!D166</f>
        <v>0</v>
      </c>
      <c r="E202" s="118">
        <f>'Filtration System'!E166</f>
        <v>0</v>
      </c>
      <c r="F202" s="118">
        <f>'Filtration System'!F166</f>
        <v>0</v>
      </c>
      <c r="G202" s="118"/>
      <c r="H202" s="118">
        <f>B202/1000*(1000*9.81*Pumps!$B$14+'Parameters and Satisfaction'!$B$27)</f>
        <v>10722.12717020385</v>
      </c>
      <c r="I202" s="118">
        <f>C202/1000*(1000*9.81*Pumps!$B$14+'Parameters and Satisfaction'!$B$27)</f>
        <v>0</v>
      </c>
      <c r="J202" s="118">
        <f>D202/1000*(1000*9.81*Pumps!$B$14+'Parameters and Satisfaction'!$B$27)</f>
        <v>0</v>
      </c>
      <c r="K202" s="118">
        <f>E202/1000*(1000*9.81*Pumps!$B$14+'Parameters and Satisfaction'!$B$27)</f>
        <v>0</v>
      </c>
      <c r="L202" s="118">
        <f>F202/1000*(1000*9.81*Pumps!$B$14+'Parameters and Satisfaction'!$B$27)</f>
        <v>0</v>
      </c>
      <c r="M202" s="118"/>
      <c r="N202" s="118">
        <f>H202/IF('Parameters and Satisfaction'!$C$13="Pump A", 0.7, IF('Parameters and Satisfaction'!$C$13 = "Pump B", 0.72, 0.65))</f>
        <v>14891.843291949792</v>
      </c>
      <c r="O202" s="118">
        <f>I202/IF('Parameters and Satisfaction'!$C$13="Pump A", 0.7, IF('Parameters and Satisfaction'!$C$13 = "Pump B", 0.72, 0.65))</f>
        <v>0</v>
      </c>
      <c r="P202" s="118">
        <f>J202/IF('Parameters and Satisfaction'!$C$13="Pump A", 0.7, IF('Parameters and Satisfaction'!$C$13 = "Pump B", 0.72, 0.65))</f>
        <v>0</v>
      </c>
      <c r="Q202" s="118">
        <f>K202/IF('Parameters and Satisfaction'!$C$13="Pump A", 0.7, IF('Parameters and Satisfaction'!$C$13 = "Pump B", 0.72, 0.65))</f>
        <v>0</v>
      </c>
      <c r="R202" s="118">
        <f>L202/IF('Parameters and Satisfaction'!$C$13="Pump A", 0.7, IF('Parameters and Satisfaction'!$C$13 = "Pump B", 0.72, 0.65))</f>
        <v>0</v>
      </c>
      <c r="S202" s="118"/>
      <c r="T202" s="118">
        <f>N202+$F$47+IF('Parameters and Satisfaction'!$C$19="Ozone", 'Filtration System'!AA166*1000000, 0)</f>
        <v>4702391.8432919495</v>
      </c>
      <c r="U202" s="118">
        <f>O202+$F$47+IF('Parameters and Satisfaction'!$C$19="Ozone", 'Filtration System'!AB166*1000000, 0)</f>
        <v>4687500</v>
      </c>
      <c r="V202" s="118">
        <f>P202+$F$47+IF('Parameters and Satisfaction'!$C$19="Ozone", 'Filtration System'!AC166*1000000, 0)</f>
        <v>4687500</v>
      </c>
      <c r="W202" s="118">
        <f>Q202+$F$47+IF('Parameters and Satisfaction'!$C$19="Ozone", 'Filtration System'!AD166*1000000, 0)</f>
        <v>4687500</v>
      </c>
      <c r="X202" s="118">
        <f>R202+$F$47+IF('Parameters and Satisfaction'!$C$19="Ozone", 'Filtration System'!AE166*1000000, 0)</f>
        <v>4687500</v>
      </c>
      <c r="Y202" s="118"/>
      <c r="Z202" s="118">
        <f t="shared" si="24"/>
        <v>0.3358851316637107</v>
      </c>
      <c r="AA202" s="118">
        <f t="shared" si="25"/>
        <v>0.33482142857142855</v>
      </c>
      <c r="AB202" s="118">
        <f t="shared" si="26"/>
        <v>0.33482142857142855</v>
      </c>
      <c r="AC202" s="118">
        <f t="shared" si="27"/>
        <v>0.33482142857142855</v>
      </c>
      <c r="AD202" s="118">
        <f t="shared" si="28"/>
        <v>0.33482142857142855</v>
      </c>
      <c r="AE202" s="118"/>
      <c r="AF202" s="118"/>
      <c r="AG202" s="118"/>
      <c r="AK202">
        <f t="shared" si="29"/>
        <v>20563200</v>
      </c>
      <c r="AL202">
        <f t="shared" si="29"/>
        <v>20563200</v>
      </c>
      <c r="AM202">
        <f t="shared" si="29"/>
        <v>20563200</v>
      </c>
      <c r="AN202">
        <f t="shared" si="29"/>
        <v>20563200</v>
      </c>
      <c r="AO202">
        <f t="shared" si="29"/>
        <v>20563200</v>
      </c>
    </row>
    <row r="203" spans="1:41">
      <c r="A203" s="185">
        <f>'Water Stuff'!F137</f>
        <v>44694</v>
      </c>
      <c r="B203" s="118">
        <f>'Filtration System'!B167</f>
        <v>0</v>
      </c>
      <c r="C203" s="118">
        <f>'Filtration System'!C167</f>
        <v>0</v>
      </c>
      <c r="D203" s="118">
        <f>'Filtration System'!D167</f>
        <v>1313.2563916554368</v>
      </c>
      <c r="E203" s="118">
        <f>'Filtration System'!E167</f>
        <v>0</v>
      </c>
      <c r="F203" s="118">
        <f>'Filtration System'!F167</f>
        <v>2137.0334140167097</v>
      </c>
      <c r="G203" s="118"/>
      <c r="H203" s="118">
        <f>B203/1000*(1000*9.81*Pumps!$B$14+'Parameters and Satisfaction'!$B$27)</f>
        <v>0</v>
      </c>
      <c r="I203" s="118">
        <f>C203/1000*(1000*9.81*Pumps!$B$14+'Parameters and Satisfaction'!$B$27)</f>
        <v>0</v>
      </c>
      <c r="J203" s="118">
        <f>D203/1000*(1000*9.81*Pumps!$B$14+'Parameters and Satisfaction'!$B$27)</f>
        <v>352022.55096031568</v>
      </c>
      <c r="K203" s="118">
        <f>E203/1000*(1000*9.81*Pumps!$B$14+'Parameters and Satisfaction'!$B$27)</f>
        <v>0</v>
      </c>
      <c r="L203" s="118">
        <f>F203/1000*(1000*9.81*Pumps!$B$14+'Parameters and Satisfaction'!$B$27)</f>
        <v>572838.60080155137</v>
      </c>
      <c r="M203" s="118"/>
      <c r="N203" s="118">
        <f>H203/IF('Parameters and Satisfaction'!$C$13="Pump A", 0.7, IF('Parameters and Satisfaction'!$C$13 = "Pump B", 0.72, 0.65))</f>
        <v>0</v>
      </c>
      <c r="O203" s="118">
        <f>I203/IF('Parameters and Satisfaction'!$C$13="Pump A", 0.7, IF('Parameters and Satisfaction'!$C$13 = "Pump B", 0.72, 0.65))</f>
        <v>0</v>
      </c>
      <c r="P203" s="118">
        <f>J203/IF('Parameters and Satisfaction'!$C$13="Pump A", 0.7, IF('Parameters and Satisfaction'!$C$13 = "Pump B", 0.72, 0.65))</f>
        <v>488920.20966710511</v>
      </c>
      <c r="Q203" s="118">
        <f>K203/IF('Parameters and Satisfaction'!$C$13="Pump A", 0.7, IF('Parameters and Satisfaction'!$C$13 = "Pump B", 0.72, 0.65))</f>
        <v>0</v>
      </c>
      <c r="R203" s="118">
        <f>L203/IF('Parameters and Satisfaction'!$C$13="Pump A", 0.7, IF('Parameters and Satisfaction'!$C$13 = "Pump B", 0.72, 0.65))</f>
        <v>795609.1677799325</v>
      </c>
      <c r="S203" s="118"/>
      <c r="T203" s="118">
        <f>N203+$F$47+IF('Parameters and Satisfaction'!$C$19="Ozone", 'Filtration System'!AA167*1000000, 0)</f>
        <v>4687500</v>
      </c>
      <c r="U203" s="118">
        <f>O203+$F$47+IF('Parameters and Satisfaction'!$C$19="Ozone", 'Filtration System'!AB167*1000000, 0)</f>
        <v>4687500</v>
      </c>
      <c r="V203" s="118">
        <f>P203+$F$47+IF('Parameters and Satisfaction'!$C$19="Ozone", 'Filtration System'!AC167*1000000, 0)</f>
        <v>5176420.2096671052</v>
      </c>
      <c r="W203" s="118">
        <f>Q203+$F$47+IF('Parameters and Satisfaction'!$C$19="Ozone", 'Filtration System'!AD167*1000000, 0)</f>
        <v>4687500</v>
      </c>
      <c r="X203" s="118">
        <f>R203+$F$47+IF('Parameters and Satisfaction'!$C$19="Ozone", 'Filtration System'!AE167*1000000, 0)</f>
        <v>5483109.1677799327</v>
      </c>
      <c r="Y203" s="118"/>
      <c r="Z203" s="118">
        <f t="shared" si="24"/>
        <v>0.33482142857142855</v>
      </c>
      <c r="AA203" s="118">
        <f t="shared" si="25"/>
        <v>0.33482142857142855</v>
      </c>
      <c r="AB203" s="118">
        <f t="shared" si="26"/>
        <v>0.36974430069050751</v>
      </c>
      <c r="AC203" s="118">
        <f t="shared" si="27"/>
        <v>0.33482142857142855</v>
      </c>
      <c r="AD203" s="118">
        <f t="shared" si="28"/>
        <v>0.39165065484142375</v>
      </c>
      <c r="AE203" s="118"/>
      <c r="AF203" s="118"/>
      <c r="AG203" s="118"/>
      <c r="AK203">
        <f t="shared" si="29"/>
        <v>20563200</v>
      </c>
      <c r="AL203">
        <f t="shared" si="29"/>
        <v>20563200</v>
      </c>
      <c r="AM203">
        <f t="shared" si="29"/>
        <v>20563200</v>
      </c>
      <c r="AN203">
        <f t="shared" si="29"/>
        <v>20563200</v>
      </c>
      <c r="AO203">
        <f t="shared" si="29"/>
        <v>20563200</v>
      </c>
    </row>
    <row r="204" spans="1:41">
      <c r="A204" s="185">
        <f>'Water Stuff'!F138</f>
        <v>44695</v>
      </c>
      <c r="B204" s="118">
        <f>'Filtration System'!B168</f>
        <v>0</v>
      </c>
      <c r="C204" s="118">
        <f>'Filtration System'!C168</f>
        <v>0</v>
      </c>
      <c r="D204" s="118">
        <f>'Filtration System'!D168</f>
        <v>0</v>
      </c>
      <c r="E204" s="118">
        <f>'Filtration System'!E168</f>
        <v>1591.2616075788821</v>
      </c>
      <c r="F204" s="118">
        <f>'Filtration System'!F168</f>
        <v>0</v>
      </c>
      <c r="G204" s="118"/>
      <c r="H204" s="118">
        <f>B204/1000*(1000*9.81*Pumps!$B$14+'Parameters and Satisfaction'!$B$27)</f>
        <v>0</v>
      </c>
      <c r="I204" s="118">
        <f>C204/1000*(1000*9.81*Pumps!$B$14+'Parameters and Satisfaction'!$B$27)</f>
        <v>0</v>
      </c>
      <c r="J204" s="118">
        <f>D204/1000*(1000*9.81*Pumps!$B$14+'Parameters and Satisfaction'!$B$27)</f>
        <v>0</v>
      </c>
      <c r="K204" s="118">
        <f>E204/1000*(1000*9.81*Pumps!$B$14+'Parameters and Satisfaction'!$B$27)</f>
        <v>426542.7329380947</v>
      </c>
      <c r="L204" s="118">
        <f>F204/1000*(1000*9.81*Pumps!$B$14+'Parameters and Satisfaction'!$B$27)</f>
        <v>0</v>
      </c>
      <c r="M204" s="118"/>
      <c r="N204" s="118">
        <f>H204/IF('Parameters and Satisfaction'!$C$13="Pump A", 0.7, IF('Parameters and Satisfaction'!$C$13 = "Pump B", 0.72, 0.65))</f>
        <v>0</v>
      </c>
      <c r="O204" s="118">
        <f>I204/IF('Parameters and Satisfaction'!$C$13="Pump A", 0.7, IF('Parameters and Satisfaction'!$C$13 = "Pump B", 0.72, 0.65))</f>
        <v>0</v>
      </c>
      <c r="P204" s="118">
        <f>J204/IF('Parameters and Satisfaction'!$C$13="Pump A", 0.7, IF('Parameters and Satisfaction'!$C$13 = "Pump B", 0.72, 0.65))</f>
        <v>0</v>
      </c>
      <c r="Q204" s="118">
        <f>K204/IF('Parameters and Satisfaction'!$C$13="Pump A", 0.7, IF('Parameters and Satisfaction'!$C$13 = "Pump B", 0.72, 0.65))</f>
        <v>592420.46241402044</v>
      </c>
      <c r="R204" s="118">
        <f>L204/IF('Parameters and Satisfaction'!$C$13="Pump A", 0.7, IF('Parameters and Satisfaction'!$C$13 = "Pump B", 0.72, 0.65))</f>
        <v>0</v>
      </c>
      <c r="S204" s="118"/>
      <c r="T204" s="118">
        <f>N204+$F$47+IF('Parameters and Satisfaction'!$C$19="Ozone", 'Filtration System'!AA168*1000000, 0)</f>
        <v>4687500</v>
      </c>
      <c r="U204" s="118">
        <f>O204+$F$47+IF('Parameters and Satisfaction'!$C$19="Ozone", 'Filtration System'!AB168*1000000, 0)</f>
        <v>4687500</v>
      </c>
      <c r="V204" s="118">
        <f>P204+$F$47+IF('Parameters and Satisfaction'!$C$19="Ozone", 'Filtration System'!AC168*1000000, 0)</f>
        <v>4687500</v>
      </c>
      <c r="W204" s="118">
        <f>Q204+$F$47+IF('Parameters and Satisfaction'!$C$19="Ozone", 'Filtration System'!AD168*1000000, 0)</f>
        <v>5279920.4624140207</v>
      </c>
      <c r="X204" s="118">
        <f>R204+$F$47+IF('Parameters and Satisfaction'!$C$19="Ozone", 'Filtration System'!AE168*1000000, 0)</f>
        <v>4687500</v>
      </c>
      <c r="Y204" s="118"/>
      <c r="Z204" s="118">
        <f t="shared" si="24"/>
        <v>0.33482142857142855</v>
      </c>
      <c r="AA204" s="118">
        <f t="shared" si="25"/>
        <v>0.33482142857142855</v>
      </c>
      <c r="AB204" s="118">
        <f t="shared" si="26"/>
        <v>0.33482142857142855</v>
      </c>
      <c r="AC204" s="118">
        <f t="shared" si="27"/>
        <v>0.37713717588671575</v>
      </c>
      <c r="AD204" s="118">
        <f t="shared" si="28"/>
        <v>0.33482142857142855</v>
      </c>
      <c r="AE204" s="118"/>
      <c r="AF204" s="118"/>
      <c r="AG204" s="118"/>
      <c r="AK204">
        <f t="shared" si="29"/>
        <v>20563200</v>
      </c>
      <c r="AL204">
        <f t="shared" si="29"/>
        <v>20563200</v>
      </c>
      <c r="AM204">
        <f t="shared" si="29"/>
        <v>20563200</v>
      </c>
      <c r="AN204">
        <f t="shared" si="29"/>
        <v>20563200</v>
      </c>
      <c r="AO204">
        <f t="shared" si="29"/>
        <v>20563200</v>
      </c>
    </row>
    <row r="205" spans="1:41">
      <c r="A205" s="185">
        <f>'Water Stuff'!F139</f>
        <v>44696</v>
      </c>
      <c r="B205" s="118">
        <f>'Filtration System'!B169</f>
        <v>0</v>
      </c>
      <c r="C205" s="118">
        <f>'Filtration System'!C169</f>
        <v>0</v>
      </c>
      <c r="D205" s="118">
        <f>'Filtration System'!D169</f>
        <v>0</v>
      </c>
      <c r="E205" s="118">
        <f>'Filtration System'!E169</f>
        <v>0</v>
      </c>
      <c r="F205" s="118">
        <f>'Filtration System'!F169</f>
        <v>0</v>
      </c>
      <c r="G205" s="118"/>
      <c r="H205" s="118">
        <f>B205/1000*(1000*9.81*Pumps!$B$14+'Parameters and Satisfaction'!$B$27)</f>
        <v>0</v>
      </c>
      <c r="I205" s="118">
        <f>C205/1000*(1000*9.81*Pumps!$B$14+'Parameters and Satisfaction'!$B$27)</f>
        <v>0</v>
      </c>
      <c r="J205" s="118">
        <f>D205/1000*(1000*9.81*Pumps!$B$14+'Parameters and Satisfaction'!$B$27)</f>
        <v>0</v>
      </c>
      <c r="K205" s="118">
        <f>E205/1000*(1000*9.81*Pumps!$B$14+'Parameters and Satisfaction'!$B$27)</f>
        <v>0</v>
      </c>
      <c r="L205" s="118">
        <f>F205/1000*(1000*9.81*Pumps!$B$14+'Parameters and Satisfaction'!$B$27)</f>
        <v>0</v>
      </c>
      <c r="M205" s="118"/>
      <c r="N205" s="118">
        <f>H205/IF('Parameters and Satisfaction'!$C$13="Pump A", 0.7, IF('Parameters and Satisfaction'!$C$13 = "Pump B", 0.72, 0.65))</f>
        <v>0</v>
      </c>
      <c r="O205" s="118">
        <f>I205/IF('Parameters and Satisfaction'!$C$13="Pump A", 0.7, IF('Parameters and Satisfaction'!$C$13 = "Pump B", 0.72, 0.65))</f>
        <v>0</v>
      </c>
      <c r="P205" s="118">
        <f>J205/IF('Parameters and Satisfaction'!$C$13="Pump A", 0.7, IF('Parameters and Satisfaction'!$C$13 = "Pump B", 0.72, 0.65))</f>
        <v>0</v>
      </c>
      <c r="Q205" s="118">
        <f>K205/IF('Parameters and Satisfaction'!$C$13="Pump A", 0.7, IF('Parameters and Satisfaction'!$C$13 = "Pump B", 0.72, 0.65))</f>
        <v>0</v>
      </c>
      <c r="R205" s="118">
        <f>L205/IF('Parameters and Satisfaction'!$C$13="Pump A", 0.7, IF('Parameters and Satisfaction'!$C$13 = "Pump B", 0.72, 0.65))</f>
        <v>0</v>
      </c>
      <c r="S205" s="118"/>
      <c r="T205" s="118">
        <f>N205+$F$47+IF('Parameters and Satisfaction'!$C$19="Ozone", 'Filtration System'!AA169*1000000, 0)</f>
        <v>4687500</v>
      </c>
      <c r="U205" s="118">
        <f>O205+$F$47+IF('Parameters and Satisfaction'!$C$19="Ozone", 'Filtration System'!AB169*1000000, 0)</f>
        <v>4687500</v>
      </c>
      <c r="V205" s="118">
        <f>P205+$F$47+IF('Parameters and Satisfaction'!$C$19="Ozone", 'Filtration System'!AC169*1000000, 0)</f>
        <v>4687500</v>
      </c>
      <c r="W205" s="118">
        <f>Q205+$F$47+IF('Parameters and Satisfaction'!$C$19="Ozone", 'Filtration System'!AD169*1000000, 0)</f>
        <v>4687500</v>
      </c>
      <c r="X205" s="118">
        <f>R205+$F$47+IF('Parameters and Satisfaction'!$C$19="Ozone", 'Filtration System'!AE169*1000000, 0)</f>
        <v>4687500</v>
      </c>
      <c r="Y205" s="118"/>
      <c r="Z205" s="118">
        <f t="shared" si="24"/>
        <v>0.33482142857142855</v>
      </c>
      <c r="AA205" s="118">
        <f t="shared" si="25"/>
        <v>0.33482142857142855</v>
      </c>
      <c r="AB205" s="118">
        <f t="shared" si="26"/>
        <v>0.33482142857142855</v>
      </c>
      <c r="AC205" s="118">
        <f t="shared" si="27"/>
        <v>0.33482142857142855</v>
      </c>
      <c r="AD205" s="118">
        <f t="shared" si="28"/>
        <v>0.33482142857142855</v>
      </c>
      <c r="AE205" s="118"/>
      <c r="AF205" s="118"/>
      <c r="AG205" s="118"/>
      <c r="AK205">
        <f t="shared" si="29"/>
        <v>20563200</v>
      </c>
      <c r="AL205">
        <f t="shared" si="29"/>
        <v>20563200</v>
      </c>
      <c r="AM205">
        <f t="shared" si="29"/>
        <v>20563200</v>
      </c>
      <c r="AN205">
        <f t="shared" si="29"/>
        <v>20563200</v>
      </c>
      <c r="AO205">
        <f t="shared" si="29"/>
        <v>20563200</v>
      </c>
    </row>
    <row r="206" spans="1:41">
      <c r="A206" s="185">
        <f>'Water Stuff'!F140</f>
        <v>44697</v>
      </c>
      <c r="B206" s="118">
        <f>'Filtration System'!B170</f>
        <v>560</v>
      </c>
      <c r="C206" s="118">
        <f>'Filtration System'!C170</f>
        <v>40</v>
      </c>
      <c r="D206" s="118">
        <f>'Filtration System'!D170</f>
        <v>496.15866747127325</v>
      </c>
      <c r="E206" s="118">
        <f>'Filtration System'!E170</f>
        <v>0</v>
      </c>
      <c r="F206" s="118">
        <f>'Filtration System'!F170</f>
        <v>0</v>
      </c>
      <c r="G206" s="118"/>
      <c r="H206" s="118">
        <f>B206/1000*(1000*9.81*Pumps!$B$14+'Parameters and Satisfaction'!$B$27)</f>
        <v>150109.7803828539</v>
      </c>
      <c r="I206" s="118">
        <f>C206/1000*(1000*9.81*Pumps!$B$14+'Parameters and Satisfaction'!$B$27)</f>
        <v>10722.12717020385</v>
      </c>
      <c r="J206" s="118">
        <f>D206/1000*(1000*9.81*Pumps!$B$14+'Parameters and Satisfaction'!$B$27)</f>
        <v>132996.90823064689</v>
      </c>
      <c r="K206" s="118">
        <f>E206/1000*(1000*9.81*Pumps!$B$14+'Parameters and Satisfaction'!$B$27)</f>
        <v>0</v>
      </c>
      <c r="L206" s="118">
        <f>F206/1000*(1000*9.81*Pumps!$B$14+'Parameters and Satisfaction'!$B$27)</f>
        <v>0</v>
      </c>
      <c r="M206" s="118"/>
      <c r="N206" s="118">
        <f>H206/IF('Parameters and Satisfaction'!$C$13="Pump A", 0.7, IF('Parameters and Satisfaction'!$C$13 = "Pump B", 0.72, 0.65))</f>
        <v>208485.8060872971</v>
      </c>
      <c r="O206" s="118">
        <f>I206/IF('Parameters and Satisfaction'!$C$13="Pump A", 0.7, IF('Parameters and Satisfaction'!$C$13 = "Pump B", 0.72, 0.65))</f>
        <v>14891.843291949792</v>
      </c>
      <c r="P206" s="118">
        <f>J206/IF('Parameters and Satisfaction'!$C$13="Pump A", 0.7, IF('Parameters and Satisfaction'!$C$13 = "Pump B", 0.72, 0.65))</f>
        <v>184717.9280981207</v>
      </c>
      <c r="Q206" s="118">
        <f>K206/IF('Parameters and Satisfaction'!$C$13="Pump A", 0.7, IF('Parameters and Satisfaction'!$C$13 = "Pump B", 0.72, 0.65))</f>
        <v>0</v>
      </c>
      <c r="R206" s="118">
        <f>L206/IF('Parameters and Satisfaction'!$C$13="Pump A", 0.7, IF('Parameters and Satisfaction'!$C$13 = "Pump B", 0.72, 0.65))</f>
        <v>0</v>
      </c>
      <c r="S206" s="118"/>
      <c r="T206" s="118">
        <f>N206+$F$47+IF('Parameters and Satisfaction'!$C$19="Ozone", 'Filtration System'!AA170*1000000, 0)</f>
        <v>4895985.8060872974</v>
      </c>
      <c r="U206" s="118">
        <f>O206+$F$47+IF('Parameters and Satisfaction'!$C$19="Ozone", 'Filtration System'!AB170*1000000, 0)</f>
        <v>4702391.8432919495</v>
      </c>
      <c r="V206" s="118">
        <f>P206+$F$47+IF('Parameters and Satisfaction'!$C$19="Ozone", 'Filtration System'!AC170*1000000, 0)</f>
        <v>4872217.9280981207</v>
      </c>
      <c r="W206" s="118">
        <f>Q206+$F$47+IF('Parameters and Satisfaction'!$C$19="Ozone", 'Filtration System'!AD170*1000000, 0)</f>
        <v>4687500</v>
      </c>
      <c r="X206" s="118">
        <f>R206+$F$47+IF('Parameters and Satisfaction'!$C$19="Ozone", 'Filtration System'!AE170*1000000, 0)</f>
        <v>4687500</v>
      </c>
      <c r="Y206" s="118"/>
      <c r="Z206" s="118">
        <f t="shared" si="24"/>
        <v>0.34971327186337836</v>
      </c>
      <c r="AA206" s="118">
        <f t="shared" si="25"/>
        <v>0.3358851316637107</v>
      </c>
      <c r="AB206" s="118">
        <f t="shared" si="26"/>
        <v>0.3480155662927229</v>
      </c>
      <c r="AC206" s="118">
        <f t="shared" si="27"/>
        <v>0.33482142857142855</v>
      </c>
      <c r="AD206" s="118">
        <f t="shared" si="28"/>
        <v>0.33482142857142855</v>
      </c>
      <c r="AE206" s="118"/>
      <c r="AF206" s="118"/>
      <c r="AG206" s="118"/>
      <c r="AK206">
        <f t="shared" si="29"/>
        <v>20563200</v>
      </c>
      <c r="AL206">
        <f t="shared" si="29"/>
        <v>20563200</v>
      </c>
      <c r="AM206">
        <f t="shared" si="29"/>
        <v>20563200</v>
      </c>
      <c r="AN206">
        <f t="shared" si="29"/>
        <v>20563200</v>
      </c>
      <c r="AO206">
        <f t="shared" si="29"/>
        <v>20563200</v>
      </c>
    </row>
    <row r="207" spans="1:41">
      <c r="A207" s="185">
        <f>'Water Stuff'!F141</f>
        <v>44698</v>
      </c>
      <c r="B207" s="118">
        <f>'Filtration System'!B171</f>
        <v>0</v>
      </c>
      <c r="C207" s="118">
        <f>'Filtration System'!C171</f>
        <v>0</v>
      </c>
      <c r="D207" s="118">
        <f>'Filtration System'!D171</f>
        <v>0</v>
      </c>
      <c r="E207" s="118">
        <f>'Filtration System'!E171</f>
        <v>0</v>
      </c>
      <c r="F207" s="118">
        <f>'Filtration System'!F171</f>
        <v>0</v>
      </c>
      <c r="G207" s="118"/>
      <c r="H207" s="118">
        <f>B207/1000*(1000*9.81*Pumps!$B$14+'Parameters and Satisfaction'!$B$27)</f>
        <v>0</v>
      </c>
      <c r="I207" s="118">
        <f>C207/1000*(1000*9.81*Pumps!$B$14+'Parameters and Satisfaction'!$B$27)</f>
        <v>0</v>
      </c>
      <c r="J207" s="118">
        <f>D207/1000*(1000*9.81*Pumps!$B$14+'Parameters and Satisfaction'!$B$27)</f>
        <v>0</v>
      </c>
      <c r="K207" s="118">
        <f>E207/1000*(1000*9.81*Pumps!$B$14+'Parameters and Satisfaction'!$B$27)</f>
        <v>0</v>
      </c>
      <c r="L207" s="118">
        <f>F207/1000*(1000*9.81*Pumps!$B$14+'Parameters and Satisfaction'!$B$27)</f>
        <v>0</v>
      </c>
      <c r="M207" s="118"/>
      <c r="N207" s="118">
        <f>H207/IF('Parameters and Satisfaction'!$C$13="Pump A", 0.7, IF('Parameters and Satisfaction'!$C$13 = "Pump B", 0.72, 0.65))</f>
        <v>0</v>
      </c>
      <c r="O207" s="118">
        <f>I207/IF('Parameters and Satisfaction'!$C$13="Pump A", 0.7, IF('Parameters and Satisfaction'!$C$13 = "Pump B", 0.72, 0.65))</f>
        <v>0</v>
      </c>
      <c r="P207" s="118">
        <f>J207/IF('Parameters and Satisfaction'!$C$13="Pump A", 0.7, IF('Parameters and Satisfaction'!$C$13 = "Pump B", 0.72, 0.65))</f>
        <v>0</v>
      </c>
      <c r="Q207" s="118">
        <f>K207/IF('Parameters and Satisfaction'!$C$13="Pump A", 0.7, IF('Parameters and Satisfaction'!$C$13 = "Pump B", 0.72, 0.65))</f>
        <v>0</v>
      </c>
      <c r="R207" s="118">
        <f>L207/IF('Parameters and Satisfaction'!$C$13="Pump A", 0.7, IF('Parameters and Satisfaction'!$C$13 = "Pump B", 0.72, 0.65))</f>
        <v>0</v>
      </c>
      <c r="S207" s="118"/>
      <c r="T207" s="118">
        <f>N207+$F$47+IF('Parameters and Satisfaction'!$C$19="Ozone", 'Filtration System'!AA171*1000000, 0)</f>
        <v>4687500</v>
      </c>
      <c r="U207" s="118">
        <f>O207+$F$47+IF('Parameters and Satisfaction'!$C$19="Ozone", 'Filtration System'!AB171*1000000, 0)</f>
        <v>4687500</v>
      </c>
      <c r="V207" s="118">
        <f>P207+$F$47+IF('Parameters and Satisfaction'!$C$19="Ozone", 'Filtration System'!AC171*1000000, 0)</f>
        <v>4687500</v>
      </c>
      <c r="W207" s="118">
        <f>Q207+$F$47+IF('Parameters and Satisfaction'!$C$19="Ozone", 'Filtration System'!AD171*1000000, 0)</f>
        <v>4687500</v>
      </c>
      <c r="X207" s="118">
        <f>R207+$F$47+IF('Parameters and Satisfaction'!$C$19="Ozone", 'Filtration System'!AE171*1000000, 0)</f>
        <v>4687500</v>
      </c>
      <c r="Y207" s="118"/>
      <c r="Z207" s="118">
        <f t="shared" si="24"/>
        <v>0.33482142857142855</v>
      </c>
      <c r="AA207" s="118">
        <f t="shared" si="25"/>
        <v>0.33482142857142855</v>
      </c>
      <c r="AB207" s="118">
        <f t="shared" si="26"/>
        <v>0.33482142857142855</v>
      </c>
      <c r="AC207" s="118">
        <f t="shared" si="27"/>
        <v>0.33482142857142855</v>
      </c>
      <c r="AD207" s="118">
        <f t="shared" si="28"/>
        <v>0.33482142857142855</v>
      </c>
      <c r="AE207" s="118"/>
      <c r="AF207" s="118"/>
      <c r="AG207" s="118"/>
      <c r="AK207">
        <f t="shared" si="29"/>
        <v>20563200</v>
      </c>
      <c r="AL207">
        <f t="shared" si="29"/>
        <v>20563200</v>
      </c>
      <c r="AM207">
        <f t="shared" si="29"/>
        <v>20563200</v>
      </c>
      <c r="AN207">
        <f t="shared" si="29"/>
        <v>20563200</v>
      </c>
      <c r="AO207">
        <f t="shared" si="29"/>
        <v>20563200</v>
      </c>
    </row>
    <row r="208" spans="1:41">
      <c r="A208" s="185">
        <f>'Water Stuff'!F142</f>
        <v>44699</v>
      </c>
      <c r="B208" s="118">
        <f>'Filtration System'!B172</f>
        <v>0</v>
      </c>
      <c r="C208" s="118">
        <f>'Filtration System'!C172</f>
        <v>0</v>
      </c>
      <c r="D208" s="118">
        <f>'Filtration System'!D172</f>
        <v>1269.618419078239</v>
      </c>
      <c r="E208" s="118">
        <f>'Filtration System'!E172</f>
        <v>0</v>
      </c>
      <c r="F208" s="118">
        <f>'Filtration System'!F172</f>
        <v>1275.6470699668482</v>
      </c>
      <c r="G208" s="118"/>
      <c r="H208" s="118">
        <f>B208/1000*(1000*9.81*Pumps!$B$14+'Parameters and Satisfaction'!$B$27)</f>
        <v>0</v>
      </c>
      <c r="I208" s="118">
        <f>C208/1000*(1000*9.81*Pumps!$B$14+'Parameters and Satisfaction'!$B$27)</f>
        <v>0</v>
      </c>
      <c r="J208" s="118">
        <f>D208/1000*(1000*9.81*Pumps!$B$14+'Parameters and Satisfaction'!$B$27)</f>
        <v>340325.25367475109</v>
      </c>
      <c r="K208" s="118">
        <f>E208/1000*(1000*9.81*Pumps!$B$14+'Parameters and Satisfaction'!$B$27)</f>
        <v>0</v>
      </c>
      <c r="L208" s="118">
        <f>F208/1000*(1000*9.81*Pumps!$B$14+'Parameters and Satisfaction'!$B$27)</f>
        <v>341941.25271206186</v>
      </c>
      <c r="M208" s="118"/>
      <c r="N208" s="118">
        <f>H208/IF('Parameters and Satisfaction'!$C$13="Pump A", 0.7, IF('Parameters and Satisfaction'!$C$13 = "Pump B", 0.72, 0.65))</f>
        <v>0</v>
      </c>
      <c r="O208" s="118">
        <f>I208/IF('Parameters and Satisfaction'!$C$13="Pump A", 0.7, IF('Parameters and Satisfaction'!$C$13 = "Pump B", 0.72, 0.65))</f>
        <v>0</v>
      </c>
      <c r="P208" s="118">
        <f>J208/IF('Parameters and Satisfaction'!$C$13="Pump A", 0.7, IF('Parameters and Satisfaction'!$C$13 = "Pump B", 0.72, 0.65))</f>
        <v>472673.96343715431</v>
      </c>
      <c r="Q208" s="118">
        <f>K208/IF('Parameters and Satisfaction'!$C$13="Pump A", 0.7, IF('Parameters and Satisfaction'!$C$13 = "Pump B", 0.72, 0.65))</f>
        <v>0</v>
      </c>
      <c r="R208" s="118">
        <f>L208/IF('Parameters and Satisfaction'!$C$13="Pump A", 0.7, IF('Parameters and Satisfaction'!$C$13 = "Pump B", 0.72, 0.65))</f>
        <v>474918.40654453036</v>
      </c>
      <c r="S208" s="118"/>
      <c r="T208" s="118">
        <f>N208+$F$47+IF('Parameters and Satisfaction'!$C$19="Ozone", 'Filtration System'!AA172*1000000, 0)</f>
        <v>4687500</v>
      </c>
      <c r="U208" s="118">
        <f>O208+$F$47+IF('Parameters and Satisfaction'!$C$19="Ozone", 'Filtration System'!AB172*1000000, 0)</f>
        <v>4687500</v>
      </c>
      <c r="V208" s="118">
        <f>P208+$F$47+IF('Parameters and Satisfaction'!$C$19="Ozone", 'Filtration System'!AC172*1000000, 0)</f>
        <v>5160173.963437154</v>
      </c>
      <c r="W208" s="118">
        <f>Q208+$F$47+IF('Parameters and Satisfaction'!$C$19="Ozone", 'Filtration System'!AD172*1000000, 0)</f>
        <v>4687500</v>
      </c>
      <c r="X208" s="118">
        <f>R208+$F$47+IF('Parameters and Satisfaction'!$C$19="Ozone", 'Filtration System'!AE172*1000000, 0)</f>
        <v>5162418.4065445308</v>
      </c>
      <c r="Y208" s="118"/>
      <c r="Z208" s="118">
        <f t="shared" si="24"/>
        <v>0.33482142857142855</v>
      </c>
      <c r="AA208" s="118">
        <f t="shared" si="25"/>
        <v>0.33482142857142855</v>
      </c>
      <c r="AB208" s="118">
        <f t="shared" si="26"/>
        <v>0.36858385453122527</v>
      </c>
      <c r="AC208" s="118">
        <f t="shared" si="27"/>
        <v>0.33482142857142855</v>
      </c>
      <c r="AD208" s="118">
        <f t="shared" si="28"/>
        <v>0.36874417189603792</v>
      </c>
      <c r="AE208" s="118"/>
      <c r="AF208" s="118"/>
      <c r="AG208" s="118"/>
      <c r="AK208">
        <f t="shared" si="29"/>
        <v>20563200</v>
      </c>
      <c r="AL208">
        <f t="shared" si="29"/>
        <v>20563200</v>
      </c>
      <c r="AM208">
        <f t="shared" si="29"/>
        <v>20563200</v>
      </c>
      <c r="AN208">
        <f t="shared" si="29"/>
        <v>20563200</v>
      </c>
      <c r="AO208">
        <f t="shared" si="29"/>
        <v>20563200</v>
      </c>
    </row>
    <row r="209" spans="1:41">
      <c r="A209" s="185">
        <f>'Water Stuff'!F143</f>
        <v>44700</v>
      </c>
      <c r="B209" s="118">
        <f>'Filtration System'!B173</f>
        <v>0</v>
      </c>
      <c r="C209" s="118">
        <f>'Filtration System'!C173</f>
        <v>0</v>
      </c>
      <c r="D209" s="118">
        <f>'Filtration System'!D173</f>
        <v>1771.8017351385442</v>
      </c>
      <c r="E209" s="118">
        <f>'Filtration System'!E173</f>
        <v>1005.2059189729367</v>
      </c>
      <c r="F209" s="118">
        <f>'Filtration System'!F173</f>
        <v>973.90718902437857</v>
      </c>
      <c r="G209" s="118"/>
      <c r="H209" s="118">
        <f>B209/1000*(1000*9.81*Pumps!$B$14+'Parameters and Satisfaction'!$B$27)</f>
        <v>0</v>
      </c>
      <c r="I209" s="118">
        <f>C209/1000*(1000*9.81*Pumps!$B$14+'Parameters and Satisfaction'!$B$27)</f>
        <v>0</v>
      </c>
      <c r="J209" s="118">
        <f>D209/1000*(1000*9.81*Pumps!$B$14+'Parameters and Satisfaction'!$B$27)</f>
        <v>474937.08811358275</v>
      </c>
      <c r="K209" s="118">
        <f>E209/1000*(1000*9.81*Pumps!$B$14+'Parameters and Satisfaction'!$B$27)</f>
        <v>269448.64238673635</v>
      </c>
      <c r="L209" s="118">
        <f>F209/1000*(1000*9.81*Pumps!$B$14+'Parameters and Satisfaction'!$B$27)</f>
        <v>261058.91831737864</v>
      </c>
      <c r="M209" s="118"/>
      <c r="N209" s="118">
        <f>H209/IF('Parameters and Satisfaction'!$C$13="Pump A", 0.7, IF('Parameters and Satisfaction'!$C$13 = "Pump B", 0.72, 0.65))</f>
        <v>0</v>
      </c>
      <c r="O209" s="118">
        <f>I209/IF('Parameters and Satisfaction'!$C$13="Pump A", 0.7, IF('Parameters and Satisfaction'!$C$13 = "Pump B", 0.72, 0.65))</f>
        <v>0</v>
      </c>
      <c r="P209" s="118">
        <f>J209/IF('Parameters and Satisfaction'!$C$13="Pump A", 0.7, IF('Parameters and Satisfaction'!$C$13 = "Pump B", 0.72, 0.65))</f>
        <v>659634.84460219834</v>
      </c>
      <c r="Q209" s="118">
        <f>K209/IF('Parameters and Satisfaction'!$C$13="Pump A", 0.7, IF('Parameters and Satisfaction'!$C$13 = "Pump B", 0.72, 0.65))</f>
        <v>374234.22553713381</v>
      </c>
      <c r="R209" s="118">
        <f>L209/IF('Parameters and Satisfaction'!$C$13="Pump A", 0.7, IF('Parameters and Satisfaction'!$C$13 = "Pump B", 0.72, 0.65))</f>
        <v>362581.83099635923</v>
      </c>
      <c r="S209" s="118"/>
      <c r="T209" s="118">
        <f>N209+$F$47+IF('Parameters and Satisfaction'!$C$19="Ozone", 'Filtration System'!AA173*1000000, 0)</f>
        <v>4687500</v>
      </c>
      <c r="U209" s="118">
        <f>O209+$F$47+IF('Parameters and Satisfaction'!$C$19="Ozone", 'Filtration System'!AB173*1000000, 0)</f>
        <v>4687500</v>
      </c>
      <c r="V209" s="118">
        <f>P209+$F$47+IF('Parameters and Satisfaction'!$C$19="Ozone", 'Filtration System'!AC173*1000000, 0)</f>
        <v>5347134.8446021983</v>
      </c>
      <c r="W209" s="118">
        <f>Q209+$F$47+IF('Parameters and Satisfaction'!$C$19="Ozone", 'Filtration System'!AD173*1000000, 0)</f>
        <v>5061734.2255371334</v>
      </c>
      <c r="X209" s="118">
        <f>R209+$F$47+IF('Parameters and Satisfaction'!$C$19="Ozone", 'Filtration System'!AE173*1000000, 0)</f>
        <v>5050081.8309963588</v>
      </c>
      <c r="Y209" s="118"/>
      <c r="Z209" s="118">
        <f t="shared" si="24"/>
        <v>0.33482142857142855</v>
      </c>
      <c r="AA209" s="118">
        <f t="shared" si="25"/>
        <v>0.33482142857142855</v>
      </c>
      <c r="AB209" s="118">
        <f t="shared" si="26"/>
        <v>0.38193820318587129</v>
      </c>
      <c r="AC209" s="118">
        <f t="shared" si="27"/>
        <v>0.36155244468122383</v>
      </c>
      <c r="AD209" s="118">
        <f t="shared" si="28"/>
        <v>0.36072013078545417</v>
      </c>
      <c r="AE209" s="118"/>
      <c r="AF209" s="118"/>
      <c r="AG209" s="118"/>
      <c r="AK209">
        <f t="shared" si="29"/>
        <v>20563200</v>
      </c>
      <c r="AL209">
        <f t="shared" si="29"/>
        <v>20563200</v>
      </c>
      <c r="AM209">
        <f t="shared" si="29"/>
        <v>20563200</v>
      </c>
      <c r="AN209">
        <f t="shared" si="29"/>
        <v>20563200</v>
      </c>
      <c r="AO209">
        <f t="shared" si="29"/>
        <v>20563200</v>
      </c>
    </row>
    <row r="210" spans="1:41">
      <c r="A210" s="185">
        <f>'Water Stuff'!F144</f>
        <v>44701</v>
      </c>
      <c r="B210" s="118">
        <f>'Filtration System'!B174</f>
        <v>0</v>
      </c>
      <c r="C210" s="118">
        <f>'Filtration System'!C174</f>
        <v>0</v>
      </c>
      <c r="D210" s="118">
        <f>'Filtration System'!D174</f>
        <v>438.19046797469019</v>
      </c>
      <c r="E210" s="118">
        <f>'Filtration System'!E174</f>
        <v>0</v>
      </c>
      <c r="F210" s="118">
        <f>'Filtration System'!F174</f>
        <v>1258.3743523476403</v>
      </c>
      <c r="G210" s="118"/>
      <c r="H210" s="118">
        <f>B210/1000*(1000*9.81*Pumps!$B$14+'Parameters and Satisfaction'!$B$27)</f>
        <v>0</v>
      </c>
      <c r="I210" s="118">
        <f>C210/1000*(1000*9.81*Pumps!$B$14+'Parameters and Satisfaction'!$B$27)</f>
        <v>0</v>
      </c>
      <c r="J210" s="118">
        <f>D210/1000*(1000*9.81*Pumps!$B$14+'Parameters and Satisfaction'!$B$27)</f>
        <v>117458.34805989414</v>
      </c>
      <c r="K210" s="118">
        <f>E210/1000*(1000*9.81*Pumps!$B$14+'Parameters and Satisfaction'!$B$27)</f>
        <v>0</v>
      </c>
      <c r="L210" s="118">
        <f>F210/1000*(1000*9.81*Pumps!$B$14+'Parameters and Satisfaction'!$B$27)</f>
        <v>337311.24583985767</v>
      </c>
      <c r="M210" s="118"/>
      <c r="N210" s="118">
        <f>H210/IF('Parameters and Satisfaction'!$C$13="Pump A", 0.7, IF('Parameters and Satisfaction'!$C$13 = "Pump B", 0.72, 0.65))</f>
        <v>0</v>
      </c>
      <c r="O210" s="118">
        <f>I210/IF('Parameters and Satisfaction'!$C$13="Pump A", 0.7, IF('Parameters and Satisfaction'!$C$13 = "Pump B", 0.72, 0.65))</f>
        <v>0</v>
      </c>
      <c r="P210" s="118">
        <f>J210/IF('Parameters and Satisfaction'!$C$13="Pump A", 0.7, IF('Parameters and Satisfaction'!$C$13 = "Pump B", 0.72, 0.65))</f>
        <v>163136.59452763075</v>
      </c>
      <c r="Q210" s="118">
        <f>K210/IF('Parameters and Satisfaction'!$C$13="Pump A", 0.7, IF('Parameters and Satisfaction'!$C$13 = "Pump B", 0.72, 0.65))</f>
        <v>0</v>
      </c>
      <c r="R210" s="118">
        <f>L210/IF('Parameters and Satisfaction'!$C$13="Pump A", 0.7, IF('Parameters and Satisfaction'!$C$13 = "Pump B", 0.72, 0.65))</f>
        <v>468487.84144424676</v>
      </c>
      <c r="S210" s="118"/>
      <c r="T210" s="118">
        <f>N210+$F$47+IF('Parameters and Satisfaction'!$C$19="Ozone", 'Filtration System'!AA174*1000000, 0)</f>
        <v>4687500</v>
      </c>
      <c r="U210" s="118">
        <f>O210+$F$47+IF('Parameters and Satisfaction'!$C$19="Ozone", 'Filtration System'!AB174*1000000, 0)</f>
        <v>4687500</v>
      </c>
      <c r="V210" s="118">
        <f>P210+$F$47+IF('Parameters and Satisfaction'!$C$19="Ozone", 'Filtration System'!AC174*1000000, 0)</f>
        <v>4850636.5945276311</v>
      </c>
      <c r="W210" s="118">
        <f>Q210+$F$47+IF('Parameters and Satisfaction'!$C$19="Ozone", 'Filtration System'!AD174*1000000, 0)</f>
        <v>4687500</v>
      </c>
      <c r="X210" s="118">
        <f>R210+$F$47+IF('Parameters and Satisfaction'!$C$19="Ozone", 'Filtration System'!AE174*1000000, 0)</f>
        <v>5155987.8414442465</v>
      </c>
      <c r="Y210" s="118"/>
      <c r="Z210" s="118">
        <f t="shared" si="24"/>
        <v>0.33482142857142855</v>
      </c>
      <c r="AA210" s="118">
        <f t="shared" si="25"/>
        <v>0.33482142857142855</v>
      </c>
      <c r="AB210" s="118">
        <f t="shared" si="26"/>
        <v>0.34647404246625935</v>
      </c>
      <c r="AC210" s="118">
        <f t="shared" si="27"/>
        <v>0.33482142857142855</v>
      </c>
      <c r="AD210" s="118">
        <f t="shared" si="28"/>
        <v>0.36828484581744619</v>
      </c>
      <c r="AE210" s="118"/>
      <c r="AF210" s="118"/>
      <c r="AG210" s="118"/>
      <c r="AK210">
        <f t="shared" si="29"/>
        <v>20563200</v>
      </c>
      <c r="AL210">
        <f t="shared" si="29"/>
        <v>20563200</v>
      </c>
      <c r="AM210">
        <f t="shared" si="29"/>
        <v>20563200</v>
      </c>
      <c r="AN210">
        <f t="shared" si="29"/>
        <v>20563200</v>
      </c>
      <c r="AO210">
        <f t="shared" si="29"/>
        <v>20563200</v>
      </c>
    </row>
    <row r="211" spans="1:41">
      <c r="A211" s="185">
        <f>'Water Stuff'!F145</f>
        <v>44702</v>
      </c>
      <c r="B211" s="118">
        <f>'Filtration System'!B175</f>
        <v>1639.9999999999998</v>
      </c>
      <c r="C211" s="118">
        <f>'Filtration System'!C175</f>
        <v>0</v>
      </c>
      <c r="D211" s="118">
        <f>'Filtration System'!D175</f>
        <v>2221.6589762759359</v>
      </c>
      <c r="E211" s="118">
        <f>'Filtration System'!E175</f>
        <v>0</v>
      </c>
      <c r="F211" s="118">
        <f>'Filtration System'!F175</f>
        <v>2311.5429893930841</v>
      </c>
      <c r="G211" s="118"/>
      <c r="H211" s="118">
        <f>B211/1000*(1000*9.81*Pumps!$B$14+'Parameters and Satisfaction'!$B$27)</f>
        <v>439607.21397835773</v>
      </c>
      <c r="I211" s="118">
        <f>C211/1000*(1000*9.81*Pumps!$B$14+'Parameters and Satisfaction'!$B$27)</f>
        <v>0</v>
      </c>
      <c r="J211" s="118">
        <f>D211/1000*(1000*9.81*Pumps!$B$14+'Parameters and Satisfaction'!$B$27)</f>
        <v>595522.75181138702</v>
      </c>
      <c r="K211" s="118">
        <f>E211/1000*(1000*9.81*Pumps!$B$14+'Parameters and Satisfaction'!$B$27)</f>
        <v>0</v>
      </c>
      <c r="L211" s="118">
        <f>F211/1000*(1000*9.81*Pumps!$B$14+'Parameters and Satisfaction'!$B$27)</f>
        <v>619616.44729164545</v>
      </c>
      <c r="M211" s="118"/>
      <c r="N211" s="118">
        <f>H211/IF('Parameters and Satisfaction'!$C$13="Pump A", 0.7, IF('Parameters and Satisfaction'!$C$13 = "Pump B", 0.72, 0.65))</f>
        <v>610565.57496994128</v>
      </c>
      <c r="O211" s="118">
        <f>I211/IF('Parameters and Satisfaction'!$C$13="Pump A", 0.7, IF('Parameters and Satisfaction'!$C$13 = "Pump B", 0.72, 0.65))</f>
        <v>0</v>
      </c>
      <c r="P211" s="118">
        <f>J211/IF('Parameters and Satisfaction'!$C$13="Pump A", 0.7, IF('Parameters and Satisfaction'!$C$13 = "Pump B", 0.72, 0.65))</f>
        <v>827114.93307137094</v>
      </c>
      <c r="Q211" s="118">
        <f>K211/IF('Parameters and Satisfaction'!$C$13="Pump A", 0.7, IF('Parameters and Satisfaction'!$C$13 = "Pump B", 0.72, 0.65))</f>
        <v>0</v>
      </c>
      <c r="R211" s="118">
        <f>L211/IF('Parameters and Satisfaction'!$C$13="Pump A", 0.7, IF('Parameters and Satisfaction'!$C$13 = "Pump B", 0.72, 0.65))</f>
        <v>860578.39901617425</v>
      </c>
      <c r="S211" s="118"/>
      <c r="T211" s="118">
        <f>N211+$F$47+IF('Parameters and Satisfaction'!$C$19="Ozone", 'Filtration System'!AA175*1000000, 0)</f>
        <v>5298065.5749699418</v>
      </c>
      <c r="U211" s="118">
        <f>O211+$F$47+IF('Parameters and Satisfaction'!$C$19="Ozone", 'Filtration System'!AB175*1000000, 0)</f>
        <v>4687500</v>
      </c>
      <c r="V211" s="118">
        <f>P211+$F$47+IF('Parameters and Satisfaction'!$C$19="Ozone", 'Filtration System'!AC175*1000000, 0)</f>
        <v>5514614.9330713712</v>
      </c>
      <c r="W211" s="118">
        <f>Q211+$F$47+IF('Parameters and Satisfaction'!$C$19="Ozone", 'Filtration System'!AD175*1000000, 0)</f>
        <v>4687500</v>
      </c>
      <c r="X211" s="118">
        <f>R211+$F$47+IF('Parameters and Satisfaction'!$C$19="Ozone", 'Filtration System'!AE175*1000000, 0)</f>
        <v>5548078.3990161745</v>
      </c>
      <c r="Y211" s="118"/>
      <c r="Z211" s="118">
        <f t="shared" si="24"/>
        <v>0.37843325535499583</v>
      </c>
      <c r="AA211" s="118">
        <f t="shared" si="25"/>
        <v>0.33482142857142855</v>
      </c>
      <c r="AB211" s="118">
        <f t="shared" si="26"/>
        <v>0.3939010666479551</v>
      </c>
      <c r="AC211" s="118">
        <f t="shared" si="27"/>
        <v>0.33482142857142855</v>
      </c>
      <c r="AD211" s="118">
        <f t="shared" si="28"/>
        <v>0.39629131421544106</v>
      </c>
      <c r="AE211" s="118"/>
      <c r="AF211" s="118"/>
      <c r="AG211" s="118"/>
      <c r="AK211">
        <f t="shared" ref="AK211:AO221" si="30">$D$59</f>
        <v>20563200</v>
      </c>
      <c r="AL211">
        <f t="shared" si="30"/>
        <v>20563200</v>
      </c>
      <c r="AM211">
        <f t="shared" si="30"/>
        <v>20563200</v>
      </c>
      <c r="AN211">
        <f t="shared" si="30"/>
        <v>20563200</v>
      </c>
      <c r="AO211">
        <f t="shared" si="30"/>
        <v>20563200</v>
      </c>
    </row>
    <row r="212" spans="1:41">
      <c r="A212" s="185">
        <f>'Water Stuff'!F146</f>
        <v>44703</v>
      </c>
      <c r="B212" s="118">
        <f>'Filtration System'!B176</f>
        <v>5920</v>
      </c>
      <c r="C212" s="118">
        <f>'Filtration System'!C176</f>
        <v>40</v>
      </c>
      <c r="D212" s="118">
        <f>'Filtration System'!D176</f>
        <v>5879.4732873726343</v>
      </c>
      <c r="E212" s="118">
        <f>'Filtration System'!E176</f>
        <v>0</v>
      </c>
      <c r="F212" s="118">
        <f>'Filtration System'!F176</f>
        <v>6646.8951780022917</v>
      </c>
      <c r="G212" s="118"/>
      <c r="H212" s="118">
        <f>B212/1000*(1000*9.81*Pumps!$B$14+'Parameters and Satisfaction'!$B$27)</f>
        <v>1586874.8211901698</v>
      </c>
      <c r="I212" s="118">
        <f>C212/1000*(1000*9.81*Pumps!$B$14+'Parameters and Satisfaction'!$B$27)</f>
        <v>10722.12717020385</v>
      </c>
      <c r="J212" s="118">
        <f>D212/1000*(1000*9.81*Pumps!$B$14+'Parameters and Satisfaction'!$B$27)</f>
        <v>1576011.5070256467</v>
      </c>
      <c r="K212" s="118">
        <f>E212/1000*(1000*9.81*Pumps!$B$14+'Parameters and Satisfaction'!$B$27)</f>
        <v>0</v>
      </c>
      <c r="L212" s="118">
        <f>F212/1000*(1000*9.81*Pumps!$B$14+'Parameters and Satisfaction'!$B$27)</f>
        <v>1781721.3846388832</v>
      </c>
      <c r="M212" s="118"/>
      <c r="N212" s="118">
        <f>H212/IF('Parameters and Satisfaction'!$C$13="Pump A", 0.7, IF('Parameters and Satisfaction'!$C$13 = "Pump B", 0.72, 0.65))</f>
        <v>2203992.8072085693</v>
      </c>
      <c r="O212" s="118">
        <f>I212/IF('Parameters and Satisfaction'!$C$13="Pump A", 0.7, IF('Parameters and Satisfaction'!$C$13 = "Pump B", 0.72, 0.65))</f>
        <v>14891.843291949792</v>
      </c>
      <c r="P212" s="118">
        <f>J212/IF('Parameters and Satisfaction'!$C$13="Pump A", 0.7, IF('Parameters and Satisfaction'!$C$13 = "Pump B", 0.72, 0.65))</f>
        <v>2188904.8708689539</v>
      </c>
      <c r="Q212" s="118">
        <f>K212/IF('Parameters and Satisfaction'!$C$13="Pump A", 0.7, IF('Parameters and Satisfaction'!$C$13 = "Pump B", 0.72, 0.65))</f>
        <v>0</v>
      </c>
      <c r="R212" s="118">
        <f>L212/IF('Parameters and Satisfaction'!$C$13="Pump A", 0.7, IF('Parameters and Satisfaction'!$C$13 = "Pump B", 0.72, 0.65))</f>
        <v>2474613.0342206713</v>
      </c>
      <c r="S212" s="118"/>
      <c r="T212" s="118">
        <f>N212+$F$47+IF('Parameters and Satisfaction'!$C$19="Ozone", 'Filtration System'!AA176*1000000, 0)</f>
        <v>6891492.8072085697</v>
      </c>
      <c r="U212" s="118">
        <f>O212+$F$47+IF('Parameters and Satisfaction'!$C$19="Ozone", 'Filtration System'!AB176*1000000, 0)</f>
        <v>4702391.8432919495</v>
      </c>
      <c r="V212" s="118">
        <f>P212+$F$47+IF('Parameters and Satisfaction'!$C$19="Ozone", 'Filtration System'!AC176*1000000, 0)</f>
        <v>6876404.8708689539</v>
      </c>
      <c r="W212" s="118">
        <f>Q212+$F$47+IF('Parameters and Satisfaction'!$C$19="Ozone", 'Filtration System'!AD176*1000000, 0)</f>
        <v>4687500</v>
      </c>
      <c r="X212" s="118">
        <f>R212+$F$47+IF('Parameters and Satisfaction'!$C$19="Ozone", 'Filtration System'!AE176*1000000, 0)</f>
        <v>7162113.0342206713</v>
      </c>
      <c r="Y212" s="118"/>
      <c r="Z212" s="118">
        <f t="shared" si="24"/>
        <v>0.49224948622918357</v>
      </c>
      <c r="AA212" s="118">
        <f t="shared" si="25"/>
        <v>0.3358851316637107</v>
      </c>
      <c r="AB212" s="118">
        <f t="shared" si="26"/>
        <v>0.49117177649063959</v>
      </c>
      <c r="AC212" s="118">
        <f t="shared" si="27"/>
        <v>0.33482142857142855</v>
      </c>
      <c r="AD212" s="118">
        <f t="shared" si="28"/>
        <v>0.5115795024443337</v>
      </c>
      <c r="AE212" s="118"/>
      <c r="AF212" s="118"/>
      <c r="AG212" s="118"/>
      <c r="AK212">
        <f t="shared" si="30"/>
        <v>20563200</v>
      </c>
      <c r="AL212">
        <f t="shared" si="30"/>
        <v>20563200</v>
      </c>
      <c r="AM212">
        <f t="shared" si="30"/>
        <v>20563200</v>
      </c>
      <c r="AN212">
        <f t="shared" si="30"/>
        <v>20563200</v>
      </c>
      <c r="AO212">
        <f t="shared" si="30"/>
        <v>20563200</v>
      </c>
    </row>
    <row r="213" spans="1:41">
      <c r="A213" s="185">
        <f>'Water Stuff'!F147</f>
        <v>44704</v>
      </c>
      <c r="B213" s="118">
        <f>'Filtration System'!B177</f>
        <v>160</v>
      </c>
      <c r="C213" s="118">
        <f>'Filtration System'!C177</f>
        <v>40</v>
      </c>
      <c r="D213" s="118">
        <f>'Filtration System'!D177</f>
        <v>1152.7130861391797</v>
      </c>
      <c r="E213" s="118">
        <f>'Filtration System'!E177</f>
        <v>332.11925343357638</v>
      </c>
      <c r="F213" s="118">
        <f>'Filtration System'!F177</f>
        <v>0</v>
      </c>
      <c r="G213" s="118"/>
      <c r="H213" s="118">
        <f>B213/1000*(1000*9.81*Pumps!$B$14+'Parameters and Satisfaction'!$B$27)</f>
        <v>42888.508680815401</v>
      </c>
      <c r="I213" s="118">
        <f>C213/1000*(1000*9.81*Pumps!$B$14+'Parameters and Satisfaction'!$B$27)</f>
        <v>10722.12717020385</v>
      </c>
      <c r="J213" s="118">
        <f>D213/1000*(1000*9.81*Pumps!$B$14+'Parameters and Satisfaction'!$B$27)</f>
        <v>308988.40750856075</v>
      </c>
      <c r="K213" s="118">
        <f>E213/1000*(1000*9.81*Pumps!$B$14+'Parameters and Satisfaction'!$B$27)</f>
        <v>89025.62177469919</v>
      </c>
      <c r="L213" s="118">
        <f>F213/1000*(1000*9.81*Pumps!$B$14+'Parameters and Satisfaction'!$B$27)</f>
        <v>0</v>
      </c>
      <c r="M213" s="118"/>
      <c r="N213" s="118">
        <f>H213/IF('Parameters and Satisfaction'!$C$13="Pump A", 0.7, IF('Parameters and Satisfaction'!$C$13 = "Pump B", 0.72, 0.65))</f>
        <v>59567.373167799167</v>
      </c>
      <c r="O213" s="118">
        <f>I213/IF('Parameters and Satisfaction'!$C$13="Pump A", 0.7, IF('Parameters and Satisfaction'!$C$13 = "Pump B", 0.72, 0.65))</f>
        <v>14891.843291949792</v>
      </c>
      <c r="P213" s="118">
        <f>J213/IF('Parameters and Satisfaction'!$C$13="Pump A", 0.7, IF('Parameters and Satisfaction'!$C$13 = "Pump B", 0.72, 0.65))</f>
        <v>429150.56598411215</v>
      </c>
      <c r="Q213" s="118">
        <f>K213/IF('Parameters and Satisfaction'!$C$13="Pump A", 0.7, IF('Parameters and Satisfaction'!$C$13 = "Pump B", 0.72, 0.65))</f>
        <v>123646.69690930443</v>
      </c>
      <c r="R213" s="118">
        <f>L213/IF('Parameters and Satisfaction'!$C$13="Pump A", 0.7, IF('Parameters and Satisfaction'!$C$13 = "Pump B", 0.72, 0.65))</f>
        <v>0</v>
      </c>
      <c r="S213" s="118"/>
      <c r="T213" s="118">
        <f>N213+$F$47+IF('Parameters and Satisfaction'!$C$19="Ozone", 'Filtration System'!AA177*1000000, 0)</f>
        <v>4747067.3731677989</v>
      </c>
      <c r="U213" s="118">
        <f>O213+$F$47+IF('Parameters and Satisfaction'!$C$19="Ozone", 'Filtration System'!AB177*1000000, 0)</f>
        <v>4702391.8432919495</v>
      </c>
      <c r="V213" s="118">
        <f>P213+$F$47+IF('Parameters and Satisfaction'!$C$19="Ozone", 'Filtration System'!AC177*1000000, 0)</f>
        <v>5116650.5659841122</v>
      </c>
      <c r="W213" s="118">
        <f>Q213+$F$47+IF('Parameters and Satisfaction'!$C$19="Ozone", 'Filtration System'!AD177*1000000, 0)</f>
        <v>4811146.6969093047</v>
      </c>
      <c r="X213" s="118">
        <f>R213+$F$47+IF('Parameters and Satisfaction'!$C$19="Ozone", 'Filtration System'!AE177*1000000, 0)</f>
        <v>4687500</v>
      </c>
      <c r="Y213" s="118"/>
      <c r="Z213" s="118">
        <f t="shared" si="24"/>
        <v>0.33907624094055705</v>
      </c>
      <c r="AA213" s="118">
        <f t="shared" si="25"/>
        <v>0.3358851316637107</v>
      </c>
      <c r="AB213" s="118">
        <f t="shared" si="26"/>
        <v>0.36547504042743656</v>
      </c>
      <c r="AC213" s="118">
        <f t="shared" si="27"/>
        <v>0.34365333549352178</v>
      </c>
      <c r="AD213" s="118">
        <f t="shared" si="28"/>
        <v>0.33482142857142855</v>
      </c>
      <c r="AE213" s="118"/>
      <c r="AF213" s="118"/>
      <c r="AG213" s="118"/>
      <c r="AK213">
        <f t="shared" si="30"/>
        <v>20563200</v>
      </c>
      <c r="AL213">
        <f t="shared" si="30"/>
        <v>20563200</v>
      </c>
      <c r="AM213">
        <f t="shared" si="30"/>
        <v>20563200</v>
      </c>
      <c r="AN213">
        <f t="shared" si="30"/>
        <v>20563200</v>
      </c>
      <c r="AO213">
        <f t="shared" si="30"/>
        <v>20563200</v>
      </c>
    </row>
    <row r="214" spans="1:41">
      <c r="A214" s="185">
        <f>'Water Stuff'!F148</f>
        <v>44705</v>
      </c>
      <c r="B214" s="118">
        <f>'Filtration System'!B178</f>
        <v>1040</v>
      </c>
      <c r="C214" s="118">
        <f>'Filtration System'!C178</f>
        <v>0</v>
      </c>
      <c r="D214" s="118">
        <f>'Filtration System'!D178</f>
        <v>0</v>
      </c>
      <c r="E214" s="118">
        <f>'Filtration System'!E178</f>
        <v>0</v>
      </c>
      <c r="F214" s="118">
        <f>'Filtration System'!F178</f>
        <v>0</v>
      </c>
      <c r="G214" s="118"/>
      <c r="H214" s="118">
        <f>B214/1000*(1000*9.81*Pumps!$B$14+'Parameters and Satisfaction'!$B$27)</f>
        <v>278775.30642530008</v>
      </c>
      <c r="I214" s="118">
        <f>C214/1000*(1000*9.81*Pumps!$B$14+'Parameters and Satisfaction'!$B$27)</f>
        <v>0</v>
      </c>
      <c r="J214" s="118">
        <f>D214/1000*(1000*9.81*Pumps!$B$14+'Parameters and Satisfaction'!$B$27)</f>
        <v>0</v>
      </c>
      <c r="K214" s="118">
        <f>E214/1000*(1000*9.81*Pumps!$B$14+'Parameters and Satisfaction'!$B$27)</f>
        <v>0</v>
      </c>
      <c r="L214" s="118">
        <f>F214/1000*(1000*9.81*Pumps!$B$14+'Parameters and Satisfaction'!$B$27)</f>
        <v>0</v>
      </c>
      <c r="M214" s="118"/>
      <c r="N214" s="118">
        <f>H214/IF('Parameters and Satisfaction'!$C$13="Pump A", 0.7, IF('Parameters and Satisfaction'!$C$13 = "Pump B", 0.72, 0.65))</f>
        <v>387187.92559069459</v>
      </c>
      <c r="O214" s="118">
        <f>I214/IF('Parameters and Satisfaction'!$C$13="Pump A", 0.7, IF('Parameters and Satisfaction'!$C$13 = "Pump B", 0.72, 0.65))</f>
        <v>0</v>
      </c>
      <c r="P214" s="118">
        <f>J214/IF('Parameters and Satisfaction'!$C$13="Pump A", 0.7, IF('Parameters and Satisfaction'!$C$13 = "Pump B", 0.72, 0.65))</f>
        <v>0</v>
      </c>
      <c r="Q214" s="118">
        <f>K214/IF('Parameters and Satisfaction'!$C$13="Pump A", 0.7, IF('Parameters and Satisfaction'!$C$13 = "Pump B", 0.72, 0.65))</f>
        <v>0</v>
      </c>
      <c r="R214" s="118">
        <f>L214/IF('Parameters and Satisfaction'!$C$13="Pump A", 0.7, IF('Parameters and Satisfaction'!$C$13 = "Pump B", 0.72, 0.65))</f>
        <v>0</v>
      </c>
      <c r="S214" s="118"/>
      <c r="T214" s="118">
        <f>N214+$F$47+IF('Parameters and Satisfaction'!$C$19="Ozone", 'Filtration System'!AA178*1000000, 0)</f>
        <v>5074687.9255906949</v>
      </c>
      <c r="U214" s="118">
        <f>O214+$F$47+IF('Parameters and Satisfaction'!$C$19="Ozone", 'Filtration System'!AB178*1000000, 0)</f>
        <v>4687500</v>
      </c>
      <c r="V214" s="118">
        <f>P214+$F$47+IF('Parameters and Satisfaction'!$C$19="Ozone", 'Filtration System'!AC178*1000000, 0)</f>
        <v>4687500</v>
      </c>
      <c r="W214" s="118">
        <f>Q214+$F$47+IF('Parameters and Satisfaction'!$C$19="Ozone", 'Filtration System'!AD178*1000000, 0)</f>
        <v>4687500</v>
      </c>
      <c r="X214" s="118">
        <f>R214+$F$47+IF('Parameters and Satisfaction'!$C$19="Ozone", 'Filtration System'!AE178*1000000, 0)</f>
        <v>4687500</v>
      </c>
      <c r="Y214" s="118"/>
      <c r="Z214" s="118">
        <f t="shared" si="24"/>
        <v>0.36247770897076392</v>
      </c>
      <c r="AA214" s="118">
        <f t="shared" si="25"/>
        <v>0.33482142857142855</v>
      </c>
      <c r="AB214" s="118">
        <f t="shared" si="26"/>
        <v>0.33482142857142855</v>
      </c>
      <c r="AC214" s="118">
        <f t="shared" si="27"/>
        <v>0.33482142857142855</v>
      </c>
      <c r="AD214" s="118">
        <f t="shared" si="28"/>
        <v>0.33482142857142855</v>
      </c>
      <c r="AE214" s="118"/>
      <c r="AF214" s="118"/>
      <c r="AG214" s="118"/>
      <c r="AK214">
        <f t="shared" si="30"/>
        <v>20563200</v>
      </c>
      <c r="AL214">
        <f t="shared" si="30"/>
        <v>20563200</v>
      </c>
      <c r="AM214">
        <f t="shared" si="30"/>
        <v>20563200</v>
      </c>
      <c r="AN214">
        <f t="shared" si="30"/>
        <v>20563200</v>
      </c>
      <c r="AO214">
        <f t="shared" si="30"/>
        <v>20563200</v>
      </c>
    </row>
    <row r="215" spans="1:41">
      <c r="A215" s="185">
        <f>'Water Stuff'!F149</f>
        <v>44706</v>
      </c>
      <c r="B215" s="118">
        <f>'Filtration System'!B179</f>
        <v>4680</v>
      </c>
      <c r="C215" s="118">
        <f>'Filtration System'!C179</f>
        <v>0</v>
      </c>
      <c r="D215" s="118">
        <f>'Filtration System'!D179</f>
        <v>3111.9440766379221</v>
      </c>
      <c r="E215" s="118">
        <f>'Filtration System'!E179</f>
        <v>0</v>
      </c>
      <c r="F215" s="118">
        <f>'Filtration System'!F179</f>
        <v>2104.3466103388419</v>
      </c>
      <c r="G215" s="118"/>
      <c r="H215" s="118">
        <f>B215/1000*(1000*9.81*Pumps!$B$14+'Parameters and Satisfaction'!$B$27)</f>
        <v>1254488.8789138503</v>
      </c>
      <c r="I215" s="118">
        <f>C215/1000*(1000*9.81*Pumps!$B$14+'Parameters and Satisfaction'!$B$27)</f>
        <v>0</v>
      </c>
      <c r="J215" s="118">
        <f>D215/1000*(1000*9.81*Pumps!$B$14+'Parameters and Satisfaction'!$B$27)</f>
        <v>834166.50340685993</v>
      </c>
      <c r="K215" s="118">
        <f>E215/1000*(1000*9.81*Pumps!$B$14+'Parameters and Satisfaction'!$B$27)</f>
        <v>0</v>
      </c>
      <c r="L215" s="118">
        <f>F215/1000*(1000*9.81*Pumps!$B$14+'Parameters and Satisfaction'!$B$27)</f>
        <v>564076.79915601166</v>
      </c>
      <c r="M215" s="118"/>
      <c r="N215" s="118">
        <f>H215/IF('Parameters and Satisfaction'!$C$13="Pump A", 0.7, IF('Parameters and Satisfaction'!$C$13 = "Pump B", 0.72, 0.65))</f>
        <v>1742345.6651581256</v>
      </c>
      <c r="O215" s="118">
        <f>I215/IF('Parameters and Satisfaction'!$C$13="Pump A", 0.7, IF('Parameters and Satisfaction'!$C$13 = "Pump B", 0.72, 0.65))</f>
        <v>0</v>
      </c>
      <c r="P215" s="118">
        <f>J215/IF('Parameters and Satisfaction'!$C$13="Pump A", 0.7, IF('Parameters and Satisfaction'!$C$13 = "Pump B", 0.72, 0.65))</f>
        <v>1158564.5880650834</v>
      </c>
      <c r="Q215" s="118">
        <f>K215/IF('Parameters and Satisfaction'!$C$13="Pump A", 0.7, IF('Parameters and Satisfaction'!$C$13 = "Pump B", 0.72, 0.65))</f>
        <v>0</v>
      </c>
      <c r="R215" s="118">
        <f>L215/IF('Parameters and Satisfaction'!$C$13="Pump A", 0.7, IF('Parameters and Satisfaction'!$C$13 = "Pump B", 0.72, 0.65))</f>
        <v>783439.99882779398</v>
      </c>
      <c r="S215" s="118"/>
      <c r="T215" s="118">
        <f>N215+$F$47+IF('Parameters and Satisfaction'!$C$19="Ozone", 'Filtration System'!AA179*1000000, 0)</f>
        <v>6429845.6651581256</v>
      </c>
      <c r="U215" s="118">
        <f>O215+$F$47+IF('Parameters and Satisfaction'!$C$19="Ozone", 'Filtration System'!AB179*1000000, 0)</f>
        <v>4687500</v>
      </c>
      <c r="V215" s="118">
        <f>P215+$F$47+IF('Parameters and Satisfaction'!$C$19="Ozone", 'Filtration System'!AC179*1000000, 0)</f>
        <v>5846064.5880650831</v>
      </c>
      <c r="W215" s="118">
        <f>Q215+$F$47+IF('Parameters and Satisfaction'!$C$19="Ozone", 'Filtration System'!AD179*1000000, 0)</f>
        <v>4687500</v>
      </c>
      <c r="X215" s="118">
        <f>R215+$F$47+IF('Parameters and Satisfaction'!$C$19="Ozone", 'Filtration System'!AE179*1000000, 0)</f>
        <v>5470939.9988277936</v>
      </c>
      <c r="Y215" s="118"/>
      <c r="Z215" s="118">
        <f t="shared" si="24"/>
        <v>0.45927469036843754</v>
      </c>
      <c r="AA215" s="118">
        <f t="shared" si="25"/>
        <v>0.33482142857142855</v>
      </c>
      <c r="AB215" s="118">
        <f t="shared" si="26"/>
        <v>0.41757604200464882</v>
      </c>
      <c r="AC215" s="118">
        <f t="shared" si="27"/>
        <v>0.33482142857142855</v>
      </c>
      <c r="AD215" s="118">
        <f t="shared" si="28"/>
        <v>0.39078142848769953</v>
      </c>
      <c r="AE215" s="118"/>
      <c r="AF215" s="118"/>
      <c r="AG215" s="118"/>
      <c r="AK215">
        <f t="shared" si="30"/>
        <v>20563200</v>
      </c>
      <c r="AL215">
        <f t="shared" si="30"/>
        <v>20563200</v>
      </c>
      <c r="AM215">
        <f t="shared" si="30"/>
        <v>20563200</v>
      </c>
      <c r="AN215">
        <f t="shared" si="30"/>
        <v>20563200</v>
      </c>
      <c r="AO215">
        <f t="shared" si="30"/>
        <v>20563200</v>
      </c>
    </row>
    <row r="216" spans="1:41">
      <c r="A216" s="185">
        <f>'Water Stuff'!F150</f>
        <v>44707</v>
      </c>
      <c r="B216" s="118">
        <f>'Filtration System'!B180</f>
        <v>0</v>
      </c>
      <c r="C216" s="118">
        <f>'Filtration System'!C180</f>
        <v>0</v>
      </c>
      <c r="D216" s="118">
        <f>'Filtration System'!D180</f>
        <v>0</v>
      </c>
      <c r="E216" s="118">
        <f>'Filtration System'!E180</f>
        <v>0</v>
      </c>
      <c r="F216" s="118">
        <f>'Filtration System'!F180</f>
        <v>565.05746179591699</v>
      </c>
      <c r="G216" s="118"/>
      <c r="H216" s="118">
        <f>B216/1000*(1000*9.81*Pumps!$B$14+'Parameters and Satisfaction'!$B$27)</f>
        <v>0</v>
      </c>
      <c r="I216" s="118">
        <f>C216/1000*(1000*9.81*Pumps!$B$14+'Parameters and Satisfaction'!$B$27)</f>
        <v>0</v>
      </c>
      <c r="J216" s="118">
        <f>D216/1000*(1000*9.81*Pumps!$B$14+'Parameters and Satisfaction'!$B$27)</f>
        <v>0</v>
      </c>
      <c r="K216" s="118">
        <f>E216/1000*(1000*9.81*Pumps!$B$14+'Parameters and Satisfaction'!$B$27)</f>
        <v>0</v>
      </c>
      <c r="L216" s="118">
        <f>F216/1000*(1000*9.81*Pumps!$B$14+'Parameters and Satisfaction'!$B$27)</f>
        <v>151465.44909621062</v>
      </c>
      <c r="M216" s="118"/>
      <c r="N216" s="118">
        <f>H216/IF('Parameters and Satisfaction'!$C$13="Pump A", 0.7, IF('Parameters and Satisfaction'!$C$13 = "Pump B", 0.72, 0.65))</f>
        <v>0</v>
      </c>
      <c r="O216" s="118">
        <f>I216/IF('Parameters and Satisfaction'!$C$13="Pump A", 0.7, IF('Parameters and Satisfaction'!$C$13 = "Pump B", 0.72, 0.65))</f>
        <v>0</v>
      </c>
      <c r="P216" s="118">
        <f>J216/IF('Parameters and Satisfaction'!$C$13="Pump A", 0.7, IF('Parameters and Satisfaction'!$C$13 = "Pump B", 0.72, 0.65))</f>
        <v>0</v>
      </c>
      <c r="Q216" s="118">
        <f>K216/IF('Parameters and Satisfaction'!$C$13="Pump A", 0.7, IF('Parameters and Satisfaction'!$C$13 = "Pump B", 0.72, 0.65))</f>
        <v>0</v>
      </c>
      <c r="R216" s="118">
        <f>L216/IF('Parameters and Satisfaction'!$C$13="Pump A", 0.7, IF('Parameters and Satisfaction'!$C$13 = "Pump B", 0.72, 0.65))</f>
        <v>210368.67930029254</v>
      </c>
      <c r="S216" s="118"/>
      <c r="T216" s="118">
        <f>N216+$F$47+IF('Parameters and Satisfaction'!$C$19="Ozone", 'Filtration System'!AA180*1000000, 0)</f>
        <v>4687500</v>
      </c>
      <c r="U216" s="118">
        <f>O216+$F$47+IF('Parameters and Satisfaction'!$C$19="Ozone", 'Filtration System'!AB180*1000000, 0)</f>
        <v>4687500</v>
      </c>
      <c r="V216" s="118">
        <f>P216+$F$47+IF('Parameters and Satisfaction'!$C$19="Ozone", 'Filtration System'!AC180*1000000, 0)</f>
        <v>4687500</v>
      </c>
      <c r="W216" s="118">
        <f>Q216+$F$47+IF('Parameters and Satisfaction'!$C$19="Ozone", 'Filtration System'!AD180*1000000, 0)</f>
        <v>4687500</v>
      </c>
      <c r="X216" s="118">
        <f>R216+$F$47+IF('Parameters and Satisfaction'!$C$19="Ozone", 'Filtration System'!AE180*1000000, 0)</f>
        <v>4897868.6793002924</v>
      </c>
      <c r="Y216" s="118"/>
      <c r="Z216" s="118">
        <f t="shared" si="24"/>
        <v>0.33482142857142855</v>
      </c>
      <c r="AA216" s="118">
        <f t="shared" si="25"/>
        <v>0.33482142857142855</v>
      </c>
      <c r="AB216" s="118">
        <f t="shared" si="26"/>
        <v>0.33482142857142855</v>
      </c>
      <c r="AC216" s="118">
        <f t="shared" si="27"/>
        <v>0.33482142857142855</v>
      </c>
      <c r="AD216" s="118">
        <f t="shared" si="28"/>
        <v>0.34984776280716373</v>
      </c>
      <c r="AE216" s="118"/>
      <c r="AF216" s="118"/>
      <c r="AG216" s="118"/>
      <c r="AK216">
        <f t="shared" si="30"/>
        <v>20563200</v>
      </c>
      <c r="AL216">
        <f t="shared" si="30"/>
        <v>20563200</v>
      </c>
      <c r="AM216">
        <f t="shared" si="30"/>
        <v>20563200</v>
      </c>
      <c r="AN216">
        <f t="shared" si="30"/>
        <v>20563200</v>
      </c>
      <c r="AO216">
        <f t="shared" si="30"/>
        <v>20563200</v>
      </c>
    </row>
    <row r="217" spans="1:41">
      <c r="A217" s="185">
        <f>'Water Stuff'!F151</f>
        <v>44708</v>
      </c>
      <c r="B217" s="118">
        <f>'Filtration System'!B181</f>
        <v>880.00000000000011</v>
      </c>
      <c r="C217" s="118">
        <f>'Filtration System'!C181</f>
        <v>0</v>
      </c>
      <c r="D217" s="118">
        <f>'Filtration System'!D181</f>
        <v>2198.4858713160961</v>
      </c>
      <c r="E217" s="118">
        <f>'Filtration System'!E181</f>
        <v>601.7622540894024</v>
      </c>
      <c r="F217" s="118">
        <f>'Filtration System'!F181</f>
        <v>869.50202028699732</v>
      </c>
      <c r="G217" s="118"/>
      <c r="H217" s="118">
        <f>B217/1000*(1000*9.81*Pumps!$B$14+'Parameters and Satisfaction'!$B$27)</f>
        <v>235886.79774448473</v>
      </c>
      <c r="I217" s="118">
        <f>C217/1000*(1000*9.81*Pumps!$B$14+'Parameters and Satisfaction'!$B$27)</f>
        <v>0</v>
      </c>
      <c r="J217" s="118">
        <f>D217/1000*(1000*9.81*Pumps!$B$14+'Parameters and Satisfaction'!$B$27)</f>
        <v>589311.12735368987</v>
      </c>
      <c r="K217" s="118">
        <f>E217/1000*(1000*9.81*Pumps!$B$14+'Parameters and Satisfaction'!$B$27)</f>
        <v>161304.28536437737</v>
      </c>
      <c r="L217" s="118">
        <f>F217/1000*(1000*9.81*Pumps!$B$14+'Parameters and Satisfaction'!$B$27)</f>
        <v>233072.78090665882</v>
      </c>
      <c r="M217" s="118"/>
      <c r="N217" s="118">
        <f>H217/IF('Parameters and Satisfaction'!$C$13="Pump A", 0.7, IF('Parameters and Satisfaction'!$C$13 = "Pump B", 0.72, 0.65))</f>
        <v>327620.5524228955</v>
      </c>
      <c r="O217" s="118">
        <f>I217/IF('Parameters and Satisfaction'!$C$13="Pump A", 0.7, IF('Parameters and Satisfaction'!$C$13 = "Pump B", 0.72, 0.65))</f>
        <v>0</v>
      </c>
      <c r="P217" s="118">
        <f>J217/IF('Parameters and Satisfaction'!$C$13="Pump A", 0.7, IF('Parameters and Satisfaction'!$C$13 = "Pump B", 0.72, 0.65))</f>
        <v>818487.67688012484</v>
      </c>
      <c r="Q217" s="118">
        <f>K217/IF('Parameters and Satisfaction'!$C$13="Pump A", 0.7, IF('Parameters and Satisfaction'!$C$13 = "Pump B", 0.72, 0.65))</f>
        <v>224033.72967274635</v>
      </c>
      <c r="R217" s="118">
        <f>L217/IF('Parameters and Satisfaction'!$C$13="Pump A", 0.7, IF('Parameters and Satisfaction'!$C$13 = "Pump B", 0.72, 0.65))</f>
        <v>323712.19570369285</v>
      </c>
      <c r="S217" s="118"/>
      <c r="T217" s="118">
        <f>N217+$F$47+IF('Parameters and Satisfaction'!$C$19="Ozone", 'Filtration System'!AA181*1000000, 0)</f>
        <v>5015120.5524228951</v>
      </c>
      <c r="U217" s="118">
        <f>O217+$F$47+IF('Parameters and Satisfaction'!$C$19="Ozone", 'Filtration System'!AB181*1000000, 0)</f>
        <v>4687500</v>
      </c>
      <c r="V217" s="118">
        <f>P217+$F$47+IF('Parameters and Satisfaction'!$C$19="Ozone", 'Filtration System'!AC181*1000000, 0)</f>
        <v>5505987.676880125</v>
      </c>
      <c r="W217" s="118">
        <f>Q217+$F$47+IF('Parameters and Satisfaction'!$C$19="Ozone", 'Filtration System'!AD181*1000000, 0)</f>
        <v>4911533.7296727467</v>
      </c>
      <c r="X217" s="118">
        <f>R217+$F$47+IF('Parameters and Satisfaction'!$C$19="Ozone", 'Filtration System'!AE181*1000000, 0)</f>
        <v>5011212.1957036927</v>
      </c>
      <c r="Y217" s="118"/>
      <c r="Z217" s="118">
        <f t="shared" si="24"/>
        <v>0.35822289660163537</v>
      </c>
      <c r="AA217" s="118">
        <f t="shared" si="25"/>
        <v>0.33482142857142855</v>
      </c>
      <c r="AB217" s="118">
        <f t="shared" si="26"/>
        <v>0.39328483406286607</v>
      </c>
      <c r="AC217" s="118">
        <f t="shared" si="27"/>
        <v>0.35082383783376764</v>
      </c>
      <c r="AD217" s="118">
        <f t="shared" si="28"/>
        <v>0.35794372826454945</v>
      </c>
      <c r="AE217" s="118"/>
      <c r="AF217" s="118"/>
      <c r="AG217" s="118"/>
      <c r="AK217">
        <f t="shared" si="30"/>
        <v>20563200</v>
      </c>
      <c r="AL217">
        <f t="shared" si="30"/>
        <v>20563200</v>
      </c>
      <c r="AM217">
        <f t="shared" si="30"/>
        <v>20563200</v>
      </c>
      <c r="AN217">
        <f t="shared" si="30"/>
        <v>20563200</v>
      </c>
      <c r="AO217">
        <f t="shared" si="30"/>
        <v>20563200</v>
      </c>
    </row>
    <row r="218" spans="1:41">
      <c r="A218" s="185">
        <f>'Water Stuff'!F152</f>
        <v>44709</v>
      </c>
      <c r="B218" s="118">
        <f>'Filtration System'!B182</f>
        <v>0</v>
      </c>
      <c r="C218" s="118">
        <f>'Filtration System'!C182</f>
        <v>0</v>
      </c>
      <c r="D218" s="118">
        <f>'Filtration System'!D182</f>
        <v>0</v>
      </c>
      <c r="E218" s="118">
        <f>'Filtration System'!E182</f>
        <v>281.905423645935</v>
      </c>
      <c r="F218" s="118">
        <f>'Filtration System'!F182</f>
        <v>0</v>
      </c>
      <c r="G218" s="118"/>
      <c r="H218" s="118">
        <f>B218/1000*(1000*9.81*Pumps!$B$14+'Parameters and Satisfaction'!$B$27)</f>
        <v>0</v>
      </c>
      <c r="I218" s="118">
        <f>C218/1000*(1000*9.81*Pumps!$B$14+'Parameters and Satisfaction'!$B$27)</f>
        <v>0</v>
      </c>
      <c r="J218" s="118">
        <f>D218/1000*(1000*9.81*Pumps!$B$14+'Parameters and Satisfaction'!$B$27)</f>
        <v>0</v>
      </c>
      <c r="K218" s="118">
        <f>E218/1000*(1000*9.81*Pumps!$B$14+'Parameters and Satisfaction'!$B$27)</f>
        <v>75565.645057547663</v>
      </c>
      <c r="L218" s="118">
        <f>F218/1000*(1000*9.81*Pumps!$B$14+'Parameters and Satisfaction'!$B$27)</f>
        <v>0</v>
      </c>
      <c r="M218" s="118"/>
      <c r="N218" s="118">
        <f>H218/IF('Parameters and Satisfaction'!$C$13="Pump A", 0.7, IF('Parameters and Satisfaction'!$C$13 = "Pump B", 0.72, 0.65))</f>
        <v>0</v>
      </c>
      <c r="O218" s="118">
        <f>I218/IF('Parameters and Satisfaction'!$C$13="Pump A", 0.7, IF('Parameters and Satisfaction'!$C$13 = "Pump B", 0.72, 0.65))</f>
        <v>0</v>
      </c>
      <c r="P218" s="118">
        <f>J218/IF('Parameters and Satisfaction'!$C$13="Pump A", 0.7, IF('Parameters and Satisfaction'!$C$13 = "Pump B", 0.72, 0.65))</f>
        <v>0</v>
      </c>
      <c r="Q218" s="118">
        <f>K218/IF('Parameters and Satisfaction'!$C$13="Pump A", 0.7, IF('Parameters and Satisfaction'!$C$13 = "Pump B", 0.72, 0.65))</f>
        <v>104952.28480214953</v>
      </c>
      <c r="R218" s="118">
        <f>L218/IF('Parameters and Satisfaction'!$C$13="Pump A", 0.7, IF('Parameters and Satisfaction'!$C$13 = "Pump B", 0.72, 0.65))</f>
        <v>0</v>
      </c>
      <c r="S218" s="118"/>
      <c r="T218" s="118">
        <f>N218+$F$47+IF('Parameters and Satisfaction'!$C$19="Ozone", 'Filtration System'!AA182*1000000, 0)</f>
        <v>4687500</v>
      </c>
      <c r="U218" s="118">
        <f>O218+$F$47+IF('Parameters and Satisfaction'!$C$19="Ozone", 'Filtration System'!AB182*1000000, 0)</f>
        <v>4687500</v>
      </c>
      <c r="V218" s="118">
        <f>P218+$F$47+IF('Parameters and Satisfaction'!$C$19="Ozone", 'Filtration System'!AC182*1000000, 0)</f>
        <v>4687500</v>
      </c>
      <c r="W218" s="118">
        <f>Q218+$F$47+IF('Parameters and Satisfaction'!$C$19="Ozone", 'Filtration System'!AD182*1000000, 0)</f>
        <v>4792452.28480215</v>
      </c>
      <c r="X218" s="118">
        <f>R218+$F$47+IF('Parameters and Satisfaction'!$C$19="Ozone", 'Filtration System'!AE182*1000000, 0)</f>
        <v>4687500</v>
      </c>
      <c r="Y218" s="118"/>
      <c r="Z218" s="118">
        <f t="shared" si="24"/>
        <v>0.33482142857142855</v>
      </c>
      <c r="AA218" s="118">
        <f t="shared" si="25"/>
        <v>0.33482142857142855</v>
      </c>
      <c r="AB218" s="118">
        <f t="shared" si="26"/>
        <v>0.33482142857142855</v>
      </c>
      <c r="AC218" s="118">
        <f t="shared" si="27"/>
        <v>0.34231802034301073</v>
      </c>
      <c r="AD218" s="118">
        <f t="shared" si="28"/>
        <v>0.33482142857142855</v>
      </c>
      <c r="AE218" s="118"/>
      <c r="AF218" s="118"/>
      <c r="AG218" s="118"/>
      <c r="AK218">
        <f t="shared" si="30"/>
        <v>20563200</v>
      </c>
      <c r="AL218">
        <f t="shared" si="30"/>
        <v>20563200</v>
      </c>
      <c r="AM218">
        <f t="shared" si="30"/>
        <v>20563200</v>
      </c>
      <c r="AN218">
        <f t="shared" si="30"/>
        <v>20563200</v>
      </c>
      <c r="AO218">
        <f t="shared" si="30"/>
        <v>20563200</v>
      </c>
    </row>
    <row r="219" spans="1:41">
      <c r="A219" s="185">
        <f>'Water Stuff'!F153</f>
        <v>44710</v>
      </c>
      <c r="B219" s="118">
        <f>'Filtration System'!B183</f>
        <v>0</v>
      </c>
      <c r="C219" s="118">
        <f>'Filtration System'!C183</f>
        <v>0</v>
      </c>
      <c r="D219" s="118">
        <f>'Filtration System'!D183</f>
        <v>0</v>
      </c>
      <c r="E219" s="118">
        <f>'Filtration System'!E183</f>
        <v>848.64042434746375</v>
      </c>
      <c r="F219" s="118">
        <f>'Filtration System'!F183</f>
        <v>0</v>
      </c>
      <c r="G219" s="118"/>
      <c r="H219" s="118">
        <f>B219/1000*(1000*9.81*Pumps!$B$14+'Parameters and Satisfaction'!$B$27)</f>
        <v>0</v>
      </c>
      <c r="I219" s="118">
        <f>C219/1000*(1000*9.81*Pumps!$B$14+'Parameters and Satisfaction'!$B$27)</f>
        <v>0</v>
      </c>
      <c r="J219" s="118">
        <f>D219/1000*(1000*9.81*Pumps!$B$14+'Parameters and Satisfaction'!$B$27)</f>
        <v>0</v>
      </c>
      <c r="K219" s="118">
        <f>E219/1000*(1000*9.81*Pumps!$B$14+'Parameters and Satisfaction'!$B$27)</f>
        <v>227480.76379073164</v>
      </c>
      <c r="L219" s="118">
        <f>F219/1000*(1000*9.81*Pumps!$B$14+'Parameters and Satisfaction'!$B$27)</f>
        <v>0</v>
      </c>
      <c r="M219" s="118"/>
      <c r="N219" s="118">
        <f>H219/IF('Parameters and Satisfaction'!$C$13="Pump A", 0.7, IF('Parameters and Satisfaction'!$C$13 = "Pump B", 0.72, 0.65))</f>
        <v>0</v>
      </c>
      <c r="O219" s="118">
        <f>I219/IF('Parameters and Satisfaction'!$C$13="Pump A", 0.7, IF('Parameters and Satisfaction'!$C$13 = "Pump B", 0.72, 0.65))</f>
        <v>0</v>
      </c>
      <c r="P219" s="118">
        <f>J219/IF('Parameters and Satisfaction'!$C$13="Pump A", 0.7, IF('Parameters and Satisfaction'!$C$13 = "Pump B", 0.72, 0.65))</f>
        <v>0</v>
      </c>
      <c r="Q219" s="118">
        <f>K219/IF('Parameters and Satisfaction'!$C$13="Pump A", 0.7, IF('Parameters and Satisfaction'!$C$13 = "Pump B", 0.72, 0.65))</f>
        <v>315945.50526490505</v>
      </c>
      <c r="R219" s="118">
        <f>L219/IF('Parameters and Satisfaction'!$C$13="Pump A", 0.7, IF('Parameters and Satisfaction'!$C$13 = "Pump B", 0.72, 0.65))</f>
        <v>0</v>
      </c>
      <c r="S219" s="118"/>
      <c r="T219" s="118">
        <f>N219+$F$47+IF('Parameters and Satisfaction'!$C$19="Ozone", 'Filtration System'!AA183*1000000, 0)</f>
        <v>4687500</v>
      </c>
      <c r="U219" s="118">
        <f>O219+$F$47+IF('Parameters and Satisfaction'!$C$19="Ozone", 'Filtration System'!AB183*1000000, 0)</f>
        <v>4687500</v>
      </c>
      <c r="V219" s="118">
        <f>P219+$F$47+IF('Parameters and Satisfaction'!$C$19="Ozone", 'Filtration System'!AC183*1000000, 0)</f>
        <v>4687500</v>
      </c>
      <c r="W219" s="118">
        <f>Q219+$F$47+IF('Parameters and Satisfaction'!$C$19="Ozone", 'Filtration System'!AD183*1000000, 0)</f>
        <v>5003445.5052649053</v>
      </c>
      <c r="X219" s="118">
        <f>R219+$F$47+IF('Parameters and Satisfaction'!$C$19="Ozone", 'Filtration System'!AE183*1000000, 0)</f>
        <v>4687500</v>
      </c>
      <c r="Y219" s="118"/>
      <c r="Z219" s="118">
        <f t="shared" si="24"/>
        <v>0.33482142857142855</v>
      </c>
      <c r="AA219" s="118">
        <f t="shared" si="25"/>
        <v>0.33482142857142855</v>
      </c>
      <c r="AB219" s="118">
        <f t="shared" si="26"/>
        <v>0.33482142857142855</v>
      </c>
      <c r="AC219" s="118">
        <f t="shared" si="27"/>
        <v>0.35738896466177894</v>
      </c>
      <c r="AD219" s="118">
        <f t="shared" si="28"/>
        <v>0.33482142857142855</v>
      </c>
      <c r="AE219" s="118"/>
      <c r="AF219" s="118"/>
      <c r="AG219" s="118"/>
      <c r="AK219">
        <f t="shared" si="30"/>
        <v>20563200</v>
      </c>
      <c r="AL219">
        <f t="shared" si="30"/>
        <v>20563200</v>
      </c>
      <c r="AM219">
        <f t="shared" si="30"/>
        <v>20563200</v>
      </c>
      <c r="AN219">
        <f t="shared" si="30"/>
        <v>20563200</v>
      </c>
      <c r="AO219">
        <f t="shared" si="30"/>
        <v>20563200</v>
      </c>
    </row>
    <row r="220" spans="1:41">
      <c r="A220" s="185">
        <f>'Water Stuff'!F154</f>
        <v>44711</v>
      </c>
      <c r="B220" s="118">
        <f>'Filtration System'!B184</f>
        <v>0</v>
      </c>
      <c r="C220" s="118">
        <f>'Filtration System'!C184</f>
        <v>0</v>
      </c>
      <c r="D220" s="118">
        <f>'Filtration System'!D184</f>
        <v>0</v>
      </c>
      <c r="E220" s="118">
        <f>'Filtration System'!E184</f>
        <v>1543.6179799794668</v>
      </c>
      <c r="F220" s="118">
        <f>'Filtration System'!F184</f>
        <v>0</v>
      </c>
      <c r="G220" s="118"/>
      <c r="H220" s="118">
        <f>B220/1000*(1000*9.81*Pumps!$B$14+'Parameters and Satisfaction'!$B$27)</f>
        <v>0</v>
      </c>
      <c r="I220" s="118">
        <f>C220/1000*(1000*9.81*Pumps!$B$14+'Parameters and Satisfaction'!$B$27)</f>
        <v>0</v>
      </c>
      <c r="J220" s="118">
        <f>D220/1000*(1000*9.81*Pumps!$B$14+'Parameters and Satisfaction'!$B$27)</f>
        <v>0</v>
      </c>
      <c r="K220" s="118">
        <f>E220/1000*(1000*9.81*Pumps!$B$14+'Parameters and Satisfaction'!$B$27)</f>
        <v>413771.70708882553</v>
      </c>
      <c r="L220" s="118">
        <f>F220/1000*(1000*9.81*Pumps!$B$14+'Parameters and Satisfaction'!$B$27)</f>
        <v>0</v>
      </c>
      <c r="M220" s="118"/>
      <c r="N220" s="118">
        <f>H220/IF('Parameters and Satisfaction'!$C$13="Pump A", 0.7, IF('Parameters and Satisfaction'!$C$13 = "Pump B", 0.72, 0.65))</f>
        <v>0</v>
      </c>
      <c r="O220" s="118">
        <f>I220/IF('Parameters and Satisfaction'!$C$13="Pump A", 0.7, IF('Parameters and Satisfaction'!$C$13 = "Pump B", 0.72, 0.65))</f>
        <v>0</v>
      </c>
      <c r="P220" s="118">
        <f>J220/IF('Parameters and Satisfaction'!$C$13="Pump A", 0.7, IF('Parameters and Satisfaction'!$C$13 = "Pump B", 0.72, 0.65))</f>
        <v>0</v>
      </c>
      <c r="Q220" s="118">
        <f>K220/IF('Parameters and Satisfaction'!$C$13="Pump A", 0.7, IF('Parameters and Satisfaction'!$C$13 = "Pump B", 0.72, 0.65))</f>
        <v>574682.92651225766</v>
      </c>
      <c r="R220" s="118">
        <f>L220/IF('Parameters and Satisfaction'!$C$13="Pump A", 0.7, IF('Parameters and Satisfaction'!$C$13 = "Pump B", 0.72, 0.65))</f>
        <v>0</v>
      </c>
      <c r="S220" s="118"/>
      <c r="T220" s="118">
        <f>N220+$F$47+IF('Parameters and Satisfaction'!$C$19="Ozone", 'Filtration System'!AA184*1000000, 0)</f>
        <v>4687500</v>
      </c>
      <c r="U220" s="118">
        <f>O220+$F$47+IF('Parameters and Satisfaction'!$C$19="Ozone", 'Filtration System'!AB184*1000000, 0)</f>
        <v>4687500</v>
      </c>
      <c r="V220" s="118">
        <f>P220+$F$47+IF('Parameters and Satisfaction'!$C$19="Ozone", 'Filtration System'!AC184*1000000, 0)</f>
        <v>4687500</v>
      </c>
      <c r="W220" s="118">
        <f>Q220+$F$47+IF('Parameters and Satisfaction'!$C$19="Ozone", 'Filtration System'!AD184*1000000, 0)</f>
        <v>5262182.9265122581</v>
      </c>
      <c r="X220" s="118">
        <f>R220+$F$47+IF('Parameters and Satisfaction'!$C$19="Ozone", 'Filtration System'!AE184*1000000, 0)</f>
        <v>4687500</v>
      </c>
      <c r="Y220" s="118"/>
      <c r="Z220" s="118">
        <f t="shared" si="24"/>
        <v>0.33482142857142855</v>
      </c>
      <c r="AA220" s="118">
        <f t="shared" si="25"/>
        <v>0.33482142857142855</v>
      </c>
      <c r="AB220" s="118">
        <f t="shared" si="26"/>
        <v>0.33482142857142855</v>
      </c>
      <c r="AC220" s="118">
        <f t="shared" si="27"/>
        <v>0.37587020903658985</v>
      </c>
      <c r="AD220" s="118">
        <f t="shared" si="28"/>
        <v>0.33482142857142855</v>
      </c>
      <c r="AE220" s="118"/>
      <c r="AF220" s="118"/>
      <c r="AG220" s="118"/>
      <c r="AK220">
        <f t="shared" si="30"/>
        <v>20563200</v>
      </c>
      <c r="AL220">
        <f t="shared" si="30"/>
        <v>20563200</v>
      </c>
      <c r="AM220">
        <f t="shared" si="30"/>
        <v>20563200</v>
      </c>
      <c r="AN220">
        <f t="shared" si="30"/>
        <v>20563200</v>
      </c>
      <c r="AO220">
        <f t="shared" si="30"/>
        <v>20563200</v>
      </c>
    </row>
    <row r="221" spans="1:41">
      <c r="A221" s="185">
        <f>'Water Stuff'!F155</f>
        <v>44712</v>
      </c>
      <c r="B221" s="118">
        <f>'Filtration System'!B185</f>
        <v>0</v>
      </c>
      <c r="C221" s="118">
        <f>'Filtration System'!C185</f>
        <v>0</v>
      </c>
      <c r="D221" s="118">
        <f>'Filtration System'!D185</f>
        <v>211.99333931967658</v>
      </c>
      <c r="E221" s="118">
        <f>'Filtration System'!E185</f>
        <v>0</v>
      </c>
      <c r="F221" s="118">
        <f>'Filtration System'!F185</f>
        <v>446.962461734633</v>
      </c>
      <c r="G221" s="118"/>
      <c r="H221" s="118">
        <f>B221/1000*(1000*9.81*Pumps!$B$14+'Parameters and Satisfaction'!$B$27)</f>
        <v>0</v>
      </c>
      <c r="I221" s="118">
        <f>C221/1000*(1000*9.81*Pumps!$B$14+'Parameters and Satisfaction'!$B$27)</f>
        <v>0</v>
      </c>
      <c r="J221" s="118">
        <f>D221/1000*(1000*9.81*Pumps!$B$14+'Parameters and Satisfaction'!$B$27)</f>
        <v>56825.488585543702</v>
      </c>
      <c r="K221" s="118">
        <f>E221/1000*(1000*9.81*Pumps!$B$14+'Parameters and Satisfaction'!$B$27)</f>
        <v>0</v>
      </c>
      <c r="L221" s="118">
        <f>F221/1000*(1000*9.81*Pumps!$B$14+'Parameters and Satisfaction'!$B$27)</f>
        <v>119809.70887565268</v>
      </c>
      <c r="M221" s="118"/>
      <c r="N221" s="118">
        <f>H221/IF('Parameters and Satisfaction'!$C$13="Pump A", 0.7, IF('Parameters and Satisfaction'!$C$13 = "Pump B", 0.72, 0.65))</f>
        <v>0</v>
      </c>
      <c r="O221" s="118">
        <f>I221/IF('Parameters and Satisfaction'!$C$13="Pump A", 0.7, IF('Parameters and Satisfaction'!$C$13 = "Pump B", 0.72, 0.65))</f>
        <v>0</v>
      </c>
      <c r="P221" s="118">
        <f>J221/IF('Parameters and Satisfaction'!$C$13="Pump A", 0.7, IF('Parameters and Satisfaction'!$C$13 = "Pump B", 0.72, 0.65))</f>
        <v>78924.289702144029</v>
      </c>
      <c r="Q221" s="118">
        <f>K221/IF('Parameters and Satisfaction'!$C$13="Pump A", 0.7, IF('Parameters and Satisfaction'!$C$13 = "Pump B", 0.72, 0.65))</f>
        <v>0</v>
      </c>
      <c r="R221" s="118">
        <f>L221/IF('Parameters and Satisfaction'!$C$13="Pump A", 0.7, IF('Parameters and Satisfaction'!$C$13 = "Pump B", 0.72, 0.65))</f>
        <v>166402.3734384065</v>
      </c>
      <c r="S221" s="118"/>
      <c r="T221" s="118">
        <f>N221+$F$47+IF('Parameters and Satisfaction'!$C$19="Ozone", 'Filtration System'!AA185*1000000, 0)</f>
        <v>4687500</v>
      </c>
      <c r="U221" s="118">
        <f>O221+$F$47+IF('Parameters and Satisfaction'!$C$19="Ozone", 'Filtration System'!AB185*1000000, 0)</f>
        <v>4687500</v>
      </c>
      <c r="V221" s="118">
        <f>P221+$F$47+IF('Parameters and Satisfaction'!$C$19="Ozone", 'Filtration System'!AC185*1000000, 0)</f>
        <v>4766424.2897021445</v>
      </c>
      <c r="W221" s="118">
        <f>Q221+$F$47+IF('Parameters and Satisfaction'!$C$19="Ozone", 'Filtration System'!AD185*1000000, 0)</f>
        <v>4687500</v>
      </c>
      <c r="X221" s="118">
        <f>R221+$F$47+IF('Parameters and Satisfaction'!$C$19="Ozone", 'Filtration System'!AE185*1000000, 0)</f>
        <v>4853902.3734384067</v>
      </c>
      <c r="Y221" s="118"/>
      <c r="Z221" s="118">
        <f t="shared" si="24"/>
        <v>0.33482142857142855</v>
      </c>
      <c r="AA221" s="118">
        <f t="shared" si="25"/>
        <v>0.33482142857142855</v>
      </c>
      <c r="AB221" s="118">
        <f t="shared" si="26"/>
        <v>0.34045887783586748</v>
      </c>
      <c r="AC221" s="118">
        <f t="shared" si="27"/>
        <v>0.33482142857142855</v>
      </c>
      <c r="AD221" s="118">
        <f t="shared" si="28"/>
        <v>0.34670731238845764</v>
      </c>
      <c r="AE221" s="118"/>
      <c r="AF221" s="118"/>
      <c r="AG221" s="118"/>
      <c r="AK221">
        <f t="shared" si="30"/>
        <v>20563200</v>
      </c>
      <c r="AL221">
        <f t="shared" si="30"/>
        <v>20563200</v>
      </c>
      <c r="AM221">
        <f t="shared" si="30"/>
        <v>20563200</v>
      </c>
      <c r="AN221">
        <f t="shared" si="30"/>
        <v>20563200</v>
      </c>
      <c r="AO221">
        <f t="shared" si="30"/>
        <v>20563200</v>
      </c>
    </row>
    <row r="222" spans="1:41">
      <c r="A222" s="185">
        <f>'Water Stuff'!F156</f>
        <v>44713</v>
      </c>
      <c r="B222" s="118">
        <f>'Filtration System'!B186</f>
        <v>0</v>
      </c>
      <c r="C222" s="118">
        <f>'Filtration System'!C186</f>
        <v>1480</v>
      </c>
      <c r="D222" s="118">
        <f>'Filtration System'!D186</f>
        <v>1516.2873345358385</v>
      </c>
      <c r="E222" s="118">
        <f>'Filtration System'!E186</f>
        <v>2936.2958827011043</v>
      </c>
      <c r="F222" s="118">
        <f>'Filtration System'!F186</f>
        <v>2799.3280527133161</v>
      </c>
      <c r="G222" s="118"/>
      <c r="H222" s="118">
        <f>B222/1000*(1000*9.81*Pumps!$B$14+'Parameters and Satisfaction'!$B$27)</f>
        <v>0</v>
      </c>
      <c r="I222" s="118">
        <f>C222/1000*(1000*9.81*Pumps!$B$14+'Parameters and Satisfaction'!$B$27)</f>
        <v>396718.70529754244</v>
      </c>
      <c r="J222" s="118">
        <f>D222/1000*(1000*9.81*Pumps!$B$14+'Parameters and Satisfaction'!$B$27)</f>
        <v>406445.64068656723</v>
      </c>
      <c r="K222" s="118">
        <f>E222/1000*(1000*9.81*Pumps!$B$14+'Parameters and Satisfaction'!$B$27)</f>
        <v>787083.44659168017</v>
      </c>
      <c r="L222" s="118">
        <f>F222/1000*(1000*9.81*Pumps!$B$14+'Parameters and Satisfaction'!$B$27)</f>
        <v>750368.78430778196</v>
      </c>
      <c r="M222" s="118"/>
      <c r="N222" s="118">
        <f>H222/IF('Parameters and Satisfaction'!$C$13="Pump A", 0.7, IF('Parameters and Satisfaction'!$C$13 = "Pump B", 0.72, 0.65))</f>
        <v>0</v>
      </c>
      <c r="O222" s="118">
        <f>I222/IF('Parameters and Satisfaction'!$C$13="Pump A", 0.7, IF('Parameters and Satisfaction'!$C$13 = "Pump B", 0.72, 0.65))</f>
        <v>550998.20180214231</v>
      </c>
      <c r="P222" s="118">
        <f>J222/IF('Parameters and Satisfaction'!$C$13="Pump A", 0.7, IF('Parameters and Satisfaction'!$C$13 = "Pump B", 0.72, 0.65))</f>
        <v>564507.83428689896</v>
      </c>
      <c r="Q222" s="118">
        <f>K222/IF('Parameters and Satisfaction'!$C$13="Pump A", 0.7, IF('Parameters and Satisfaction'!$C$13 = "Pump B", 0.72, 0.65))</f>
        <v>1093171.4535995559</v>
      </c>
      <c r="R222" s="118">
        <f>L222/IF('Parameters and Satisfaction'!$C$13="Pump A", 0.7, IF('Parameters and Satisfaction'!$C$13 = "Pump B", 0.72, 0.65))</f>
        <v>1042178.8670941417</v>
      </c>
      <c r="S222" s="118"/>
      <c r="T222" s="118">
        <f>N222+$F$47+IF('Parameters and Satisfaction'!$C$19="Ozone", 'Filtration System'!AA186*1000000, 0)</f>
        <v>4687500</v>
      </c>
      <c r="U222" s="118">
        <f>O222+$F$47+IF('Parameters and Satisfaction'!$C$19="Ozone", 'Filtration System'!AB186*1000000, 0)</f>
        <v>5238498.201802142</v>
      </c>
      <c r="V222" s="118">
        <f>P222+$F$47+IF('Parameters and Satisfaction'!$C$19="Ozone", 'Filtration System'!AC186*1000000, 0)</f>
        <v>5252007.8342868993</v>
      </c>
      <c r="W222" s="118">
        <f>Q222+$F$47+IF('Parameters and Satisfaction'!$C$19="Ozone", 'Filtration System'!AD186*1000000, 0)</f>
        <v>5780671.4535995554</v>
      </c>
      <c r="X222" s="118">
        <f>R222+$F$47+IF('Parameters and Satisfaction'!$C$19="Ozone", 'Filtration System'!AE186*1000000, 0)</f>
        <v>5729678.8670941414</v>
      </c>
      <c r="Y222" s="118"/>
      <c r="Z222" s="118">
        <f t="shared" si="24"/>
        <v>0.33482142857142855</v>
      </c>
      <c r="AA222" s="118">
        <f t="shared" si="25"/>
        <v>0.37417844298586728</v>
      </c>
      <c r="AB222" s="118">
        <f t="shared" si="26"/>
        <v>0.37514341673477852</v>
      </c>
      <c r="AC222" s="118">
        <f t="shared" si="27"/>
        <v>0.41290510382853968</v>
      </c>
      <c r="AD222" s="118">
        <f t="shared" si="28"/>
        <v>0.40926277622101009</v>
      </c>
      <c r="AE222" s="118"/>
      <c r="AF222" s="118"/>
      <c r="AG222" s="118"/>
      <c r="AK222">
        <f t="shared" ref="AK222:AO231" si="31">$D$60</f>
        <v>21934080</v>
      </c>
      <c r="AL222">
        <f t="shared" si="31"/>
        <v>21934080</v>
      </c>
      <c r="AM222">
        <f t="shared" si="31"/>
        <v>21934080</v>
      </c>
      <c r="AN222">
        <f t="shared" si="31"/>
        <v>21934080</v>
      </c>
      <c r="AO222">
        <f t="shared" si="31"/>
        <v>21934080</v>
      </c>
    </row>
    <row r="223" spans="1:41">
      <c r="A223" s="185">
        <f>'Water Stuff'!F157</f>
        <v>44714</v>
      </c>
      <c r="B223" s="118">
        <f>'Filtration System'!B187</f>
        <v>0</v>
      </c>
      <c r="C223" s="118">
        <f>'Filtration System'!C187</f>
        <v>560</v>
      </c>
      <c r="D223" s="118">
        <f>'Filtration System'!D187</f>
        <v>712.79091446137761</v>
      </c>
      <c r="E223" s="118">
        <f>'Filtration System'!E187</f>
        <v>0</v>
      </c>
      <c r="F223" s="118">
        <f>'Filtration System'!F187</f>
        <v>798.92056127550518</v>
      </c>
      <c r="G223" s="118"/>
      <c r="H223" s="118">
        <f>B223/1000*(1000*9.81*Pumps!$B$14+'Parameters and Satisfaction'!$B$27)</f>
        <v>0</v>
      </c>
      <c r="I223" s="118">
        <f>C223/1000*(1000*9.81*Pumps!$B$14+'Parameters and Satisfaction'!$B$27)</f>
        <v>150109.7803828539</v>
      </c>
      <c r="J223" s="118">
        <f>D223/1000*(1000*9.81*Pumps!$B$14+'Parameters and Satisfaction'!$B$27)</f>
        <v>191065.87076551965</v>
      </c>
      <c r="K223" s="118">
        <f>E223/1000*(1000*9.81*Pumps!$B$14+'Parameters and Satisfaction'!$B$27)</f>
        <v>0</v>
      </c>
      <c r="L223" s="118">
        <f>F223/1000*(1000*9.81*Pumps!$B$14+'Parameters and Satisfaction'!$B$27)</f>
        <v>214153.19642216509</v>
      </c>
      <c r="M223" s="118"/>
      <c r="N223" s="118">
        <f>H223/IF('Parameters and Satisfaction'!$C$13="Pump A", 0.7, IF('Parameters and Satisfaction'!$C$13 = "Pump B", 0.72, 0.65))</f>
        <v>0</v>
      </c>
      <c r="O223" s="118">
        <f>I223/IF('Parameters and Satisfaction'!$C$13="Pump A", 0.7, IF('Parameters and Satisfaction'!$C$13 = "Pump B", 0.72, 0.65))</f>
        <v>208485.8060872971</v>
      </c>
      <c r="P223" s="118">
        <f>J223/IF('Parameters and Satisfaction'!$C$13="Pump A", 0.7, IF('Parameters and Satisfaction'!$C$13 = "Pump B", 0.72, 0.65))</f>
        <v>265369.26495211065</v>
      </c>
      <c r="Q223" s="118">
        <f>K223/IF('Parameters and Satisfaction'!$C$13="Pump A", 0.7, IF('Parameters and Satisfaction'!$C$13 = "Pump B", 0.72, 0.65))</f>
        <v>0</v>
      </c>
      <c r="R223" s="118">
        <f>L223/IF('Parameters and Satisfaction'!$C$13="Pump A", 0.7, IF('Parameters and Satisfaction'!$C$13 = "Pump B", 0.72, 0.65))</f>
        <v>297434.99503078486</v>
      </c>
      <c r="S223" s="118"/>
      <c r="T223" s="118">
        <f>N223+$F$47+IF('Parameters and Satisfaction'!$C$19="Ozone", 'Filtration System'!AA187*1000000, 0)</f>
        <v>4687500</v>
      </c>
      <c r="U223" s="118">
        <f>O223+$F$47+IF('Parameters and Satisfaction'!$C$19="Ozone", 'Filtration System'!AB187*1000000, 0)</f>
        <v>4895985.8060872974</v>
      </c>
      <c r="V223" s="118">
        <f>P223+$F$47+IF('Parameters and Satisfaction'!$C$19="Ozone", 'Filtration System'!AC187*1000000, 0)</f>
        <v>4952869.2649521111</v>
      </c>
      <c r="W223" s="118">
        <f>Q223+$F$47+IF('Parameters and Satisfaction'!$C$19="Ozone", 'Filtration System'!AD187*1000000, 0)</f>
        <v>4687500</v>
      </c>
      <c r="X223" s="118">
        <f>R223+$F$47+IF('Parameters and Satisfaction'!$C$19="Ozone", 'Filtration System'!AE187*1000000, 0)</f>
        <v>4984934.995030785</v>
      </c>
      <c r="Y223" s="118"/>
      <c r="Z223" s="118">
        <f t="shared" si="24"/>
        <v>0.33482142857142855</v>
      </c>
      <c r="AA223" s="118">
        <f t="shared" si="25"/>
        <v>0.34971327186337836</v>
      </c>
      <c r="AB223" s="118">
        <f t="shared" si="26"/>
        <v>0.35377637606800794</v>
      </c>
      <c r="AC223" s="118">
        <f t="shared" si="27"/>
        <v>0.33482142857142855</v>
      </c>
      <c r="AD223" s="118">
        <f t="shared" si="28"/>
        <v>0.35606678535934178</v>
      </c>
      <c r="AE223" s="118"/>
      <c r="AF223" s="118"/>
      <c r="AG223" s="118"/>
      <c r="AK223">
        <f t="shared" si="31"/>
        <v>21934080</v>
      </c>
      <c r="AL223">
        <f t="shared" si="31"/>
        <v>21934080</v>
      </c>
      <c r="AM223">
        <f t="shared" si="31"/>
        <v>21934080</v>
      </c>
      <c r="AN223">
        <f t="shared" si="31"/>
        <v>21934080</v>
      </c>
      <c r="AO223">
        <f t="shared" si="31"/>
        <v>21934080</v>
      </c>
    </row>
    <row r="224" spans="1:41">
      <c r="A224" s="185">
        <f>'Water Stuff'!F158</f>
        <v>44715</v>
      </c>
      <c r="B224" s="118">
        <f>'Filtration System'!B188</f>
        <v>0</v>
      </c>
      <c r="C224" s="118">
        <f>'Filtration System'!C188</f>
        <v>0</v>
      </c>
      <c r="D224" s="118">
        <f>'Filtration System'!D188</f>
        <v>0</v>
      </c>
      <c r="E224" s="118">
        <f>'Filtration System'!E188</f>
        <v>0</v>
      </c>
      <c r="F224" s="118">
        <f>'Filtration System'!F188</f>
        <v>0</v>
      </c>
      <c r="G224" s="118"/>
      <c r="H224" s="118">
        <f>B224/1000*(1000*9.81*Pumps!$B$14+'Parameters and Satisfaction'!$B$27)</f>
        <v>0</v>
      </c>
      <c r="I224" s="118">
        <f>C224/1000*(1000*9.81*Pumps!$B$14+'Parameters and Satisfaction'!$B$27)</f>
        <v>0</v>
      </c>
      <c r="J224" s="118">
        <f>D224/1000*(1000*9.81*Pumps!$B$14+'Parameters and Satisfaction'!$B$27)</f>
        <v>0</v>
      </c>
      <c r="K224" s="118">
        <f>E224/1000*(1000*9.81*Pumps!$B$14+'Parameters and Satisfaction'!$B$27)</f>
        <v>0</v>
      </c>
      <c r="L224" s="118">
        <f>F224/1000*(1000*9.81*Pumps!$B$14+'Parameters and Satisfaction'!$B$27)</f>
        <v>0</v>
      </c>
      <c r="M224" s="118"/>
      <c r="N224" s="118">
        <f>H224/IF('Parameters and Satisfaction'!$C$13="Pump A", 0.7, IF('Parameters and Satisfaction'!$C$13 = "Pump B", 0.72, 0.65))</f>
        <v>0</v>
      </c>
      <c r="O224" s="118">
        <f>I224/IF('Parameters and Satisfaction'!$C$13="Pump A", 0.7, IF('Parameters and Satisfaction'!$C$13 = "Pump B", 0.72, 0.65))</f>
        <v>0</v>
      </c>
      <c r="P224" s="118">
        <f>J224/IF('Parameters and Satisfaction'!$C$13="Pump A", 0.7, IF('Parameters and Satisfaction'!$C$13 = "Pump B", 0.72, 0.65))</f>
        <v>0</v>
      </c>
      <c r="Q224" s="118">
        <f>K224/IF('Parameters and Satisfaction'!$C$13="Pump A", 0.7, IF('Parameters and Satisfaction'!$C$13 = "Pump B", 0.72, 0.65))</f>
        <v>0</v>
      </c>
      <c r="R224" s="118">
        <f>L224/IF('Parameters and Satisfaction'!$C$13="Pump A", 0.7, IF('Parameters and Satisfaction'!$C$13 = "Pump B", 0.72, 0.65))</f>
        <v>0</v>
      </c>
      <c r="S224" s="118"/>
      <c r="T224" s="118">
        <f>N224+$F$47+IF('Parameters and Satisfaction'!$C$19="Ozone", 'Filtration System'!AA188*1000000, 0)</f>
        <v>4687500</v>
      </c>
      <c r="U224" s="118">
        <f>O224+$F$47+IF('Parameters and Satisfaction'!$C$19="Ozone", 'Filtration System'!AB188*1000000, 0)</f>
        <v>4687500</v>
      </c>
      <c r="V224" s="118">
        <f>P224+$F$47+IF('Parameters and Satisfaction'!$C$19="Ozone", 'Filtration System'!AC188*1000000, 0)</f>
        <v>4687500</v>
      </c>
      <c r="W224" s="118">
        <f>Q224+$F$47+IF('Parameters and Satisfaction'!$C$19="Ozone", 'Filtration System'!AD188*1000000, 0)</f>
        <v>4687500</v>
      </c>
      <c r="X224" s="118">
        <f>R224+$F$47+IF('Parameters and Satisfaction'!$C$19="Ozone", 'Filtration System'!AE188*1000000, 0)</f>
        <v>4687500</v>
      </c>
      <c r="Y224" s="118"/>
      <c r="Z224" s="118">
        <f t="shared" si="24"/>
        <v>0.33482142857142855</v>
      </c>
      <c r="AA224" s="118">
        <f t="shared" si="25"/>
        <v>0.33482142857142855</v>
      </c>
      <c r="AB224" s="118">
        <f t="shared" si="26"/>
        <v>0.33482142857142855</v>
      </c>
      <c r="AC224" s="118">
        <f t="shared" si="27"/>
        <v>0.33482142857142855</v>
      </c>
      <c r="AD224" s="118">
        <f t="shared" si="28"/>
        <v>0.33482142857142855</v>
      </c>
      <c r="AE224" s="118"/>
      <c r="AF224" s="118"/>
      <c r="AG224" s="118"/>
      <c r="AK224">
        <f t="shared" si="31"/>
        <v>21934080</v>
      </c>
      <c r="AL224">
        <f t="shared" si="31"/>
        <v>21934080</v>
      </c>
      <c r="AM224">
        <f t="shared" si="31"/>
        <v>21934080</v>
      </c>
      <c r="AN224">
        <f t="shared" si="31"/>
        <v>21934080</v>
      </c>
      <c r="AO224">
        <f t="shared" si="31"/>
        <v>21934080</v>
      </c>
    </row>
    <row r="225" spans="1:41">
      <c r="A225" s="185">
        <f>'Water Stuff'!F159</f>
        <v>44716</v>
      </c>
      <c r="B225" s="118">
        <f>'Filtration System'!B189</f>
        <v>0</v>
      </c>
      <c r="C225" s="118">
        <f>'Filtration System'!C189</f>
        <v>0</v>
      </c>
      <c r="D225" s="118">
        <f>'Filtration System'!D189</f>
        <v>0</v>
      </c>
      <c r="E225" s="118">
        <f>'Filtration System'!E189</f>
        <v>1195.8888449752403</v>
      </c>
      <c r="F225" s="118">
        <f>'Filtration System'!F189</f>
        <v>360.59615545426703</v>
      </c>
      <c r="G225" s="118"/>
      <c r="H225" s="118">
        <f>B225/1000*(1000*9.81*Pumps!$B$14+'Parameters and Satisfaction'!$B$27)</f>
        <v>0</v>
      </c>
      <c r="I225" s="118">
        <f>C225/1000*(1000*9.81*Pumps!$B$14+'Parameters and Satisfaction'!$B$27)</f>
        <v>0</v>
      </c>
      <c r="J225" s="118">
        <f>D225/1000*(1000*9.81*Pumps!$B$14+'Parameters and Satisfaction'!$B$27)</f>
        <v>0</v>
      </c>
      <c r="K225" s="118">
        <f>E225/1000*(1000*9.81*Pumps!$B$14+'Parameters and Satisfaction'!$B$27)</f>
        <v>320561.80693131807</v>
      </c>
      <c r="L225" s="118">
        <f>F225/1000*(1000*9.81*Pumps!$B$14+'Parameters and Satisfaction'!$B$27)</f>
        <v>96658.945896681194</v>
      </c>
      <c r="M225" s="118"/>
      <c r="N225" s="118">
        <f>H225/IF('Parameters and Satisfaction'!$C$13="Pump A", 0.7, IF('Parameters and Satisfaction'!$C$13 = "Pump B", 0.72, 0.65))</f>
        <v>0</v>
      </c>
      <c r="O225" s="118">
        <f>I225/IF('Parameters and Satisfaction'!$C$13="Pump A", 0.7, IF('Parameters and Satisfaction'!$C$13 = "Pump B", 0.72, 0.65))</f>
        <v>0</v>
      </c>
      <c r="P225" s="118">
        <f>J225/IF('Parameters and Satisfaction'!$C$13="Pump A", 0.7, IF('Parameters and Satisfaction'!$C$13 = "Pump B", 0.72, 0.65))</f>
        <v>0</v>
      </c>
      <c r="Q225" s="118">
        <f>K225/IF('Parameters and Satisfaction'!$C$13="Pump A", 0.7, IF('Parameters and Satisfaction'!$C$13 = "Pump B", 0.72, 0.65))</f>
        <v>445224.73184905289</v>
      </c>
      <c r="R225" s="118">
        <f>L225/IF('Parameters and Satisfaction'!$C$13="Pump A", 0.7, IF('Parameters and Satisfaction'!$C$13 = "Pump B", 0.72, 0.65))</f>
        <v>134248.53596761278</v>
      </c>
      <c r="S225" s="118"/>
      <c r="T225" s="118">
        <f>N225+$F$47+IF('Parameters and Satisfaction'!$C$19="Ozone", 'Filtration System'!AA189*1000000, 0)</f>
        <v>4687500</v>
      </c>
      <c r="U225" s="118">
        <f>O225+$F$47+IF('Parameters and Satisfaction'!$C$19="Ozone", 'Filtration System'!AB189*1000000, 0)</f>
        <v>4687500</v>
      </c>
      <c r="V225" s="118">
        <f>P225+$F$47+IF('Parameters and Satisfaction'!$C$19="Ozone", 'Filtration System'!AC189*1000000, 0)</f>
        <v>4687500</v>
      </c>
      <c r="W225" s="118">
        <f>Q225+$F$47+IF('Parameters and Satisfaction'!$C$19="Ozone", 'Filtration System'!AD189*1000000, 0)</f>
        <v>5132724.7318490529</v>
      </c>
      <c r="X225" s="118">
        <f>R225+$F$47+IF('Parameters and Satisfaction'!$C$19="Ozone", 'Filtration System'!AE189*1000000, 0)</f>
        <v>4821748.5359676126</v>
      </c>
      <c r="Y225" s="118"/>
      <c r="Z225" s="118">
        <f t="shared" si="24"/>
        <v>0.33482142857142855</v>
      </c>
      <c r="AA225" s="118">
        <f t="shared" si="25"/>
        <v>0.33482142857142855</v>
      </c>
      <c r="AB225" s="118">
        <f t="shared" si="26"/>
        <v>0.33482142857142855</v>
      </c>
      <c r="AC225" s="118">
        <f t="shared" si="27"/>
        <v>0.3666231951320752</v>
      </c>
      <c r="AD225" s="118">
        <f t="shared" si="28"/>
        <v>0.34441060971197235</v>
      </c>
      <c r="AE225" s="118"/>
      <c r="AF225" s="118"/>
      <c r="AG225" s="118"/>
      <c r="AK225">
        <f t="shared" si="31"/>
        <v>21934080</v>
      </c>
      <c r="AL225">
        <f t="shared" si="31"/>
        <v>21934080</v>
      </c>
      <c r="AM225">
        <f t="shared" si="31"/>
        <v>21934080</v>
      </c>
      <c r="AN225">
        <f t="shared" si="31"/>
        <v>21934080</v>
      </c>
      <c r="AO225">
        <f t="shared" si="31"/>
        <v>21934080</v>
      </c>
    </row>
    <row r="226" spans="1:41">
      <c r="A226" s="185">
        <f>'Water Stuff'!F160</f>
        <v>44717</v>
      </c>
      <c r="B226" s="118">
        <f>'Filtration System'!B190</f>
        <v>0</v>
      </c>
      <c r="C226" s="118">
        <f>'Filtration System'!C190</f>
        <v>0</v>
      </c>
      <c r="D226" s="118">
        <f>'Filtration System'!D190</f>
        <v>0</v>
      </c>
      <c r="E226" s="118">
        <f>'Filtration System'!E190</f>
        <v>0</v>
      </c>
      <c r="F226" s="118">
        <f>'Filtration System'!F190</f>
        <v>0</v>
      </c>
      <c r="G226" s="118"/>
      <c r="H226" s="118">
        <f>B226/1000*(1000*9.81*Pumps!$B$14+'Parameters and Satisfaction'!$B$27)</f>
        <v>0</v>
      </c>
      <c r="I226" s="118">
        <f>C226/1000*(1000*9.81*Pumps!$B$14+'Parameters and Satisfaction'!$B$27)</f>
        <v>0</v>
      </c>
      <c r="J226" s="118">
        <f>D226/1000*(1000*9.81*Pumps!$B$14+'Parameters and Satisfaction'!$B$27)</f>
        <v>0</v>
      </c>
      <c r="K226" s="118">
        <f>E226/1000*(1000*9.81*Pumps!$B$14+'Parameters and Satisfaction'!$B$27)</f>
        <v>0</v>
      </c>
      <c r="L226" s="118">
        <f>F226/1000*(1000*9.81*Pumps!$B$14+'Parameters and Satisfaction'!$B$27)</f>
        <v>0</v>
      </c>
      <c r="M226" s="118"/>
      <c r="N226" s="118">
        <f>H226/IF('Parameters and Satisfaction'!$C$13="Pump A", 0.7, IF('Parameters and Satisfaction'!$C$13 = "Pump B", 0.72, 0.65))</f>
        <v>0</v>
      </c>
      <c r="O226" s="118">
        <f>I226/IF('Parameters and Satisfaction'!$C$13="Pump A", 0.7, IF('Parameters and Satisfaction'!$C$13 = "Pump B", 0.72, 0.65))</f>
        <v>0</v>
      </c>
      <c r="P226" s="118">
        <f>J226/IF('Parameters and Satisfaction'!$C$13="Pump A", 0.7, IF('Parameters and Satisfaction'!$C$13 = "Pump B", 0.72, 0.65))</f>
        <v>0</v>
      </c>
      <c r="Q226" s="118">
        <f>K226/IF('Parameters and Satisfaction'!$C$13="Pump A", 0.7, IF('Parameters and Satisfaction'!$C$13 = "Pump B", 0.72, 0.65))</f>
        <v>0</v>
      </c>
      <c r="R226" s="118">
        <f>L226/IF('Parameters and Satisfaction'!$C$13="Pump A", 0.7, IF('Parameters and Satisfaction'!$C$13 = "Pump B", 0.72, 0.65))</f>
        <v>0</v>
      </c>
      <c r="S226" s="118"/>
      <c r="T226" s="118">
        <f>N226+$F$47+IF('Parameters and Satisfaction'!$C$19="Ozone", 'Filtration System'!AA190*1000000, 0)</f>
        <v>4687500</v>
      </c>
      <c r="U226" s="118">
        <f>O226+$F$47+IF('Parameters and Satisfaction'!$C$19="Ozone", 'Filtration System'!AB190*1000000, 0)</f>
        <v>4687500</v>
      </c>
      <c r="V226" s="118">
        <f>P226+$F$47+IF('Parameters and Satisfaction'!$C$19="Ozone", 'Filtration System'!AC190*1000000, 0)</f>
        <v>4687500</v>
      </c>
      <c r="W226" s="118">
        <f>Q226+$F$47+IF('Parameters and Satisfaction'!$C$19="Ozone", 'Filtration System'!AD190*1000000, 0)</f>
        <v>4687500</v>
      </c>
      <c r="X226" s="118">
        <f>R226+$F$47+IF('Parameters and Satisfaction'!$C$19="Ozone", 'Filtration System'!AE190*1000000, 0)</f>
        <v>4687500</v>
      </c>
      <c r="Y226" s="118"/>
      <c r="Z226" s="118">
        <f t="shared" si="24"/>
        <v>0.33482142857142855</v>
      </c>
      <c r="AA226" s="118">
        <f t="shared" si="25"/>
        <v>0.33482142857142855</v>
      </c>
      <c r="AB226" s="118">
        <f t="shared" si="26"/>
        <v>0.33482142857142855</v>
      </c>
      <c r="AC226" s="118">
        <f t="shared" si="27"/>
        <v>0.33482142857142855</v>
      </c>
      <c r="AD226" s="118">
        <f t="shared" si="28"/>
        <v>0.33482142857142855</v>
      </c>
      <c r="AE226" s="118"/>
      <c r="AF226" s="118"/>
      <c r="AG226" s="118"/>
      <c r="AK226">
        <f t="shared" si="31"/>
        <v>21934080</v>
      </c>
      <c r="AL226">
        <f t="shared" si="31"/>
        <v>21934080</v>
      </c>
      <c r="AM226">
        <f t="shared" si="31"/>
        <v>21934080</v>
      </c>
      <c r="AN226">
        <f t="shared" si="31"/>
        <v>21934080</v>
      </c>
      <c r="AO226">
        <f t="shared" si="31"/>
        <v>21934080</v>
      </c>
    </row>
    <row r="227" spans="1:41">
      <c r="A227" s="185">
        <f>'Water Stuff'!F161</f>
        <v>44718</v>
      </c>
      <c r="B227" s="118">
        <f>'Filtration System'!B191</f>
        <v>0</v>
      </c>
      <c r="C227" s="118">
        <f>'Filtration System'!C191</f>
        <v>0</v>
      </c>
      <c r="D227" s="118">
        <f>'Filtration System'!D191</f>
        <v>0</v>
      </c>
      <c r="E227" s="118">
        <f>'Filtration System'!E191</f>
        <v>0</v>
      </c>
      <c r="F227" s="118">
        <f>'Filtration System'!F191</f>
        <v>0</v>
      </c>
      <c r="G227" s="118"/>
      <c r="H227" s="118">
        <f>B227/1000*(1000*9.81*Pumps!$B$14+'Parameters and Satisfaction'!$B$27)</f>
        <v>0</v>
      </c>
      <c r="I227" s="118">
        <f>C227/1000*(1000*9.81*Pumps!$B$14+'Parameters and Satisfaction'!$B$27)</f>
        <v>0</v>
      </c>
      <c r="J227" s="118">
        <f>D227/1000*(1000*9.81*Pumps!$B$14+'Parameters and Satisfaction'!$B$27)</f>
        <v>0</v>
      </c>
      <c r="K227" s="118">
        <f>E227/1000*(1000*9.81*Pumps!$B$14+'Parameters and Satisfaction'!$B$27)</f>
        <v>0</v>
      </c>
      <c r="L227" s="118">
        <f>F227/1000*(1000*9.81*Pumps!$B$14+'Parameters and Satisfaction'!$B$27)</f>
        <v>0</v>
      </c>
      <c r="M227" s="118"/>
      <c r="N227" s="118">
        <f>H227/IF('Parameters and Satisfaction'!$C$13="Pump A", 0.7, IF('Parameters and Satisfaction'!$C$13 = "Pump B", 0.72, 0.65))</f>
        <v>0</v>
      </c>
      <c r="O227" s="118">
        <f>I227/IF('Parameters and Satisfaction'!$C$13="Pump A", 0.7, IF('Parameters and Satisfaction'!$C$13 = "Pump B", 0.72, 0.65))</f>
        <v>0</v>
      </c>
      <c r="P227" s="118">
        <f>J227/IF('Parameters and Satisfaction'!$C$13="Pump A", 0.7, IF('Parameters and Satisfaction'!$C$13 = "Pump B", 0.72, 0.65))</f>
        <v>0</v>
      </c>
      <c r="Q227" s="118">
        <f>K227/IF('Parameters and Satisfaction'!$C$13="Pump A", 0.7, IF('Parameters and Satisfaction'!$C$13 = "Pump B", 0.72, 0.65))</f>
        <v>0</v>
      </c>
      <c r="R227" s="118">
        <f>L227/IF('Parameters and Satisfaction'!$C$13="Pump A", 0.7, IF('Parameters and Satisfaction'!$C$13 = "Pump B", 0.72, 0.65))</f>
        <v>0</v>
      </c>
      <c r="S227" s="118"/>
      <c r="T227" s="118">
        <f>N227+$F$47+IF('Parameters and Satisfaction'!$C$19="Ozone", 'Filtration System'!AA191*1000000, 0)</f>
        <v>4687500</v>
      </c>
      <c r="U227" s="118">
        <f>O227+$F$47+IF('Parameters and Satisfaction'!$C$19="Ozone", 'Filtration System'!AB191*1000000, 0)</f>
        <v>4687500</v>
      </c>
      <c r="V227" s="118">
        <f>P227+$F$47+IF('Parameters and Satisfaction'!$C$19="Ozone", 'Filtration System'!AC191*1000000, 0)</f>
        <v>4687500</v>
      </c>
      <c r="W227" s="118">
        <f>Q227+$F$47+IF('Parameters and Satisfaction'!$C$19="Ozone", 'Filtration System'!AD191*1000000, 0)</f>
        <v>4687500</v>
      </c>
      <c r="X227" s="118">
        <f>R227+$F$47+IF('Parameters and Satisfaction'!$C$19="Ozone", 'Filtration System'!AE191*1000000, 0)</f>
        <v>4687500</v>
      </c>
      <c r="Y227" s="118"/>
      <c r="Z227" s="118">
        <f t="shared" si="24"/>
        <v>0.33482142857142855</v>
      </c>
      <c r="AA227" s="118">
        <f t="shared" si="25"/>
        <v>0.33482142857142855</v>
      </c>
      <c r="AB227" s="118">
        <f t="shared" si="26"/>
        <v>0.33482142857142855</v>
      </c>
      <c r="AC227" s="118">
        <f t="shared" si="27"/>
        <v>0.33482142857142855</v>
      </c>
      <c r="AD227" s="118">
        <f t="shared" si="28"/>
        <v>0.33482142857142855</v>
      </c>
      <c r="AE227" s="118"/>
      <c r="AF227" s="118"/>
      <c r="AG227" s="118"/>
      <c r="AK227">
        <f t="shared" si="31"/>
        <v>21934080</v>
      </c>
      <c r="AL227">
        <f t="shared" si="31"/>
        <v>21934080</v>
      </c>
      <c r="AM227">
        <f t="shared" si="31"/>
        <v>21934080</v>
      </c>
      <c r="AN227">
        <f t="shared" si="31"/>
        <v>21934080</v>
      </c>
      <c r="AO227">
        <f t="shared" si="31"/>
        <v>21934080</v>
      </c>
    </row>
    <row r="228" spans="1:41">
      <c r="A228" s="185">
        <f>'Water Stuff'!F162</f>
        <v>44719</v>
      </c>
      <c r="B228" s="118">
        <f>'Filtration System'!B192</f>
        <v>0</v>
      </c>
      <c r="C228" s="118">
        <f>'Filtration System'!C192</f>
        <v>0</v>
      </c>
      <c r="D228" s="118">
        <f>'Filtration System'!D192</f>
        <v>0</v>
      </c>
      <c r="E228" s="118">
        <f>'Filtration System'!E192</f>
        <v>918.82953970395749</v>
      </c>
      <c r="F228" s="118">
        <f>'Filtration System'!F192</f>
        <v>0</v>
      </c>
      <c r="G228" s="118"/>
      <c r="H228" s="118">
        <f>B228/1000*(1000*9.81*Pumps!$B$14+'Parameters and Satisfaction'!$B$27)</f>
        <v>0</v>
      </c>
      <c r="I228" s="118">
        <f>C228/1000*(1000*9.81*Pumps!$B$14+'Parameters and Satisfaction'!$B$27)</f>
        <v>0</v>
      </c>
      <c r="J228" s="118">
        <f>D228/1000*(1000*9.81*Pumps!$B$14+'Parameters and Satisfaction'!$B$27)</f>
        <v>0</v>
      </c>
      <c r="K228" s="118">
        <f>E228/1000*(1000*9.81*Pumps!$B$14+'Parameters and Satisfaction'!$B$27)</f>
        <v>246295.17931114251</v>
      </c>
      <c r="L228" s="118">
        <f>F228/1000*(1000*9.81*Pumps!$B$14+'Parameters and Satisfaction'!$B$27)</f>
        <v>0</v>
      </c>
      <c r="M228" s="118"/>
      <c r="N228" s="118">
        <f>H228/IF('Parameters and Satisfaction'!$C$13="Pump A", 0.7, IF('Parameters and Satisfaction'!$C$13 = "Pump B", 0.72, 0.65))</f>
        <v>0</v>
      </c>
      <c r="O228" s="118">
        <f>I228/IF('Parameters and Satisfaction'!$C$13="Pump A", 0.7, IF('Parameters and Satisfaction'!$C$13 = "Pump B", 0.72, 0.65))</f>
        <v>0</v>
      </c>
      <c r="P228" s="118">
        <f>J228/IF('Parameters and Satisfaction'!$C$13="Pump A", 0.7, IF('Parameters and Satisfaction'!$C$13 = "Pump B", 0.72, 0.65))</f>
        <v>0</v>
      </c>
      <c r="Q228" s="118">
        <f>K228/IF('Parameters and Satisfaction'!$C$13="Pump A", 0.7, IF('Parameters and Satisfaction'!$C$13 = "Pump B", 0.72, 0.65))</f>
        <v>342076.63793214236</v>
      </c>
      <c r="R228" s="118">
        <f>L228/IF('Parameters and Satisfaction'!$C$13="Pump A", 0.7, IF('Parameters and Satisfaction'!$C$13 = "Pump B", 0.72, 0.65))</f>
        <v>0</v>
      </c>
      <c r="S228" s="118"/>
      <c r="T228" s="118">
        <f>N228+$F$47+IF('Parameters and Satisfaction'!$C$19="Ozone", 'Filtration System'!AA192*1000000, 0)</f>
        <v>4687500</v>
      </c>
      <c r="U228" s="118">
        <f>O228+$F$47+IF('Parameters and Satisfaction'!$C$19="Ozone", 'Filtration System'!AB192*1000000, 0)</f>
        <v>4687500</v>
      </c>
      <c r="V228" s="118">
        <f>P228+$F$47+IF('Parameters and Satisfaction'!$C$19="Ozone", 'Filtration System'!AC192*1000000, 0)</f>
        <v>4687500</v>
      </c>
      <c r="W228" s="118">
        <f>Q228+$F$47+IF('Parameters and Satisfaction'!$C$19="Ozone", 'Filtration System'!AD192*1000000, 0)</f>
        <v>5029576.6379321422</v>
      </c>
      <c r="X228" s="118">
        <f>R228+$F$47+IF('Parameters and Satisfaction'!$C$19="Ozone", 'Filtration System'!AE192*1000000, 0)</f>
        <v>4687500</v>
      </c>
      <c r="Y228" s="118"/>
      <c r="Z228" s="118">
        <f t="shared" si="24"/>
        <v>0.33482142857142855</v>
      </c>
      <c r="AA228" s="118">
        <f t="shared" si="25"/>
        <v>0.33482142857142855</v>
      </c>
      <c r="AB228" s="118">
        <f t="shared" si="26"/>
        <v>0.33482142857142855</v>
      </c>
      <c r="AC228" s="118">
        <f t="shared" si="27"/>
        <v>0.35925547413801018</v>
      </c>
      <c r="AD228" s="118">
        <f t="shared" si="28"/>
        <v>0.33482142857142855</v>
      </c>
      <c r="AE228" s="118"/>
      <c r="AF228" s="118"/>
      <c r="AG228" s="118"/>
      <c r="AK228">
        <f t="shared" si="31"/>
        <v>21934080</v>
      </c>
      <c r="AL228">
        <f t="shared" si="31"/>
        <v>21934080</v>
      </c>
      <c r="AM228">
        <f t="shared" si="31"/>
        <v>21934080</v>
      </c>
      <c r="AN228">
        <f t="shared" si="31"/>
        <v>21934080</v>
      </c>
      <c r="AO228">
        <f t="shared" si="31"/>
        <v>21934080</v>
      </c>
    </row>
    <row r="229" spans="1:41">
      <c r="A229" s="185">
        <f>'Water Stuff'!F163</f>
        <v>44720</v>
      </c>
      <c r="B229" s="118">
        <f>'Filtration System'!B193</f>
        <v>40</v>
      </c>
      <c r="C229" s="118">
        <f>'Filtration System'!C193</f>
        <v>0</v>
      </c>
      <c r="D229" s="118">
        <f>'Filtration System'!D193</f>
        <v>0</v>
      </c>
      <c r="E229" s="118">
        <f>'Filtration System'!E193</f>
        <v>0</v>
      </c>
      <c r="F229" s="118">
        <f>'Filtration System'!F193</f>
        <v>0</v>
      </c>
      <c r="G229" s="118"/>
      <c r="H229" s="118">
        <f>B229/1000*(1000*9.81*Pumps!$B$14+'Parameters and Satisfaction'!$B$27)</f>
        <v>10722.12717020385</v>
      </c>
      <c r="I229" s="118">
        <f>C229/1000*(1000*9.81*Pumps!$B$14+'Parameters and Satisfaction'!$B$27)</f>
        <v>0</v>
      </c>
      <c r="J229" s="118">
        <f>D229/1000*(1000*9.81*Pumps!$B$14+'Parameters and Satisfaction'!$B$27)</f>
        <v>0</v>
      </c>
      <c r="K229" s="118">
        <f>E229/1000*(1000*9.81*Pumps!$B$14+'Parameters and Satisfaction'!$B$27)</f>
        <v>0</v>
      </c>
      <c r="L229" s="118">
        <f>F229/1000*(1000*9.81*Pumps!$B$14+'Parameters and Satisfaction'!$B$27)</f>
        <v>0</v>
      </c>
      <c r="M229" s="118"/>
      <c r="N229" s="118">
        <f>H229/IF('Parameters and Satisfaction'!$C$13="Pump A", 0.7, IF('Parameters and Satisfaction'!$C$13 = "Pump B", 0.72, 0.65))</f>
        <v>14891.843291949792</v>
      </c>
      <c r="O229" s="118">
        <f>I229/IF('Parameters and Satisfaction'!$C$13="Pump A", 0.7, IF('Parameters and Satisfaction'!$C$13 = "Pump B", 0.72, 0.65))</f>
        <v>0</v>
      </c>
      <c r="P229" s="118">
        <f>J229/IF('Parameters and Satisfaction'!$C$13="Pump A", 0.7, IF('Parameters and Satisfaction'!$C$13 = "Pump B", 0.72, 0.65))</f>
        <v>0</v>
      </c>
      <c r="Q229" s="118">
        <f>K229/IF('Parameters and Satisfaction'!$C$13="Pump A", 0.7, IF('Parameters and Satisfaction'!$C$13 = "Pump B", 0.72, 0.65))</f>
        <v>0</v>
      </c>
      <c r="R229" s="118">
        <f>L229/IF('Parameters and Satisfaction'!$C$13="Pump A", 0.7, IF('Parameters and Satisfaction'!$C$13 = "Pump B", 0.72, 0.65))</f>
        <v>0</v>
      </c>
      <c r="S229" s="118"/>
      <c r="T229" s="118">
        <f>N229+$F$47+IF('Parameters and Satisfaction'!$C$19="Ozone", 'Filtration System'!AA193*1000000, 0)</f>
        <v>4702391.8432919495</v>
      </c>
      <c r="U229" s="118">
        <f>O229+$F$47+IF('Parameters and Satisfaction'!$C$19="Ozone", 'Filtration System'!AB193*1000000, 0)</f>
        <v>4687500</v>
      </c>
      <c r="V229" s="118">
        <f>P229+$F$47+IF('Parameters and Satisfaction'!$C$19="Ozone", 'Filtration System'!AC193*1000000, 0)</f>
        <v>4687500</v>
      </c>
      <c r="W229" s="118">
        <f>Q229+$F$47+IF('Parameters and Satisfaction'!$C$19="Ozone", 'Filtration System'!AD193*1000000, 0)</f>
        <v>4687500</v>
      </c>
      <c r="X229" s="118">
        <f>R229+$F$47+IF('Parameters and Satisfaction'!$C$19="Ozone", 'Filtration System'!AE193*1000000, 0)</f>
        <v>4687500</v>
      </c>
      <c r="Y229" s="118"/>
      <c r="Z229" s="118">
        <f t="shared" si="24"/>
        <v>0.3358851316637107</v>
      </c>
      <c r="AA229" s="118">
        <f t="shared" si="25"/>
        <v>0.33482142857142855</v>
      </c>
      <c r="AB229" s="118">
        <f t="shared" si="26"/>
        <v>0.33482142857142855</v>
      </c>
      <c r="AC229" s="118">
        <f t="shared" si="27"/>
        <v>0.33482142857142855</v>
      </c>
      <c r="AD229" s="118">
        <f t="shared" si="28"/>
        <v>0.33482142857142855</v>
      </c>
      <c r="AE229" s="118"/>
      <c r="AF229" s="118"/>
      <c r="AG229" s="118"/>
      <c r="AK229">
        <f t="shared" si="31"/>
        <v>21934080</v>
      </c>
      <c r="AL229">
        <f t="shared" si="31"/>
        <v>21934080</v>
      </c>
      <c r="AM229">
        <f t="shared" si="31"/>
        <v>21934080</v>
      </c>
      <c r="AN229">
        <f t="shared" si="31"/>
        <v>21934080</v>
      </c>
      <c r="AO229">
        <f t="shared" si="31"/>
        <v>21934080</v>
      </c>
    </row>
    <row r="230" spans="1:41">
      <c r="A230" s="185">
        <f>'Water Stuff'!F164</f>
        <v>44721</v>
      </c>
      <c r="B230" s="118">
        <f>'Filtration System'!B194</f>
        <v>0</v>
      </c>
      <c r="C230" s="118">
        <f>'Filtration System'!C194</f>
        <v>0</v>
      </c>
      <c r="D230" s="118">
        <f>'Filtration System'!D194</f>
        <v>0</v>
      </c>
      <c r="E230" s="118">
        <f>'Filtration System'!E194</f>
        <v>1541.1007198971988</v>
      </c>
      <c r="F230" s="118">
        <f>'Filtration System'!F194</f>
        <v>0</v>
      </c>
      <c r="G230" s="118"/>
      <c r="H230" s="118">
        <f>B230/1000*(1000*9.81*Pumps!$B$14+'Parameters and Satisfaction'!$B$27)</f>
        <v>0</v>
      </c>
      <c r="I230" s="118">
        <f>C230/1000*(1000*9.81*Pumps!$B$14+'Parameters and Satisfaction'!$B$27)</f>
        <v>0</v>
      </c>
      <c r="J230" s="118">
        <f>D230/1000*(1000*9.81*Pumps!$B$14+'Parameters and Satisfaction'!$B$27)</f>
        <v>0</v>
      </c>
      <c r="K230" s="118">
        <f>E230/1000*(1000*9.81*Pumps!$B$14+'Parameters and Satisfaction'!$B$27)</f>
        <v>413096.94752076169</v>
      </c>
      <c r="L230" s="118">
        <f>F230/1000*(1000*9.81*Pumps!$B$14+'Parameters and Satisfaction'!$B$27)</f>
        <v>0</v>
      </c>
      <c r="M230" s="118"/>
      <c r="N230" s="118">
        <f>H230/IF('Parameters and Satisfaction'!$C$13="Pump A", 0.7, IF('Parameters and Satisfaction'!$C$13 = "Pump B", 0.72, 0.65))</f>
        <v>0</v>
      </c>
      <c r="O230" s="118">
        <f>I230/IF('Parameters and Satisfaction'!$C$13="Pump A", 0.7, IF('Parameters and Satisfaction'!$C$13 = "Pump B", 0.72, 0.65))</f>
        <v>0</v>
      </c>
      <c r="P230" s="118">
        <f>J230/IF('Parameters and Satisfaction'!$C$13="Pump A", 0.7, IF('Parameters and Satisfaction'!$C$13 = "Pump B", 0.72, 0.65))</f>
        <v>0</v>
      </c>
      <c r="Q230" s="118">
        <f>K230/IF('Parameters and Satisfaction'!$C$13="Pump A", 0.7, IF('Parameters and Satisfaction'!$C$13 = "Pump B", 0.72, 0.65))</f>
        <v>573745.76044550235</v>
      </c>
      <c r="R230" s="118">
        <f>L230/IF('Parameters and Satisfaction'!$C$13="Pump A", 0.7, IF('Parameters and Satisfaction'!$C$13 = "Pump B", 0.72, 0.65))</f>
        <v>0</v>
      </c>
      <c r="S230" s="118"/>
      <c r="T230" s="118">
        <f>N230+$F$47+IF('Parameters and Satisfaction'!$C$19="Ozone", 'Filtration System'!AA194*1000000, 0)</f>
        <v>4687500</v>
      </c>
      <c r="U230" s="118">
        <f>O230+$F$47+IF('Parameters and Satisfaction'!$C$19="Ozone", 'Filtration System'!AB194*1000000, 0)</f>
        <v>4687500</v>
      </c>
      <c r="V230" s="118">
        <f>P230+$F$47+IF('Parameters and Satisfaction'!$C$19="Ozone", 'Filtration System'!AC194*1000000, 0)</f>
        <v>4687500</v>
      </c>
      <c r="W230" s="118">
        <f>Q230+$F$47+IF('Parameters and Satisfaction'!$C$19="Ozone", 'Filtration System'!AD194*1000000, 0)</f>
        <v>5261245.7604455026</v>
      </c>
      <c r="X230" s="118">
        <f>R230+$F$47+IF('Parameters and Satisfaction'!$C$19="Ozone", 'Filtration System'!AE194*1000000, 0)</f>
        <v>4687500</v>
      </c>
      <c r="Y230" s="118"/>
      <c r="Z230" s="118">
        <f t="shared" si="24"/>
        <v>0.33482142857142855</v>
      </c>
      <c r="AA230" s="118">
        <f t="shared" si="25"/>
        <v>0.33482142857142855</v>
      </c>
      <c r="AB230" s="118">
        <f t="shared" si="26"/>
        <v>0.33482142857142855</v>
      </c>
      <c r="AC230" s="118">
        <f t="shared" si="27"/>
        <v>0.3758032686032502</v>
      </c>
      <c r="AD230" s="118">
        <f t="shared" si="28"/>
        <v>0.33482142857142855</v>
      </c>
      <c r="AE230" s="118"/>
      <c r="AF230" s="118"/>
      <c r="AG230" s="118"/>
      <c r="AK230">
        <f t="shared" si="31"/>
        <v>21934080</v>
      </c>
      <c r="AL230">
        <f t="shared" si="31"/>
        <v>21934080</v>
      </c>
      <c r="AM230">
        <f t="shared" si="31"/>
        <v>21934080</v>
      </c>
      <c r="AN230">
        <f t="shared" si="31"/>
        <v>21934080</v>
      </c>
      <c r="AO230">
        <f t="shared" si="31"/>
        <v>21934080</v>
      </c>
    </row>
    <row r="231" spans="1:41">
      <c r="A231" s="185">
        <f>'Water Stuff'!F165</f>
        <v>44722</v>
      </c>
      <c r="B231" s="118">
        <f>'Filtration System'!B195</f>
        <v>0</v>
      </c>
      <c r="C231" s="118">
        <f>'Filtration System'!C195</f>
        <v>0</v>
      </c>
      <c r="D231" s="118">
        <f>'Filtration System'!D195</f>
        <v>0</v>
      </c>
      <c r="E231" s="118">
        <f>'Filtration System'!E195</f>
        <v>0</v>
      </c>
      <c r="F231" s="118">
        <f>'Filtration System'!F195</f>
        <v>1751.2864659405675</v>
      </c>
      <c r="G231" s="118"/>
      <c r="H231" s="118">
        <f>B231/1000*(1000*9.81*Pumps!$B$14+'Parameters and Satisfaction'!$B$27)</f>
        <v>0</v>
      </c>
      <c r="I231" s="118">
        <f>C231/1000*(1000*9.81*Pumps!$B$14+'Parameters and Satisfaction'!$B$27)</f>
        <v>0</v>
      </c>
      <c r="J231" s="118">
        <f>D231/1000*(1000*9.81*Pumps!$B$14+'Parameters and Satisfaction'!$B$27)</f>
        <v>0</v>
      </c>
      <c r="K231" s="118">
        <f>E231/1000*(1000*9.81*Pumps!$B$14+'Parameters and Satisfaction'!$B$27)</f>
        <v>0</v>
      </c>
      <c r="L231" s="118">
        <f>F231/1000*(1000*9.81*Pumps!$B$14+'Parameters and Satisfaction'!$B$27)</f>
        <v>469437.90498179098</v>
      </c>
      <c r="M231" s="118"/>
      <c r="N231" s="118">
        <f>H231/IF('Parameters and Satisfaction'!$C$13="Pump A", 0.7, IF('Parameters and Satisfaction'!$C$13 = "Pump B", 0.72, 0.65))</f>
        <v>0</v>
      </c>
      <c r="O231" s="118">
        <f>I231/IF('Parameters and Satisfaction'!$C$13="Pump A", 0.7, IF('Parameters and Satisfaction'!$C$13 = "Pump B", 0.72, 0.65))</f>
        <v>0</v>
      </c>
      <c r="P231" s="118">
        <f>J231/IF('Parameters and Satisfaction'!$C$13="Pump A", 0.7, IF('Parameters and Satisfaction'!$C$13 = "Pump B", 0.72, 0.65))</f>
        <v>0</v>
      </c>
      <c r="Q231" s="118">
        <f>K231/IF('Parameters and Satisfaction'!$C$13="Pump A", 0.7, IF('Parameters and Satisfaction'!$C$13 = "Pump B", 0.72, 0.65))</f>
        <v>0</v>
      </c>
      <c r="R231" s="118">
        <f>L231/IF('Parameters and Satisfaction'!$C$13="Pump A", 0.7, IF('Parameters and Satisfaction'!$C$13 = "Pump B", 0.72, 0.65))</f>
        <v>651997.09025248745</v>
      </c>
      <c r="S231" s="118"/>
      <c r="T231" s="118">
        <f>N231+$F$47+IF('Parameters and Satisfaction'!$C$19="Ozone", 'Filtration System'!AA195*1000000, 0)</f>
        <v>4687500</v>
      </c>
      <c r="U231" s="118">
        <f>O231+$F$47+IF('Parameters and Satisfaction'!$C$19="Ozone", 'Filtration System'!AB195*1000000, 0)</f>
        <v>4687500</v>
      </c>
      <c r="V231" s="118">
        <f>P231+$F$47+IF('Parameters and Satisfaction'!$C$19="Ozone", 'Filtration System'!AC195*1000000, 0)</f>
        <v>4687500</v>
      </c>
      <c r="W231" s="118">
        <f>Q231+$F$47+IF('Parameters and Satisfaction'!$C$19="Ozone", 'Filtration System'!AD195*1000000, 0)</f>
        <v>4687500</v>
      </c>
      <c r="X231" s="118">
        <f>R231+$F$47+IF('Parameters and Satisfaction'!$C$19="Ozone", 'Filtration System'!AE195*1000000, 0)</f>
        <v>5339497.090252487</v>
      </c>
      <c r="Y231" s="118"/>
      <c r="Z231" s="118">
        <f t="shared" si="24"/>
        <v>0.33482142857142855</v>
      </c>
      <c r="AA231" s="118">
        <f t="shared" si="25"/>
        <v>0.33482142857142855</v>
      </c>
      <c r="AB231" s="118">
        <f t="shared" si="26"/>
        <v>0.33482142857142855</v>
      </c>
      <c r="AC231" s="118">
        <f t="shared" si="27"/>
        <v>0.33482142857142855</v>
      </c>
      <c r="AD231" s="118">
        <f t="shared" si="28"/>
        <v>0.38139264930374905</v>
      </c>
      <c r="AE231" s="118"/>
      <c r="AF231" s="118"/>
      <c r="AG231" s="118"/>
      <c r="AK231">
        <f t="shared" si="31"/>
        <v>21934080</v>
      </c>
      <c r="AL231">
        <f t="shared" si="31"/>
        <v>21934080</v>
      </c>
      <c r="AM231">
        <f t="shared" si="31"/>
        <v>21934080</v>
      </c>
      <c r="AN231">
        <f t="shared" si="31"/>
        <v>21934080</v>
      </c>
      <c r="AO231">
        <f t="shared" si="31"/>
        <v>21934080</v>
      </c>
    </row>
    <row r="232" spans="1:41">
      <c r="A232" s="185">
        <f>'Water Stuff'!F166</f>
        <v>44723</v>
      </c>
      <c r="B232" s="118">
        <f>'Filtration System'!B196</f>
        <v>0</v>
      </c>
      <c r="C232" s="118">
        <f>'Filtration System'!C196</f>
        <v>0</v>
      </c>
      <c r="D232" s="118">
        <f>'Filtration System'!D196</f>
        <v>0</v>
      </c>
      <c r="E232" s="118">
        <f>'Filtration System'!E196</f>
        <v>715.16756079530501</v>
      </c>
      <c r="F232" s="118">
        <f>'Filtration System'!F196</f>
        <v>0</v>
      </c>
      <c r="G232" s="118"/>
      <c r="H232" s="118">
        <f>B232/1000*(1000*9.81*Pumps!$B$14+'Parameters and Satisfaction'!$B$27)</f>
        <v>0</v>
      </c>
      <c r="I232" s="118">
        <f>C232/1000*(1000*9.81*Pumps!$B$14+'Parameters and Satisfaction'!$B$27)</f>
        <v>0</v>
      </c>
      <c r="J232" s="118">
        <f>D232/1000*(1000*9.81*Pumps!$B$14+'Parameters and Satisfaction'!$B$27)</f>
        <v>0</v>
      </c>
      <c r="K232" s="118">
        <f>E232/1000*(1000*9.81*Pumps!$B$14+'Parameters and Satisfaction'!$B$27)</f>
        <v>191702.93837129383</v>
      </c>
      <c r="L232" s="118">
        <f>F232/1000*(1000*9.81*Pumps!$B$14+'Parameters and Satisfaction'!$B$27)</f>
        <v>0</v>
      </c>
      <c r="M232" s="118"/>
      <c r="N232" s="118">
        <f>H232/IF('Parameters and Satisfaction'!$C$13="Pump A", 0.7, IF('Parameters and Satisfaction'!$C$13 = "Pump B", 0.72, 0.65))</f>
        <v>0</v>
      </c>
      <c r="O232" s="118">
        <f>I232/IF('Parameters and Satisfaction'!$C$13="Pump A", 0.7, IF('Parameters and Satisfaction'!$C$13 = "Pump B", 0.72, 0.65))</f>
        <v>0</v>
      </c>
      <c r="P232" s="118">
        <f>J232/IF('Parameters and Satisfaction'!$C$13="Pump A", 0.7, IF('Parameters and Satisfaction'!$C$13 = "Pump B", 0.72, 0.65))</f>
        <v>0</v>
      </c>
      <c r="Q232" s="118">
        <f>K232/IF('Parameters and Satisfaction'!$C$13="Pump A", 0.7, IF('Parameters and Satisfaction'!$C$13 = "Pump B", 0.72, 0.65))</f>
        <v>266254.08107124147</v>
      </c>
      <c r="R232" s="118">
        <f>L232/IF('Parameters and Satisfaction'!$C$13="Pump A", 0.7, IF('Parameters and Satisfaction'!$C$13 = "Pump B", 0.72, 0.65))</f>
        <v>0</v>
      </c>
      <c r="S232" s="118"/>
      <c r="T232" s="118">
        <f>N232+$F$47+IF('Parameters and Satisfaction'!$C$19="Ozone", 'Filtration System'!AA196*1000000, 0)</f>
        <v>4687500</v>
      </c>
      <c r="U232" s="118">
        <f>O232+$F$47+IF('Parameters and Satisfaction'!$C$19="Ozone", 'Filtration System'!AB196*1000000, 0)</f>
        <v>4687500</v>
      </c>
      <c r="V232" s="118">
        <f>P232+$F$47+IF('Parameters and Satisfaction'!$C$19="Ozone", 'Filtration System'!AC196*1000000, 0)</f>
        <v>4687500</v>
      </c>
      <c r="W232" s="118">
        <f>Q232+$F$47+IF('Parameters and Satisfaction'!$C$19="Ozone", 'Filtration System'!AD196*1000000, 0)</f>
        <v>4953754.0810712418</v>
      </c>
      <c r="X232" s="118">
        <f>R232+$F$47+IF('Parameters and Satisfaction'!$C$19="Ozone", 'Filtration System'!AE196*1000000, 0)</f>
        <v>4687500</v>
      </c>
      <c r="Y232" s="118"/>
      <c r="Z232" s="118">
        <f t="shared" si="24"/>
        <v>0.33482142857142855</v>
      </c>
      <c r="AA232" s="118">
        <f t="shared" si="25"/>
        <v>0.33482142857142855</v>
      </c>
      <c r="AB232" s="118">
        <f t="shared" si="26"/>
        <v>0.33482142857142855</v>
      </c>
      <c r="AC232" s="118">
        <f t="shared" si="27"/>
        <v>0.35383957721937442</v>
      </c>
      <c r="AD232" s="118">
        <f t="shared" si="28"/>
        <v>0.33482142857142855</v>
      </c>
      <c r="AE232" s="118"/>
      <c r="AF232" s="118"/>
      <c r="AG232" s="118"/>
      <c r="AK232">
        <f t="shared" ref="AK232:AO241" si="32">$D$60</f>
        <v>21934080</v>
      </c>
      <c r="AL232">
        <f t="shared" si="32"/>
        <v>21934080</v>
      </c>
      <c r="AM232">
        <f t="shared" si="32"/>
        <v>21934080</v>
      </c>
      <c r="AN232">
        <f t="shared" si="32"/>
        <v>21934080</v>
      </c>
      <c r="AO232">
        <f t="shared" si="32"/>
        <v>21934080</v>
      </c>
    </row>
    <row r="233" spans="1:41">
      <c r="A233" s="185">
        <f>'Water Stuff'!F167</f>
        <v>44724</v>
      </c>
      <c r="B233" s="118">
        <f>'Filtration System'!B197</f>
        <v>0</v>
      </c>
      <c r="C233" s="118">
        <f>'Filtration System'!C197</f>
        <v>0</v>
      </c>
      <c r="D233" s="118">
        <f>'Filtration System'!D197</f>
        <v>1741.876228193667</v>
      </c>
      <c r="E233" s="118">
        <f>'Filtration System'!E197</f>
        <v>0</v>
      </c>
      <c r="F233" s="118">
        <f>'Filtration System'!F197</f>
        <v>1625.9372157985488</v>
      </c>
      <c r="G233" s="118"/>
      <c r="H233" s="118">
        <f>B233/1000*(1000*9.81*Pumps!$B$14+'Parameters and Satisfaction'!$B$27)</f>
        <v>0</v>
      </c>
      <c r="I233" s="118">
        <f>C233/1000*(1000*9.81*Pumps!$B$14+'Parameters and Satisfaction'!$B$27)</f>
        <v>0</v>
      </c>
      <c r="J233" s="118">
        <f>D233/1000*(1000*9.81*Pumps!$B$14+'Parameters and Satisfaction'!$B$27)</f>
        <v>466915.46083618794</v>
      </c>
      <c r="K233" s="118">
        <f>E233/1000*(1000*9.81*Pumps!$B$14+'Parameters and Satisfaction'!$B$27)</f>
        <v>0</v>
      </c>
      <c r="L233" s="118">
        <f>F233/1000*(1000*9.81*Pumps!$B$14+'Parameters and Satisfaction'!$B$27)</f>
        <v>435837.63996398047</v>
      </c>
      <c r="M233" s="118"/>
      <c r="N233" s="118">
        <f>H233/IF('Parameters and Satisfaction'!$C$13="Pump A", 0.7, IF('Parameters and Satisfaction'!$C$13 = "Pump B", 0.72, 0.65))</f>
        <v>0</v>
      </c>
      <c r="O233" s="118">
        <f>I233/IF('Parameters and Satisfaction'!$C$13="Pump A", 0.7, IF('Parameters and Satisfaction'!$C$13 = "Pump B", 0.72, 0.65))</f>
        <v>0</v>
      </c>
      <c r="P233" s="118">
        <f>J233/IF('Parameters and Satisfaction'!$C$13="Pump A", 0.7, IF('Parameters and Satisfaction'!$C$13 = "Pump B", 0.72, 0.65))</f>
        <v>648493.69560581655</v>
      </c>
      <c r="Q233" s="118">
        <f>K233/IF('Parameters and Satisfaction'!$C$13="Pump A", 0.7, IF('Parameters and Satisfaction'!$C$13 = "Pump B", 0.72, 0.65))</f>
        <v>0</v>
      </c>
      <c r="R233" s="118">
        <f>L233/IF('Parameters and Satisfaction'!$C$13="Pump A", 0.7, IF('Parameters and Satisfaction'!$C$13 = "Pump B", 0.72, 0.65))</f>
        <v>605330.05550552846</v>
      </c>
      <c r="S233" s="118"/>
      <c r="T233" s="118">
        <f>N233+$F$47+IF('Parameters and Satisfaction'!$C$19="Ozone", 'Filtration System'!AA197*1000000, 0)</f>
        <v>4687500</v>
      </c>
      <c r="U233" s="118">
        <f>O233+$F$47+IF('Parameters and Satisfaction'!$C$19="Ozone", 'Filtration System'!AB197*1000000, 0)</f>
        <v>4687500</v>
      </c>
      <c r="V233" s="118">
        <f>P233+$F$47+IF('Parameters and Satisfaction'!$C$19="Ozone", 'Filtration System'!AC197*1000000, 0)</f>
        <v>5335993.6956058163</v>
      </c>
      <c r="W233" s="118">
        <f>Q233+$F$47+IF('Parameters and Satisfaction'!$C$19="Ozone", 'Filtration System'!AD197*1000000, 0)</f>
        <v>4687500</v>
      </c>
      <c r="X233" s="118">
        <f>R233+$F$47+IF('Parameters and Satisfaction'!$C$19="Ozone", 'Filtration System'!AE197*1000000, 0)</f>
        <v>5292830.0555055281</v>
      </c>
      <c r="Y233" s="118"/>
      <c r="Z233" s="118">
        <f t="shared" si="24"/>
        <v>0.33482142857142855</v>
      </c>
      <c r="AA233" s="118">
        <f t="shared" si="25"/>
        <v>0.33482142857142855</v>
      </c>
      <c r="AB233" s="118">
        <f t="shared" si="26"/>
        <v>0.38114240682898687</v>
      </c>
      <c r="AC233" s="118">
        <f t="shared" si="27"/>
        <v>0.33482142857142855</v>
      </c>
      <c r="AD233" s="118">
        <f t="shared" si="28"/>
        <v>0.37805928967896629</v>
      </c>
      <c r="AE233" s="118"/>
      <c r="AF233" s="118"/>
      <c r="AG233" s="118"/>
      <c r="AK233">
        <f t="shared" si="32"/>
        <v>21934080</v>
      </c>
      <c r="AL233">
        <f t="shared" si="32"/>
        <v>21934080</v>
      </c>
      <c r="AM233">
        <f t="shared" si="32"/>
        <v>21934080</v>
      </c>
      <c r="AN233">
        <f t="shared" si="32"/>
        <v>21934080</v>
      </c>
      <c r="AO233">
        <f t="shared" si="32"/>
        <v>21934080</v>
      </c>
    </row>
    <row r="234" spans="1:41">
      <c r="A234" s="185">
        <f>'Water Stuff'!F168</f>
        <v>44725</v>
      </c>
      <c r="B234" s="118">
        <f>'Filtration System'!B198</f>
        <v>0</v>
      </c>
      <c r="C234" s="118">
        <f>'Filtration System'!C198</f>
        <v>0</v>
      </c>
      <c r="D234" s="118">
        <f>'Filtration System'!D198</f>
        <v>0</v>
      </c>
      <c r="E234" s="118">
        <f>'Filtration System'!E198</f>
        <v>1011.1864996758979</v>
      </c>
      <c r="F234" s="118">
        <f>'Filtration System'!F198</f>
        <v>0</v>
      </c>
      <c r="G234" s="118"/>
      <c r="H234" s="118">
        <f>B234/1000*(1000*9.81*Pumps!$B$14+'Parameters and Satisfaction'!$B$27)</f>
        <v>0</v>
      </c>
      <c r="I234" s="118">
        <f>C234/1000*(1000*9.81*Pumps!$B$14+'Parameters and Satisfaction'!$B$27)</f>
        <v>0</v>
      </c>
      <c r="J234" s="118">
        <f>D234/1000*(1000*9.81*Pumps!$B$14+'Parameters and Satisfaction'!$B$27)</f>
        <v>0</v>
      </c>
      <c r="K234" s="118">
        <f>E234/1000*(1000*9.81*Pumps!$B$14+'Parameters and Satisfaction'!$B$27)</f>
        <v>271051.75605795678</v>
      </c>
      <c r="L234" s="118">
        <f>F234/1000*(1000*9.81*Pumps!$B$14+'Parameters and Satisfaction'!$B$27)</f>
        <v>0</v>
      </c>
      <c r="M234" s="118"/>
      <c r="N234" s="118">
        <f>H234/IF('Parameters and Satisfaction'!$C$13="Pump A", 0.7, IF('Parameters and Satisfaction'!$C$13 = "Pump B", 0.72, 0.65))</f>
        <v>0</v>
      </c>
      <c r="O234" s="118">
        <f>I234/IF('Parameters and Satisfaction'!$C$13="Pump A", 0.7, IF('Parameters and Satisfaction'!$C$13 = "Pump B", 0.72, 0.65))</f>
        <v>0</v>
      </c>
      <c r="P234" s="118">
        <f>J234/IF('Parameters and Satisfaction'!$C$13="Pump A", 0.7, IF('Parameters and Satisfaction'!$C$13 = "Pump B", 0.72, 0.65))</f>
        <v>0</v>
      </c>
      <c r="Q234" s="118">
        <f>K234/IF('Parameters and Satisfaction'!$C$13="Pump A", 0.7, IF('Parameters and Satisfaction'!$C$13 = "Pump B", 0.72, 0.65))</f>
        <v>376460.77230271779</v>
      </c>
      <c r="R234" s="118">
        <f>L234/IF('Parameters and Satisfaction'!$C$13="Pump A", 0.7, IF('Parameters and Satisfaction'!$C$13 = "Pump B", 0.72, 0.65))</f>
        <v>0</v>
      </c>
      <c r="S234" s="118"/>
      <c r="T234" s="118">
        <f>N234+$F$47+IF('Parameters and Satisfaction'!$C$19="Ozone", 'Filtration System'!AA198*1000000, 0)</f>
        <v>4687500</v>
      </c>
      <c r="U234" s="118">
        <f>O234+$F$47+IF('Parameters and Satisfaction'!$C$19="Ozone", 'Filtration System'!AB198*1000000, 0)</f>
        <v>4687500</v>
      </c>
      <c r="V234" s="118">
        <f>P234+$F$47+IF('Parameters and Satisfaction'!$C$19="Ozone", 'Filtration System'!AC198*1000000, 0)</f>
        <v>4687500</v>
      </c>
      <c r="W234" s="118">
        <f>Q234+$F$47+IF('Parameters and Satisfaction'!$C$19="Ozone", 'Filtration System'!AD198*1000000, 0)</f>
        <v>5063960.7723027179</v>
      </c>
      <c r="X234" s="118">
        <f>R234+$F$47+IF('Parameters and Satisfaction'!$C$19="Ozone", 'Filtration System'!AE198*1000000, 0)</f>
        <v>4687500</v>
      </c>
      <c r="Y234" s="118"/>
      <c r="Z234" s="118">
        <f t="shared" si="24"/>
        <v>0.33482142857142855</v>
      </c>
      <c r="AA234" s="118">
        <f t="shared" si="25"/>
        <v>0.33482142857142855</v>
      </c>
      <c r="AB234" s="118">
        <f t="shared" si="26"/>
        <v>0.33482142857142855</v>
      </c>
      <c r="AC234" s="118">
        <f t="shared" si="27"/>
        <v>0.36171148373590845</v>
      </c>
      <c r="AD234" s="118">
        <f t="shared" si="28"/>
        <v>0.33482142857142855</v>
      </c>
      <c r="AE234" s="118"/>
      <c r="AF234" s="118"/>
      <c r="AG234" s="118"/>
      <c r="AK234">
        <f t="shared" si="32"/>
        <v>21934080</v>
      </c>
      <c r="AL234">
        <f t="shared" si="32"/>
        <v>21934080</v>
      </c>
      <c r="AM234">
        <f t="shared" si="32"/>
        <v>21934080</v>
      </c>
      <c r="AN234">
        <f t="shared" si="32"/>
        <v>21934080</v>
      </c>
      <c r="AO234">
        <f t="shared" si="32"/>
        <v>21934080</v>
      </c>
    </row>
    <row r="235" spans="1:41">
      <c r="A235" s="185">
        <f>'Water Stuff'!F169</f>
        <v>44726</v>
      </c>
      <c r="B235" s="118">
        <f>'Filtration System'!B199</f>
        <v>720</v>
      </c>
      <c r="C235" s="118">
        <f>'Filtration System'!C199</f>
        <v>0</v>
      </c>
      <c r="D235" s="118">
        <f>'Filtration System'!D199</f>
        <v>0</v>
      </c>
      <c r="E235" s="118">
        <f>'Filtration System'!E199</f>
        <v>0</v>
      </c>
      <c r="F235" s="118">
        <f>'Filtration System'!F199</f>
        <v>946.90528460136318</v>
      </c>
      <c r="G235" s="118"/>
      <c r="H235" s="118">
        <f>B235/1000*(1000*9.81*Pumps!$B$14+'Parameters and Satisfaction'!$B$27)</f>
        <v>192998.28906366928</v>
      </c>
      <c r="I235" s="118">
        <f>C235/1000*(1000*9.81*Pumps!$B$14+'Parameters and Satisfaction'!$B$27)</f>
        <v>0</v>
      </c>
      <c r="J235" s="118">
        <f>D235/1000*(1000*9.81*Pumps!$B$14+'Parameters and Satisfaction'!$B$27)</f>
        <v>0</v>
      </c>
      <c r="K235" s="118">
        <f>E235/1000*(1000*9.81*Pumps!$B$14+'Parameters and Satisfaction'!$B$27)</f>
        <v>0</v>
      </c>
      <c r="L235" s="118">
        <f>F235/1000*(1000*9.81*Pumps!$B$14+'Parameters and Satisfaction'!$B$27)</f>
        <v>253820.97199084712</v>
      </c>
      <c r="M235" s="118"/>
      <c r="N235" s="118">
        <f>H235/IF('Parameters and Satisfaction'!$C$13="Pump A", 0.7, IF('Parameters and Satisfaction'!$C$13 = "Pump B", 0.72, 0.65))</f>
        <v>268053.17925509624</v>
      </c>
      <c r="O235" s="118">
        <f>I235/IF('Parameters and Satisfaction'!$C$13="Pump A", 0.7, IF('Parameters and Satisfaction'!$C$13 = "Pump B", 0.72, 0.65))</f>
        <v>0</v>
      </c>
      <c r="P235" s="118">
        <f>J235/IF('Parameters and Satisfaction'!$C$13="Pump A", 0.7, IF('Parameters and Satisfaction'!$C$13 = "Pump B", 0.72, 0.65))</f>
        <v>0</v>
      </c>
      <c r="Q235" s="118">
        <f>K235/IF('Parameters and Satisfaction'!$C$13="Pump A", 0.7, IF('Parameters and Satisfaction'!$C$13 = "Pump B", 0.72, 0.65))</f>
        <v>0</v>
      </c>
      <c r="R235" s="118">
        <f>L235/IF('Parameters and Satisfaction'!$C$13="Pump A", 0.7, IF('Parameters and Satisfaction'!$C$13 = "Pump B", 0.72, 0.65))</f>
        <v>352529.12776506547</v>
      </c>
      <c r="S235" s="118"/>
      <c r="T235" s="118">
        <f>N235+$F$47+IF('Parameters and Satisfaction'!$C$19="Ozone", 'Filtration System'!AA199*1000000, 0)</f>
        <v>4955553.1792550962</v>
      </c>
      <c r="U235" s="118">
        <f>O235+$F$47+IF('Parameters and Satisfaction'!$C$19="Ozone", 'Filtration System'!AB199*1000000, 0)</f>
        <v>4687500</v>
      </c>
      <c r="V235" s="118">
        <f>P235+$F$47+IF('Parameters and Satisfaction'!$C$19="Ozone", 'Filtration System'!AC199*1000000, 0)</f>
        <v>4687500</v>
      </c>
      <c r="W235" s="118">
        <f>Q235+$F$47+IF('Parameters and Satisfaction'!$C$19="Ozone", 'Filtration System'!AD199*1000000, 0)</f>
        <v>4687500</v>
      </c>
      <c r="X235" s="118">
        <f>R235+$F$47+IF('Parameters and Satisfaction'!$C$19="Ozone", 'Filtration System'!AE199*1000000, 0)</f>
        <v>5040029.1277650651</v>
      </c>
      <c r="Y235" s="118"/>
      <c r="Z235" s="118">
        <f t="shared" si="24"/>
        <v>0.35396808423250686</v>
      </c>
      <c r="AA235" s="118">
        <f t="shared" si="25"/>
        <v>0.33482142857142855</v>
      </c>
      <c r="AB235" s="118">
        <f t="shared" si="26"/>
        <v>0.33482142857142855</v>
      </c>
      <c r="AC235" s="118">
        <f t="shared" si="27"/>
        <v>0.33482142857142855</v>
      </c>
      <c r="AD235" s="118">
        <f t="shared" si="28"/>
        <v>0.3600020805546475</v>
      </c>
      <c r="AE235" s="118"/>
      <c r="AF235" s="118"/>
      <c r="AG235" s="118"/>
      <c r="AK235">
        <f t="shared" si="32"/>
        <v>21934080</v>
      </c>
      <c r="AL235">
        <f t="shared" si="32"/>
        <v>21934080</v>
      </c>
      <c r="AM235">
        <f t="shared" si="32"/>
        <v>21934080</v>
      </c>
      <c r="AN235">
        <f t="shared" si="32"/>
        <v>21934080</v>
      </c>
      <c r="AO235">
        <f t="shared" si="32"/>
        <v>21934080</v>
      </c>
    </row>
    <row r="236" spans="1:41">
      <c r="A236" s="185">
        <f>'Water Stuff'!F170</f>
        <v>44727</v>
      </c>
      <c r="B236" s="118">
        <f>'Filtration System'!B200</f>
        <v>0</v>
      </c>
      <c r="C236" s="118">
        <f>'Filtration System'!C200</f>
        <v>0</v>
      </c>
      <c r="D236" s="118">
        <f>'Filtration System'!D200</f>
        <v>0</v>
      </c>
      <c r="E236" s="118">
        <f>'Filtration System'!E200</f>
        <v>0</v>
      </c>
      <c r="F236" s="118">
        <f>'Filtration System'!F200</f>
        <v>0</v>
      </c>
      <c r="G236" s="118"/>
      <c r="H236" s="118">
        <f>B236/1000*(1000*9.81*Pumps!$B$14+'Parameters and Satisfaction'!$B$27)</f>
        <v>0</v>
      </c>
      <c r="I236" s="118">
        <f>C236/1000*(1000*9.81*Pumps!$B$14+'Parameters and Satisfaction'!$B$27)</f>
        <v>0</v>
      </c>
      <c r="J236" s="118">
        <f>D236/1000*(1000*9.81*Pumps!$B$14+'Parameters and Satisfaction'!$B$27)</f>
        <v>0</v>
      </c>
      <c r="K236" s="118">
        <f>E236/1000*(1000*9.81*Pumps!$B$14+'Parameters and Satisfaction'!$B$27)</f>
        <v>0</v>
      </c>
      <c r="L236" s="118">
        <f>F236/1000*(1000*9.81*Pumps!$B$14+'Parameters and Satisfaction'!$B$27)</f>
        <v>0</v>
      </c>
      <c r="M236" s="118"/>
      <c r="N236" s="118">
        <f>H236/IF('Parameters and Satisfaction'!$C$13="Pump A", 0.7, IF('Parameters and Satisfaction'!$C$13 = "Pump B", 0.72, 0.65))</f>
        <v>0</v>
      </c>
      <c r="O236" s="118">
        <f>I236/IF('Parameters and Satisfaction'!$C$13="Pump A", 0.7, IF('Parameters and Satisfaction'!$C$13 = "Pump B", 0.72, 0.65))</f>
        <v>0</v>
      </c>
      <c r="P236" s="118">
        <f>J236/IF('Parameters and Satisfaction'!$C$13="Pump A", 0.7, IF('Parameters and Satisfaction'!$C$13 = "Pump B", 0.72, 0.65))</f>
        <v>0</v>
      </c>
      <c r="Q236" s="118">
        <f>K236/IF('Parameters and Satisfaction'!$C$13="Pump A", 0.7, IF('Parameters and Satisfaction'!$C$13 = "Pump B", 0.72, 0.65))</f>
        <v>0</v>
      </c>
      <c r="R236" s="118">
        <f>L236/IF('Parameters and Satisfaction'!$C$13="Pump A", 0.7, IF('Parameters and Satisfaction'!$C$13 = "Pump B", 0.72, 0.65))</f>
        <v>0</v>
      </c>
      <c r="S236" s="118"/>
      <c r="T236" s="118">
        <f>N236+$F$47+IF('Parameters and Satisfaction'!$C$19="Ozone", 'Filtration System'!AA200*1000000, 0)</f>
        <v>4687500</v>
      </c>
      <c r="U236" s="118">
        <f>O236+$F$47+IF('Parameters and Satisfaction'!$C$19="Ozone", 'Filtration System'!AB200*1000000, 0)</f>
        <v>4687500</v>
      </c>
      <c r="V236" s="118">
        <f>P236+$F$47+IF('Parameters and Satisfaction'!$C$19="Ozone", 'Filtration System'!AC200*1000000, 0)</f>
        <v>4687500</v>
      </c>
      <c r="W236" s="118">
        <f>Q236+$F$47+IF('Parameters and Satisfaction'!$C$19="Ozone", 'Filtration System'!AD200*1000000, 0)</f>
        <v>4687500</v>
      </c>
      <c r="X236" s="118">
        <f>R236+$F$47+IF('Parameters and Satisfaction'!$C$19="Ozone", 'Filtration System'!AE200*1000000, 0)</f>
        <v>4687500</v>
      </c>
      <c r="Y236" s="118"/>
      <c r="Z236" s="118">
        <f t="shared" si="24"/>
        <v>0.33482142857142855</v>
      </c>
      <c r="AA236" s="118">
        <f t="shared" si="25"/>
        <v>0.33482142857142855</v>
      </c>
      <c r="AB236" s="118">
        <f t="shared" si="26"/>
        <v>0.33482142857142855</v>
      </c>
      <c r="AC236" s="118">
        <f t="shared" si="27"/>
        <v>0.33482142857142855</v>
      </c>
      <c r="AD236" s="118">
        <f t="shared" si="28"/>
        <v>0.33482142857142855</v>
      </c>
      <c r="AE236" s="118"/>
      <c r="AF236" s="118"/>
      <c r="AG236" s="118"/>
      <c r="AK236">
        <f t="shared" si="32"/>
        <v>21934080</v>
      </c>
      <c r="AL236">
        <f t="shared" si="32"/>
        <v>21934080</v>
      </c>
      <c r="AM236">
        <f t="shared" si="32"/>
        <v>21934080</v>
      </c>
      <c r="AN236">
        <f t="shared" si="32"/>
        <v>21934080</v>
      </c>
      <c r="AO236">
        <f t="shared" si="32"/>
        <v>21934080</v>
      </c>
    </row>
    <row r="237" spans="1:41">
      <c r="A237" s="185">
        <f>'Water Stuff'!F171</f>
        <v>44728</v>
      </c>
      <c r="B237" s="118">
        <f>'Filtration System'!B201</f>
        <v>0</v>
      </c>
      <c r="C237" s="118">
        <f>'Filtration System'!C201</f>
        <v>0</v>
      </c>
      <c r="D237" s="118">
        <f>'Filtration System'!D201</f>
        <v>0</v>
      </c>
      <c r="E237" s="118">
        <f>'Filtration System'!E201</f>
        <v>723.05846976437761</v>
      </c>
      <c r="F237" s="118">
        <f>'Filtration System'!F201</f>
        <v>0</v>
      </c>
      <c r="G237" s="118"/>
      <c r="H237" s="118">
        <f>B237/1000*(1000*9.81*Pumps!$B$14+'Parameters and Satisfaction'!$B$27)</f>
        <v>0</v>
      </c>
      <c r="I237" s="118">
        <f>C237/1000*(1000*9.81*Pumps!$B$14+'Parameters and Satisfaction'!$B$27)</f>
        <v>0</v>
      </c>
      <c r="J237" s="118">
        <f>D237/1000*(1000*9.81*Pumps!$B$14+'Parameters and Satisfaction'!$B$27)</f>
        <v>0</v>
      </c>
      <c r="K237" s="118">
        <f>E237/1000*(1000*9.81*Pumps!$B$14+'Parameters and Satisfaction'!$B$27)</f>
        <v>193818.12160766628</v>
      </c>
      <c r="L237" s="118">
        <f>F237/1000*(1000*9.81*Pumps!$B$14+'Parameters and Satisfaction'!$B$27)</f>
        <v>0</v>
      </c>
      <c r="M237" s="118"/>
      <c r="N237" s="118">
        <f>H237/IF('Parameters and Satisfaction'!$C$13="Pump A", 0.7, IF('Parameters and Satisfaction'!$C$13 = "Pump B", 0.72, 0.65))</f>
        <v>0</v>
      </c>
      <c r="O237" s="118">
        <f>I237/IF('Parameters and Satisfaction'!$C$13="Pump A", 0.7, IF('Parameters and Satisfaction'!$C$13 = "Pump B", 0.72, 0.65))</f>
        <v>0</v>
      </c>
      <c r="P237" s="118">
        <f>J237/IF('Parameters and Satisfaction'!$C$13="Pump A", 0.7, IF('Parameters and Satisfaction'!$C$13 = "Pump B", 0.72, 0.65))</f>
        <v>0</v>
      </c>
      <c r="Q237" s="118">
        <f>K237/IF('Parameters and Satisfaction'!$C$13="Pump A", 0.7, IF('Parameters and Satisfaction'!$C$13 = "Pump B", 0.72, 0.65))</f>
        <v>269191.83556620317</v>
      </c>
      <c r="R237" s="118">
        <f>L237/IF('Parameters and Satisfaction'!$C$13="Pump A", 0.7, IF('Parameters and Satisfaction'!$C$13 = "Pump B", 0.72, 0.65))</f>
        <v>0</v>
      </c>
      <c r="S237" s="118"/>
      <c r="T237" s="118">
        <f>N237+$F$47+IF('Parameters and Satisfaction'!$C$19="Ozone", 'Filtration System'!AA201*1000000, 0)</f>
        <v>4687500</v>
      </c>
      <c r="U237" s="118">
        <f>O237+$F$47+IF('Parameters and Satisfaction'!$C$19="Ozone", 'Filtration System'!AB201*1000000, 0)</f>
        <v>4687500</v>
      </c>
      <c r="V237" s="118">
        <f>P237+$F$47+IF('Parameters and Satisfaction'!$C$19="Ozone", 'Filtration System'!AC201*1000000, 0)</f>
        <v>4687500</v>
      </c>
      <c r="W237" s="118">
        <f>Q237+$F$47+IF('Parameters and Satisfaction'!$C$19="Ozone", 'Filtration System'!AD201*1000000, 0)</f>
        <v>4956691.8355662031</v>
      </c>
      <c r="X237" s="118">
        <f>R237+$F$47+IF('Parameters and Satisfaction'!$C$19="Ozone", 'Filtration System'!AE201*1000000, 0)</f>
        <v>4687500</v>
      </c>
      <c r="Y237" s="118"/>
      <c r="Z237" s="118">
        <f t="shared" si="24"/>
        <v>0.33482142857142855</v>
      </c>
      <c r="AA237" s="118">
        <f t="shared" si="25"/>
        <v>0.33482142857142855</v>
      </c>
      <c r="AB237" s="118">
        <f t="shared" si="26"/>
        <v>0.33482142857142855</v>
      </c>
      <c r="AC237" s="118">
        <f t="shared" si="27"/>
        <v>0.35404941682615737</v>
      </c>
      <c r="AD237" s="118">
        <f t="shared" si="28"/>
        <v>0.33482142857142855</v>
      </c>
      <c r="AE237" s="118"/>
      <c r="AF237" s="118"/>
      <c r="AG237" s="118"/>
      <c r="AK237">
        <f t="shared" si="32"/>
        <v>21934080</v>
      </c>
      <c r="AL237">
        <f t="shared" si="32"/>
        <v>21934080</v>
      </c>
      <c r="AM237">
        <f t="shared" si="32"/>
        <v>21934080</v>
      </c>
      <c r="AN237">
        <f t="shared" si="32"/>
        <v>21934080</v>
      </c>
      <c r="AO237">
        <f t="shared" si="32"/>
        <v>21934080</v>
      </c>
    </row>
    <row r="238" spans="1:41">
      <c r="A238" s="185">
        <f>'Water Stuff'!F172</f>
        <v>44729</v>
      </c>
      <c r="B238" s="118">
        <f>'Filtration System'!B202</f>
        <v>0</v>
      </c>
      <c r="C238" s="118">
        <f>'Filtration System'!C202</f>
        <v>0</v>
      </c>
      <c r="D238" s="118">
        <f>'Filtration System'!D202</f>
        <v>0</v>
      </c>
      <c r="E238" s="118">
        <f>'Filtration System'!E202</f>
        <v>354.56671219117999</v>
      </c>
      <c r="F238" s="118">
        <f>'Filtration System'!F202</f>
        <v>0</v>
      </c>
      <c r="G238" s="118"/>
      <c r="H238" s="118">
        <f>B238/1000*(1000*9.81*Pumps!$B$14+'Parameters and Satisfaction'!$B$27)</f>
        <v>0</v>
      </c>
      <c r="I238" s="118">
        <f>C238/1000*(1000*9.81*Pumps!$B$14+'Parameters and Satisfaction'!$B$27)</f>
        <v>0</v>
      </c>
      <c r="J238" s="118">
        <f>D238/1000*(1000*9.81*Pumps!$B$14+'Parameters and Satisfaction'!$B$27)</f>
        <v>0</v>
      </c>
      <c r="K238" s="118">
        <f>E238/1000*(1000*9.81*Pumps!$B$14+'Parameters and Satisfaction'!$B$27)</f>
        <v>95042.734460872482</v>
      </c>
      <c r="L238" s="118">
        <f>F238/1000*(1000*9.81*Pumps!$B$14+'Parameters and Satisfaction'!$B$27)</f>
        <v>0</v>
      </c>
      <c r="M238" s="118"/>
      <c r="N238" s="118">
        <f>H238/IF('Parameters and Satisfaction'!$C$13="Pump A", 0.7, IF('Parameters and Satisfaction'!$C$13 = "Pump B", 0.72, 0.65))</f>
        <v>0</v>
      </c>
      <c r="O238" s="118">
        <f>I238/IF('Parameters and Satisfaction'!$C$13="Pump A", 0.7, IF('Parameters and Satisfaction'!$C$13 = "Pump B", 0.72, 0.65))</f>
        <v>0</v>
      </c>
      <c r="P238" s="118">
        <f>J238/IF('Parameters and Satisfaction'!$C$13="Pump A", 0.7, IF('Parameters and Satisfaction'!$C$13 = "Pump B", 0.72, 0.65))</f>
        <v>0</v>
      </c>
      <c r="Q238" s="118">
        <f>K238/IF('Parameters and Satisfaction'!$C$13="Pump A", 0.7, IF('Parameters and Satisfaction'!$C$13 = "Pump B", 0.72, 0.65))</f>
        <v>132003.79786232288</v>
      </c>
      <c r="R238" s="118">
        <f>L238/IF('Parameters and Satisfaction'!$C$13="Pump A", 0.7, IF('Parameters and Satisfaction'!$C$13 = "Pump B", 0.72, 0.65))</f>
        <v>0</v>
      </c>
      <c r="S238" s="118"/>
      <c r="T238" s="118">
        <f>N238+$F$47+IF('Parameters and Satisfaction'!$C$19="Ozone", 'Filtration System'!AA202*1000000, 0)</f>
        <v>4687500</v>
      </c>
      <c r="U238" s="118">
        <f>O238+$F$47+IF('Parameters and Satisfaction'!$C$19="Ozone", 'Filtration System'!AB202*1000000, 0)</f>
        <v>4687500</v>
      </c>
      <c r="V238" s="118">
        <f>P238+$F$47+IF('Parameters and Satisfaction'!$C$19="Ozone", 'Filtration System'!AC202*1000000, 0)</f>
        <v>4687500</v>
      </c>
      <c r="W238" s="118">
        <f>Q238+$F$47+IF('Parameters and Satisfaction'!$C$19="Ozone", 'Filtration System'!AD202*1000000, 0)</f>
        <v>4819503.797862323</v>
      </c>
      <c r="X238" s="118">
        <f>R238+$F$47+IF('Parameters and Satisfaction'!$C$19="Ozone", 'Filtration System'!AE202*1000000, 0)</f>
        <v>4687500</v>
      </c>
      <c r="Y238" s="118"/>
      <c r="Z238" s="118">
        <f t="shared" si="24"/>
        <v>0.33482142857142855</v>
      </c>
      <c r="AA238" s="118">
        <f t="shared" si="25"/>
        <v>0.33482142857142855</v>
      </c>
      <c r="AB238" s="118">
        <f t="shared" si="26"/>
        <v>0.33482142857142855</v>
      </c>
      <c r="AC238" s="118">
        <f t="shared" si="27"/>
        <v>0.3442502712758802</v>
      </c>
      <c r="AD238" s="118">
        <f t="shared" si="28"/>
        <v>0.33482142857142855</v>
      </c>
      <c r="AE238" s="118"/>
      <c r="AF238" s="118"/>
      <c r="AG238" s="118"/>
      <c r="AK238">
        <f t="shared" si="32"/>
        <v>21934080</v>
      </c>
      <c r="AL238">
        <f t="shared" si="32"/>
        <v>21934080</v>
      </c>
      <c r="AM238">
        <f t="shared" si="32"/>
        <v>21934080</v>
      </c>
      <c r="AN238">
        <f t="shared" si="32"/>
        <v>21934080</v>
      </c>
      <c r="AO238">
        <f t="shared" si="32"/>
        <v>21934080</v>
      </c>
    </row>
    <row r="239" spans="1:41">
      <c r="A239" s="185">
        <f>'Water Stuff'!F173</f>
        <v>44730</v>
      </c>
      <c r="B239" s="118">
        <f>'Filtration System'!B203</f>
        <v>320</v>
      </c>
      <c r="C239" s="118">
        <f>'Filtration System'!C203</f>
        <v>1400</v>
      </c>
      <c r="D239" s="118">
        <f>'Filtration System'!D203</f>
        <v>0</v>
      </c>
      <c r="E239" s="118">
        <f>'Filtration System'!E203</f>
        <v>223.50090257843621</v>
      </c>
      <c r="F239" s="118">
        <f>'Filtration System'!F203</f>
        <v>0</v>
      </c>
      <c r="G239" s="118"/>
      <c r="H239" s="118">
        <f>B239/1000*(1000*9.81*Pumps!$B$14+'Parameters and Satisfaction'!$B$27)</f>
        <v>85777.017361630802</v>
      </c>
      <c r="I239" s="118">
        <f>C239/1000*(1000*9.81*Pumps!$B$14+'Parameters and Satisfaction'!$B$27)</f>
        <v>375274.45095713472</v>
      </c>
      <c r="J239" s="118">
        <f>D239/1000*(1000*9.81*Pumps!$B$14+'Parameters and Satisfaction'!$B$27)</f>
        <v>0</v>
      </c>
      <c r="K239" s="118">
        <f>E239/1000*(1000*9.81*Pumps!$B$14+'Parameters and Satisfaction'!$B$27)</f>
        <v>59910.127502533367</v>
      </c>
      <c r="L239" s="118">
        <f>F239/1000*(1000*9.81*Pumps!$B$14+'Parameters and Satisfaction'!$B$27)</f>
        <v>0</v>
      </c>
      <c r="M239" s="118"/>
      <c r="N239" s="118">
        <f>H239/IF('Parameters and Satisfaction'!$C$13="Pump A", 0.7, IF('Parameters and Satisfaction'!$C$13 = "Pump B", 0.72, 0.65))</f>
        <v>119134.74633559833</v>
      </c>
      <c r="O239" s="118">
        <f>I239/IF('Parameters and Satisfaction'!$C$13="Pump A", 0.7, IF('Parameters and Satisfaction'!$C$13 = "Pump B", 0.72, 0.65))</f>
        <v>521214.51521824265</v>
      </c>
      <c r="P239" s="118">
        <f>J239/IF('Parameters and Satisfaction'!$C$13="Pump A", 0.7, IF('Parameters and Satisfaction'!$C$13 = "Pump B", 0.72, 0.65))</f>
        <v>0</v>
      </c>
      <c r="Q239" s="118">
        <f>K239/IF('Parameters and Satisfaction'!$C$13="Pump A", 0.7, IF('Parameters and Satisfaction'!$C$13 = "Pump B", 0.72, 0.65))</f>
        <v>83208.510420185237</v>
      </c>
      <c r="R239" s="118">
        <f>L239/IF('Parameters and Satisfaction'!$C$13="Pump A", 0.7, IF('Parameters and Satisfaction'!$C$13 = "Pump B", 0.72, 0.65))</f>
        <v>0</v>
      </c>
      <c r="S239" s="118"/>
      <c r="T239" s="118">
        <f>N239+$F$47+IF('Parameters and Satisfaction'!$C$19="Ozone", 'Filtration System'!AA203*1000000, 0)</f>
        <v>4806634.7463355986</v>
      </c>
      <c r="U239" s="118">
        <f>O239+$F$47+IF('Parameters and Satisfaction'!$C$19="Ozone", 'Filtration System'!AB203*1000000, 0)</f>
        <v>5208714.515218243</v>
      </c>
      <c r="V239" s="118">
        <f>P239+$F$47+IF('Parameters and Satisfaction'!$C$19="Ozone", 'Filtration System'!AC203*1000000, 0)</f>
        <v>4687500</v>
      </c>
      <c r="W239" s="118">
        <f>Q239+$F$47+IF('Parameters and Satisfaction'!$C$19="Ozone", 'Filtration System'!AD203*1000000, 0)</f>
        <v>4770708.5104201855</v>
      </c>
      <c r="X239" s="118">
        <f>R239+$F$47+IF('Parameters and Satisfaction'!$C$19="Ozone", 'Filtration System'!AE203*1000000, 0)</f>
        <v>4687500</v>
      </c>
      <c r="Y239" s="118"/>
      <c r="Z239" s="118">
        <f t="shared" si="24"/>
        <v>0.34333105330968561</v>
      </c>
      <c r="AA239" s="118">
        <f t="shared" si="25"/>
        <v>0.37205103680130308</v>
      </c>
      <c r="AB239" s="118">
        <f t="shared" si="26"/>
        <v>0.33482142857142855</v>
      </c>
      <c r="AC239" s="118">
        <f t="shared" si="27"/>
        <v>0.3407648936014418</v>
      </c>
      <c r="AD239" s="118">
        <f t="shared" si="28"/>
        <v>0.33482142857142855</v>
      </c>
      <c r="AE239" s="118"/>
      <c r="AF239" s="118"/>
      <c r="AG239" s="118"/>
      <c r="AK239">
        <f t="shared" si="32"/>
        <v>21934080</v>
      </c>
      <c r="AL239">
        <f t="shared" si="32"/>
        <v>21934080</v>
      </c>
      <c r="AM239">
        <f t="shared" si="32"/>
        <v>21934080</v>
      </c>
      <c r="AN239">
        <f t="shared" si="32"/>
        <v>21934080</v>
      </c>
      <c r="AO239">
        <f t="shared" si="32"/>
        <v>21934080</v>
      </c>
    </row>
    <row r="240" spans="1:41">
      <c r="A240" s="185">
        <f>'Water Stuff'!F174</f>
        <v>44731</v>
      </c>
      <c r="B240" s="118">
        <f>'Filtration System'!B204</f>
        <v>4160</v>
      </c>
      <c r="C240" s="118">
        <f>'Filtration System'!C204</f>
        <v>0</v>
      </c>
      <c r="D240" s="118">
        <f>'Filtration System'!D204</f>
        <v>4291.0828271410001</v>
      </c>
      <c r="E240" s="118">
        <f>'Filtration System'!E204</f>
        <v>1210.432076578365</v>
      </c>
      <c r="F240" s="118">
        <f>'Filtration System'!F204</f>
        <v>4009.3137968897404</v>
      </c>
      <c r="G240" s="118"/>
      <c r="H240" s="118">
        <f>B240/1000*(1000*9.81*Pumps!$B$14+'Parameters and Satisfaction'!$B$27)</f>
        <v>1115101.2257012003</v>
      </c>
      <c r="I240" s="118">
        <f>C240/1000*(1000*9.81*Pumps!$B$14+'Parameters and Satisfaction'!$B$27)</f>
        <v>0</v>
      </c>
      <c r="J240" s="118">
        <f>D240/1000*(1000*9.81*Pumps!$B$14+'Parameters and Satisfaction'!$B$27)</f>
        <v>1150238.3942620917</v>
      </c>
      <c r="K240" s="118">
        <f>E240/1000*(1000*9.81*Pumps!$B$14+'Parameters and Satisfaction'!$B$27)</f>
        <v>324460.16639917885</v>
      </c>
      <c r="L240" s="118">
        <f>F240/1000*(1000*9.81*Pumps!$B$14+'Parameters and Satisfaction'!$B$27)</f>
        <v>1074709.3098876162</v>
      </c>
      <c r="M240" s="118"/>
      <c r="N240" s="118">
        <f>H240/IF('Parameters and Satisfaction'!$C$13="Pump A", 0.7, IF('Parameters and Satisfaction'!$C$13 = "Pump B", 0.72, 0.65))</f>
        <v>1548751.7023627784</v>
      </c>
      <c r="O240" s="118">
        <f>I240/IF('Parameters and Satisfaction'!$C$13="Pump A", 0.7, IF('Parameters and Satisfaction'!$C$13 = "Pump B", 0.72, 0.65))</f>
        <v>0</v>
      </c>
      <c r="P240" s="118">
        <f>J240/IF('Parameters and Satisfaction'!$C$13="Pump A", 0.7, IF('Parameters and Satisfaction'!$C$13 = "Pump B", 0.72, 0.65))</f>
        <v>1597553.3253640162</v>
      </c>
      <c r="Q240" s="118">
        <f>K240/IF('Parameters and Satisfaction'!$C$13="Pump A", 0.7, IF('Parameters and Satisfaction'!$C$13 = "Pump B", 0.72, 0.65))</f>
        <v>450639.11999885953</v>
      </c>
      <c r="R240" s="118">
        <f>L240/IF('Parameters and Satisfaction'!$C$13="Pump A", 0.7, IF('Parameters and Satisfaction'!$C$13 = "Pump B", 0.72, 0.65))</f>
        <v>1492651.819288356</v>
      </c>
      <c r="S240" s="118"/>
      <c r="T240" s="118">
        <f>N240+$F$47+IF('Parameters and Satisfaction'!$C$19="Ozone", 'Filtration System'!AA204*1000000, 0)</f>
        <v>6236251.7023627786</v>
      </c>
      <c r="U240" s="118">
        <f>O240+$F$47+IF('Parameters and Satisfaction'!$C$19="Ozone", 'Filtration System'!AB204*1000000, 0)</f>
        <v>4687500</v>
      </c>
      <c r="V240" s="118">
        <f>P240+$F$47+IF('Parameters and Satisfaction'!$C$19="Ozone", 'Filtration System'!AC204*1000000, 0)</f>
        <v>6285053.325364016</v>
      </c>
      <c r="W240" s="118">
        <f>Q240+$F$47+IF('Parameters and Satisfaction'!$C$19="Ozone", 'Filtration System'!AD204*1000000, 0)</f>
        <v>5138139.1199988592</v>
      </c>
      <c r="X240" s="118">
        <f>R240+$F$47+IF('Parameters and Satisfaction'!$C$19="Ozone", 'Filtration System'!AE204*1000000, 0)</f>
        <v>6180151.8192883562</v>
      </c>
      <c r="Y240" s="118"/>
      <c r="Z240" s="118">
        <f t="shared" si="24"/>
        <v>0.44544655016876988</v>
      </c>
      <c r="AA240" s="118">
        <f t="shared" si="25"/>
        <v>0.33482142857142855</v>
      </c>
      <c r="AB240" s="118">
        <f t="shared" si="26"/>
        <v>0.44893238038314398</v>
      </c>
      <c r="AC240" s="118">
        <f t="shared" si="27"/>
        <v>0.36700993714277563</v>
      </c>
      <c r="AD240" s="118">
        <f t="shared" si="28"/>
        <v>0.44143941566345402</v>
      </c>
      <c r="AE240" s="118"/>
      <c r="AF240" s="118"/>
      <c r="AG240" s="118"/>
      <c r="AK240">
        <f t="shared" si="32"/>
        <v>21934080</v>
      </c>
      <c r="AL240">
        <f t="shared" si="32"/>
        <v>21934080</v>
      </c>
      <c r="AM240">
        <f t="shared" si="32"/>
        <v>21934080</v>
      </c>
      <c r="AN240">
        <f t="shared" si="32"/>
        <v>21934080</v>
      </c>
      <c r="AO240">
        <f t="shared" si="32"/>
        <v>21934080</v>
      </c>
    </row>
    <row r="241" spans="1:41">
      <c r="A241" s="185">
        <f>'Water Stuff'!F175</f>
        <v>44732</v>
      </c>
      <c r="B241" s="118">
        <f>'Filtration System'!B205</f>
        <v>640</v>
      </c>
      <c r="C241" s="118">
        <f>'Filtration System'!C205</f>
        <v>0</v>
      </c>
      <c r="D241" s="118">
        <f>'Filtration System'!D205</f>
        <v>1907.9440755183307</v>
      </c>
      <c r="E241" s="118">
        <f>'Filtration System'!E205</f>
        <v>206.34145656246039</v>
      </c>
      <c r="F241" s="118">
        <f>'Filtration System'!F205</f>
        <v>2913.3326357995279</v>
      </c>
      <c r="G241" s="118"/>
      <c r="H241" s="118">
        <f>B241/1000*(1000*9.81*Pumps!$B$14+'Parameters and Satisfaction'!$B$27)</f>
        <v>171554.0347232616</v>
      </c>
      <c r="I241" s="118">
        <f>C241/1000*(1000*9.81*Pumps!$B$14+'Parameters and Satisfaction'!$B$27)</f>
        <v>0</v>
      </c>
      <c r="J241" s="118">
        <f>D241/1000*(1000*9.81*Pumps!$B$14+'Parameters and Satisfaction'!$B$27)</f>
        <v>511430.47528361401</v>
      </c>
      <c r="K241" s="118">
        <f>E241/1000*(1000*9.81*Pumps!$B$14+'Parameters and Satisfaction'!$B$27)</f>
        <v>55310.483443694851</v>
      </c>
      <c r="L241" s="118">
        <f>F241/1000*(1000*9.81*Pumps!$B$14+'Parameters and Satisfaction'!$B$27)</f>
        <v>780928.0752536928</v>
      </c>
      <c r="M241" s="118"/>
      <c r="N241" s="118">
        <f>H241/IF('Parameters and Satisfaction'!$C$13="Pump A", 0.7, IF('Parameters and Satisfaction'!$C$13 = "Pump B", 0.72, 0.65))</f>
        <v>238269.49267119667</v>
      </c>
      <c r="O241" s="118">
        <f>I241/IF('Parameters and Satisfaction'!$C$13="Pump A", 0.7, IF('Parameters and Satisfaction'!$C$13 = "Pump B", 0.72, 0.65))</f>
        <v>0</v>
      </c>
      <c r="P241" s="118">
        <f>J241/IF('Parameters and Satisfaction'!$C$13="Pump A", 0.7, IF('Parameters and Satisfaction'!$C$13 = "Pump B", 0.72, 0.65))</f>
        <v>710320.1045605751</v>
      </c>
      <c r="Q241" s="118">
        <f>K241/IF('Parameters and Satisfaction'!$C$13="Pump A", 0.7, IF('Parameters and Satisfaction'!$C$13 = "Pump B", 0.72, 0.65))</f>
        <v>76820.115894020637</v>
      </c>
      <c r="R241" s="118">
        <f>L241/IF('Parameters and Satisfaction'!$C$13="Pump A", 0.7, IF('Parameters and Satisfaction'!$C$13 = "Pump B", 0.72, 0.65))</f>
        <v>1084622.32674124</v>
      </c>
      <c r="S241" s="118"/>
      <c r="T241" s="118">
        <f>N241+$F$47+IF('Parameters and Satisfaction'!$C$19="Ozone", 'Filtration System'!AA205*1000000, 0)</f>
        <v>4925769.4926711963</v>
      </c>
      <c r="U241" s="118">
        <f>O241+$F$47+IF('Parameters and Satisfaction'!$C$19="Ozone", 'Filtration System'!AB205*1000000, 0)</f>
        <v>4687500</v>
      </c>
      <c r="V241" s="118">
        <f>P241+$F$47+IF('Parameters and Satisfaction'!$C$19="Ozone", 'Filtration System'!AC205*1000000, 0)</f>
        <v>5397820.1045605754</v>
      </c>
      <c r="W241" s="118">
        <f>Q241+$F$47+IF('Parameters and Satisfaction'!$C$19="Ozone", 'Filtration System'!AD205*1000000, 0)</f>
        <v>4764320.1158940205</v>
      </c>
      <c r="X241" s="118">
        <f>R241+$F$47+IF('Parameters and Satisfaction'!$C$19="Ozone", 'Filtration System'!AE205*1000000, 0)</f>
        <v>5772122.32674124</v>
      </c>
      <c r="Y241" s="118"/>
      <c r="Z241" s="118">
        <f t="shared" si="24"/>
        <v>0.35184067804794261</v>
      </c>
      <c r="AA241" s="118">
        <f t="shared" si="25"/>
        <v>0.33482142857142855</v>
      </c>
      <c r="AB241" s="118">
        <f t="shared" si="26"/>
        <v>0.38555857889718398</v>
      </c>
      <c r="AC241" s="118">
        <f t="shared" si="27"/>
        <v>0.34030857970671574</v>
      </c>
      <c r="AD241" s="118">
        <f t="shared" si="28"/>
        <v>0.41229445191008857</v>
      </c>
      <c r="AE241" s="118"/>
      <c r="AF241" s="118"/>
      <c r="AG241" s="118"/>
      <c r="AK241">
        <f t="shared" si="32"/>
        <v>21934080</v>
      </c>
      <c r="AL241">
        <f t="shared" si="32"/>
        <v>21934080</v>
      </c>
      <c r="AM241">
        <f t="shared" si="32"/>
        <v>21934080</v>
      </c>
      <c r="AN241">
        <f t="shared" si="32"/>
        <v>21934080</v>
      </c>
      <c r="AO241">
        <f t="shared" si="32"/>
        <v>21934080</v>
      </c>
    </row>
    <row r="242" spans="1:41">
      <c r="A242" s="185">
        <f>'Water Stuff'!F176</f>
        <v>44733</v>
      </c>
      <c r="B242" s="118">
        <f>'Filtration System'!B206</f>
        <v>240</v>
      </c>
      <c r="C242" s="118">
        <f>'Filtration System'!C206</f>
        <v>0</v>
      </c>
      <c r="D242" s="118">
        <f>'Filtration System'!D206</f>
        <v>0</v>
      </c>
      <c r="E242" s="118">
        <f>'Filtration System'!E206</f>
        <v>0</v>
      </c>
      <c r="F242" s="118">
        <f>'Filtration System'!F206</f>
        <v>1761.090444739908</v>
      </c>
      <c r="G242" s="118"/>
      <c r="H242" s="118">
        <f>B242/1000*(1000*9.81*Pumps!$B$14+'Parameters and Satisfaction'!$B$27)</f>
        <v>64332.763021223094</v>
      </c>
      <c r="I242" s="118">
        <f>C242/1000*(1000*9.81*Pumps!$B$14+'Parameters and Satisfaction'!$B$27)</f>
        <v>0</v>
      </c>
      <c r="J242" s="118">
        <f>D242/1000*(1000*9.81*Pumps!$B$14+'Parameters and Satisfaction'!$B$27)</f>
        <v>0</v>
      </c>
      <c r="K242" s="118">
        <f>E242/1000*(1000*9.81*Pumps!$B$14+'Parameters and Satisfaction'!$B$27)</f>
        <v>0</v>
      </c>
      <c r="L242" s="118">
        <f>F242/1000*(1000*9.81*Pumps!$B$14+'Parameters and Satisfaction'!$B$27)</f>
        <v>472065.89266830374</v>
      </c>
      <c r="M242" s="118"/>
      <c r="N242" s="118">
        <f>H242/IF('Parameters and Satisfaction'!$C$13="Pump A", 0.7, IF('Parameters and Satisfaction'!$C$13 = "Pump B", 0.72, 0.65))</f>
        <v>89351.059751698747</v>
      </c>
      <c r="O242" s="118">
        <f>I242/IF('Parameters and Satisfaction'!$C$13="Pump A", 0.7, IF('Parameters and Satisfaction'!$C$13 = "Pump B", 0.72, 0.65))</f>
        <v>0</v>
      </c>
      <c r="P242" s="118">
        <f>J242/IF('Parameters and Satisfaction'!$C$13="Pump A", 0.7, IF('Parameters and Satisfaction'!$C$13 = "Pump B", 0.72, 0.65))</f>
        <v>0</v>
      </c>
      <c r="Q242" s="118">
        <f>K242/IF('Parameters and Satisfaction'!$C$13="Pump A", 0.7, IF('Parameters and Satisfaction'!$C$13 = "Pump B", 0.72, 0.65))</f>
        <v>0</v>
      </c>
      <c r="R242" s="118">
        <f>L242/IF('Parameters and Satisfaction'!$C$13="Pump A", 0.7, IF('Parameters and Satisfaction'!$C$13 = "Pump B", 0.72, 0.65))</f>
        <v>655647.07315042184</v>
      </c>
      <c r="S242" s="118"/>
      <c r="T242" s="118">
        <f>N242+$F$47+IF('Parameters and Satisfaction'!$C$19="Ozone", 'Filtration System'!AA206*1000000, 0)</f>
        <v>4776851.0597516987</v>
      </c>
      <c r="U242" s="118">
        <f>O242+$F$47+IF('Parameters and Satisfaction'!$C$19="Ozone", 'Filtration System'!AB206*1000000, 0)</f>
        <v>4687500</v>
      </c>
      <c r="V242" s="118">
        <f>P242+$F$47+IF('Parameters and Satisfaction'!$C$19="Ozone", 'Filtration System'!AC206*1000000, 0)</f>
        <v>4687500</v>
      </c>
      <c r="W242" s="118">
        <f>Q242+$F$47+IF('Parameters and Satisfaction'!$C$19="Ozone", 'Filtration System'!AD206*1000000, 0)</f>
        <v>4687500</v>
      </c>
      <c r="X242" s="118">
        <f>R242+$F$47+IF('Parameters and Satisfaction'!$C$19="Ozone", 'Filtration System'!AE206*1000000, 0)</f>
        <v>5343147.0731504215</v>
      </c>
      <c r="Y242" s="118"/>
      <c r="Z242" s="118">
        <f t="shared" si="24"/>
        <v>0.34120364712512136</v>
      </c>
      <c r="AA242" s="118">
        <f t="shared" si="25"/>
        <v>0.33482142857142855</v>
      </c>
      <c r="AB242" s="118">
        <f t="shared" si="26"/>
        <v>0.33482142857142855</v>
      </c>
      <c r="AC242" s="118">
        <f t="shared" si="27"/>
        <v>0.33482142857142855</v>
      </c>
      <c r="AD242" s="118">
        <f t="shared" si="28"/>
        <v>0.38165336236788727</v>
      </c>
      <c r="AE242" s="118"/>
      <c r="AF242" s="118"/>
      <c r="AG242" s="118"/>
      <c r="AK242">
        <f t="shared" ref="AK242:AO251" si="33">$D$60</f>
        <v>21934080</v>
      </c>
      <c r="AL242">
        <f t="shared" si="33"/>
        <v>21934080</v>
      </c>
      <c r="AM242">
        <f t="shared" si="33"/>
        <v>21934080</v>
      </c>
      <c r="AN242">
        <f t="shared" si="33"/>
        <v>21934080</v>
      </c>
      <c r="AO242">
        <f t="shared" si="33"/>
        <v>21934080</v>
      </c>
    </row>
    <row r="243" spans="1:41">
      <c r="A243" s="185">
        <f>'Water Stuff'!F177</f>
        <v>44734</v>
      </c>
      <c r="B243" s="118">
        <f>'Filtration System'!B207</f>
        <v>0</v>
      </c>
      <c r="C243" s="118">
        <f>'Filtration System'!C207</f>
        <v>0</v>
      </c>
      <c r="D243" s="118">
        <f>'Filtration System'!D207</f>
        <v>0</v>
      </c>
      <c r="E243" s="118">
        <f>'Filtration System'!E207</f>
        <v>320.44654956474398</v>
      </c>
      <c r="F243" s="118">
        <f>'Filtration System'!F207</f>
        <v>0</v>
      </c>
      <c r="G243" s="118"/>
      <c r="H243" s="118">
        <f>B243/1000*(1000*9.81*Pumps!$B$14+'Parameters and Satisfaction'!$B$27)</f>
        <v>0</v>
      </c>
      <c r="I243" s="118">
        <f>C243/1000*(1000*9.81*Pumps!$B$14+'Parameters and Satisfaction'!$B$27)</f>
        <v>0</v>
      </c>
      <c r="J243" s="118">
        <f>D243/1000*(1000*9.81*Pumps!$B$14+'Parameters and Satisfaction'!$B$27)</f>
        <v>0</v>
      </c>
      <c r="K243" s="118">
        <f>E243/1000*(1000*9.81*Pumps!$B$14+'Parameters and Satisfaction'!$B$27)</f>
        <v>85896.716392155402</v>
      </c>
      <c r="L243" s="118">
        <f>F243/1000*(1000*9.81*Pumps!$B$14+'Parameters and Satisfaction'!$B$27)</f>
        <v>0</v>
      </c>
      <c r="M243" s="118"/>
      <c r="N243" s="118">
        <f>H243/IF('Parameters and Satisfaction'!$C$13="Pump A", 0.7, IF('Parameters and Satisfaction'!$C$13 = "Pump B", 0.72, 0.65))</f>
        <v>0</v>
      </c>
      <c r="O243" s="118">
        <f>I243/IF('Parameters and Satisfaction'!$C$13="Pump A", 0.7, IF('Parameters and Satisfaction'!$C$13 = "Pump B", 0.72, 0.65))</f>
        <v>0</v>
      </c>
      <c r="P243" s="118">
        <f>J243/IF('Parameters and Satisfaction'!$C$13="Pump A", 0.7, IF('Parameters and Satisfaction'!$C$13 = "Pump B", 0.72, 0.65))</f>
        <v>0</v>
      </c>
      <c r="Q243" s="118">
        <f>K243/IF('Parameters and Satisfaction'!$C$13="Pump A", 0.7, IF('Parameters and Satisfaction'!$C$13 = "Pump B", 0.72, 0.65))</f>
        <v>119300.99498910473</v>
      </c>
      <c r="R243" s="118">
        <f>L243/IF('Parameters and Satisfaction'!$C$13="Pump A", 0.7, IF('Parameters and Satisfaction'!$C$13 = "Pump B", 0.72, 0.65))</f>
        <v>0</v>
      </c>
      <c r="S243" s="118"/>
      <c r="T243" s="118">
        <f>N243+$F$47+IF('Parameters and Satisfaction'!$C$19="Ozone", 'Filtration System'!AA207*1000000, 0)</f>
        <v>4687500</v>
      </c>
      <c r="U243" s="118">
        <f>O243+$F$47+IF('Parameters and Satisfaction'!$C$19="Ozone", 'Filtration System'!AB207*1000000, 0)</f>
        <v>4687500</v>
      </c>
      <c r="V243" s="118">
        <f>P243+$F$47+IF('Parameters and Satisfaction'!$C$19="Ozone", 'Filtration System'!AC207*1000000, 0)</f>
        <v>4687500</v>
      </c>
      <c r="W243" s="118">
        <f>Q243+$F$47+IF('Parameters and Satisfaction'!$C$19="Ozone", 'Filtration System'!AD207*1000000, 0)</f>
        <v>4806800.9949891046</v>
      </c>
      <c r="X243" s="118">
        <f>R243+$F$47+IF('Parameters and Satisfaction'!$C$19="Ozone", 'Filtration System'!AE207*1000000, 0)</f>
        <v>4687500</v>
      </c>
      <c r="Y243" s="118"/>
      <c r="Z243" s="118">
        <f t="shared" si="24"/>
        <v>0.33482142857142855</v>
      </c>
      <c r="AA243" s="118">
        <f t="shared" si="25"/>
        <v>0.33482142857142855</v>
      </c>
      <c r="AB243" s="118">
        <f t="shared" si="26"/>
        <v>0.33482142857142855</v>
      </c>
      <c r="AC243" s="118">
        <f t="shared" si="27"/>
        <v>0.34334292821350748</v>
      </c>
      <c r="AD243" s="118">
        <f t="shared" si="28"/>
        <v>0.33482142857142855</v>
      </c>
      <c r="AE243" s="118"/>
      <c r="AF243" s="118"/>
      <c r="AG243" s="118"/>
      <c r="AK243">
        <f t="shared" si="33"/>
        <v>21934080</v>
      </c>
      <c r="AL243">
        <f t="shared" si="33"/>
        <v>21934080</v>
      </c>
      <c r="AM243">
        <f t="shared" si="33"/>
        <v>21934080</v>
      </c>
      <c r="AN243">
        <f t="shared" si="33"/>
        <v>21934080</v>
      </c>
      <c r="AO243">
        <f t="shared" si="33"/>
        <v>21934080</v>
      </c>
    </row>
    <row r="244" spans="1:41">
      <c r="A244" s="185">
        <f>'Water Stuff'!F178</f>
        <v>44735</v>
      </c>
      <c r="B244" s="118">
        <f>'Filtration System'!B208</f>
        <v>3080</v>
      </c>
      <c r="C244" s="118">
        <f>'Filtration System'!C208</f>
        <v>280</v>
      </c>
      <c r="D244" s="118">
        <f>'Filtration System'!D208</f>
        <v>1028.2740215289277</v>
      </c>
      <c r="E244" s="118">
        <f>'Filtration System'!E208</f>
        <v>0</v>
      </c>
      <c r="F244" s="118">
        <f>'Filtration System'!F208</f>
        <v>0</v>
      </c>
      <c r="G244" s="118"/>
      <c r="H244" s="118">
        <f>B244/1000*(1000*9.81*Pumps!$B$14+'Parameters and Satisfaction'!$B$27)</f>
        <v>825603.7921056964</v>
      </c>
      <c r="I244" s="118">
        <f>C244/1000*(1000*9.81*Pumps!$B$14+'Parameters and Satisfaction'!$B$27)</f>
        <v>75054.890191426952</v>
      </c>
      <c r="J244" s="118">
        <f>D244/1000*(1000*9.81*Pumps!$B$14+'Parameters and Satisfaction'!$B$27)</f>
        <v>275632.12061625236</v>
      </c>
      <c r="K244" s="118">
        <f>E244/1000*(1000*9.81*Pumps!$B$14+'Parameters and Satisfaction'!$B$27)</f>
        <v>0</v>
      </c>
      <c r="L244" s="118">
        <f>F244/1000*(1000*9.81*Pumps!$B$14+'Parameters and Satisfaction'!$B$27)</f>
        <v>0</v>
      </c>
      <c r="M244" s="118"/>
      <c r="N244" s="118">
        <f>H244/IF('Parameters and Satisfaction'!$C$13="Pump A", 0.7, IF('Parameters and Satisfaction'!$C$13 = "Pump B", 0.72, 0.65))</f>
        <v>1146671.933480134</v>
      </c>
      <c r="O244" s="118">
        <f>I244/IF('Parameters and Satisfaction'!$C$13="Pump A", 0.7, IF('Parameters and Satisfaction'!$C$13 = "Pump B", 0.72, 0.65))</f>
        <v>104242.90304364855</v>
      </c>
      <c r="P244" s="118">
        <f>J244/IF('Parameters and Satisfaction'!$C$13="Pump A", 0.7, IF('Parameters and Satisfaction'!$C$13 = "Pump B", 0.72, 0.65))</f>
        <v>382822.38974479499</v>
      </c>
      <c r="Q244" s="118">
        <f>K244/IF('Parameters and Satisfaction'!$C$13="Pump A", 0.7, IF('Parameters and Satisfaction'!$C$13 = "Pump B", 0.72, 0.65))</f>
        <v>0</v>
      </c>
      <c r="R244" s="118">
        <f>L244/IF('Parameters and Satisfaction'!$C$13="Pump A", 0.7, IF('Parameters and Satisfaction'!$C$13 = "Pump B", 0.72, 0.65))</f>
        <v>0</v>
      </c>
      <c r="S244" s="118"/>
      <c r="T244" s="118">
        <f>N244+$F$47+IF('Parameters and Satisfaction'!$C$19="Ozone", 'Filtration System'!AA208*1000000, 0)</f>
        <v>5834171.9334801342</v>
      </c>
      <c r="U244" s="118">
        <f>O244+$F$47+IF('Parameters and Satisfaction'!$C$19="Ozone", 'Filtration System'!AB208*1000000, 0)</f>
        <v>4791742.9030436482</v>
      </c>
      <c r="V244" s="118">
        <f>P244+$F$47+IF('Parameters and Satisfaction'!$C$19="Ozone", 'Filtration System'!AC208*1000000, 0)</f>
        <v>5070322.3897447949</v>
      </c>
      <c r="W244" s="118">
        <f>Q244+$F$47+IF('Parameters and Satisfaction'!$C$19="Ozone", 'Filtration System'!AD208*1000000, 0)</f>
        <v>4687500</v>
      </c>
      <c r="X244" s="118">
        <f>R244+$F$47+IF('Parameters and Satisfaction'!$C$19="Ozone", 'Filtration System'!AE208*1000000, 0)</f>
        <v>4687500</v>
      </c>
      <c r="Y244" s="118"/>
      <c r="Z244" s="118">
        <f t="shared" si="24"/>
        <v>0.41672656667715247</v>
      </c>
      <c r="AA244" s="118">
        <f t="shared" si="25"/>
        <v>0.34226735021740345</v>
      </c>
      <c r="AB244" s="118">
        <f t="shared" si="26"/>
        <v>0.36216588498177105</v>
      </c>
      <c r="AC244" s="118">
        <f t="shared" si="27"/>
        <v>0.33482142857142855</v>
      </c>
      <c r="AD244" s="118">
        <f t="shared" si="28"/>
        <v>0.33482142857142855</v>
      </c>
      <c r="AE244" s="118"/>
      <c r="AF244" s="118"/>
      <c r="AG244" s="118"/>
      <c r="AK244">
        <f t="shared" si="33"/>
        <v>21934080</v>
      </c>
      <c r="AL244">
        <f t="shared" si="33"/>
        <v>21934080</v>
      </c>
      <c r="AM244">
        <f t="shared" si="33"/>
        <v>21934080</v>
      </c>
      <c r="AN244">
        <f t="shared" si="33"/>
        <v>21934080</v>
      </c>
      <c r="AO244">
        <f t="shared" si="33"/>
        <v>21934080</v>
      </c>
    </row>
    <row r="245" spans="1:41">
      <c r="A245" s="185">
        <f>'Water Stuff'!F179</f>
        <v>44736</v>
      </c>
      <c r="B245" s="118">
        <f>'Filtration System'!B209</f>
        <v>240</v>
      </c>
      <c r="C245" s="118">
        <f>'Filtration System'!C209</f>
        <v>2680</v>
      </c>
      <c r="D245" s="118">
        <f>'Filtration System'!D209</f>
        <v>1784.765091850473</v>
      </c>
      <c r="E245" s="118">
        <f>'Filtration System'!E209</f>
        <v>1322.1903844427507</v>
      </c>
      <c r="F245" s="118">
        <f>'Filtration System'!F209</f>
        <v>1261.7703093461234</v>
      </c>
      <c r="G245" s="118"/>
      <c r="H245" s="118">
        <f>B245/1000*(1000*9.81*Pumps!$B$14+'Parameters and Satisfaction'!$B$27)</f>
        <v>64332.763021223094</v>
      </c>
      <c r="I245" s="118">
        <f>C245/1000*(1000*9.81*Pumps!$B$14+'Parameters and Satisfaction'!$B$27)</f>
        <v>718382.52040365792</v>
      </c>
      <c r="J245" s="118">
        <f>D245/1000*(1000*9.81*Pumps!$B$14+'Parameters and Satisfaction'!$B$27)</f>
        <v>478411.95709403313</v>
      </c>
      <c r="K245" s="118">
        <f>E245/1000*(1000*9.81*Pumps!$B$14+'Parameters and Satisfaction'!$B$27)</f>
        <v>354417.33613039728</v>
      </c>
      <c r="L245" s="118">
        <f>F245/1000*(1000*9.81*Pumps!$B$14+'Parameters and Satisfaction'!$B$27)</f>
        <v>338221.54290991469</v>
      </c>
      <c r="M245" s="118"/>
      <c r="N245" s="118">
        <f>H245/IF('Parameters and Satisfaction'!$C$13="Pump A", 0.7, IF('Parameters and Satisfaction'!$C$13 = "Pump B", 0.72, 0.65))</f>
        <v>89351.059751698747</v>
      </c>
      <c r="O245" s="118">
        <f>I245/IF('Parameters and Satisfaction'!$C$13="Pump A", 0.7, IF('Parameters and Satisfaction'!$C$13 = "Pump B", 0.72, 0.65))</f>
        <v>997753.50056063605</v>
      </c>
      <c r="P245" s="118">
        <f>J245/IF('Parameters and Satisfaction'!$C$13="Pump A", 0.7, IF('Parameters and Satisfaction'!$C$13 = "Pump B", 0.72, 0.65))</f>
        <v>664461.05151949043</v>
      </c>
      <c r="Q245" s="118">
        <f>K245/IF('Parameters and Satisfaction'!$C$13="Pump A", 0.7, IF('Parameters and Satisfaction'!$C$13 = "Pump B", 0.72, 0.65))</f>
        <v>492246.30018110736</v>
      </c>
      <c r="R245" s="118">
        <f>L245/IF('Parameters and Satisfaction'!$C$13="Pump A", 0.7, IF('Parameters and Satisfaction'!$C$13 = "Pump B", 0.72, 0.65))</f>
        <v>469752.14293043705</v>
      </c>
      <c r="S245" s="118"/>
      <c r="T245" s="118">
        <f>N245+$F$47+IF('Parameters and Satisfaction'!$C$19="Ozone", 'Filtration System'!AA209*1000000, 0)</f>
        <v>4776851.0597516987</v>
      </c>
      <c r="U245" s="118">
        <f>O245+$F$47+IF('Parameters and Satisfaction'!$C$19="Ozone", 'Filtration System'!AB209*1000000, 0)</f>
        <v>5685253.5005606357</v>
      </c>
      <c r="V245" s="118">
        <f>P245+$F$47+IF('Parameters and Satisfaction'!$C$19="Ozone", 'Filtration System'!AC209*1000000, 0)</f>
        <v>5351961.0515194908</v>
      </c>
      <c r="W245" s="118">
        <f>Q245+$F$47+IF('Parameters and Satisfaction'!$C$19="Ozone", 'Filtration System'!AD209*1000000, 0)</f>
        <v>5179746.3001811076</v>
      </c>
      <c r="X245" s="118">
        <f>R245+$F$47+IF('Parameters and Satisfaction'!$C$19="Ozone", 'Filtration System'!AE209*1000000, 0)</f>
        <v>5157252.1429304369</v>
      </c>
      <c r="Y245" s="118"/>
      <c r="Z245" s="118">
        <f t="shared" si="24"/>
        <v>0.34120364712512136</v>
      </c>
      <c r="AA245" s="118">
        <f t="shared" si="25"/>
        <v>0.4060895357543311</v>
      </c>
      <c r="AB245" s="118">
        <f t="shared" si="26"/>
        <v>0.3822829322513922</v>
      </c>
      <c r="AC245" s="118">
        <f t="shared" si="27"/>
        <v>0.36998187858436482</v>
      </c>
      <c r="AD245" s="118">
        <f t="shared" si="28"/>
        <v>0.36837515306645979</v>
      </c>
      <c r="AE245" s="118"/>
      <c r="AF245" s="118"/>
      <c r="AG245" s="118"/>
      <c r="AK245">
        <f t="shared" si="33"/>
        <v>21934080</v>
      </c>
      <c r="AL245">
        <f t="shared" si="33"/>
        <v>21934080</v>
      </c>
      <c r="AM245">
        <f t="shared" si="33"/>
        <v>21934080</v>
      </c>
      <c r="AN245">
        <f t="shared" si="33"/>
        <v>21934080</v>
      </c>
      <c r="AO245">
        <f t="shared" si="33"/>
        <v>21934080</v>
      </c>
    </row>
    <row r="246" spans="1:41">
      <c r="A246" s="185">
        <f>'Water Stuff'!F180</f>
        <v>44737</v>
      </c>
      <c r="B246" s="118">
        <f>'Filtration System'!B210</f>
        <v>0</v>
      </c>
      <c r="C246" s="118">
        <f>'Filtration System'!C210</f>
        <v>800</v>
      </c>
      <c r="D246" s="118">
        <f>'Filtration System'!D210</f>
        <v>0</v>
      </c>
      <c r="E246" s="118">
        <f>'Filtration System'!E210</f>
        <v>2569.9897517980862</v>
      </c>
      <c r="F246" s="118">
        <f>'Filtration System'!F210</f>
        <v>0</v>
      </c>
      <c r="G246" s="118"/>
      <c r="H246" s="118">
        <f>B246/1000*(1000*9.81*Pumps!$B$14+'Parameters and Satisfaction'!$B$27)</f>
        <v>0</v>
      </c>
      <c r="I246" s="118">
        <f>C246/1000*(1000*9.81*Pumps!$B$14+'Parameters and Satisfaction'!$B$27)</f>
        <v>214442.54340407701</v>
      </c>
      <c r="J246" s="118">
        <f>D246/1000*(1000*9.81*Pumps!$B$14+'Parameters and Satisfaction'!$B$27)</f>
        <v>0</v>
      </c>
      <c r="K246" s="118">
        <f>E246/1000*(1000*9.81*Pumps!$B$14+'Parameters and Satisfaction'!$B$27)</f>
        <v>688893.9236224927</v>
      </c>
      <c r="L246" s="118">
        <f>F246/1000*(1000*9.81*Pumps!$B$14+'Parameters and Satisfaction'!$B$27)</f>
        <v>0</v>
      </c>
      <c r="M246" s="118"/>
      <c r="N246" s="118">
        <f>H246/IF('Parameters and Satisfaction'!$C$13="Pump A", 0.7, IF('Parameters and Satisfaction'!$C$13 = "Pump B", 0.72, 0.65))</f>
        <v>0</v>
      </c>
      <c r="O246" s="118">
        <f>I246/IF('Parameters and Satisfaction'!$C$13="Pump A", 0.7, IF('Parameters and Satisfaction'!$C$13 = "Pump B", 0.72, 0.65))</f>
        <v>297836.86583899584</v>
      </c>
      <c r="P246" s="118">
        <f>J246/IF('Parameters and Satisfaction'!$C$13="Pump A", 0.7, IF('Parameters and Satisfaction'!$C$13 = "Pump B", 0.72, 0.65))</f>
        <v>0</v>
      </c>
      <c r="Q246" s="118">
        <f>K246/IF('Parameters and Satisfaction'!$C$13="Pump A", 0.7, IF('Parameters and Satisfaction'!$C$13 = "Pump B", 0.72, 0.65))</f>
        <v>956797.11614235106</v>
      </c>
      <c r="R246" s="118">
        <f>L246/IF('Parameters and Satisfaction'!$C$13="Pump A", 0.7, IF('Parameters and Satisfaction'!$C$13 = "Pump B", 0.72, 0.65))</f>
        <v>0</v>
      </c>
      <c r="S246" s="118"/>
      <c r="T246" s="118">
        <f>N246+$F$47+IF('Parameters and Satisfaction'!$C$19="Ozone", 'Filtration System'!AA210*1000000, 0)</f>
        <v>4687500</v>
      </c>
      <c r="U246" s="118">
        <f>O246+$F$47+IF('Parameters and Satisfaction'!$C$19="Ozone", 'Filtration System'!AB210*1000000, 0)</f>
        <v>4985336.8658389961</v>
      </c>
      <c r="V246" s="118">
        <f>P246+$F$47+IF('Parameters and Satisfaction'!$C$19="Ozone", 'Filtration System'!AC210*1000000, 0)</f>
        <v>4687500</v>
      </c>
      <c r="W246" s="118">
        <f>Q246+$F$47+IF('Parameters and Satisfaction'!$C$19="Ozone", 'Filtration System'!AD210*1000000, 0)</f>
        <v>5644297.1161423512</v>
      </c>
      <c r="X246" s="118">
        <f>R246+$F$47+IF('Parameters and Satisfaction'!$C$19="Ozone", 'Filtration System'!AE210*1000000, 0)</f>
        <v>4687500</v>
      </c>
      <c r="Y246" s="118"/>
      <c r="Z246" s="118">
        <f t="shared" si="24"/>
        <v>0.33482142857142855</v>
      </c>
      <c r="AA246" s="118">
        <f t="shared" si="25"/>
        <v>0.35609549041707117</v>
      </c>
      <c r="AB246" s="118">
        <f t="shared" si="26"/>
        <v>0.33482142857142855</v>
      </c>
      <c r="AC246" s="118">
        <f t="shared" si="27"/>
        <v>0.40316407972445367</v>
      </c>
      <c r="AD246" s="118">
        <f t="shared" si="28"/>
        <v>0.33482142857142855</v>
      </c>
      <c r="AE246" s="118"/>
      <c r="AF246" s="118"/>
      <c r="AG246" s="118"/>
      <c r="AK246">
        <f t="shared" si="33"/>
        <v>21934080</v>
      </c>
      <c r="AL246">
        <f t="shared" si="33"/>
        <v>21934080</v>
      </c>
      <c r="AM246">
        <f t="shared" si="33"/>
        <v>21934080</v>
      </c>
      <c r="AN246">
        <f t="shared" si="33"/>
        <v>21934080</v>
      </c>
      <c r="AO246">
        <f t="shared" si="33"/>
        <v>21934080</v>
      </c>
    </row>
    <row r="247" spans="1:41">
      <c r="A247" s="185">
        <f>'Water Stuff'!F181</f>
        <v>44738</v>
      </c>
      <c r="B247" s="118">
        <f>'Filtration System'!B211</f>
        <v>1160</v>
      </c>
      <c r="C247" s="118">
        <f>'Filtration System'!C211</f>
        <v>0</v>
      </c>
      <c r="D247" s="118">
        <f>'Filtration System'!D211</f>
        <v>0</v>
      </c>
      <c r="E247" s="118">
        <f>'Filtration System'!E211</f>
        <v>0</v>
      </c>
      <c r="F247" s="118">
        <f>'Filtration System'!F211</f>
        <v>0</v>
      </c>
      <c r="G247" s="118"/>
      <c r="H247" s="118">
        <f>B247/1000*(1000*9.81*Pumps!$B$14+'Parameters and Satisfaction'!$B$27)</f>
        <v>310941.68793591164</v>
      </c>
      <c r="I247" s="118">
        <f>C247/1000*(1000*9.81*Pumps!$B$14+'Parameters and Satisfaction'!$B$27)</f>
        <v>0</v>
      </c>
      <c r="J247" s="118">
        <f>D247/1000*(1000*9.81*Pumps!$B$14+'Parameters and Satisfaction'!$B$27)</f>
        <v>0</v>
      </c>
      <c r="K247" s="118">
        <f>E247/1000*(1000*9.81*Pumps!$B$14+'Parameters and Satisfaction'!$B$27)</f>
        <v>0</v>
      </c>
      <c r="L247" s="118">
        <f>F247/1000*(1000*9.81*Pumps!$B$14+'Parameters and Satisfaction'!$B$27)</f>
        <v>0</v>
      </c>
      <c r="M247" s="118"/>
      <c r="N247" s="118">
        <f>H247/IF('Parameters and Satisfaction'!$C$13="Pump A", 0.7, IF('Parameters and Satisfaction'!$C$13 = "Pump B", 0.72, 0.65))</f>
        <v>431863.45546654396</v>
      </c>
      <c r="O247" s="118">
        <f>I247/IF('Parameters and Satisfaction'!$C$13="Pump A", 0.7, IF('Parameters and Satisfaction'!$C$13 = "Pump B", 0.72, 0.65))</f>
        <v>0</v>
      </c>
      <c r="P247" s="118">
        <f>J247/IF('Parameters and Satisfaction'!$C$13="Pump A", 0.7, IF('Parameters and Satisfaction'!$C$13 = "Pump B", 0.72, 0.65))</f>
        <v>0</v>
      </c>
      <c r="Q247" s="118">
        <f>K247/IF('Parameters and Satisfaction'!$C$13="Pump A", 0.7, IF('Parameters and Satisfaction'!$C$13 = "Pump B", 0.72, 0.65))</f>
        <v>0</v>
      </c>
      <c r="R247" s="118">
        <f>L247/IF('Parameters and Satisfaction'!$C$13="Pump A", 0.7, IF('Parameters and Satisfaction'!$C$13 = "Pump B", 0.72, 0.65))</f>
        <v>0</v>
      </c>
      <c r="S247" s="118"/>
      <c r="T247" s="118">
        <f>N247+$F$47+IF('Parameters and Satisfaction'!$C$19="Ozone", 'Filtration System'!AA211*1000000, 0)</f>
        <v>5119363.4554665443</v>
      </c>
      <c r="U247" s="118">
        <f>O247+$F$47+IF('Parameters and Satisfaction'!$C$19="Ozone", 'Filtration System'!AB211*1000000, 0)</f>
        <v>4687500</v>
      </c>
      <c r="V247" s="118">
        <f>P247+$F$47+IF('Parameters and Satisfaction'!$C$19="Ozone", 'Filtration System'!AC211*1000000, 0)</f>
        <v>4687500</v>
      </c>
      <c r="W247" s="118">
        <f>Q247+$F$47+IF('Parameters and Satisfaction'!$C$19="Ozone", 'Filtration System'!AD211*1000000, 0)</f>
        <v>4687500</v>
      </c>
      <c r="X247" s="118">
        <f>R247+$F$47+IF('Parameters and Satisfaction'!$C$19="Ozone", 'Filtration System'!AE211*1000000, 0)</f>
        <v>4687500</v>
      </c>
      <c r="Y247" s="118"/>
      <c r="Z247" s="118">
        <f t="shared" si="24"/>
        <v>0.36566881824761033</v>
      </c>
      <c r="AA247" s="118">
        <f t="shared" si="25"/>
        <v>0.33482142857142855</v>
      </c>
      <c r="AB247" s="118">
        <f t="shared" si="26"/>
        <v>0.33482142857142855</v>
      </c>
      <c r="AC247" s="118">
        <f t="shared" si="27"/>
        <v>0.33482142857142855</v>
      </c>
      <c r="AD247" s="118">
        <f t="shared" si="28"/>
        <v>0.33482142857142855</v>
      </c>
      <c r="AE247" s="118"/>
      <c r="AF247" s="118"/>
      <c r="AG247" s="118"/>
      <c r="AK247">
        <f t="shared" si="33"/>
        <v>21934080</v>
      </c>
      <c r="AL247">
        <f t="shared" si="33"/>
        <v>21934080</v>
      </c>
      <c r="AM247">
        <f t="shared" si="33"/>
        <v>21934080</v>
      </c>
      <c r="AN247">
        <f t="shared" si="33"/>
        <v>21934080</v>
      </c>
      <c r="AO247">
        <f t="shared" si="33"/>
        <v>21934080</v>
      </c>
    </row>
    <row r="248" spans="1:41">
      <c r="A248" s="185">
        <f>'Water Stuff'!F182</f>
        <v>44739</v>
      </c>
      <c r="B248" s="118">
        <f>'Filtration System'!B212</f>
        <v>4079.9999999999991</v>
      </c>
      <c r="C248" s="118">
        <f>'Filtration System'!C212</f>
        <v>0</v>
      </c>
      <c r="D248" s="118">
        <f>'Filtration System'!D212</f>
        <v>924.63806877505726</v>
      </c>
      <c r="E248" s="118">
        <f>'Filtration System'!E212</f>
        <v>0</v>
      </c>
      <c r="F248" s="118">
        <f>'Filtration System'!F212</f>
        <v>1795.0072836478669</v>
      </c>
      <c r="G248" s="118"/>
      <c r="H248" s="118">
        <f>B248/1000*(1000*9.81*Pumps!$B$14+'Parameters and Satisfaction'!$B$27)</f>
        <v>1093656.9713607924</v>
      </c>
      <c r="I248" s="118">
        <f>C248/1000*(1000*9.81*Pumps!$B$14+'Parameters and Satisfaction'!$B$27)</f>
        <v>0</v>
      </c>
      <c r="J248" s="118">
        <f>D248/1000*(1000*9.81*Pumps!$B$14+'Parameters and Satisfaction'!$B$27)</f>
        <v>247852.17399544644</v>
      </c>
      <c r="K248" s="118">
        <f>E248/1000*(1000*9.81*Pumps!$B$14+'Parameters and Satisfaction'!$B$27)</f>
        <v>0</v>
      </c>
      <c r="L248" s="118">
        <f>F248/1000*(1000*9.81*Pumps!$B$14+'Parameters and Satisfaction'!$B$27)</f>
        <v>481157.409167865</v>
      </c>
      <c r="M248" s="118"/>
      <c r="N248" s="118">
        <f>H248/IF('Parameters and Satisfaction'!$C$13="Pump A", 0.7, IF('Parameters and Satisfaction'!$C$13 = "Pump B", 0.72, 0.65))</f>
        <v>1518968.0157788785</v>
      </c>
      <c r="O248" s="118">
        <f>I248/IF('Parameters and Satisfaction'!$C$13="Pump A", 0.7, IF('Parameters and Satisfaction'!$C$13 = "Pump B", 0.72, 0.65))</f>
        <v>0</v>
      </c>
      <c r="P248" s="118">
        <f>J248/IF('Parameters and Satisfaction'!$C$13="Pump A", 0.7, IF('Parameters and Satisfaction'!$C$13 = "Pump B", 0.72, 0.65))</f>
        <v>344239.13054923119</v>
      </c>
      <c r="Q248" s="118">
        <f>K248/IF('Parameters and Satisfaction'!$C$13="Pump A", 0.7, IF('Parameters and Satisfaction'!$C$13 = "Pump B", 0.72, 0.65))</f>
        <v>0</v>
      </c>
      <c r="R248" s="118">
        <f>L248/IF('Parameters and Satisfaction'!$C$13="Pump A", 0.7, IF('Parameters and Satisfaction'!$C$13 = "Pump B", 0.72, 0.65))</f>
        <v>668274.17939981248</v>
      </c>
      <c r="S248" s="118"/>
      <c r="T248" s="118">
        <f>N248+$F$47+IF('Parameters and Satisfaction'!$C$19="Ozone", 'Filtration System'!AA212*1000000, 0)</f>
        <v>6206468.0157788787</v>
      </c>
      <c r="U248" s="118">
        <f>O248+$F$47+IF('Parameters and Satisfaction'!$C$19="Ozone", 'Filtration System'!AB212*1000000, 0)</f>
        <v>4687500</v>
      </c>
      <c r="V248" s="118">
        <f>P248+$F$47+IF('Parameters and Satisfaction'!$C$19="Ozone", 'Filtration System'!AC212*1000000, 0)</f>
        <v>5031739.1305492315</v>
      </c>
      <c r="W248" s="118">
        <f>Q248+$F$47+IF('Parameters and Satisfaction'!$C$19="Ozone", 'Filtration System'!AD212*1000000, 0)</f>
        <v>4687500</v>
      </c>
      <c r="X248" s="118">
        <f>R248+$F$47+IF('Parameters and Satisfaction'!$C$19="Ozone", 'Filtration System'!AE212*1000000, 0)</f>
        <v>5355774.1793998126</v>
      </c>
      <c r="Y248" s="118"/>
      <c r="Z248" s="118">
        <f t="shared" si="24"/>
        <v>0.44331914398420563</v>
      </c>
      <c r="AA248" s="118">
        <f t="shared" si="25"/>
        <v>0.33482142857142855</v>
      </c>
      <c r="AB248" s="118">
        <f t="shared" si="26"/>
        <v>0.35940993789637365</v>
      </c>
      <c r="AC248" s="118">
        <f t="shared" si="27"/>
        <v>0.33482142857142855</v>
      </c>
      <c r="AD248" s="118">
        <f t="shared" si="28"/>
        <v>0.38255529852855802</v>
      </c>
      <c r="AE248" s="118"/>
      <c r="AF248" s="118"/>
      <c r="AG248" s="118"/>
      <c r="AK248">
        <f t="shared" si="33"/>
        <v>21934080</v>
      </c>
      <c r="AL248">
        <f t="shared" si="33"/>
        <v>21934080</v>
      </c>
      <c r="AM248">
        <f t="shared" si="33"/>
        <v>21934080</v>
      </c>
      <c r="AN248">
        <f t="shared" si="33"/>
        <v>21934080</v>
      </c>
      <c r="AO248">
        <f t="shared" si="33"/>
        <v>21934080</v>
      </c>
    </row>
    <row r="249" spans="1:41">
      <c r="A249" s="185">
        <f>'Water Stuff'!F183</f>
        <v>44740</v>
      </c>
      <c r="B249" s="118">
        <f>'Filtration System'!B213</f>
        <v>4079.9999999999991</v>
      </c>
      <c r="C249" s="118">
        <f>'Filtration System'!C213</f>
        <v>0</v>
      </c>
      <c r="D249" s="118">
        <f>'Filtration System'!D213</f>
        <v>4099.96461540982</v>
      </c>
      <c r="E249" s="118">
        <f>'Filtration System'!E213</f>
        <v>0</v>
      </c>
      <c r="F249" s="118">
        <f>'Filtration System'!F213</f>
        <v>1382.091754990885</v>
      </c>
      <c r="G249" s="118"/>
      <c r="H249" s="118">
        <f>B249/1000*(1000*9.81*Pumps!$B$14+'Parameters and Satisfaction'!$B$27)</f>
        <v>1093656.9713607924</v>
      </c>
      <c r="I249" s="118">
        <f>C249/1000*(1000*9.81*Pumps!$B$14+'Parameters and Satisfaction'!$B$27)</f>
        <v>0</v>
      </c>
      <c r="J249" s="118">
        <f>D249/1000*(1000*9.81*Pumps!$B$14+'Parameters and Satisfaction'!$B$27)</f>
        <v>1099008.5499940002</v>
      </c>
      <c r="K249" s="118">
        <f>E249/1000*(1000*9.81*Pumps!$B$14+'Parameters and Satisfaction'!$B$27)</f>
        <v>0</v>
      </c>
      <c r="L249" s="118">
        <f>F249/1000*(1000*9.81*Pumps!$B$14+'Parameters and Satisfaction'!$B$27)</f>
        <v>370474.08894756221</v>
      </c>
      <c r="M249" s="118"/>
      <c r="N249" s="118">
        <f>H249/IF('Parameters and Satisfaction'!$C$13="Pump A", 0.7, IF('Parameters and Satisfaction'!$C$13 = "Pump B", 0.72, 0.65))</f>
        <v>1518968.0157788785</v>
      </c>
      <c r="O249" s="118">
        <f>I249/IF('Parameters and Satisfaction'!$C$13="Pump A", 0.7, IF('Parameters and Satisfaction'!$C$13 = "Pump B", 0.72, 0.65))</f>
        <v>0</v>
      </c>
      <c r="P249" s="118">
        <f>J249/IF('Parameters and Satisfaction'!$C$13="Pump A", 0.7, IF('Parameters and Satisfaction'!$C$13 = "Pump B", 0.72, 0.65))</f>
        <v>1526400.763880556</v>
      </c>
      <c r="Q249" s="118">
        <f>K249/IF('Parameters and Satisfaction'!$C$13="Pump A", 0.7, IF('Parameters and Satisfaction'!$C$13 = "Pump B", 0.72, 0.65))</f>
        <v>0</v>
      </c>
      <c r="R249" s="118">
        <f>L249/IF('Parameters and Satisfaction'!$C$13="Pump A", 0.7, IF('Parameters and Satisfaction'!$C$13 = "Pump B", 0.72, 0.65))</f>
        <v>514547.34576050309</v>
      </c>
      <c r="S249" s="118"/>
      <c r="T249" s="118">
        <f>N249+$F$47+IF('Parameters and Satisfaction'!$C$19="Ozone", 'Filtration System'!AA213*1000000, 0)</f>
        <v>6206468.0157788787</v>
      </c>
      <c r="U249" s="118">
        <f>O249+$F$47+IF('Parameters and Satisfaction'!$C$19="Ozone", 'Filtration System'!AB213*1000000, 0)</f>
        <v>4687500</v>
      </c>
      <c r="V249" s="118">
        <f>P249+$F$47+IF('Parameters and Satisfaction'!$C$19="Ozone", 'Filtration System'!AC213*1000000, 0)</f>
        <v>6213900.7638805564</v>
      </c>
      <c r="W249" s="118">
        <f>Q249+$F$47+IF('Parameters and Satisfaction'!$C$19="Ozone", 'Filtration System'!AD213*1000000, 0)</f>
        <v>4687500</v>
      </c>
      <c r="X249" s="118">
        <f>R249+$F$47+IF('Parameters and Satisfaction'!$C$19="Ozone", 'Filtration System'!AE213*1000000, 0)</f>
        <v>5202047.3457605029</v>
      </c>
      <c r="Y249" s="118"/>
      <c r="Z249" s="118">
        <f t="shared" si="24"/>
        <v>0.44331914398420563</v>
      </c>
      <c r="AA249" s="118">
        <f t="shared" si="25"/>
        <v>0.33482142857142855</v>
      </c>
      <c r="AB249" s="118">
        <f t="shared" si="26"/>
        <v>0.44385005456289689</v>
      </c>
      <c r="AC249" s="118">
        <f t="shared" si="27"/>
        <v>0.33482142857142855</v>
      </c>
      <c r="AD249" s="118">
        <f t="shared" si="28"/>
        <v>0.37157481041146451</v>
      </c>
      <c r="AE249" s="118"/>
      <c r="AF249" s="118"/>
      <c r="AG249" s="118"/>
      <c r="AK249">
        <f t="shared" si="33"/>
        <v>21934080</v>
      </c>
      <c r="AL249">
        <f t="shared" si="33"/>
        <v>21934080</v>
      </c>
      <c r="AM249">
        <f t="shared" si="33"/>
        <v>21934080</v>
      </c>
      <c r="AN249">
        <f t="shared" si="33"/>
        <v>21934080</v>
      </c>
      <c r="AO249">
        <f t="shared" si="33"/>
        <v>21934080</v>
      </c>
    </row>
    <row r="250" spans="1:41">
      <c r="A250" s="185">
        <f>'Water Stuff'!F184</f>
        <v>44741</v>
      </c>
      <c r="B250" s="118">
        <f>'Filtration System'!B214</f>
        <v>120</v>
      </c>
      <c r="C250" s="118">
        <f>'Filtration System'!C214</f>
        <v>0</v>
      </c>
      <c r="D250" s="118">
        <f>'Filtration System'!D214</f>
        <v>423.80081600092694</v>
      </c>
      <c r="E250" s="118">
        <f>'Filtration System'!E214</f>
        <v>0</v>
      </c>
      <c r="F250" s="118">
        <f>'Filtration System'!F214</f>
        <v>0</v>
      </c>
      <c r="G250" s="118"/>
      <c r="H250" s="118">
        <f>B250/1000*(1000*9.81*Pumps!$B$14+'Parameters and Satisfaction'!$B$27)</f>
        <v>32166.381510611547</v>
      </c>
      <c r="I250" s="118">
        <f>C250/1000*(1000*9.81*Pumps!$B$14+'Parameters and Satisfaction'!$B$27)</f>
        <v>0</v>
      </c>
      <c r="J250" s="118">
        <f>D250/1000*(1000*9.81*Pumps!$B$14+'Parameters and Satisfaction'!$B$27)</f>
        <v>113601.15609995252</v>
      </c>
      <c r="K250" s="118">
        <f>E250/1000*(1000*9.81*Pumps!$B$14+'Parameters and Satisfaction'!$B$27)</f>
        <v>0</v>
      </c>
      <c r="L250" s="118">
        <f>F250/1000*(1000*9.81*Pumps!$B$14+'Parameters and Satisfaction'!$B$27)</f>
        <v>0</v>
      </c>
      <c r="M250" s="118"/>
      <c r="N250" s="118">
        <f>H250/IF('Parameters and Satisfaction'!$C$13="Pump A", 0.7, IF('Parameters and Satisfaction'!$C$13 = "Pump B", 0.72, 0.65))</f>
        <v>44675.529875849374</v>
      </c>
      <c r="O250" s="118">
        <f>I250/IF('Parameters and Satisfaction'!$C$13="Pump A", 0.7, IF('Parameters and Satisfaction'!$C$13 = "Pump B", 0.72, 0.65))</f>
        <v>0</v>
      </c>
      <c r="P250" s="118">
        <f>J250/IF('Parameters and Satisfaction'!$C$13="Pump A", 0.7, IF('Parameters and Satisfaction'!$C$13 = "Pump B", 0.72, 0.65))</f>
        <v>157779.3834721563</v>
      </c>
      <c r="Q250" s="118">
        <f>K250/IF('Parameters and Satisfaction'!$C$13="Pump A", 0.7, IF('Parameters and Satisfaction'!$C$13 = "Pump B", 0.72, 0.65))</f>
        <v>0</v>
      </c>
      <c r="R250" s="118">
        <f>L250/IF('Parameters and Satisfaction'!$C$13="Pump A", 0.7, IF('Parameters and Satisfaction'!$C$13 = "Pump B", 0.72, 0.65))</f>
        <v>0</v>
      </c>
      <c r="S250" s="118"/>
      <c r="T250" s="118">
        <f>N250+$F$47+IF('Parameters and Satisfaction'!$C$19="Ozone", 'Filtration System'!AA214*1000000, 0)</f>
        <v>4732175.5298758494</v>
      </c>
      <c r="U250" s="118">
        <f>O250+$F$47+IF('Parameters and Satisfaction'!$C$19="Ozone", 'Filtration System'!AB214*1000000, 0)</f>
        <v>4687500</v>
      </c>
      <c r="V250" s="118">
        <f>P250+$F$47+IF('Parameters and Satisfaction'!$C$19="Ozone", 'Filtration System'!AC214*1000000, 0)</f>
        <v>4845279.3834721567</v>
      </c>
      <c r="W250" s="118">
        <f>Q250+$F$47+IF('Parameters and Satisfaction'!$C$19="Ozone", 'Filtration System'!AD214*1000000, 0)</f>
        <v>4687500</v>
      </c>
      <c r="X250" s="118">
        <f>R250+$F$47+IF('Parameters and Satisfaction'!$C$19="Ozone", 'Filtration System'!AE214*1000000, 0)</f>
        <v>4687500</v>
      </c>
      <c r="Y250" s="118"/>
      <c r="Z250" s="118">
        <f t="shared" si="24"/>
        <v>0.33801253784827495</v>
      </c>
      <c r="AA250" s="118">
        <f t="shared" si="25"/>
        <v>0.33482142857142855</v>
      </c>
      <c r="AB250" s="118">
        <f t="shared" si="26"/>
        <v>0.34609138453372545</v>
      </c>
      <c r="AC250" s="118">
        <f t="shared" si="27"/>
        <v>0.33482142857142855</v>
      </c>
      <c r="AD250" s="118">
        <f t="shared" si="28"/>
        <v>0.33482142857142855</v>
      </c>
      <c r="AE250" s="118"/>
      <c r="AF250" s="118"/>
      <c r="AG250" s="118"/>
      <c r="AK250">
        <f t="shared" si="33"/>
        <v>21934080</v>
      </c>
      <c r="AL250">
        <f t="shared" si="33"/>
        <v>21934080</v>
      </c>
      <c r="AM250">
        <f t="shared" si="33"/>
        <v>21934080</v>
      </c>
      <c r="AN250">
        <f t="shared" si="33"/>
        <v>21934080</v>
      </c>
      <c r="AO250">
        <f t="shared" si="33"/>
        <v>21934080</v>
      </c>
    </row>
    <row r="251" spans="1:41">
      <c r="A251" s="185">
        <f>'Water Stuff'!F185</f>
        <v>44742</v>
      </c>
      <c r="B251" s="118">
        <f>'Filtration System'!B215</f>
        <v>0</v>
      </c>
      <c r="C251" s="118">
        <f>'Filtration System'!C215</f>
        <v>0</v>
      </c>
      <c r="D251" s="118">
        <f>'Filtration System'!D215</f>
        <v>1689.9257637858018</v>
      </c>
      <c r="E251" s="118">
        <f>'Filtration System'!E215</f>
        <v>0</v>
      </c>
      <c r="F251" s="118">
        <f>'Filtration System'!F215</f>
        <v>1343.1222876871143</v>
      </c>
      <c r="G251" s="118"/>
      <c r="H251" s="118">
        <f>B251/1000*(1000*9.81*Pumps!$B$14+'Parameters and Satisfaction'!$B$27)</f>
        <v>0</v>
      </c>
      <c r="I251" s="118">
        <f>C251/1000*(1000*9.81*Pumps!$B$14+'Parameters and Satisfaction'!$B$27)</f>
        <v>0</v>
      </c>
      <c r="J251" s="118">
        <f>D251/1000*(1000*9.81*Pumps!$B$14+'Parameters and Satisfaction'!$B$27)</f>
        <v>452989.97368788096</v>
      </c>
      <c r="K251" s="118">
        <f>E251/1000*(1000*9.81*Pumps!$B$14+'Parameters and Satisfaction'!$B$27)</f>
        <v>0</v>
      </c>
      <c r="L251" s="118">
        <f>F251/1000*(1000*9.81*Pumps!$B$14+'Parameters and Satisfaction'!$B$27)</f>
        <v>360028.19934290898</v>
      </c>
      <c r="M251" s="118"/>
      <c r="N251" s="118">
        <f>H251/IF('Parameters and Satisfaction'!$C$13="Pump A", 0.7, IF('Parameters and Satisfaction'!$C$13 = "Pump B", 0.72, 0.65))</f>
        <v>0</v>
      </c>
      <c r="O251" s="118">
        <f>I251/IF('Parameters and Satisfaction'!$C$13="Pump A", 0.7, IF('Parameters and Satisfaction'!$C$13 = "Pump B", 0.72, 0.65))</f>
        <v>0</v>
      </c>
      <c r="P251" s="118">
        <f>J251/IF('Parameters and Satisfaction'!$C$13="Pump A", 0.7, IF('Parameters and Satisfaction'!$C$13 = "Pump B", 0.72, 0.65))</f>
        <v>629152.74123316805</v>
      </c>
      <c r="Q251" s="118">
        <f>K251/IF('Parameters and Satisfaction'!$C$13="Pump A", 0.7, IF('Parameters and Satisfaction'!$C$13 = "Pump B", 0.72, 0.65))</f>
        <v>0</v>
      </c>
      <c r="R251" s="118">
        <f>L251/IF('Parameters and Satisfaction'!$C$13="Pump A", 0.7, IF('Parameters and Satisfaction'!$C$13 = "Pump B", 0.72, 0.65))</f>
        <v>500039.16575404024</v>
      </c>
      <c r="S251" s="118"/>
      <c r="T251" s="118">
        <f>N251+$F$47+IF('Parameters and Satisfaction'!$C$19="Ozone", 'Filtration System'!AA215*1000000, 0)</f>
        <v>4687500</v>
      </c>
      <c r="U251" s="118">
        <f>O251+$F$47+IF('Parameters and Satisfaction'!$C$19="Ozone", 'Filtration System'!AB215*1000000, 0)</f>
        <v>4687500</v>
      </c>
      <c r="V251" s="118">
        <f>P251+$F$47+IF('Parameters and Satisfaction'!$C$19="Ozone", 'Filtration System'!AC215*1000000, 0)</f>
        <v>5316652.7412331682</v>
      </c>
      <c r="W251" s="118">
        <f>Q251+$F$47+IF('Parameters and Satisfaction'!$C$19="Ozone", 'Filtration System'!AD215*1000000, 0)</f>
        <v>4687500</v>
      </c>
      <c r="X251" s="118">
        <f>R251+$F$47+IF('Parameters and Satisfaction'!$C$19="Ozone", 'Filtration System'!AE215*1000000, 0)</f>
        <v>5187539.1657540407</v>
      </c>
      <c r="Y251" s="118"/>
      <c r="Z251" s="118">
        <f t="shared" si="24"/>
        <v>0.33482142857142855</v>
      </c>
      <c r="AA251" s="118">
        <f t="shared" si="25"/>
        <v>0.33482142857142855</v>
      </c>
      <c r="AB251" s="118">
        <f t="shared" si="26"/>
        <v>0.37976091008808344</v>
      </c>
      <c r="AC251" s="118">
        <f t="shared" si="27"/>
        <v>0.33482142857142855</v>
      </c>
      <c r="AD251" s="118">
        <f t="shared" si="28"/>
        <v>0.37053851183957431</v>
      </c>
      <c r="AE251" s="118"/>
      <c r="AF251" s="118"/>
      <c r="AG251" s="118"/>
      <c r="AK251">
        <f t="shared" si="33"/>
        <v>21934080</v>
      </c>
      <c r="AL251">
        <f t="shared" si="33"/>
        <v>21934080</v>
      </c>
      <c r="AM251">
        <f t="shared" si="33"/>
        <v>21934080</v>
      </c>
      <c r="AN251">
        <f t="shared" si="33"/>
        <v>21934080</v>
      </c>
      <c r="AO251">
        <f t="shared" si="33"/>
        <v>21934080</v>
      </c>
    </row>
    <row r="252" spans="1:41">
      <c r="A252" s="185">
        <f>'Water Stuff'!F186</f>
        <v>44743</v>
      </c>
      <c r="B252" s="118">
        <f>'Filtration System'!B216</f>
        <v>0</v>
      </c>
      <c r="C252" s="118">
        <f>'Filtration System'!C216</f>
        <v>0</v>
      </c>
      <c r="D252" s="118">
        <f>'Filtration System'!D216</f>
        <v>0</v>
      </c>
      <c r="E252" s="118">
        <f>'Filtration System'!E216</f>
        <v>295.87997408683998</v>
      </c>
      <c r="F252" s="118">
        <f>'Filtration System'!F216</f>
        <v>0</v>
      </c>
      <c r="G252" s="118"/>
      <c r="H252" s="118">
        <f>B252/1000*(1000*9.81*Pumps!$B$14+'Parameters and Satisfaction'!$B$27)</f>
        <v>0</v>
      </c>
      <c r="I252" s="118">
        <f>C252/1000*(1000*9.81*Pumps!$B$14+'Parameters and Satisfaction'!$B$27)</f>
        <v>0</v>
      </c>
      <c r="J252" s="118">
        <f>D252/1000*(1000*9.81*Pumps!$B$14+'Parameters and Satisfaction'!$B$27)</f>
        <v>0</v>
      </c>
      <c r="K252" s="118">
        <f>E252/1000*(1000*9.81*Pumps!$B$14+'Parameters and Satisfaction'!$B$27)</f>
        <v>79311.567731892952</v>
      </c>
      <c r="L252" s="118">
        <f>F252/1000*(1000*9.81*Pumps!$B$14+'Parameters and Satisfaction'!$B$27)</f>
        <v>0</v>
      </c>
      <c r="M252" s="118"/>
      <c r="N252" s="118">
        <f>H252/IF('Parameters and Satisfaction'!$C$13="Pump A", 0.7, IF('Parameters and Satisfaction'!$C$13 = "Pump B", 0.72, 0.65))</f>
        <v>0</v>
      </c>
      <c r="O252" s="118">
        <f>I252/IF('Parameters and Satisfaction'!$C$13="Pump A", 0.7, IF('Parameters and Satisfaction'!$C$13 = "Pump B", 0.72, 0.65))</f>
        <v>0</v>
      </c>
      <c r="P252" s="118">
        <f>J252/IF('Parameters and Satisfaction'!$C$13="Pump A", 0.7, IF('Parameters and Satisfaction'!$C$13 = "Pump B", 0.72, 0.65))</f>
        <v>0</v>
      </c>
      <c r="Q252" s="118">
        <f>K252/IF('Parameters and Satisfaction'!$C$13="Pump A", 0.7, IF('Parameters and Satisfaction'!$C$13 = "Pump B", 0.72, 0.65))</f>
        <v>110154.95518318466</v>
      </c>
      <c r="R252" s="118">
        <f>L252/IF('Parameters and Satisfaction'!$C$13="Pump A", 0.7, IF('Parameters and Satisfaction'!$C$13 = "Pump B", 0.72, 0.65))</f>
        <v>0</v>
      </c>
      <c r="S252" s="118"/>
      <c r="T252" s="118">
        <f>N252+$F$47+IF('Parameters and Satisfaction'!$C$19="Ozone", 'Filtration System'!AA216*1000000, 0)</f>
        <v>4687500</v>
      </c>
      <c r="U252" s="118">
        <f>O252+$F$47+IF('Parameters and Satisfaction'!$C$19="Ozone", 'Filtration System'!AB216*1000000, 0)</f>
        <v>4687500</v>
      </c>
      <c r="V252" s="118">
        <f>P252+$F$47+IF('Parameters and Satisfaction'!$C$19="Ozone", 'Filtration System'!AC216*1000000, 0)</f>
        <v>4687500</v>
      </c>
      <c r="W252" s="118">
        <f>Q252+$F$47+IF('Parameters and Satisfaction'!$C$19="Ozone", 'Filtration System'!AD216*1000000, 0)</f>
        <v>4797654.9551831847</v>
      </c>
      <c r="X252" s="118">
        <f>R252+$F$47+IF('Parameters and Satisfaction'!$C$19="Ozone", 'Filtration System'!AE216*1000000, 0)</f>
        <v>4687500</v>
      </c>
      <c r="Y252" s="118"/>
      <c r="Z252" s="118">
        <f t="shared" si="24"/>
        <v>0.33482142857142855</v>
      </c>
      <c r="AA252" s="118">
        <f t="shared" si="25"/>
        <v>0.33482142857142855</v>
      </c>
      <c r="AB252" s="118">
        <f t="shared" si="26"/>
        <v>0.33482142857142855</v>
      </c>
      <c r="AC252" s="118">
        <f t="shared" si="27"/>
        <v>0.34268963965594179</v>
      </c>
      <c r="AD252" s="118">
        <f t="shared" si="28"/>
        <v>0.33482142857142855</v>
      </c>
      <c r="AE252" s="118"/>
      <c r="AF252" s="118"/>
      <c r="AG252" s="118"/>
      <c r="AK252">
        <f t="shared" ref="AK252:AO261" si="34">$D$61</f>
        <v>21248640</v>
      </c>
      <c r="AL252">
        <f t="shared" si="34"/>
        <v>21248640</v>
      </c>
      <c r="AM252">
        <f t="shared" si="34"/>
        <v>21248640</v>
      </c>
      <c r="AN252">
        <f t="shared" si="34"/>
        <v>21248640</v>
      </c>
      <c r="AO252">
        <f t="shared" si="34"/>
        <v>21248640</v>
      </c>
    </row>
    <row r="253" spans="1:41">
      <c r="A253" s="185">
        <f>'Water Stuff'!F187</f>
        <v>44744</v>
      </c>
      <c r="B253" s="118">
        <f>'Filtration System'!B217</f>
        <v>360</v>
      </c>
      <c r="C253" s="118">
        <f>'Filtration System'!C217</f>
        <v>0</v>
      </c>
      <c r="D253" s="118">
        <f>'Filtration System'!D217</f>
        <v>0</v>
      </c>
      <c r="E253" s="118">
        <f>'Filtration System'!E217</f>
        <v>0</v>
      </c>
      <c r="F253" s="118">
        <f>'Filtration System'!F217</f>
        <v>0</v>
      </c>
      <c r="G253" s="118"/>
      <c r="H253" s="118">
        <f>B253/1000*(1000*9.81*Pumps!$B$14+'Parameters and Satisfaction'!$B$27)</f>
        <v>96499.144531834638</v>
      </c>
      <c r="I253" s="118">
        <f>C253/1000*(1000*9.81*Pumps!$B$14+'Parameters and Satisfaction'!$B$27)</f>
        <v>0</v>
      </c>
      <c r="J253" s="118">
        <f>D253/1000*(1000*9.81*Pumps!$B$14+'Parameters and Satisfaction'!$B$27)</f>
        <v>0</v>
      </c>
      <c r="K253" s="118">
        <f>E253/1000*(1000*9.81*Pumps!$B$14+'Parameters and Satisfaction'!$B$27)</f>
        <v>0</v>
      </c>
      <c r="L253" s="118">
        <f>F253/1000*(1000*9.81*Pumps!$B$14+'Parameters and Satisfaction'!$B$27)</f>
        <v>0</v>
      </c>
      <c r="M253" s="118"/>
      <c r="N253" s="118">
        <f>H253/IF('Parameters and Satisfaction'!$C$13="Pump A", 0.7, IF('Parameters and Satisfaction'!$C$13 = "Pump B", 0.72, 0.65))</f>
        <v>134026.58962754812</v>
      </c>
      <c r="O253" s="118">
        <f>I253/IF('Parameters and Satisfaction'!$C$13="Pump A", 0.7, IF('Parameters and Satisfaction'!$C$13 = "Pump B", 0.72, 0.65))</f>
        <v>0</v>
      </c>
      <c r="P253" s="118">
        <f>J253/IF('Parameters and Satisfaction'!$C$13="Pump A", 0.7, IF('Parameters and Satisfaction'!$C$13 = "Pump B", 0.72, 0.65))</f>
        <v>0</v>
      </c>
      <c r="Q253" s="118">
        <f>K253/IF('Parameters and Satisfaction'!$C$13="Pump A", 0.7, IF('Parameters and Satisfaction'!$C$13 = "Pump B", 0.72, 0.65))</f>
        <v>0</v>
      </c>
      <c r="R253" s="118">
        <f>L253/IF('Parameters and Satisfaction'!$C$13="Pump A", 0.7, IF('Parameters and Satisfaction'!$C$13 = "Pump B", 0.72, 0.65))</f>
        <v>0</v>
      </c>
      <c r="S253" s="118"/>
      <c r="T253" s="118">
        <f>N253+$F$47+IF('Parameters and Satisfaction'!$C$19="Ozone", 'Filtration System'!AA217*1000000, 0)</f>
        <v>4821526.5896275481</v>
      </c>
      <c r="U253" s="118">
        <f>O253+$F$47+IF('Parameters and Satisfaction'!$C$19="Ozone", 'Filtration System'!AB217*1000000, 0)</f>
        <v>4687500</v>
      </c>
      <c r="V253" s="118">
        <f>P253+$F$47+IF('Parameters and Satisfaction'!$C$19="Ozone", 'Filtration System'!AC217*1000000, 0)</f>
        <v>4687500</v>
      </c>
      <c r="W253" s="118">
        <f>Q253+$F$47+IF('Parameters and Satisfaction'!$C$19="Ozone", 'Filtration System'!AD217*1000000, 0)</f>
        <v>4687500</v>
      </c>
      <c r="X253" s="118">
        <f>R253+$F$47+IF('Parameters and Satisfaction'!$C$19="Ozone", 'Filtration System'!AE217*1000000, 0)</f>
        <v>4687500</v>
      </c>
      <c r="Y253" s="118"/>
      <c r="Z253" s="118">
        <f t="shared" si="24"/>
        <v>0.34439475640196771</v>
      </c>
      <c r="AA253" s="118">
        <f t="shared" si="25"/>
        <v>0.33482142857142855</v>
      </c>
      <c r="AB253" s="118">
        <f t="shared" si="26"/>
        <v>0.33482142857142855</v>
      </c>
      <c r="AC253" s="118">
        <f t="shared" si="27"/>
        <v>0.33482142857142855</v>
      </c>
      <c r="AD253" s="118">
        <f t="shared" si="28"/>
        <v>0.33482142857142855</v>
      </c>
      <c r="AE253" s="118"/>
      <c r="AF253" s="118"/>
      <c r="AG253" s="118"/>
      <c r="AK253">
        <f t="shared" si="34"/>
        <v>21248640</v>
      </c>
      <c r="AL253">
        <f t="shared" si="34"/>
        <v>21248640</v>
      </c>
      <c r="AM253">
        <f t="shared" si="34"/>
        <v>21248640</v>
      </c>
      <c r="AN253">
        <f t="shared" si="34"/>
        <v>21248640</v>
      </c>
      <c r="AO253">
        <f t="shared" si="34"/>
        <v>21248640</v>
      </c>
    </row>
    <row r="254" spans="1:41">
      <c r="A254" s="185">
        <f>'Water Stuff'!F188</f>
        <v>44745</v>
      </c>
      <c r="B254" s="118">
        <f>'Filtration System'!B218</f>
        <v>1240</v>
      </c>
      <c r="C254" s="118">
        <f>'Filtration System'!C218</f>
        <v>0</v>
      </c>
      <c r="D254" s="118">
        <f>'Filtration System'!D218</f>
        <v>0</v>
      </c>
      <c r="E254" s="118">
        <f>'Filtration System'!E218</f>
        <v>0</v>
      </c>
      <c r="F254" s="118">
        <f>'Filtration System'!F218</f>
        <v>0</v>
      </c>
      <c r="G254" s="118"/>
      <c r="H254" s="118">
        <f>B254/1000*(1000*9.81*Pumps!$B$14+'Parameters and Satisfaction'!$B$27)</f>
        <v>332385.94227631931</v>
      </c>
      <c r="I254" s="118">
        <f>C254/1000*(1000*9.81*Pumps!$B$14+'Parameters and Satisfaction'!$B$27)</f>
        <v>0</v>
      </c>
      <c r="J254" s="118">
        <f>D254/1000*(1000*9.81*Pumps!$B$14+'Parameters and Satisfaction'!$B$27)</f>
        <v>0</v>
      </c>
      <c r="K254" s="118">
        <f>E254/1000*(1000*9.81*Pumps!$B$14+'Parameters and Satisfaction'!$B$27)</f>
        <v>0</v>
      </c>
      <c r="L254" s="118">
        <f>F254/1000*(1000*9.81*Pumps!$B$14+'Parameters and Satisfaction'!$B$27)</f>
        <v>0</v>
      </c>
      <c r="M254" s="118"/>
      <c r="N254" s="118">
        <f>H254/IF('Parameters and Satisfaction'!$C$13="Pump A", 0.7, IF('Parameters and Satisfaction'!$C$13 = "Pump B", 0.72, 0.65))</f>
        <v>461647.14205044351</v>
      </c>
      <c r="O254" s="118">
        <f>I254/IF('Parameters and Satisfaction'!$C$13="Pump A", 0.7, IF('Parameters and Satisfaction'!$C$13 = "Pump B", 0.72, 0.65))</f>
        <v>0</v>
      </c>
      <c r="P254" s="118">
        <f>J254/IF('Parameters and Satisfaction'!$C$13="Pump A", 0.7, IF('Parameters and Satisfaction'!$C$13 = "Pump B", 0.72, 0.65))</f>
        <v>0</v>
      </c>
      <c r="Q254" s="118">
        <f>K254/IF('Parameters and Satisfaction'!$C$13="Pump A", 0.7, IF('Parameters and Satisfaction'!$C$13 = "Pump B", 0.72, 0.65))</f>
        <v>0</v>
      </c>
      <c r="R254" s="118">
        <f>L254/IF('Parameters and Satisfaction'!$C$13="Pump A", 0.7, IF('Parameters and Satisfaction'!$C$13 = "Pump B", 0.72, 0.65))</f>
        <v>0</v>
      </c>
      <c r="S254" s="118"/>
      <c r="T254" s="118">
        <f>N254+$F$47+IF('Parameters and Satisfaction'!$C$19="Ozone", 'Filtration System'!AA218*1000000, 0)</f>
        <v>5149147.1420504432</v>
      </c>
      <c r="U254" s="118">
        <f>O254+$F$47+IF('Parameters and Satisfaction'!$C$19="Ozone", 'Filtration System'!AB218*1000000, 0)</f>
        <v>4687500</v>
      </c>
      <c r="V254" s="118">
        <f>P254+$F$47+IF('Parameters and Satisfaction'!$C$19="Ozone", 'Filtration System'!AC218*1000000, 0)</f>
        <v>4687500</v>
      </c>
      <c r="W254" s="118">
        <f>Q254+$F$47+IF('Parameters and Satisfaction'!$C$19="Ozone", 'Filtration System'!AD218*1000000, 0)</f>
        <v>4687500</v>
      </c>
      <c r="X254" s="118">
        <f>R254+$F$47+IF('Parameters and Satisfaction'!$C$19="Ozone", 'Filtration System'!AE218*1000000, 0)</f>
        <v>4687500</v>
      </c>
      <c r="Y254" s="118"/>
      <c r="Z254" s="118">
        <f t="shared" si="24"/>
        <v>0.36779622443217452</v>
      </c>
      <c r="AA254" s="118">
        <f t="shared" si="25"/>
        <v>0.33482142857142855</v>
      </c>
      <c r="AB254" s="118">
        <f t="shared" si="26"/>
        <v>0.33482142857142855</v>
      </c>
      <c r="AC254" s="118">
        <f t="shared" si="27"/>
        <v>0.33482142857142855</v>
      </c>
      <c r="AD254" s="118">
        <f t="shared" si="28"/>
        <v>0.33482142857142855</v>
      </c>
      <c r="AE254" s="118"/>
      <c r="AF254" s="118"/>
      <c r="AG254" s="118"/>
      <c r="AK254">
        <f t="shared" si="34"/>
        <v>21248640</v>
      </c>
      <c r="AL254">
        <f t="shared" si="34"/>
        <v>21248640</v>
      </c>
      <c r="AM254">
        <f t="shared" si="34"/>
        <v>21248640</v>
      </c>
      <c r="AN254">
        <f t="shared" si="34"/>
        <v>21248640</v>
      </c>
      <c r="AO254">
        <f t="shared" si="34"/>
        <v>21248640</v>
      </c>
    </row>
    <row r="255" spans="1:41">
      <c r="A255" s="185">
        <f>'Water Stuff'!F189</f>
        <v>44746</v>
      </c>
      <c r="B255" s="118">
        <f>'Filtration System'!B219</f>
        <v>1880</v>
      </c>
      <c r="C255" s="118">
        <f>'Filtration System'!C219</f>
        <v>0</v>
      </c>
      <c r="D255" s="118">
        <f>'Filtration System'!D219</f>
        <v>0</v>
      </c>
      <c r="E255" s="118">
        <f>'Filtration System'!E219</f>
        <v>0</v>
      </c>
      <c r="F255" s="118">
        <f>'Filtration System'!F219</f>
        <v>1059.8195170073016</v>
      </c>
      <c r="G255" s="118"/>
      <c r="H255" s="118">
        <f>B255/1000*(1000*9.81*Pumps!$B$14+'Parameters and Satisfaction'!$B$27)</f>
        <v>503939.97699958092</v>
      </c>
      <c r="I255" s="118">
        <f>C255/1000*(1000*9.81*Pumps!$B$14+'Parameters and Satisfaction'!$B$27)</f>
        <v>0</v>
      </c>
      <c r="J255" s="118">
        <f>D255/1000*(1000*9.81*Pumps!$B$14+'Parameters and Satisfaction'!$B$27)</f>
        <v>0</v>
      </c>
      <c r="K255" s="118">
        <f>E255/1000*(1000*9.81*Pumps!$B$14+'Parameters and Satisfaction'!$B$27)</f>
        <v>0</v>
      </c>
      <c r="L255" s="118">
        <f>F255/1000*(1000*9.81*Pumps!$B$14+'Parameters and Satisfaction'!$B$27)</f>
        <v>284087.99097040773</v>
      </c>
      <c r="M255" s="118"/>
      <c r="N255" s="118">
        <f>H255/IF('Parameters and Satisfaction'!$C$13="Pump A", 0.7, IF('Parameters and Satisfaction'!$C$13 = "Pump B", 0.72, 0.65))</f>
        <v>699916.63472164015</v>
      </c>
      <c r="O255" s="118">
        <f>I255/IF('Parameters and Satisfaction'!$C$13="Pump A", 0.7, IF('Parameters and Satisfaction'!$C$13 = "Pump B", 0.72, 0.65))</f>
        <v>0</v>
      </c>
      <c r="P255" s="118">
        <f>J255/IF('Parameters and Satisfaction'!$C$13="Pump A", 0.7, IF('Parameters and Satisfaction'!$C$13 = "Pump B", 0.72, 0.65))</f>
        <v>0</v>
      </c>
      <c r="Q255" s="118">
        <f>K255/IF('Parameters and Satisfaction'!$C$13="Pump A", 0.7, IF('Parameters and Satisfaction'!$C$13 = "Pump B", 0.72, 0.65))</f>
        <v>0</v>
      </c>
      <c r="R255" s="118">
        <f>L255/IF('Parameters and Satisfaction'!$C$13="Pump A", 0.7, IF('Parameters and Satisfaction'!$C$13 = "Pump B", 0.72, 0.65))</f>
        <v>394566.6541255663</v>
      </c>
      <c r="S255" s="118"/>
      <c r="T255" s="118">
        <f>N255+$F$47+IF('Parameters and Satisfaction'!$C$19="Ozone", 'Filtration System'!AA219*1000000, 0)</f>
        <v>5387416.6347216405</v>
      </c>
      <c r="U255" s="118">
        <f>O255+$F$47+IF('Parameters and Satisfaction'!$C$19="Ozone", 'Filtration System'!AB219*1000000, 0)</f>
        <v>4687500</v>
      </c>
      <c r="V255" s="118">
        <f>P255+$F$47+IF('Parameters and Satisfaction'!$C$19="Ozone", 'Filtration System'!AC219*1000000, 0)</f>
        <v>4687500</v>
      </c>
      <c r="W255" s="118">
        <f>Q255+$F$47+IF('Parameters and Satisfaction'!$C$19="Ozone", 'Filtration System'!AD219*1000000, 0)</f>
        <v>4687500</v>
      </c>
      <c r="X255" s="118">
        <f>R255+$F$47+IF('Parameters and Satisfaction'!$C$19="Ozone", 'Filtration System'!AE219*1000000, 0)</f>
        <v>5082066.6541255666</v>
      </c>
      <c r="Y255" s="118"/>
      <c r="Z255" s="118">
        <f t="shared" si="24"/>
        <v>0.38481547390868859</v>
      </c>
      <c r="AA255" s="118">
        <f t="shared" si="25"/>
        <v>0.33482142857142855</v>
      </c>
      <c r="AB255" s="118">
        <f t="shared" si="26"/>
        <v>0.33482142857142855</v>
      </c>
      <c r="AC255" s="118">
        <f t="shared" si="27"/>
        <v>0.33482142857142855</v>
      </c>
      <c r="AD255" s="118">
        <f t="shared" si="28"/>
        <v>0.36300476100896906</v>
      </c>
      <c r="AE255" s="118"/>
      <c r="AF255" s="118"/>
      <c r="AG255" s="118"/>
      <c r="AK255">
        <f t="shared" si="34"/>
        <v>21248640</v>
      </c>
      <c r="AL255">
        <f t="shared" si="34"/>
        <v>21248640</v>
      </c>
      <c r="AM255">
        <f t="shared" si="34"/>
        <v>21248640</v>
      </c>
      <c r="AN255">
        <f t="shared" si="34"/>
        <v>21248640</v>
      </c>
      <c r="AO255">
        <f t="shared" si="34"/>
        <v>21248640</v>
      </c>
    </row>
    <row r="256" spans="1:41">
      <c r="A256" s="185">
        <f>'Water Stuff'!F190</f>
        <v>44747</v>
      </c>
      <c r="B256" s="118">
        <f>'Filtration System'!B220</f>
        <v>5320</v>
      </c>
      <c r="C256" s="118">
        <f>'Filtration System'!C220</f>
        <v>0</v>
      </c>
      <c r="D256" s="118">
        <f>'Filtration System'!D220</f>
        <v>3827.797585197924</v>
      </c>
      <c r="E256" s="118">
        <f>'Filtration System'!E220</f>
        <v>1729.1176196606796</v>
      </c>
      <c r="F256" s="118">
        <f>'Filtration System'!F220</f>
        <v>2166.2684233786599</v>
      </c>
      <c r="G256" s="118"/>
      <c r="H256" s="118">
        <f>B256/1000*(1000*9.81*Pumps!$B$14+'Parameters and Satisfaction'!$B$27)</f>
        <v>1426042.9136371121</v>
      </c>
      <c r="I256" s="118">
        <f>C256/1000*(1000*9.81*Pumps!$B$14+'Parameters and Satisfaction'!$B$27)</f>
        <v>0</v>
      </c>
      <c r="J256" s="118">
        <f>D256/1000*(1000*9.81*Pumps!$B$14+'Parameters and Satisfaction'!$B$27)</f>
        <v>1026053.3122572837</v>
      </c>
      <c r="K256" s="118">
        <f>E256/1000*(1000*9.81*Pumps!$B$14+'Parameters and Satisfaction'!$B$27)</f>
        <v>463495.47525604948</v>
      </c>
      <c r="L256" s="118">
        <f>F256/1000*(1000*9.81*Pumps!$B$14+'Parameters and Satisfaction'!$B$27)</f>
        <v>580675.13800657459</v>
      </c>
      <c r="M256" s="118"/>
      <c r="N256" s="118">
        <f>H256/IF('Parameters and Satisfaction'!$C$13="Pump A", 0.7, IF('Parameters and Satisfaction'!$C$13 = "Pump B", 0.72, 0.65))</f>
        <v>1980615.1578293224</v>
      </c>
      <c r="O256" s="118">
        <f>I256/IF('Parameters and Satisfaction'!$C$13="Pump A", 0.7, IF('Parameters and Satisfaction'!$C$13 = "Pump B", 0.72, 0.65))</f>
        <v>0</v>
      </c>
      <c r="P256" s="118">
        <f>J256/IF('Parameters and Satisfaction'!$C$13="Pump A", 0.7, IF('Parameters and Satisfaction'!$C$13 = "Pump B", 0.72, 0.65))</f>
        <v>1425074.044801783</v>
      </c>
      <c r="Q256" s="118">
        <f>K256/IF('Parameters and Satisfaction'!$C$13="Pump A", 0.7, IF('Parameters and Satisfaction'!$C$13 = "Pump B", 0.72, 0.65))</f>
        <v>643743.71563340211</v>
      </c>
      <c r="R256" s="118">
        <f>L256/IF('Parameters and Satisfaction'!$C$13="Pump A", 0.7, IF('Parameters and Satisfaction'!$C$13 = "Pump B", 0.72, 0.65))</f>
        <v>806493.24723135366</v>
      </c>
      <c r="S256" s="118"/>
      <c r="T256" s="118">
        <f>N256+$F$47+IF('Parameters and Satisfaction'!$C$19="Ozone", 'Filtration System'!AA220*1000000, 0)</f>
        <v>6668115.1578293219</v>
      </c>
      <c r="U256" s="118">
        <f>O256+$F$47+IF('Parameters and Satisfaction'!$C$19="Ozone", 'Filtration System'!AB220*1000000, 0)</f>
        <v>4687500</v>
      </c>
      <c r="V256" s="118">
        <f>P256+$F$47+IF('Parameters and Satisfaction'!$C$19="Ozone", 'Filtration System'!AC220*1000000, 0)</f>
        <v>6112574.0448017828</v>
      </c>
      <c r="W256" s="118">
        <f>Q256+$F$47+IF('Parameters and Satisfaction'!$C$19="Ozone", 'Filtration System'!AD220*1000000, 0)</f>
        <v>5331243.7156334016</v>
      </c>
      <c r="X256" s="118">
        <f>R256+$F$47+IF('Parameters and Satisfaction'!$C$19="Ozone", 'Filtration System'!AE220*1000000, 0)</f>
        <v>5493993.247231354</v>
      </c>
      <c r="Y256" s="118"/>
      <c r="Z256" s="118">
        <f t="shared" si="24"/>
        <v>0.47629393984495155</v>
      </c>
      <c r="AA256" s="118">
        <f t="shared" si="25"/>
        <v>0.33482142857142855</v>
      </c>
      <c r="AB256" s="118">
        <f t="shared" si="26"/>
        <v>0.4366124317715559</v>
      </c>
      <c r="AC256" s="118">
        <f t="shared" si="27"/>
        <v>0.38080312254524296</v>
      </c>
      <c r="AD256" s="118">
        <f t="shared" si="28"/>
        <v>0.39242808908795385</v>
      </c>
      <c r="AE256" s="118"/>
      <c r="AF256" s="118"/>
      <c r="AG256" s="118"/>
      <c r="AK256">
        <f t="shared" si="34"/>
        <v>21248640</v>
      </c>
      <c r="AL256">
        <f t="shared" si="34"/>
        <v>21248640</v>
      </c>
      <c r="AM256">
        <f t="shared" si="34"/>
        <v>21248640</v>
      </c>
      <c r="AN256">
        <f t="shared" si="34"/>
        <v>21248640</v>
      </c>
      <c r="AO256">
        <f t="shared" si="34"/>
        <v>21248640</v>
      </c>
    </row>
    <row r="257" spans="1:41">
      <c r="A257" s="185">
        <f>'Water Stuff'!F191</f>
        <v>44748</v>
      </c>
      <c r="B257" s="118">
        <f>'Filtration System'!B221</f>
        <v>2720</v>
      </c>
      <c r="C257" s="118">
        <f>'Filtration System'!C221</f>
        <v>0</v>
      </c>
      <c r="D257" s="118">
        <f>'Filtration System'!D221</f>
        <v>3597.5906650932961</v>
      </c>
      <c r="E257" s="118">
        <f>'Filtration System'!E221</f>
        <v>0</v>
      </c>
      <c r="F257" s="118">
        <f>'Filtration System'!F221</f>
        <v>3536.3359750084023</v>
      </c>
      <c r="G257" s="118"/>
      <c r="H257" s="118">
        <f>B257/1000*(1000*9.81*Pumps!$B$14+'Parameters and Satisfaction'!$B$27)</f>
        <v>729104.64757386188</v>
      </c>
      <c r="I257" s="118">
        <f>C257/1000*(1000*9.81*Pumps!$B$14+'Parameters and Satisfaction'!$B$27)</f>
        <v>0</v>
      </c>
      <c r="J257" s="118">
        <f>D257/1000*(1000*9.81*Pumps!$B$14+'Parameters and Satisfaction'!$B$27)</f>
        <v>964345.61543671426</v>
      </c>
      <c r="K257" s="118">
        <f>E257/1000*(1000*9.81*Pumps!$B$14+'Parameters and Satisfaction'!$B$27)</f>
        <v>0</v>
      </c>
      <c r="L257" s="118">
        <f>F257/1000*(1000*9.81*Pumps!$B$14+'Parameters and Satisfaction'!$B$27)</f>
        <v>947926.10101517278</v>
      </c>
      <c r="M257" s="118"/>
      <c r="N257" s="118">
        <f>H257/IF('Parameters and Satisfaction'!$C$13="Pump A", 0.7, IF('Parameters and Satisfaction'!$C$13 = "Pump B", 0.72, 0.65))</f>
        <v>1012645.343852586</v>
      </c>
      <c r="O257" s="118">
        <f>I257/IF('Parameters and Satisfaction'!$C$13="Pump A", 0.7, IF('Parameters and Satisfaction'!$C$13 = "Pump B", 0.72, 0.65))</f>
        <v>0</v>
      </c>
      <c r="P257" s="118">
        <f>J257/IF('Parameters and Satisfaction'!$C$13="Pump A", 0.7, IF('Parameters and Satisfaction'!$C$13 = "Pump B", 0.72, 0.65))</f>
        <v>1339368.9103287698</v>
      </c>
      <c r="Q257" s="118">
        <f>K257/IF('Parameters and Satisfaction'!$C$13="Pump A", 0.7, IF('Parameters and Satisfaction'!$C$13 = "Pump B", 0.72, 0.65))</f>
        <v>0</v>
      </c>
      <c r="R257" s="118">
        <f>L257/IF('Parameters and Satisfaction'!$C$13="Pump A", 0.7, IF('Parameters and Satisfaction'!$C$13 = "Pump B", 0.72, 0.65))</f>
        <v>1316564.0291877401</v>
      </c>
      <c r="S257" s="118"/>
      <c r="T257" s="118">
        <f>N257+$F$47+IF('Parameters and Satisfaction'!$C$19="Ozone", 'Filtration System'!AA221*1000000, 0)</f>
        <v>5700145.3438525861</v>
      </c>
      <c r="U257" s="118">
        <f>O257+$F$47+IF('Parameters and Satisfaction'!$C$19="Ozone", 'Filtration System'!AB221*1000000, 0)</f>
        <v>4687500</v>
      </c>
      <c r="V257" s="118">
        <f>P257+$F$47+IF('Parameters and Satisfaction'!$C$19="Ozone", 'Filtration System'!AC221*1000000, 0)</f>
        <v>6026868.9103287701</v>
      </c>
      <c r="W257" s="118">
        <f>Q257+$F$47+IF('Parameters and Satisfaction'!$C$19="Ozone", 'Filtration System'!AD221*1000000, 0)</f>
        <v>4687500</v>
      </c>
      <c r="X257" s="118">
        <f>R257+$F$47+IF('Parameters and Satisfaction'!$C$19="Ozone", 'Filtration System'!AE221*1000000, 0)</f>
        <v>6004064.0291877398</v>
      </c>
      <c r="Y257" s="118"/>
      <c r="Z257" s="118">
        <f t="shared" si="24"/>
        <v>0.40715323884661331</v>
      </c>
      <c r="AA257" s="118">
        <f t="shared" si="25"/>
        <v>0.33482142857142855</v>
      </c>
      <c r="AB257" s="118">
        <f t="shared" si="26"/>
        <v>0.43049063645205499</v>
      </c>
      <c r="AC257" s="118">
        <f t="shared" si="27"/>
        <v>0.33482142857142855</v>
      </c>
      <c r="AD257" s="118">
        <f t="shared" si="28"/>
        <v>0.42886171637055287</v>
      </c>
      <c r="AE257" s="118"/>
      <c r="AF257" s="118"/>
      <c r="AG257" s="118"/>
      <c r="AK257">
        <f t="shared" si="34"/>
        <v>21248640</v>
      </c>
      <c r="AL257">
        <f t="shared" si="34"/>
        <v>21248640</v>
      </c>
      <c r="AM257">
        <f t="shared" si="34"/>
        <v>21248640</v>
      </c>
      <c r="AN257">
        <f t="shared" si="34"/>
        <v>21248640</v>
      </c>
      <c r="AO257">
        <f t="shared" si="34"/>
        <v>21248640</v>
      </c>
    </row>
    <row r="258" spans="1:41">
      <c r="A258" s="185">
        <f>'Water Stuff'!F192</f>
        <v>44749</v>
      </c>
      <c r="B258" s="118">
        <f>'Filtration System'!B222</f>
        <v>0</v>
      </c>
      <c r="C258" s="118">
        <f>'Filtration System'!C222</f>
        <v>40</v>
      </c>
      <c r="D258" s="118">
        <f>'Filtration System'!D222</f>
        <v>103.02354511999012</v>
      </c>
      <c r="E258" s="118">
        <f>'Filtration System'!E222</f>
        <v>940.60001046085642</v>
      </c>
      <c r="F258" s="118">
        <f>'Filtration System'!F222</f>
        <v>817.94535440160416</v>
      </c>
      <c r="G258" s="118"/>
      <c r="H258" s="118">
        <f>B258/1000*(1000*9.81*Pumps!$B$14+'Parameters and Satisfaction'!$B$27)</f>
        <v>0</v>
      </c>
      <c r="I258" s="118">
        <f>C258/1000*(1000*9.81*Pumps!$B$14+'Parameters and Satisfaction'!$B$27)</f>
        <v>10722.12717020385</v>
      </c>
      <c r="J258" s="118">
        <f>D258/1000*(1000*9.81*Pumps!$B$14+'Parameters and Satisfaction'!$B$27)</f>
        <v>27615.78880754421</v>
      </c>
      <c r="K258" s="118">
        <f>E258/1000*(1000*9.81*Pumps!$B$14+'Parameters and Satisfaction'!$B$27)</f>
        <v>252130.82321140933</v>
      </c>
      <c r="L258" s="118">
        <f>F258/1000*(1000*9.81*Pumps!$B$14+'Parameters and Satisfaction'!$B$27)</f>
        <v>219252.85270428643</v>
      </c>
      <c r="M258" s="118"/>
      <c r="N258" s="118">
        <f>H258/IF('Parameters and Satisfaction'!$C$13="Pump A", 0.7, IF('Parameters and Satisfaction'!$C$13 = "Pump B", 0.72, 0.65))</f>
        <v>0</v>
      </c>
      <c r="O258" s="118">
        <f>I258/IF('Parameters and Satisfaction'!$C$13="Pump A", 0.7, IF('Parameters and Satisfaction'!$C$13 = "Pump B", 0.72, 0.65))</f>
        <v>14891.843291949792</v>
      </c>
      <c r="P258" s="118">
        <f>J258/IF('Parameters and Satisfaction'!$C$13="Pump A", 0.7, IF('Parameters and Satisfaction'!$C$13 = "Pump B", 0.72, 0.65))</f>
        <v>38355.26223270029</v>
      </c>
      <c r="Q258" s="118">
        <f>K258/IF('Parameters and Satisfaction'!$C$13="Pump A", 0.7, IF('Parameters and Satisfaction'!$C$13 = "Pump B", 0.72, 0.65))</f>
        <v>350181.69890473521</v>
      </c>
      <c r="R258" s="118">
        <f>L258/IF('Parameters and Satisfaction'!$C$13="Pump A", 0.7, IF('Parameters and Satisfaction'!$C$13 = "Pump B", 0.72, 0.65))</f>
        <v>304517.85097817559</v>
      </c>
      <c r="S258" s="118"/>
      <c r="T258" s="118">
        <f>N258+$F$47+IF('Parameters and Satisfaction'!$C$19="Ozone", 'Filtration System'!AA222*1000000, 0)</f>
        <v>4687500</v>
      </c>
      <c r="U258" s="118">
        <f>O258+$F$47+IF('Parameters and Satisfaction'!$C$19="Ozone", 'Filtration System'!AB222*1000000, 0)</f>
        <v>4702391.8432919495</v>
      </c>
      <c r="V258" s="118">
        <f>P258+$F$47+IF('Parameters and Satisfaction'!$C$19="Ozone", 'Filtration System'!AC222*1000000, 0)</f>
        <v>4725855.2622327004</v>
      </c>
      <c r="W258" s="118">
        <f>Q258+$F$47+IF('Parameters and Satisfaction'!$C$19="Ozone", 'Filtration System'!AD222*1000000, 0)</f>
        <v>5037681.698904735</v>
      </c>
      <c r="X258" s="118">
        <f>R258+$F$47+IF('Parameters and Satisfaction'!$C$19="Ozone", 'Filtration System'!AE222*1000000, 0)</f>
        <v>4992017.8509781752</v>
      </c>
      <c r="Y258" s="118"/>
      <c r="Z258" s="118">
        <f t="shared" si="24"/>
        <v>0.33482142857142855</v>
      </c>
      <c r="AA258" s="118">
        <f t="shared" si="25"/>
        <v>0.3358851316637107</v>
      </c>
      <c r="AB258" s="118">
        <f t="shared" si="26"/>
        <v>0.33756109015947861</v>
      </c>
      <c r="AC258" s="118">
        <f t="shared" si="27"/>
        <v>0.35983440706462394</v>
      </c>
      <c r="AD258" s="118">
        <f t="shared" si="28"/>
        <v>0.35657270364129823</v>
      </c>
      <c r="AE258" s="118"/>
      <c r="AF258" s="118"/>
      <c r="AG258" s="118"/>
      <c r="AK258">
        <f t="shared" si="34"/>
        <v>21248640</v>
      </c>
      <c r="AL258">
        <f t="shared" si="34"/>
        <v>21248640</v>
      </c>
      <c r="AM258">
        <f t="shared" si="34"/>
        <v>21248640</v>
      </c>
      <c r="AN258">
        <f t="shared" si="34"/>
        <v>21248640</v>
      </c>
      <c r="AO258">
        <f t="shared" si="34"/>
        <v>21248640</v>
      </c>
    </row>
    <row r="259" spans="1:41">
      <c r="A259" s="185">
        <f>'Water Stuff'!F193</f>
        <v>44750</v>
      </c>
      <c r="B259" s="118">
        <f>'Filtration System'!B223</f>
        <v>0</v>
      </c>
      <c r="C259" s="118">
        <f>'Filtration System'!C223</f>
        <v>0</v>
      </c>
      <c r="D259" s="118">
        <f>'Filtration System'!D223</f>
        <v>0</v>
      </c>
      <c r="E259" s="118">
        <f>'Filtration System'!E223</f>
        <v>0</v>
      </c>
      <c r="F259" s="118">
        <f>'Filtration System'!F223</f>
        <v>945.34506187803674</v>
      </c>
      <c r="G259" s="118"/>
      <c r="H259" s="118">
        <f>B259/1000*(1000*9.81*Pumps!$B$14+'Parameters and Satisfaction'!$B$27)</f>
        <v>0</v>
      </c>
      <c r="I259" s="118">
        <f>C259/1000*(1000*9.81*Pumps!$B$14+'Parameters and Satisfaction'!$B$27)</f>
        <v>0</v>
      </c>
      <c r="J259" s="118">
        <f>D259/1000*(1000*9.81*Pumps!$B$14+'Parameters and Satisfaction'!$B$27)</f>
        <v>0</v>
      </c>
      <c r="K259" s="118">
        <f>E259/1000*(1000*9.81*Pumps!$B$14+'Parameters and Satisfaction'!$B$27)</f>
        <v>0</v>
      </c>
      <c r="L259" s="118">
        <f>F259/1000*(1000*9.81*Pumps!$B$14+'Parameters and Satisfaction'!$B$27)</f>
        <v>253402.74932951343</v>
      </c>
      <c r="M259" s="118"/>
      <c r="N259" s="118">
        <f>H259/IF('Parameters and Satisfaction'!$C$13="Pump A", 0.7, IF('Parameters and Satisfaction'!$C$13 = "Pump B", 0.72, 0.65))</f>
        <v>0</v>
      </c>
      <c r="O259" s="118">
        <f>I259/IF('Parameters and Satisfaction'!$C$13="Pump A", 0.7, IF('Parameters and Satisfaction'!$C$13 = "Pump B", 0.72, 0.65))</f>
        <v>0</v>
      </c>
      <c r="P259" s="118">
        <f>J259/IF('Parameters and Satisfaction'!$C$13="Pump A", 0.7, IF('Parameters and Satisfaction'!$C$13 = "Pump B", 0.72, 0.65))</f>
        <v>0</v>
      </c>
      <c r="Q259" s="118">
        <f>K259/IF('Parameters and Satisfaction'!$C$13="Pump A", 0.7, IF('Parameters and Satisfaction'!$C$13 = "Pump B", 0.72, 0.65))</f>
        <v>0</v>
      </c>
      <c r="R259" s="118">
        <f>L259/IF('Parameters and Satisfaction'!$C$13="Pump A", 0.7, IF('Parameters and Satisfaction'!$C$13 = "Pump B", 0.72, 0.65))</f>
        <v>351948.26295765757</v>
      </c>
      <c r="S259" s="118"/>
      <c r="T259" s="118">
        <f>N259+$F$47+IF('Parameters and Satisfaction'!$C$19="Ozone", 'Filtration System'!AA223*1000000, 0)</f>
        <v>4687500</v>
      </c>
      <c r="U259" s="118">
        <f>O259+$F$47+IF('Parameters and Satisfaction'!$C$19="Ozone", 'Filtration System'!AB223*1000000, 0)</f>
        <v>4687500</v>
      </c>
      <c r="V259" s="118">
        <f>P259+$F$47+IF('Parameters and Satisfaction'!$C$19="Ozone", 'Filtration System'!AC223*1000000, 0)</f>
        <v>4687500</v>
      </c>
      <c r="W259" s="118">
        <f>Q259+$F$47+IF('Parameters and Satisfaction'!$C$19="Ozone", 'Filtration System'!AD223*1000000, 0)</f>
        <v>4687500</v>
      </c>
      <c r="X259" s="118">
        <f>R259+$F$47+IF('Parameters and Satisfaction'!$C$19="Ozone", 'Filtration System'!AE223*1000000, 0)</f>
        <v>5039448.2629576577</v>
      </c>
      <c r="Y259" s="118"/>
      <c r="Z259" s="118">
        <f t="shared" si="24"/>
        <v>0.33482142857142855</v>
      </c>
      <c r="AA259" s="118">
        <f t="shared" si="25"/>
        <v>0.33482142857142855</v>
      </c>
      <c r="AB259" s="118">
        <f t="shared" si="26"/>
        <v>0.33482142857142855</v>
      </c>
      <c r="AC259" s="118">
        <f t="shared" si="27"/>
        <v>0.33482142857142855</v>
      </c>
      <c r="AD259" s="118">
        <f t="shared" si="28"/>
        <v>0.35996059021126126</v>
      </c>
      <c r="AE259" s="118"/>
      <c r="AF259" s="118"/>
      <c r="AG259" s="118"/>
      <c r="AK259">
        <f t="shared" si="34"/>
        <v>21248640</v>
      </c>
      <c r="AL259">
        <f t="shared" si="34"/>
        <v>21248640</v>
      </c>
      <c r="AM259">
        <f t="shared" si="34"/>
        <v>21248640</v>
      </c>
      <c r="AN259">
        <f t="shared" si="34"/>
        <v>21248640</v>
      </c>
      <c r="AO259">
        <f t="shared" si="34"/>
        <v>21248640</v>
      </c>
    </row>
    <row r="260" spans="1:41">
      <c r="A260" s="185">
        <f>'Water Stuff'!F194</f>
        <v>44751</v>
      </c>
      <c r="B260" s="118">
        <f>'Filtration System'!B224</f>
        <v>0</v>
      </c>
      <c r="C260" s="118">
        <f>'Filtration System'!C224</f>
        <v>200</v>
      </c>
      <c r="D260" s="118">
        <f>'Filtration System'!D224</f>
        <v>1605.5275824350633</v>
      </c>
      <c r="E260" s="118">
        <f>'Filtration System'!E224</f>
        <v>1427.5425905737563</v>
      </c>
      <c r="F260" s="118">
        <f>'Filtration System'!F224</f>
        <v>781.48327056258245</v>
      </c>
      <c r="G260" s="118"/>
      <c r="H260" s="118">
        <f>B260/1000*(1000*9.81*Pumps!$B$14+'Parameters and Satisfaction'!$B$27)</f>
        <v>0</v>
      </c>
      <c r="I260" s="118">
        <f>C260/1000*(1000*9.81*Pumps!$B$14+'Parameters and Satisfaction'!$B$27)</f>
        <v>53610.635851019251</v>
      </c>
      <c r="J260" s="118">
        <f>D260/1000*(1000*9.81*Pumps!$B$14+'Parameters and Satisfaction'!$B$27)</f>
        <v>430366.77285346732</v>
      </c>
      <c r="K260" s="118">
        <f>E260/1000*(1000*9.81*Pumps!$B$14+'Parameters and Satisfaction'!$B$27)</f>
        <v>382657.3299253516</v>
      </c>
      <c r="L260" s="118">
        <f>F260/1000*(1000*9.81*Pumps!$B$14+'Parameters and Satisfaction'!$B$27)</f>
        <v>209479.07520897081</v>
      </c>
      <c r="M260" s="118"/>
      <c r="N260" s="118">
        <f>H260/IF('Parameters and Satisfaction'!$C$13="Pump A", 0.7, IF('Parameters and Satisfaction'!$C$13 = "Pump B", 0.72, 0.65))</f>
        <v>0</v>
      </c>
      <c r="O260" s="118">
        <f>I260/IF('Parameters and Satisfaction'!$C$13="Pump A", 0.7, IF('Parameters and Satisfaction'!$C$13 = "Pump B", 0.72, 0.65))</f>
        <v>74459.216459748961</v>
      </c>
      <c r="P260" s="118">
        <f>J260/IF('Parameters and Satisfaction'!$C$13="Pump A", 0.7, IF('Parameters and Satisfaction'!$C$13 = "Pump B", 0.72, 0.65))</f>
        <v>597731.62896314904</v>
      </c>
      <c r="Q260" s="118">
        <f>K260/IF('Parameters and Satisfaction'!$C$13="Pump A", 0.7, IF('Parameters and Satisfaction'!$C$13 = "Pump B", 0.72, 0.65))</f>
        <v>531468.51378521055</v>
      </c>
      <c r="R260" s="118">
        <f>L260/IF('Parameters and Satisfaction'!$C$13="Pump A", 0.7, IF('Parameters and Satisfaction'!$C$13 = "Pump B", 0.72, 0.65))</f>
        <v>290943.1600124595</v>
      </c>
      <c r="S260" s="118"/>
      <c r="T260" s="118">
        <f>N260+$F$47+IF('Parameters and Satisfaction'!$C$19="Ozone", 'Filtration System'!AA224*1000000, 0)</f>
        <v>4687500</v>
      </c>
      <c r="U260" s="118">
        <f>O260+$F$47+IF('Parameters and Satisfaction'!$C$19="Ozone", 'Filtration System'!AB224*1000000, 0)</f>
        <v>4761959.2164597493</v>
      </c>
      <c r="V260" s="118">
        <f>P260+$F$47+IF('Parameters and Satisfaction'!$C$19="Ozone", 'Filtration System'!AC224*1000000, 0)</f>
        <v>5285231.6289631492</v>
      </c>
      <c r="W260" s="118">
        <f>Q260+$F$47+IF('Parameters and Satisfaction'!$C$19="Ozone", 'Filtration System'!AD224*1000000, 0)</f>
        <v>5218968.5137852104</v>
      </c>
      <c r="X260" s="118">
        <f>R260+$F$47+IF('Parameters and Satisfaction'!$C$19="Ozone", 'Filtration System'!AE224*1000000, 0)</f>
        <v>4978443.1600124594</v>
      </c>
      <c r="Y260" s="118"/>
      <c r="Z260" s="118">
        <f t="shared" si="24"/>
        <v>0.33482142857142855</v>
      </c>
      <c r="AA260" s="118">
        <f t="shared" si="25"/>
        <v>0.34013994403283926</v>
      </c>
      <c r="AB260" s="118">
        <f t="shared" si="26"/>
        <v>0.37751654492593922</v>
      </c>
      <c r="AC260" s="118">
        <f t="shared" si="27"/>
        <v>0.37278346527037215</v>
      </c>
      <c r="AD260" s="118">
        <f t="shared" si="28"/>
        <v>0.35560308285803283</v>
      </c>
      <c r="AE260" s="118"/>
      <c r="AF260" s="118"/>
      <c r="AG260" s="118"/>
      <c r="AK260">
        <f t="shared" si="34"/>
        <v>21248640</v>
      </c>
      <c r="AL260">
        <f t="shared" si="34"/>
        <v>21248640</v>
      </c>
      <c r="AM260">
        <f t="shared" si="34"/>
        <v>21248640</v>
      </c>
      <c r="AN260">
        <f t="shared" si="34"/>
        <v>21248640</v>
      </c>
      <c r="AO260">
        <f t="shared" si="34"/>
        <v>21248640</v>
      </c>
    </row>
    <row r="261" spans="1:41">
      <c r="A261" s="185">
        <f>'Water Stuff'!F195</f>
        <v>44752</v>
      </c>
      <c r="B261" s="118">
        <f>'Filtration System'!B225</f>
        <v>0</v>
      </c>
      <c r="C261" s="118">
        <f>'Filtration System'!C225</f>
        <v>240</v>
      </c>
      <c r="D261" s="118">
        <f>'Filtration System'!D225</f>
        <v>1729.3498697531013</v>
      </c>
      <c r="E261" s="118">
        <f>'Filtration System'!E225</f>
        <v>0</v>
      </c>
      <c r="F261" s="118">
        <f>'Filtration System'!F225</f>
        <v>731.2272302500146</v>
      </c>
      <c r="G261" s="118"/>
      <c r="H261" s="118">
        <f>B261/1000*(1000*9.81*Pumps!$B$14+'Parameters and Satisfaction'!$B$27)</f>
        <v>0</v>
      </c>
      <c r="I261" s="118">
        <f>C261/1000*(1000*9.81*Pumps!$B$14+'Parameters and Satisfaction'!$B$27)</f>
        <v>64332.763021223094</v>
      </c>
      <c r="J261" s="118">
        <f>D261/1000*(1000*9.81*Pumps!$B$14+'Parameters and Satisfaction'!$B$27)</f>
        <v>463557.73063170543</v>
      </c>
      <c r="K261" s="118">
        <f>E261/1000*(1000*9.81*Pumps!$B$14+'Parameters and Satisfaction'!$B$27)</f>
        <v>0</v>
      </c>
      <c r="L261" s="118">
        <f>F261/1000*(1000*9.81*Pumps!$B$14+'Parameters and Satisfaction'!$B$27)</f>
        <v>196007.7838264147</v>
      </c>
      <c r="M261" s="118"/>
      <c r="N261" s="118">
        <f>H261/IF('Parameters and Satisfaction'!$C$13="Pump A", 0.7, IF('Parameters and Satisfaction'!$C$13 = "Pump B", 0.72, 0.65))</f>
        <v>0</v>
      </c>
      <c r="O261" s="118">
        <f>I261/IF('Parameters and Satisfaction'!$C$13="Pump A", 0.7, IF('Parameters and Satisfaction'!$C$13 = "Pump B", 0.72, 0.65))</f>
        <v>89351.059751698747</v>
      </c>
      <c r="P261" s="118">
        <f>J261/IF('Parameters and Satisfaction'!$C$13="Pump A", 0.7, IF('Parameters and Satisfaction'!$C$13 = "Pump B", 0.72, 0.65))</f>
        <v>643830.18143292423</v>
      </c>
      <c r="Q261" s="118">
        <f>K261/IF('Parameters and Satisfaction'!$C$13="Pump A", 0.7, IF('Parameters and Satisfaction'!$C$13 = "Pump B", 0.72, 0.65))</f>
        <v>0</v>
      </c>
      <c r="R261" s="118">
        <f>L261/IF('Parameters and Satisfaction'!$C$13="Pump A", 0.7, IF('Parameters and Satisfaction'!$C$13 = "Pump B", 0.72, 0.65))</f>
        <v>272233.03309224267</v>
      </c>
      <c r="S261" s="118"/>
      <c r="T261" s="118">
        <f>N261+$F$47+IF('Parameters and Satisfaction'!$C$19="Ozone", 'Filtration System'!AA225*1000000, 0)</f>
        <v>4687500</v>
      </c>
      <c r="U261" s="118">
        <f>O261+$F$47+IF('Parameters and Satisfaction'!$C$19="Ozone", 'Filtration System'!AB225*1000000, 0)</f>
        <v>4776851.0597516987</v>
      </c>
      <c r="V261" s="118">
        <f>P261+$F$47+IF('Parameters and Satisfaction'!$C$19="Ozone", 'Filtration System'!AC225*1000000, 0)</f>
        <v>5331330.1814329242</v>
      </c>
      <c r="W261" s="118">
        <f>Q261+$F$47+IF('Parameters and Satisfaction'!$C$19="Ozone", 'Filtration System'!AD225*1000000, 0)</f>
        <v>4687500</v>
      </c>
      <c r="X261" s="118">
        <f>R261+$F$47+IF('Parameters and Satisfaction'!$C$19="Ozone", 'Filtration System'!AE225*1000000, 0)</f>
        <v>4959733.0330922427</v>
      </c>
      <c r="Y261" s="118"/>
      <c r="Z261" s="118">
        <f t="shared" si="24"/>
        <v>0.33482142857142855</v>
      </c>
      <c r="AA261" s="118">
        <f t="shared" si="25"/>
        <v>0.34120364712512136</v>
      </c>
      <c r="AB261" s="118">
        <f t="shared" si="26"/>
        <v>0.38080929867378033</v>
      </c>
      <c r="AC261" s="118">
        <f t="shared" si="27"/>
        <v>0.33482142857142855</v>
      </c>
      <c r="AD261" s="118">
        <f t="shared" si="28"/>
        <v>0.35426664522087448</v>
      </c>
      <c r="AE261" s="118"/>
      <c r="AF261" s="118"/>
      <c r="AG261" s="118"/>
      <c r="AK261">
        <f t="shared" si="34"/>
        <v>21248640</v>
      </c>
      <c r="AL261">
        <f t="shared" si="34"/>
        <v>21248640</v>
      </c>
      <c r="AM261">
        <f t="shared" si="34"/>
        <v>21248640</v>
      </c>
      <c r="AN261">
        <f t="shared" si="34"/>
        <v>21248640</v>
      </c>
      <c r="AO261">
        <f t="shared" si="34"/>
        <v>21248640</v>
      </c>
    </row>
    <row r="262" spans="1:41">
      <c r="A262" s="185">
        <f>'Water Stuff'!F196</f>
        <v>44753</v>
      </c>
      <c r="B262" s="118">
        <f>'Filtration System'!B226</f>
        <v>0</v>
      </c>
      <c r="C262" s="118">
        <f>'Filtration System'!C226</f>
        <v>480</v>
      </c>
      <c r="D262" s="118">
        <f>'Filtration System'!D226</f>
        <v>880.06086295204113</v>
      </c>
      <c r="E262" s="118">
        <f>'Filtration System'!E226</f>
        <v>2061.0817922401338</v>
      </c>
      <c r="F262" s="118">
        <f>'Filtration System'!F226</f>
        <v>0</v>
      </c>
      <c r="G262" s="118"/>
      <c r="H262" s="118">
        <f>B262/1000*(1000*9.81*Pumps!$B$14+'Parameters and Satisfaction'!$B$27)</f>
        <v>0</v>
      </c>
      <c r="I262" s="118">
        <f>C262/1000*(1000*9.81*Pumps!$B$14+'Parameters and Satisfaction'!$B$27)</f>
        <v>128665.52604244619</v>
      </c>
      <c r="J262" s="118">
        <f>D262/1000*(1000*9.81*Pumps!$B$14+'Parameters and Satisfaction'!$B$27)</f>
        <v>235903.11225227817</v>
      </c>
      <c r="K262" s="118">
        <f>E262/1000*(1000*9.81*Pumps!$B$14+'Parameters and Satisfaction'!$B$27)</f>
        <v>552479.52711475955</v>
      </c>
      <c r="L262" s="118">
        <f>F262/1000*(1000*9.81*Pumps!$B$14+'Parameters and Satisfaction'!$B$27)</f>
        <v>0</v>
      </c>
      <c r="M262" s="118"/>
      <c r="N262" s="118">
        <f>H262/IF('Parameters and Satisfaction'!$C$13="Pump A", 0.7, IF('Parameters and Satisfaction'!$C$13 = "Pump B", 0.72, 0.65))</f>
        <v>0</v>
      </c>
      <c r="O262" s="118">
        <f>I262/IF('Parameters and Satisfaction'!$C$13="Pump A", 0.7, IF('Parameters and Satisfaction'!$C$13 = "Pump B", 0.72, 0.65))</f>
        <v>178702.11950339749</v>
      </c>
      <c r="P262" s="118">
        <f>J262/IF('Parameters and Satisfaction'!$C$13="Pump A", 0.7, IF('Parameters and Satisfaction'!$C$13 = "Pump B", 0.72, 0.65))</f>
        <v>327643.21146149747</v>
      </c>
      <c r="Q262" s="118">
        <f>K262/IF('Parameters and Satisfaction'!$C$13="Pump A", 0.7, IF('Parameters and Satisfaction'!$C$13 = "Pump B", 0.72, 0.65))</f>
        <v>767332.67654827714</v>
      </c>
      <c r="R262" s="118">
        <f>L262/IF('Parameters and Satisfaction'!$C$13="Pump A", 0.7, IF('Parameters and Satisfaction'!$C$13 = "Pump B", 0.72, 0.65))</f>
        <v>0</v>
      </c>
      <c r="S262" s="118"/>
      <c r="T262" s="118">
        <f>N262+$F$47+IF('Parameters and Satisfaction'!$C$19="Ozone", 'Filtration System'!AA226*1000000, 0)</f>
        <v>4687500</v>
      </c>
      <c r="U262" s="118">
        <f>O262+$F$47+IF('Parameters and Satisfaction'!$C$19="Ozone", 'Filtration System'!AB226*1000000, 0)</f>
        <v>4866202.1195033975</v>
      </c>
      <c r="V262" s="118">
        <f>P262+$F$47+IF('Parameters and Satisfaction'!$C$19="Ozone", 'Filtration System'!AC226*1000000, 0)</f>
        <v>5015143.2114614975</v>
      </c>
      <c r="W262" s="118">
        <f>Q262+$F$47+IF('Parameters and Satisfaction'!$C$19="Ozone", 'Filtration System'!AD226*1000000, 0)</f>
        <v>5454832.676548277</v>
      </c>
      <c r="X262" s="118">
        <f>R262+$F$47+IF('Parameters and Satisfaction'!$C$19="Ozone", 'Filtration System'!AE226*1000000, 0)</f>
        <v>4687500</v>
      </c>
      <c r="Y262" s="118"/>
      <c r="Z262" s="118">
        <f t="shared" si="24"/>
        <v>0.33482142857142855</v>
      </c>
      <c r="AA262" s="118">
        <f t="shared" si="25"/>
        <v>0.34758586567881411</v>
      </c>
      <c r="AB262" s="118">
        <f t="shared" si="26"/>
        <v>0.35822451510439268</v>
      </c>
      <c r="AC262" s="118">
        <f t="shared" si="27"/>
        <v>0.3896309054677341</v>
      </c>
      <c r="AD262" s="118">
        <f t="shared" si="28"/>
        <v>0.33482142857142855</v>
      </c>
      <c r="AE262" s="118"/>
      <c r="AF262" s="118"/>
      <c r="AG262" s="118"/>
      <c r="AK262">
        <f t="shared" ref="AK262:AO271" si="35">$D$61</f>
        <v>21248640</v>
      </c>
      <c r="AL262">
        <f t="shared" si="35"/>
        <v>21248640</v>
      </c>
      <c r="AM262">
        <f t="shared" si="35"/>
        <v>21248640</v>
      </c>
      <c r="AN262">
        <f t="shared" si="35"/>
        <v>21248640</v>
      </c>
      <c r="AO262">
        <f t="shared" si="35"/>
        <v>21248640</v>
      </c>
    </row>
    <row r="263" spans="1:41">
      <c r="A263" s="185">
        <f>'Water Stuff'!F197</f>
        <v>44754</v>
      </c>
      <c r="B263" s="118">
        <f>'Filtration System'!B227</f>
        <v>0</v>
      </c>
      <c r="C263" s="118">
        <f>'Filtration System'!C227</f>
        <v>800</v>
      </c>
      <c r="D263" s="118">
        <f>'Filtration System'!D227</f>
        <v>0</v>
      </c>
      <c r="E263" s="118">
        <f>'Filtration System'!E227</f>
        <v>847.83213750171387</v>
      </c>
      <c r="F263" s="118">
        <f>'Filtration System'!F227</f>
        <v>0</v>
      </c>
      <c r="G263" s="118"/>
      <c r="H263" s="118">
        <f>B263/1000*(1000*9.81*Pumps!$B$14+'Parameters and Satisfaction'!$B$27)</f>
        <v>0</v>
      </c>
      <c r="I263" s="118">
        <f>C263/1000*(1000*9.81*Pumps!$B$14+'Parameters and Satisfaction'!$B$27)</f>
        <v>214442.54340407701</v>
      </c>
      <c r="J263" s="118">
        <f>D263/1000*(1000*9.81*Pumps!$B$14+'Parameters and Satisfaction'!$B$27)</f>
        <v>0</v>
      </c>
      <c r="K263" s="118">
        <f>E263/1000*(1000*9.81*Pumps!$B$14+'Parameters and Satisfaction'!$B$27)</f>
        <v>227264.0999319783</v>
      </c>
      <c r="L263" s="118">
        <f>F263/1000*(1000*9.81*Pumps!$B$14+'Parameters and Satisfaction'!$B$27)</f>
        <v>0</v>
      </c>
      <c r="M263" s="118"/>
      <c r="N263" s="118">
        <f>H263/IF('Parameters and Satisfaction'!$C$13="Pump A", 0.7, IF('Parameters and Satisfaction'!$C$13 = "Pump B", 0.72, 0.65))</f>
        <v>0</v>
      </c>
      <c r="O263" s="118">
        <f>I263/IF('Parameters and Satisfaction'!$C$13="Pump A", 0.7, IF('Parameters and Satisfaction'!$C$13 = "Pump B", 0.72, 0.65))</f>
        <v>297836.86583899584</v>
      </c>
      <c r="P263" s="118">
        <f>J263/IF('Parameters and Satisfaction'!$C$13="Pump A", 0.7, IF('Parameters and Satisfaction'!$C$13 = "Pump B", 0.72, 0.65))</f>
        <v>0</v>
      </c>
      <c r="Q263" s="118">
        <f>K263/IF('Parameters and Satisfaction'!$C$13="Pump A", 0.7, IF('Parameters and Satisfaction'!$C$13 = "Pump B", 0.72, 0.65))</f>
        <v>315644.58323885879</v>
      </c>
      <c r="R263" s="118">
        <f>L263/IF('Parameters and Satisfaction'!$C$13="Pump A", 0.7, IF('Parameters and Satisfaction'!$C$13 = "Pump B", 0.72, 0.65))</f>
        <v>0</v>
      </c>
      <c r="S263" s="118"/>
      <c r="T263" s="118">
        <f>N263+$F$47+IF('Parameters and Satisfaction'!$C$19="Ozone", 'Filtration System'!AA227*1000000, 0)</f>
        <v>4687500</v>
      </c>
      <c r="U263" s="118">
        <f>O263+$F$47+IF('Parameters and Satisfaction'!$C$19="Ozone", 'Filtration System'!AB227*1000000, 0)</f>
        <v>4985336.8658389961</v>
      </c>
      <c r="V263" s="118">
        <f>P263+$F$47+IF('Parameters and Satisfaction'!$C$19="Ozone", 'Filtration System'!AC227*1000000, 0)</f>
        <v>4687500</v>
      </c>
      <c r="W263" s="118">
        <f>Q263+$F$47+IF('Parameters and Satisfaction'!$C$19="Ozone", 'Filtration System'!AD227*1000000, 0)</f>
        <v>5003144.5832388587</v>
      </c>
      <c r="X263" s="118">
        <f>R263+$F$47+IF('Parameters and Satisfaction'!$C$19="Ozone", 'Filtration System'!AE227*1000000, 0)</f>
        <v>4687500</v>
      </c>
      <c r="Y263" s="118"/>
      <c r="Z263" s="118">
        <f t="shared" ref="Z263:Z326" si="36">T263/(40000000*0.35)</f>
        <v>0.33482142857142855</v>
      </c>
      <c r="AA263" s="118">
        <f t="shared" ref="AA263:AA326" si="37">U263/(40000000*0.35)</f>
        <v>0.35609549041707117</v>
      </c>
      <c r="AB263" s="118">
        <f t="shared" ref="AB263:AB326" si="38">V263/(40000000*0.35)</f>
        <v>0.33482142857142855</v>
      </c>
      <c r="AC263" s="118">
        <f t="shared" ref="AC263:AC326" si="39">W263/(40000000*0.35)</f>
        <v>0.35736747023134707</v>
      </c>
      <c r="AD263" s="118">
        <f t="shared" ref="AD263:AD326" si="40">X263/(40000000*0.35)</f>
        <v>0.33482142857142855</v>
      </c>
      <c r="AE263" s="118"/>
      <c r="AF263" s="118"/>
      <c r="AG263" s="118"/>
      <c r="AK263">
        <f t="shared" si="35"/>
        <v>21248640</v>
      </c>
      <c r="AL263">
        <f t="shared" si="35"/>
        <v>21248640</v>
      </c>
      <c r="AM263">
        <f t="shared" si="35"/>
        <v>21248640</v>
      </c>
      <c r="AN263">
        <f t="shared" si="35"/>
        <v>21248640</v>
      </c>
      <c r="AO263">
        <f t="shared" si="35"/>
        <v>21248640</v>
      </c>
    </row>
    <row r="264" spans="1:41">
      <c r="A264" s="185">
        <f>'Water Stuff'!F198</f>
        <v>44755</v>
      </c>
      <c r="B264" s="118">
        <f>'Filtration System'!B228</f>
        <v>0</v>
      </c>
      <c r="C264" s="118">
        <f>'Filtration System'!C228</f>
        <v>0</v>
      </c>
      <c r="D264" s="118">
        <f>'Filtration System'!D228</f>
        <v>0</v>
      </c>
      <c r="E264" s="118">
        <f>'Filtration System'!E228</f>
        <v>389.12752287831478</v>
      </c>
      <c r="F264" s="118">
        <f>'Filtration System'!F228</f>
        <v>0</v>
      </c>
      <c r="G264" s="118"/>
      <c r="H264" s="118">
        <f>B264/1000*(1000*9.81*Pumps!$B$14+'Parameters and Satisfaction'!$B$27)</f>
        <v>0</v>
      </c>
      <c r="I264" s="118">
        <f>C264/1000*(1000*9.81*Pumps!$B$14+'Parameters and Satisfaction'!$B$27)</f>
        <v>0</v>
      </c>
      <c r="J264" s="118">
        <f>D264/1000*(1000*9.81*Pumps!$B$14+'Parameters and Satisfaction'!$B$27)</f>
        <v>0</v>
      </c>
      <c r="K264" s="118">
        <f>E264/1000*(1000*9.81*Pumps!$B$14+'Parameters and Satisfaction'!$B$27)</f>
        <v>104306.86964319248</v>
      </c>
      <c r="L264" s="118">
        <f>F264/1000*(1000*9.81*Pumps!$B$14+'Parameters and Satisfaction'!$B$27)</f>
        <v>0</v>
      </c>
      <c r="M264" s="118"/>
      <c r="N264" s="118">
        <f>H264/IF('Parameters and Satisfaction'!$C$13="Pump A", 0.7, IF('Parameters and Satisfaction'!$C$13 = "Pump B", 0.72, 0.65))</f>
        <v>0</v>
      </c>
      <c r="O264" s="118">
        <f>I264/IF('Parameters and Satisfaction'!$C$13="Pump A", 0.7, IF('Parameters and Satisfaction'!$C$13 = "Pump B", 0.72, 0.65))</f>
        <v>0</v>
      </c>
      <c r="P264" s="118">
        <f>J264/IF('Parameters and Satisfaction'!$C$13="Pump A", 0.7, IF('Parameters and Satisfaction'!$C$13 = "Pump B", 0.72, 0.65))</f>
        <v>0</v>
      </c>
      <c r="Q264" s="118">
        <f>K264/IF('Parameters and Satisfaction'!$C$13="Pump A", 0.7, IF('Parameters and Satisfaction'!$C$13 = "Pump B", 0.72, 0.65))</f>
        <v>144870.65228221178</v>
      </c>
      <c r="R264" s="118">
        <f>L264/IF('Parameters and Satisfaction'!$C$13="Pump A", 0.7, IF('Parameters and Satisfaction'!$C$13 = "Pump B", 0.72, 0.65))</f>
        <v>0</v>
      </c>
      <c r="S264" s="118"/>
      <c r="T264" s="118">
        <f>N264+$F$47+IF('Parameters and Satisfaction'!$C$19="Ozone", 'Filtration System'!AA228*1000000, 0)</f>
        <v>4687500</v>
      </c>
      <c r="U264" s="118">
        <f>O264+$F$47+IF('Parameters and Satisfaction'!$C$19="Ozone", 'Filtration System'!AB228*1000000, 0)</f>
        <v>4687500</v>
      </c>
      <c r="V264" s="118">
        <f>P264+$F$47+IF('Parameters and Satisfaction'!$C$19="Ozone", 'Filtration System'!AC228*1000000, 0)</f>
        <v>4687500</v>
      </c>
      <c r="W264" s="118">
        <f>Q264+$F$47+IF('Parameters and Satisfaction'!$C$19="Ozone", 'Filtration System'!AD228*1000000, 0)</f>
        <v>4832370.6522822119</v>
      </c>
      <c r="X264" s="118">
        <f>R264+$F$47+IF('Parameters and Satisfaction'!$C$19="Ozone", 'Filtration System'!AE228*1000000, 0)</f>
        <v>4687500</v>
      </c>
      <c r="Y264" s="118"/>
      <c r="Z264" s="118">
        <f t="shared" si="36"/>
        <v>0.33482142857142855</v>
      </c>
      <c r="AA264" s="118">
        <f t="shared" si="37"/>
        <v>0.33482142857142855</v>
      </c>
      <c r="AB264" s="118">
        <f t="shared" si="38"/>
        <v>0.33482142857142855</v>
      </c>
      <c r="AC264" s="118">
        <f t="shared" si="39"/>
        <v>0.34516933230587227</v>
      </c>
      <c r="AD264" s="118">
        <f t="shared" si="40"/>
        <v>0.33482142857142855</v>
      </c>
      <c r="AE264" s="118"/>
      <c r="AF264" s="118"/>
      <c r="AG264" s="118"/>
      <c r="AK264">
        <f t="shared" si="35"/>
        <v>21248640</v>
      </c>
      <c r="AL264">
        <f t="shared" si="35"/>
        <v>21248640</v>
      </c>
      <c r="AM264">
        <f t="shared" si="35"/>
        <v>21248640</v>
      </c>
      <c r="AN264">
        <f t="shared" si="35"/>
        <v>21248640</v>
      </c>
      <c r="AO264">
        <f t="shared" si="35"/>
        <v>21248640</v>
      </c>
    </row>
    <row r="265" spans="1:41">
      <c r="A265" s="185">
        <f>'Water Stuff'!F199</f>
        <v>44756</v>
      </c>
      <c r="B265" s="118">
        <f>'Filtration System'!B229</f>
        <v>0</v>
      </c>
      <c r="C265" s="118">
        <f>'Filtration System'!C229</f>
        <v>0</v>
      </c>
      <c r="D265" s="118">
        <f>'Filtration System'!D229</f>
        <v>1055.2770318937683</v>
      </c>
      <c r="E265" s="118">
        <f>'Filtration System'!E229</f>
        <v>0</v>
      </c>
      <c r="F265" s="118">
        <f>'Filtration System'!F229</f>
        <v>1471.3529429601779</v>
      </c>
      <c r="G265" s="118"/>
      <c r="H265" s="118">
        <f>B265/1000*(1000*9.81*Pumps!$B$14+'Parameters and Satisfaction'!$B$27)</f>
        <v>0</v>
      </c>
      <c r="I265" s="118">
        <f>C265/1000*(1000*9.81*Pumps!$B$14+'Parameters and Satisfaction'!$B$27)</f>
        <v>0</v>
      </c>
      <c r="J265" s="118">
        <f>D265/1000*(1000*9.81*Pumps!$B$14+'Parameters and Satisfaction'!$B$27)</f>
        <v>282870.36339400621</v>
      </c>
      <c r="K265" s="118">
        <f>E265/1000*(1000*9.81*Pumps!$B$14+'Parameters and Satisfaction'!$B$27)</f>
        <v>0</v>
      </c>
      <c r="L265" s="118">
        <f>F265/1000*(1000*9.81*Pumps!$B$14+'Parameters and Satisfaction'!$B$27)</f>
        <v>394400.83416681795</v>
      </c>
      <c r="M265" s="118"/>
      <c r="N265" s="118">
        <f>H265/IF('Parameters and Satisfaction'!$C$13="Pump A", 0.7, IF('Parameters and Satisfaction'!$C$13 = "Pump B", 0.72, 0.65))</f>
        <v>0</v>
      </c>
      <c r="O265" s="118">
        <f>I265/IF('Parameters and Satisfaction'!$C$13="Pump A", 0.7, IF('Parameters and Satisfaction'!$C$13 = "Pump B", 0.72, 0.65))</f>
        <v>0</v>
      </c>
      <c r="P265" s="118">
        <f>J265/IF('Parameters and Satisfaction'!$C$13="Pump A", 0.7, IF('Parameters and Satisfaction'!$C$13 = "Pump B", 0.72, 0.65))</f>
        <v>392875.50471389754</v>
      </c>
      <c r="Q265" s="118">
        <f>K265/IF('Parameters and Satisfaction'!$C$13="Pump A", 0.7, IF('Parameters and Satisfaction'!$C$13 = "Pump B", 0.72, 0.65))</f>
        <v>0</v>
      </c>
      <c r="R265" s="118">
        <f>L265/IF('Parameters and Satisfaction'!$C$13="Pump A", 0.7, IF('Parameters and Satisfaction'!$C$13 = "Pump B", 0.72, 0.65))</f>
        <v>547778.93634280271</v>
      </c>
      <c r="S265" s="118"/>
      <c r="T265" s="118">
        <f>N265+$F$47+IF('Parameters and Satisfaction'!$C$19="Ozone", 'Filtration System'!AA229*1000000, 0)</f>
        <v>4687500</v>
      </c>
      <c r="U265" s="118">
        <f>O265+$F$47+IF('Parameters and Satisfaction'!$C$19="Ozone", 'Filtration System'!AB229*1000000, 0)</f>
        <v>4687500</v>
      </c>
      <c r="V265" s="118">
        <f>P265+$F$47+IF('Parameters and Satisfaction'!$C$19="Ozone", 'Filtration System'!AC229*1000000, 0)</f>
        <v>5080375.5047138976</v>
      </c>
      <c r="W265" s="118">
        <f>Q265+$F$47+IF('Parameters and Satisfaction'!$C$19="Ozone", 'Filtration System'!AD229*1000000, 0)</f>
        <v>4687500</v>
      </c>
      <c r="X265" s="118">
        <f>R265+$F$47+IF('Parameters and Satisfaction'!$C$19="Ozone", 'Filtration System'!AE229*1000000, 0)</f>
        <v>5235278.9363428028</v>
      </c>
      <c r="Y265" s="118"/>
      <c r="Z265" s="118">
        <f t="shared" si="36"/>
        <v>0.33482142857142855</v>
      </c>
      <c r="AA265" s="118">
        <f t="shared" si="37"/>
        <v>0.33482142857142855</v>
      </c>
      <c r="AB265" s="118">
        <f t="shared" si="38"/>
        <v>0.36288396462242123</v>
      </c>
      <c r="AC265" s="118">
        <f t="shared" si="39"/>
        <v>0.33482142857142855</v>
      </c>
      <c r="AD265" s="118">
        <f t="shared" si="40"/>
        <v>0.37394849545305736</v>
      </c>
      <c r="AE265" s="118"/>
      <c r="AF265" s="118"/>
      <c r="AG265" s="118"/>
      <c r="AK265">
        <f t="shared" si="35"/>
        <v>21248640</v>
      </c>
      <c r="AL265">
        <f t="shared" si="35"/>
        <v>21248640</v>
      </c>
      <c r="AM265">
        <f t="shared" si="35"/>
        <v>21248640</v>
      </c>
      <c r="AN265">
        <f t="shared" si="35"/>
        <v>21248640</v>
      </c>
      <c r="AO265">
        <f t="shared" si="35"/>
        <v>21248640</v>
      </c>
    </row>
    <row r="266" spans="1:41">
      <c r="A266" s="185">
        <f>'Water Stuff'!F200</f>
        <v>44757</v>
      </c>
      <c r="B266" s="118">
        <f>'Filtration System'!B230</f>
        <v>0</v>
      </c>
      <c r="C266" s="118">
        <f>'Filtration System'!C230</f>
        <v>0</v>
      </c>
      <c r="D266" s="118">
        <f>'Filtration System'!D230</f>
        <v>0</v>
      </c>
      <c r="E266" s="118">
        <f>'Filtration System'!E230</f>
        <v>0</v>
      </c>
      <c r="F266" s="118">
        <f>'Filtration System'!F230</f>
        <v>617.47998126207358</v>
      </c>
      <c r="G266" s="118"/>
      <c r="H266" s="118">
        <f>B266/1000*(1000*9.81*Pumps!$B$14+'Parameters and Satisfaction'!$B$27)</f>
        <v>0</v>
      </c>
      <c r="I266" s="118">
        <f>C266/1000*(1000*9.81*Pumps!$B$14+'Parameters and Satisfaction'!$B$27)</f>
        <v>0</v>
      </c>
      <c r="J266" s="118">
        <f>D266/1000*(1000*9.81*Pumps!$B$14+'Parameters and Satisfaction'!$B$27)</f>
        <v>0</v>
      </c>
      <c r="K266" s="118">
        <f>E266/1000*(1000*9.81*Pumps!$B$14+'Parameters and Satisfaction'!$B$27)</f>
        <v>0</v>
      </c>
      <c r="L266" s="118">
        <f>F266/1000*(1000*9.81*Pumps!$B$14+'Parameters and Satisfaction'!$B$27)</f>
        <v>165517.47210367609</v>
      </c>
      <c r="M266" s="118"/>
      <c r="N266" s="118">
        <f>H266/IF('Parameters and Satisfaction'!$C$13="Pump A", 0.7, IF('Parameters and Satisfaction'!$C$13 = "Pump B", 0.72, 0.65))</f>
        <v>0</v>
      </c>
      <c r="O266" s="118">
        <f>I266/IF('Parameters and Satisfaction'!$C$13="Pump A", 0.7, IF('Parameters and Satisfaction'!$C$13 = "Pump B", 0.72, 0.65))</f>
        <v>0</v>
      </c>
      <c r="P266" s="118">
        <f>J266/IF('Parameters and Satisfaction'!$C$13="Pump A", 0.7, IF('Parameters and Satisfaction'!$C$13 = "Pump B", 0.72, 0.65))</f>
        <v>0</v>
      </c>
      <c r="Q266" s="118">
        <f>K266/IF('Parameters and Satisfaction'!$C$13="Pump A", 0.7, IF('Parameters and Satisfaction'!$C$13 = "Pump B", 0.72, 0.65))</f>
        <v>0</v>
      </c>
      <c r="R266" s="118">
        <f>L266/IF('Parameters and Satisfaction'!$C$13="Pump A", 0.7, IF('Parameters and Satisfaction'!$C$13 = "Pump B", 0.72, 0.65))</f>
        <v>229885.37792177236</v>
      </c>
      <c r="S266" s="118"/>
      <c r="T266" s="118">
        <f>N266+$F$47+IF('Parameters and Satisfaction'!$C$19="Ozone", 'Filtration System'!AA230*1000000, 0)</f>
        <v>4687500</v>
      </c>
      <c r="U266" s="118">
        <f>O266+$F$47+IF('Parameters and Satisfaction'!$C$19="Ozone", 'Filtration System'!AB230*1000000, 0)</f>
        <v>4687500</v>
      </c>
      <c r="V266" s="118">
        <f>P266+$F$47+IF('Parameters and Satisfaction'!$C$19="Ozone", 'Filtration System'!AC230*1000000, 0)</f>
        <v>4687500</v>
      </c>
      <c r="W266" s="118">
        <f>Q266+$F$47+IF('Parameters and Satisfaction'!$C$19="Ozone", 'Filtration System'!AD230*1000000, 0)</f>
        <v>4687500</v>
      </c>
      <c r="X266" s="118">
        <f>R266+$F$47+IF('Parameters and Satisfaction'!$C$19="Ozone", 'Filtration System'!AE230*1000000, 0)</f>
        <v>4917385.3779217722</v>
      </c>
      <c r="Y266" s="118"/>
      <c r="Z266" s="118">
        <f t="shared" si="36"/>
        <v>0.33482142857142855</v>
      </c>
      <c r="AA266" s="118">
        <f t="shared" si="37"/>
        <v>0.33482142857142855</v>
      </c>
      <c r="AB266" s="118">
        <f t="shared" si="38"/>
        <v>0.33482142857142855</v>
      </c>
      <c r="AC266" s="118">
        <f t="shared" si="39"/>
        <v>0.33482142857142855</v>
      </c>
      <c r="AD266" s="118">
        <f t="shared" si="40"/>
        <v>0.35124181270869803</v>
      </c>
      <c r="AE266" s="118"/>
      <c r="AF266" s="118"/>
      <c r="AG266" s="118"/>
      <c r="AK266">
        <f t="shared" si="35"/>
        <v>21248640</v>
      </c>
      <c r="AL266">
        <f t="shared" si="35"/>
        <v>21248640</v>
      </c>
      <c r="AM266">
        <f t="shared" si="35"/>
        <v>21248640</v>
      </c>
      <c r="AN266">
        <f t="shared" si="35"/>
        <v>21248640</v>
      </c>
      <c r="AO266">
        <f t="shared" si="35"/>
        <v>21248640</v>
      </c>
    </row>
    <row r="267" spans="1:41">
      <c r="A267" s="185">
        <f>'Water Stuff'!F201</f>
        <v>44758</v>
      </c>
      <c r="B267" s="118">
        <f>'Filtration System'!B231</f>
        <v>0</v>
      </c>
      <c r="C267" s="118">
        <f>'Filtration System'!C231</f>
        <v>0</v>
      </c>
      <c r="D267" s="118">
        <f>'Filtration System'!D231</f>
        <v>1577.2899106285734</v>
      </c>
      <c r="E267" s="118">
        <f>'Filtration System'!E231</f>
        <v>0</v>
      </c>
      <c r="F267" s="118">
        <f>'Filtration System'!F231</f>
        <v>3094.665587103088</v>
      </c>
      <c r="G267" s="118"/>
      <c r="H267" s="118">
        <f>B267/1000*(1000*9.81*Pumps!$B$14+'Parameters and Satisfaction'!$B$27)</f>
        <v>0</v>
      </c>
      <c r="I267" s="118">
        <f>C267/1000*(1000*9.81*Pumps!$B$14+'Parameters and Satisfaction'!$B$27)</f>
        <v>0</v>
      </c>
      <c r="J267" s="118">
        <f>D267/1000*(1000*9.81*Pumps!$B$14+'Parameters and Satisfaction'!$B$27)</f>
        <v>422797.57515097572</v>
      </c>
      <c r="K267" s="118">
        <f>E267/1000*(1000*9.81*Pumps!$B$14+'Parameters and Satisfaction'!$B$27)</f>
        <v>0</v>
      </c>
      <c r="L267" s="118">
        <f>F267/1000*(1000*9.81*Pumps!$B$14+'Parameters and Satisfaction'!$B$27)</f>
        <v>829534.9493543217</v>
      </c>
      <c r="M267" s="118"/>
      <c r="N267" s="118">
        <f>H267/IF('Parameters and Satisfaction'!$C$13="Pump A", 0.7, IF('Parameters and Satisfaction'!$C$13 = "Pump B", 0.72, 0.65))</f>
        <v>0</v>
      </c>
      <c r="O267" s="118">
        <f>I267/IF('Parameters and Satisfaction'!$C$13="Pump A", 0.7, IF('Parameters and Satisfaction'!$C$13 = "Pump B", 0.72, 0.65))</f>
        <v>0</v>
      </c>
      <c r="P267" s="118">
        <f>J267/IF('Parameters and Satisfaction'!$C$13="Pump A", 0.7, IF('Parameters and Satisfaction'!$C$13 = "Pump B", 0.72, 0.65))</f>
        <v>587218.85437635519</v>
      </c>
      <c r="Q267" s="118">
        <f>K267/IF('Parameters and Satisfaction'!$C$13="Pump A", 0.7, IF('Parameters and Satisfaction'!$C$13 = "Pump B", 0.72, 0.65))</f>
        <v>0</v>
      </c>
      <c r="R267" s="118">
        <f>L267/IF('Parameters and Satisfaction'!$C$13="Pump A", 0.7, IF('Parameters and Satisfaction'!$C$13 = "Pump B", 0.72, 0.65))</f>
        <v>1152131.8741032246</v>
      </c>
      <c r="S267" s="118"/>
      <c r="T267" s="118">
        <f>N267+$F$47+IF('Parameters and Satisfaction'!$C$19="Ozone", 'Filtration System'!AA231*1000000, 0)</f>
        <v>4687500</v>
      </c>
      <c r="U267" s="118">
        <f>O267+$F$47+IF('Parameters and Satisfaction'!$C$19="Ozone", 'Filtration System'!AB231*1000000, 0)</f>
        <v>4687500</v>
      </c>
      <c r="V267" s="118">
        <f>P267+$F$47+IF('Parameters and Satisfaction'!$C$19="Ozone", 'Filtration System'!AC231*1000000, 0)</f>
        <v>5274718.8543763552</v>
      </c>
      <c r="W267" s="118">
        <f>Q267+$F$47+IF('Parameters and Satisfaction'!$C$19="Ozone", 'Filtration System'!AD231*1000000, 0)</f>
        <v>4687500</v>
      </c>
      <c r="X267" s="118">
        <f>R267+$F$47+IF('Parameters and Satisfaction'!$C$19="Ozone", 'Filtration System'!AE231*1000000, 0)</f>
        <v>5839631.8741032248</v>
      </c>
      <c r="Y267" s="118"/>
      <c r="Z267" s="118">
        <f t="shared" si="36"/>
        <v>0.33482142857142855</v>
      </c>
      <c r="AA267" s="118">
        <f t="shared" si="37"/>
        <v>0.33482142857142855</v>
      </c>
      <c r="AB267" s="118">
        <f t="shared" si="38"/>
        <v>0.37676563245545397</v>
      </c>
      <c r="AC267" s="118">
        <f t="shared" si="39"/>
        <v>0.33482142857142855</v>
      </c>
      <c r="AD267" s="118">
        <f t="shared" si="40"/>
        <v>0.41711656243594464</v>
      </c>
      <c r="AE267" s="118"/>
      <c r="AF267" s="118"/>
      <c r="AG267" s="118"/>
      <c r="AK267">
        <f t="shared" si="35"/>
        <v>21248640</v>
      </c>
      <c r="AL267">
        <f t="shared" si="35"/>
        <v>21248640</v>
      </c>
      <c r="AM267">
        <f t="shared" si="35"/>
        <v>21248640</v>
      </c>
      <c r="AN267">
        <f t="shared" si="35"/>
        <v>21248640</v>
      </c>
      <c r="AO267">
        <f t="shared" si="35"/>
        <v>21248640</v>
      </c>
    </row>
    <row r="268" spans="1:41">
      <c r="A268" s="185">
        <f>'Water Stuff'!F202</f>
        <v>44759</v>
      </c>
      <c r="B268" s="118">
        <f>'Filtration System'!B232</f>
        <v>0</v>
      </c>
      <c r="C268" s="118">
        <f>'Filtration System'!C232</f>
        <v>0</v>
      </c>
      <c r="D268" s="118">
        <f>'Filtration System'!D232</f>
        <v>0</v>
      </c>
      <c r="E268" s="118">
        <f>'Filtration System'!E232</f>
        <v>0</v>
      </c>
      <c r="F268" s="118">
        <f>'Filtration System'!F232</f>
        <v>0</v>
      </c>
      <c r="G268" s="118"/>
      <c r="H268" s="118">
        <f>B268/1000*(1000*9.81*Pumps!$B$14+'Parameters and Satisfaction'!$B$27)</f>
        <v>0</v>
      </c>
      <c r="I268" s="118">
        <f>C268/1000*(1000*9.81*Pumps!$B$14+'Parameters and Satisfaction'!$B$27)</f>
        <v>0</v>
      </c>
      <c r="J268" s="118">
        <f>D268/1000*(1000*9.81*Pumps!$B$14+'Parameters and Satisfaction'!$B$27)</f>
        <v>0</v>
      </c>
      <c r="K268" s="118">
        <f>E268/1000*(1000*9.81*Pumps!$B$14+'Parameters and Satisfaction'!$B$27)</f>
        <v>0</v>
      </c>
      <c r="L268" s="118">
        <f>F268/1000*(1000*9.81*Pumps!$B$14+'Parameters and Satisfaction'!$B$27)</f>
        <v>0</v>
      </c>
      <c r="M268" s="118"/>
      <c r="N268" s="118">
        <f>H268/IF('Parameters and Satisfaction'!$C$13="Pump A", 0.7, IF('Parameters and Satisfaction'!$C$13 = "Pump B", 0.72, 0.65))</f>
        <v>0</v>
      </c>
      <c r="O268" s="118">
        <f>I268/IF('Parameters and Satisfaction'!$C$13="Pump A", 0.7, IF('Parameters and Satisfaction'!$C$13 = "Pump B", 0.72, 0.65))</f>
        <v>0</v>
      </c>
      <c r="P268" s="118">
        <f>J268/IF('Parameters and Satisfaction'!$C$13="Pump A", 0.7, IF('Parameters and Satisfaction'!$C$13 = "Pump B", 0.72, 0.65))</f>
        <v>0</v>
      </c>
      <c r="Q268" s="118">
        <f>K268/IF('Parameters and Satisfaction'!$C$13="Pump A", 0.7, IF('Parameters and Satisfaction'!$C$13 = "Pump B", 0.72, 0.65))</f>
        <v>0</v>
      </c>
      <c r="R268" s="118">
        <f>L268/IF('Parameters and Satisfaction'!$C$13="Pump A", 0.7, IF('Parameters and Satisfaction'!$C$13 = "Pump B", 0.72, 0.65))</f>
        <v>0</v>
      </c>
      <c r="S268" s="118"/>
      <c r="T268" s="118">
        <f>N268+$F$47+IF('Parameters and Satisfaction'!$C$19="Ozone", 'Filtration System'!AA232*1000000, 0)</f>
        <v>4687500</v>
      </c>
      <c r="U268" s="118">
        <f>O268+$F$47+IF('Parameters and Satisfaction'!$C$19="Ozone", 'Filtration System'!AB232*1000000, 0)</f>
        <v>4687500</v>
      </c>
      <c r="V268" s="118">
        <f>P268+$F$47+IF('Parameters and Satisfaction'!$C$19="Ozone", 'Filtration System'!AC232*1000000, 0)</f>
        <v>4687500</v>
      </c>
      <c r="W268" s="118">
        <f>Q268+$F$47+IF('Parameters and Satisfaction'!$C$19="Ozone", 'Filtration System'!AD232*1000000, 0)</f>
        <v>4687500</v>
      </c>
      <c r="X268" s="118">
        <f>R268+$F$47+IF('Parameters and Satisfaction'!$C$19="Ozone", 'Filtration System'!AE232*1000000, 0)</f>
        <v>4687500</v>
      </c>
      <c r="Y268" s="118"/>
      <c r="Z268" s="118">
        <f t="shared" si="36"/>
        <v>0.33482142857142855</v>
      </c>
      <c r="AA268" s="118">
        <f t="shared" si="37"/>
        <v>0.33482142857142855</v>
      </c>
      <c r="AB268" s="118">
        <f t="shared" si="38"/>
        <v>0.33482142857142855</v>
      </c>
      <c r="AC268" s="118">
        <f t="shared" si="39"/>
        <v>0.33482142857142855</v>
      </c>
      <c r="AD268" s="118">
        <f t="shared" si="40"/>
        <v>0.33482142857142855</v>
      </c>
      <c r="AE268" s="118"/>
      <c r="AF268" s="118"/>
      <c r="AG268" s="118"/>
      <c r="AK268">
        <f t="shared" si="35"/>
        <v>21248640</v>
      </c>
      <c r="AL268">
        <f t="shared" si="35"/>
        <v>21248640</v>
      </c>
      <c r="AM268">
        <f t="shared" si="35"/>
        <v>21248640</v>
      </c>
      <c r="AN268">
        <f t="shared" si="35"/>
        <v>21248640</v>
      </c>
      <c r="AO268">
        <f t="shared" si="35"/>
        <v>21248640</v>
      </c>
    </row>
    <row r="269" spans="1:41">
      <c r="A269" s="185">
        <f>'Water Stuff'!F203</f>
        <v>44760</v>
      </c>
      <c r="B269" s="118">
        <f>'Filtration System'!B233</f>
        <v>7400</v>
      </c>
      <c r="C269" s="118">
        <f>'Filtration System'!C233</f>
        <v>0</v>
      </c>
      <c r="D269" s="118">
        <f>'Filtration System'!D233</f>
        <v>6756.8285372371874</v>
      </c>
      <c r="E269" s="118">
        <f>'Filtration System'!E233</f>
        <v>1286.3610185123846</v>
      </c>
      <c r="F269" s="118">
        <f>'Filtration System'!F233</f>
        <v>7772.864264067518</v>
      </c>
      <c r="G269" s="118"/>
      <c r="H269" s="118">
        <f>B269/1000*(1000*9.81*Pumps!$B$14+'Parameters and Satisfaction'!$B$27)</f>
        <v>1983593.5264877123</v>
      </c>
      <c r="I269" s="118">
        <f>C269/1000*(1000*9.81*Pumps!$B$14+'Parameters and Satisfaction'!$B$27)</f>
        <v>0</v>
      </c>
      <c r="J269" s="118">
        <f>D269/1000*(1000*9.81*Pumps!$B$14+'Parameters and Satisfaction'!$B$27)</f>
        <v>1811189.3710879895</v>
      </c>
      <c r="K269" s="118">
        <f>E269/1000*(1000*9.81*Pumps!$B$14+'Parameters and Satisfaction'!$B$27)</f>
        <v>344813.16068206838</v>
      </c>
      <c r="L269" s="118">
        <f>F269/1000*(1000*9.81*Pumps!$B$14+'Parameters and Satisfaction'!$B$27)</f>
        <v>2083540.9779016222</v>
      </c>
      <c r="M269" s="118"/>
      <c r="N269" s="118">
        <f>H269/IF('Parameters and Satisfaction'!$C$13="Pump A", 0.7, IF('Parameters and Satisfaction'!$C$13 = "Pump B", 0.72, 0.65))</f>
        <v>2754991.0090107117</v>
      </c>
      <c r="O269" s="118">
        <f>I269/IF('Parameters and Satisfaction'!$C$13="Pump A", 0.7, IF('Parameters and Satisfaction'!$C$13 = "Pump B", 0.72, 0.65))</f>
        <v>0</v>
      </c>
      <c r="P269" s="118">
        <f>J269/IF('Parameters and Satisfaction'!$C$13="Pump A", 0.7, IF('Parameters and Satisfaction'!$C$13 = "Pump B", 0.72, 0.65))</f>
        <v>2515540.7931777635</v>
      </c>
      <c r="Q269" s="118">
        <f>K269/IF('Parameters and Satisfaction'!$C$13="Pump A", 0.7, IF('Parameters and Satisfaction'!$C$13 = "Pump B", 0.72, 0.65))</f>
        <v>478907.16761398385</v>
      </c>
      <c r="R269" s="118">
        <f>L269/IF('Parameters and Satisfaction'!$C$13="Pump A", 0.7, IF('Parameters and Satisfaction'!$C$13 = "Pump B", 0.72, 0.65))</f>
        <v>2893806.9137522532</v>
      </c>
      <c r="S269" s="118"/>
      <c r="T269" s="118">
        <f>N269+$F$47+IF('Parameters and Satisfaction'!$C$19="Ozone", 'Filtration System'!AA233*1000000, 0)</f>
        <v>7442491.0090107117</v>
      </c>
      <c r="U269" s="118">
        <f>O269+$F$47+IF('Parameters and Satisfaction'!$C$19="Ozone", 'Filtration System'!AB233*1000000, 0)</f>
        <v>4687500</v>
      </c>
      <c r="V269" s="118">
        <f>P269+$F$47+IF('Parameters and Satisfaction'!$C$19="Ozone", 'Filtration System'!AC233*1000000, 0)</f>
        <v>7203040.793177763</v>
      </c>
      <c r="W269" s="118">
        <f>Q269+$F$47+IF('Parameters and Satisfaction'!$C$19="Ozone", 'Filtration System'!AD233*1000000, 0)</f>
        <v>5166407.1676139841</v>
      </c>
      <c r="X269" s="118">
        <f>R269+$F$47+IF('Parameters and Satisfaction'!$C$19="Ozone", 'Filtration System'!AE233*1000000, 0)</f>
        <v>7581306.9137522532</v>
      </c>
      <c r="Y269" s="118"/>
      <c r="Z269" s="118">
        <f t="shared" si="36"/>
        <v>0.53160650064362225</v>
      </c>
      <c r="AA269" s="118">
        <f t="shared" si="37"/>
        <v>0.33482142857142855</v>
      </c>
      <c r="AB269" s="118">
        <f t="shared" si="38"/>
        <v>0.51450291379841162</v>
      </c>
      <c r="AC269" s="118">
        <f t="shared" si="39"/>
        <v>0.36902908340099888</v>
      </c>
      <c r="AD269" s="118">
        <f t="shared" si="40"/>
        <v>0.54152192241087527</v>
      </c>
      <c r="AE269" s="118"/>
      <c r="AF269" s="118"/>
      <c r="AG269" s="118"/>
      <c r="AK269">
        <f t="shared" si="35"/>
        <v>21248640</v>
      </c>
      <c r="AL269">
        <f t="shared" si="35"/>
        <v>21248640</v>
      </c>
      <c r="AM269">
        <f t="shared" si="35"/>
        <v>21248640</v>
      </c>
      <c r="AN269">
        <f t="shared" si="35"/>
        <v>21248640</v>
      </c>
      <c r="AO269">
        <f t="shared" si="35"/>
        <v>21248640</v>
      </c>
    </row>
    <row r="270" spans="1:41">
      <c r="A270" s="185">
        <f>'Water Stuff'!F204</f>
        <v>44761</v>
      </c>
      <c r="B270" s="118">
        <f>'Filtration System'!B234</f>
        <v>360</v>
      </c>
      <c r="C270" s="118">
        <f>'Filtration System'!C234</f>
        <v>0</v>
      </c>
      <c r="D270" s="118">
        <f>'Filtration System'!D234</f>
        <v>0</v>
      </c>
      <c r="E270" s="118">
        <f>'Filtration System'!E234</f>
        <v>1047.5987952699415</v>
      </c>
      <c r="F270" s="118">
        <f>'Filtration System'!F234</f>
        <v>0</v>
      </c>
      <c r="G270" s="118"/>
      <c r="H270" s="118">
        <f>B270/1000*(1000*9.81*Pumps!$B$14+'Parameters and Satisfaction'!$B$27)</f>
        <v>96499.144531834638</v>
      </c>
      <c r="I270" s="118">
        <f>C270/1000*(1000*9.81*Pumps!$B$14+'Parameters and Satisfaction'!$B$27)</f>
        <v>0</v>
      </c>
      <c r="J270" s="118">
        <f>D270/1000*(1000*9.81*Pumps!$B$14+'Parameters and Satisfaction'!$B$27)</f>
        <v>0</v>
      </c>
      <c r="K270" s="118">
        <f>E270/1000*(1000*9.81*Pumps!$B$14+'Parameters and Satisfaction'!$B$27)</f>
        <v>280812.1876559165</v>
      </c>
      <c r="L270" s="118">
        <f>F270/1000*(1000*9.81*Pumps!$B$14+'Parameters and Satisfaction'!$B$27)</f>
        <v>0</v>
      </c>
      <c r="M270" s="118"/>
      <c r="N270" s="118">
        <f>H270/IF('Parameters and Satisfaction'!$C$13="Pump A", 0.7, IF('Parameters and Satisfaction'!$C$13 = "Pump B", 0.72, 0.65))</f>
        <v>134026.58962754812</v>
      </c>
      <c r="O270" s="118">
        <f>I270/IF('Parameters and Satisfaction'!$C$13="Pump A", 0.7, IF('Parameters and Satisfaction'!$C$13 = "Pump B", 0.72, 0.65))</f>
        <v>0</v>
      </c>
      <c r="P270" s="118">
        <f>J270/IF('Parameters and Satisfaction'!$C$13="Pump A", 0.7, IF('Parameters and Satisfaction'!$C$13 = "Pump B", 0.72, 0.65))</f>
        <v>0</v>
      </c>
      <c r="Q270" s="118">
        <f>K270/IF('Parameters and Satisfaction'!$C$13="Pump A", 0.7, IF('Parameters and Satisfaction'!$C$13 = "Pump B", 0.72, 0.65))</f>
        <v>390016.92729988403</v>
      </c>
      <c r="R270" s="118">
        <f>L270/IF('Parameters and Satisfaction'!$C$13="Pump A", 0.7, IF('Parameters and Satisfaction'!$C$13 = "Pump B", 0.72, 0.65))</f>
        <v>0</v>
      </c>
      <c r="S270" s="118"/>
      <c r="T270" s="118">
        <f>N270+$F$47+IF('Parameters and Satisfaction'!$C$19="Ozone", 'Filtration System'!AA234*1000000, 0)</f>
        <v>4821526.5896275481</v>
      </c>
      <c r="U270" s="118">
        <f>O270+$F$47+IF('Parameters and Satisfaction'!$C$19="Ozone", 'Filtration System'!AB234*1000000, 0)</f>
        <v>4687500</v>
      </c>
      <c r="V270" s="118">
        <f>P270+$F$47+IF('Parameters and Satisfaction'!$C$19="Ozone", 'Filtration System'!AC234*1000000, 0)</f>
        <v>4687500</v>
      </c>
      <c r="W270" s="118">
        <f>Q270+$F$47+IF('Parameters and Satisfaction'!$C$19="Ozone", 'Filtration System'!AD234*1000000, 0)</f>
        <v>5077516.9272998841</v>
      </c>
      <c r="X270" s="118">
        <f>R270+$F$47+IF('Parameters and Satisfaction'!$C$19="Ozone", 'Filtration System'!AE234*1000000, 0)</f>
        <v>4687500</v>
      </c>
      <c r="Y270" s="118"/>
      <c r="Z270" s="118">
        <f t="shared" si="36"/>
        <v>0.34439475640196771</v>
      </c>
      <c r="AA270" s="118">
        <f t="shared" si="37"/>
        <v>0.33482142857142855</v>
      </c>
      <c r="AB270" s="118">
        <f t="shared" si="38"/>
        <v>0.33482142857142855</v>
      </c>
      <c r="AC270" s="118">
        <f t="shared" si="39"/>
        <v>0.3626797805214203</v>
      </c>
      <c r="AD270" s="118">
        <f t="shared" si="40"/>
        <v>0.33482142857142855</v>
      </c>
      <c r="AE270" s="118"/>
      <c r="AF270" s="118"/>
      <c r="AG270" s="118"/>
      <c r="AK270">
        <f t="shared" si="35"/>
        <v>21248640</v>
      </c>
      <c r="AL270">
        <f t="shared" si="35"/>
        <v>21248640</v>
      </c>
      <c r="AM270">
        <f t="shared" si="35"/>
        <v>21248640</v>
      </c>
      <c r="AN270">
        <f t="shared" si="35"/>
        <v>21248640</v>
      </c>
      <c r="AO270">
        <f t="shared" si="35"/>
        <v>21248640</v>
      </c>
    </row>
    <row r="271" spans="1:41">
      <c r="A271" s="185">
        <f>'Water Stuff'!F205</f>
        <v>44762</v>
      </c>
      <c r="B271" s="118">
        <f>'Filtration System'!B235</f>
        <v>0</v>
      </c>
      <c r="C271" s="118">
        <f>'Filtration System'!C235</f>
        <v>120</v>
      </c>
      <c r="D271" s="118">
        <f>'Filtration System'!D235</f>
        <v>0</v>
      </c>
      <c r="E271" s="118">
        <f>'Filtration System'!E235</f>
        <v>1080.2630709974308</v>
      </c>
      <c r="F271" s="118">
        <f>'Filtration System'!F235</f>
        <v>1168.4171748882886</v>
      </c>
      <c r="G271" s="118"/>
      <c r="H271" s="118">
        <f>B271/1000*(1000*9.81*Pumps!$B$14+'Parameters and Satisfaction'!$B$27)</f>
        <v>0</v>
      </c>
      <c r="I271" s="118">
        <f>C271/1000*(1000*9.81*Pumps!$B$14+'Parameters and Satisfaction'!$B$27)</f>
        <v>32166.381510611547</v>
      </c>
      <c r="J271" s="118">
        <f>D271/1000*(1000*9.81*Pumps!$B$14+'Parameters and Satisfaction'!$B$27)</f>
        <v>0</v>
      </c>
      <c r="K271" s="118">
        <f>E271/1000*(1000*9.81*Pumps!$B$14+'Parameters and Satisfaction'!$B$27)</f>
        <v>289567.95061273506</v>
      </c>
      <c r="L271" s="118">
        <f>F271/1000*(1000*9.81*Pumps!$B$14+'Parameters and Satisfaction'!$B$27)</f>
        <v>313197.93842506356</v>
      </c>
      <c r="M271" s="118"/>
      <c r="N271" s="118">
        <f>H271/IF('Parameters and Satisfaction'!$C$13="Pump A", 0.7, IF('Parameters and Satisfaction'!$C$13 = "Pump B", 0.72, 0.65))</f>
        <v>0</v>
      </c>
      <c r="O271" s="118">
        <f>I271/IF('Parameters and Satisfaction'!$C$13="Pump A", 0.7, IF('Parameters and Satisfaction'!$C$13 = "Pump B", 0.72, 0.65))</f>
        <v>44675.529875849374</v>
      </c>
      <c r="P271" s="118">
        <f>J271/IF('Parameters and Satisfaction'!$C$13="Pump A", 0.7, IF('Parameters and Satisfaction'!$C$13 = "Pump B", 0.72, 0.65))</f>
        <v>0</v>
      </c>
      <c r="Q271" s="118">
        <f>K271/IF('Parameters and Satisfaction'!$C$13="Pump A", 0.7, IF('Parameters and Satisfaction'!$C$13 = "Pump B", 0.72, 0.65))</f>
        <v>402177.70918435429</v>
      </c>
      <c r="R271" s="118">
        <f>L271/IF('Parameters and Satisfaction'!$C$13="Pump A", 0.7, IF('Parameters and Satisfaction'!$C$13 = "Pump B", 0.72, 0.65))</f>
        <v>434997.13670147717</v>
      </c>
      <c r="S271" s="118"/>
      <c r="T271" s="118">
        <f>N271+$F$47+IF('Parameters and Satisfaction'!$C$19="Ozone", 'Filtration System'!AA235*1000000, 0)</f>
        <v>4687500</v>
      </c>
      <c r="U271" s="118">
        <f>O271+$F$47+IF('Parameters and Satisfaction'!$C$19="Ozone", 'Filtration System'!AB235*1000000, 0)</f>
        <v>4732175.5298758494</v>
      </c>
      <c r="V271" s="118">
        <f>P271+$F$47+IF('Parameters and Satisfaction'!$C$19="Ozone", 'Filtration System'!AC235*1000000, 0)</f>
        <v>4687500</v>
      </c>
      <c r="W271" s="118">
        <f>Q271+$F$47+IF('Parameters and Satisfaction'!$C$19="Ozone", 'Filtration System'!AD235*1000000, 0)</f>
        <v>5089677.7091843542</v>
      </c>
      <c r="X271" s="118">
        <f>R271+$F$47+IF('Parameters and Satisfaction'!$C$19="Ozone", 'Filtration System'!AE235*1000000, 0)</f>
        <v>5122497.1367014768</v>
      </c>
      <c r="Y271" s="118"/>
      <c r="Z271" s="118">
        <f t="shared" si="36"/>
        <v>0.33482142857142855</v>
      </c>
      <c r="AA271" s="118">
        <f t="shared" si="37"/>
        <v>0.33801253784827495</v>
      </c>
      <c r="AB271" s="118">
        <f t="shared" si="38"/>
        <v>0.33482142857142855</v>
      </c>
      <c r="AC271" s="118">
        <f t="shared" si="39"/>
        <v>0.36354840779888242</v>
      </c>
      <c r="AD271" s="118">
        <f t="shared" si="40"/>
        <v>0.36589265262153403</v>
      </c>
      <c r="AE271" s="118"/>
      <c r="AF271" s="118"/>
      <c r="AG271" s="118"/>
      <c r="AK271">
        <f t="shared" si="35"/>
        <v>21248640</v>
      </c>
      <c r="AL271">
        <f t="shared" si="35"/>
        <v>21248640</v>
      </c>
      <c r="AM271">
        <f t="shared" si="35"/>
        <v>21248640</v>
      </c>
      <c r="AN271">
        <f t="shared" si="35"/>
        <v>21248640</v>
      </c>
      <c r="AO271">
        <f t="shared" si="35"/>
        <v>21248640</v>
      </c>
    </row>
    <row r="272" spans="1:41">
      <c r="A272" s="185">
        <f>'Water Stuff'!F206</f>
        <v>44763</v>
      </c>
      <c r="B272" s="118">
        <f>'Filtration System'!B236</f>
        <v>0</v>
      </c>
      <c r="C272" s="118">
        <f>'Filtration System'!C236</f>
        <v>0</v>
      </c>
      <c r="D272" s="118">
        <f>'Filtration System'!D236</f>
        <v>0</v>
      </c>
      <c r="E272" s="118">
        <f>'Filtration System'!E236</f>
        <v>0</v>
      </c>
      <c r="F272" s="118">
        <f>'Filtration System'!F236</f>
        <v>0</v>
      </c>
      <c r="G272" s="118"/>
      <c r="H272" s="118">
        <f>B272/1000*(1000*9.81*Pumps!$B$14+'Parameters and Satisfaction'!$B$27)</f>
        <v>0</v>
      </c>
      <c r="I272" s="118">
        <f>C272/1000*(1000*9.81*Pumps!$B$14+'Parameters and Satisfaction'!$B$27)</f>
        <v>0</v>
      </c>
      <c r="J272" s="118">
        <f>D272/1000*(1000*9.81*Pumps!$B$14+'Parameters and Satisfaction'!$B$27)</f>
        <v>0</v>
      </c>
      <c r="K272" s="118">
        <f>E272/1000*(1000*9.81*Pumps!$B$14+'Parameters and Satisfaction'!$B$27)</f>
        <v>0</v>
      </c>
      <c r="L272" s="118">
        <f>F272/1000*(1000*9.81*Pumps!$B$14+'Parameters and Satisfaction'!$B$27)</f>
        <v>0</v>
      </c>
      <c r="M272" s="118"/>
      <c r="N272" s="118">
        <f>H272/IF('Parameters and Satisfaction'!$C$13="Pump A", 0.7, IF('Parameters and Satisfaction'!$C$13 = "Pump B", 0.72, 0.65))</f>
        <v>0</v>
      </c>
      <c r="O272" s="118">
        <f>I272/IF('Parameters and Satisfaction'!$C$13="Pump A", 0.7, IF('Parameters and Satisfaction'!$C$13 = "Pump B", 0.72, 0.65))</f>
        <v>0</v>
      </c>
      <c r="P272" s="118">
        <f>J272/IF('Parameters and Satisfaction'!$C$13="Pump A", 0.7, IF('Parameters and Satisfaction'!$C$13 = "Pump B", 0.72, 0.65))</f>
        <v>0</v>
      </c>
      <c r="Q272" s="118">
        <f>K272/IF('Parameters and Satisfaction'!$C$13="Pump A", 0.7, IF('Parameters and Satisfaction'!$C$13 = "Pump B", 0.72, 0.65))</f>
        <v>0</v>
      </c>
      <c r="R272" s="118">
        <f>L272/IF('Parameters and Satisfaction'!$C$13="Pump A", 0.7, IF('Parameters and Satisfaction'!$C$13 = "Pump B", 0.72, 0.65))</f>
        <v>0</v>
      </c>
      <c r="S272" s="118"/>
      <c r="T272" s="118">
        <f>N272+$F$47+IF('Parameters and Satisfaction'!$C$19="Ozone", 'Filtration System'!AA236*1000000, 0)</f>
        <v>4687500</v>
      </c>
      <c r="U272" s="118">
        <f>O272+$F$47+IF('Parameters and Satisfaction'!$C$19="Ozone", 'Filtration System'!AB236*1000000, 0)</f>
        <v>4687500</v>
      </c>
      <c r="V272" s="118">
        <f>P272+$F$47+IF('Parameters and Satisfaction'!$C$19="Ozone", 'Filtration System'!AC236*1000000, 0)</f>
        <v>4687500</v>
      </c>
      <c r="W272" s="118">
        <f>Q272+$F$47+IF('Parameters and Satisfaction'!$C$19="Ozone", 'Filtration System'!AD236*1000000, 0)</f>
        <v>4687500</v>
      </c>
      <c r="X272" s="118">
        <f>R272+$F$47+IF('Parameters and Satisfaction'!$C$19="Ozone", 'Filtration System'!AE236*1000000, 0)</f>
        <v>4687500</v>
      </c>
      <c r="Y272" s="118"/>
      <c r="Z272" s="118">
        <f t="shared" si="36"/>
        <v>0.33482142857142855</v>
      </c>
      <c r="AA272" s="118">
        <f t="shared" si="37"/>
        <v>0.33482142857142855</v>
      </c>
      <c r="AB272" s="118">
        <f t="shared" si="38"/>
        <v>0.33482142857142855</v>
      </c>
      <c r="AC272" s="118">
        <f t="shared" si="39"/>
        <v>0.33482142857142855</v>
      </c>
      <c r="AD272" s="118">
        <f t="shared" si="40"/>
        <v>0.33482142857142855</v>
      </c>
      <c r="AE272" s="118"/>
      <c r="AF272" s="118"/>
      <c r="AG272" s="118"/>
      <c r="AK272">
        <f t="shared" ref="AK272:AO282" si="41">$D$61</f>
        <v>21248640</v>
      </c>
      <c r="AL272">
        <f t="shared" si="41"/>
        <v>21248640</v>
      </c>
      <c r="AM272">
        <f t="shared" si="41"/>
        <v>21248640</v>
      </c>
      <c r="AN272">
        <f t="shared" si="41"/>
        <v>21248640</v>
      </c>
      <c r="AO272">
        <f t="shared" si="41"/>
        <v>21248640</v>
      </c>
    </row>
    <row r="273" spans="1:41">
      <c r="A273" s="185">
        <f>'Water Stuff'!F207</f>
        <v>44764</v>
      </c>
      <c r="B273" s="118">
        <f>'Filtration System'!B237</f>
        <v>1600</v>
      </c>
      <c r="C273" s="118">
        <f>'Filtration System'!C237</f>
        <v>0</v>
      </c>
      <c r="D273" s="118">
        <f>'Filtration System'!D237</f>
        <v>1862.3556662305543</v>
      </c>
      <c r="E273" s="118">
        <f>'Filtration System'!E237</f>
        <v>917.56538672556655</v>
      </c>
      <c r="F273" s="118">
        <f>'Filtration System'!F237</f>
        <v>3512.2999660955579</v>
      </c>
      <c r="G273" s="118"/>
      <c r="H273" s="118">
        <f>B273/1000*(1000*9.81*Pumps!$B$14+'Parameters and Satisfaction'!$B$27)</f>
        <v>428885.08680815401</v>
      </c>
      <c r="I273" s="118">
        <f>C273/1000*(1000*9.81*Pumps!$B$14+'Parameters and Satisfaction'!$B$27)</f>
        <v>0</v>
      </c>
      <c r="J273" s="118">
        <f>D273/1000*(1000*9.81*Pumps!$B$14+'Parameters and Satisfaction'!$B$27)</f>
        <v>499210.35723684297</v>
      </c>
      <c r="K273" s="118">
        <f>E273/1000*(1000*9.81*Pumps!$B$14+'Parameters and Satisfaction'!$B$27)</f>
        <v>245956.31908622</v>
      </c>
      <c r="L273" s="118">
        <f>F273/1000*(1000*9.81*Pumps!$B$14+'Parameters and Satisfaction'!$B$27)</f>
        <v>941483.17240948102</v>
      </c>
      <c r="M273" s="118"/>
      <c r="N273" s="118">
        <f>H273/IF('Parameters and Satisfaction'!$C$13="Pump A", 0.7, IF('Parameters and Satisfaction'!$C$13 = "Pump B", 0.72, 0.65))</f>
        <v>595673.73167799169</v>
      </c>
      <c r="O273" s="118">
        <f>I273/IF('Parameters and Satisfaction'!$C$13="Pump A", 0.7, IF('Parameters and Satisfaction'!$C$13 = "Pump B", 0.72, 0.65))</f>
        <v>0</v>
      </c>
      <c r="P273" s="118">
        <f>J273/IF('Parameters and Satisfaction'!$C$13="Pump A", 0.7, IF('Parameters and Satisfaction'!$C$13 = "Pump B", 0.72, 0.65))</f>
        <v>693347.7183845042</v>
      </c>
      <c r="Q273" s="118">
        <f>K273/IF('Parameters and Satisfaction'!$C$13="Pump A", 0.7, IF('Parameters and Satisfaction'!$C$13 = "Pump B", 0.72, 0.65))</f>
        <v>341605.99873086112</v>
      </c>
      <c r="R273" s="118">
        <f>L273/IF('Parameters and Satisfaction'!$C$13="Pump A", 0.7, IF('Parameters and Satisfaction'!$C$13 = "Pump B", 0.72, 0.65))</f>
        <v>1307615.5172353904</v>
      </c>
      <c r="S273" s="118"/>
      <c r="T273" s="118">
        <f>N273+$F$47+IF('Parameters and Satisfaction'!$C$19="Ozone", 'Filtration System'!AA237*1000000, 0)</f>
        <v>5283173.7316779913</v>
      </c>
      <c r="U273" s="118">
        <f>O273+$F$47+IF('Parameters and Satisfaction'!$C$19="Ozone", 'Filtration System'!AB237*1000000, 0)</f>
        <v>4687500</v>
      </c>
      <c r="V273" s="118">
        <f>P273+$F$47+IF('Parameters and Satisfaction'!$C$19="Ozone", 'Filtration System'!AC237*1000000, 0)</f>
        <v>5380847.7183845043</v>
      </c>
      <c r="W273" s="118">
        <f>Q273+$F$47+IF('Parameters and Satisfaction'!$C$19="Ozone", 'Filtration System'!AD237*1000000, 0)</f>
        <v>5029105.9987308607</v>
      </c>
      <c r="X273" s="118">
        <f>R273+$F$47+IF('Parameters and Satisfaction'!$C$19="Ozone", 'Filtration System'!AE237*1000000, 0)</f>
        <v>5995115.5172353908</v>
      </c>
      <c r="Y273" s="118"/>
      <c r="Z273" s="118">
        <f t="shared" si="36"/>
        <v>0.37736955226271368</v>
      </c>
      <c r="AA273" s="118">
        <f t="shared" si="37"/>
        <v>0.33482142857142855</v>
      </c>
      <c r="AB273" s="118">
        <f t="shared" si="38"/>
        <v>0.38434626559889318</v>
      </c>
      <c r="AC273" s="118">
        <f t="shared" si="39"/>
        <v>0.35922185705220433</v>
      </c>
      <c r="AD273" s="118">
        <f t="shared" si="40"/>
        <v>0.42822253694538503</v>
      </c>
      <c r="AE273" s="118"/>
      <c r="AF273" s="118"/>
      <c r="AG273" s="118"/>
      <c r="AK273">
        <f t="shared" si="41"/>
        <v>21248640</v>
      </c>
      <c r="AL273">
        <f t="shared" si="41"/>
        <v>21248640</v>
      </c>
      <c r="AM273">
        <f t="shared" si="41"/>
        <v>21248640</v>
      </c>
      <c r="AN273">
        <f t="shared" si="41"/>
        <v>21248640</v>
      </c>
      <c r="AO273">
        <f t="shared" si="41"/>
        <v>21248640</v>
      </c>
    </row>
    <row r="274" spans="1:41">
      <c r="A274" s="185">
        <f>'Water Stuff'!F208</f>
        <v>44765</v>
      </c>
      <c r="B274" s="118">
        <f>'Filtration System'!B238</f>
        <v>3640</v>
      </c>
      <c r="C274" s="118">
        <f>'Filtration System'!C238</f>
        <v>1680</v>
      </c>
      <c r="D274" s="118">
        <f>'Filtration System'!D238</f>
        <v>3617.4556850467361</v>
      </c>
      <c r="E274" s="118">
        <f>'Filtration System'!E238</f>
        <v>0</v>
      </c>
      <c r="F274" s="118">
        <f>'Filtration System'!F238</f>
        <v>3042.8320147257159</v>
      </c>
      <c r="G274" s="118"/>
      <c r="H274" s="118">
        <f>B274/1000*(1000*9.81*Pumps!$B$14+'Parameters and Satisfaction'!$B$27)</f>
        <v>975713.57248855033</v>
      </c>
      <c r="I274" s="118">
        <f>C274/1000*(1000*9.81*Pumps!$B$14+'Parameters and Satisfaction'!$B$27)</f>
        <v>450329.34114856168</v>
      </c>
      <c r="J274" s="118">
        <f>D274/1000*(1000*9.81*Pumps!$B$14+'Parameters and Satisfaction'!$B$27)</f>
        <v>969670.4971911998</v>
      </c>
      <c r="K274" s="118">
        <f>E274/1000*(1000*9.81*Pumps!$B$14+'Parameters and Satisfaction'!$B$27)</f>
        <v>0</v>
      </c>
      <c r="L274" s="118">
        <f>F274/1000*(1000*9.81*Pumps!$B$14+'Parameters and Satisfaction'!$B$27)</f>
        <v>815640.79548641795</v>
      </c>
      <c r="M274" s="118"/>
      <c r="N274" s="118">
        <f>H274/IF('Parameters and Satisfaction'!$C$13="Pump A", 0.7, IF('Parameters and Satisfaction'!$C$13 = "Pump B", 0.72, 0.65))</f>
        <v>1355157.7395674312</v>
      </c>
      <c r="O274" s="118">
        <f>I274/IF('Parameters and Satisfaction'!$C$13="Pump A", 0.7, IF('Parameters and Satisfaction'!$C$13 = "Pump B", 0.72, 0.65))</f>
        <v>625457.41826189123</v>
      </c>
      <c r="P274" s="118">
        <f>J274/IF('Parameters and Satisfaction'!$C$13="Pump A", 0.7, IF('Parameters and Satisfaction'!$C$13 = "Pump B", 0.72, 0.65))</f>
        <v>1346764.5794322221</v>
      </c>
      <c r="Q274" s="118">
        <f>K274/IF('Parameters and Satisfaction'!$C$13="Pump A", 0.7, IF('Parameters and Satisfaction'!$C$13 = "Pump B", 0.72, 0.65))</f>
        <v>0</v>
      </c>
      <c r="R274" s="118">
        <f>L274/IF('Parameters and Satisfaction'!$C$13="Pump A", 0.7, IF('Parameters and Satisfaction'!$C$13 = "Pump B", 0.72, 0.65))</f>
        <v>1132834.4381755805</v>
      </c>
      <c r="S274" s="118"/>
      <c r="T274" s="118">
        <f>N274+$F$47+IF('Parameters and Satisfaction'!$C$19="Ozone", 'Filtration System'!AA238*1000000, 0)</f>
        <v>6042657.7395674307</v>
      </c>
      <c r="U274" s="118">
        <f>O274+$F$47+IF('Parameters and Satisfaction'!$C$19="Ozone", 'Filtration System'!AB238*1000000, 0)</f>
        <v>5312957.4182618912</v>
      </c>
      <c r="V274" s="118">
        <f>P274+$F$47+IF('Parameters and Satisfaction'!$C$19="Ozone", 'Filtration System'!AC238*1000000, 0)</f>
        <v>6034264.5794322221</v>
      </c>
      <c r="W274" s="118">
        <f>Q274+$F$47+IF('Parameters and Satisfaction'!$C$19="Ozone", 'Filtration System'!AD238*1000000, 0)</f>
        <v>4687500</v>
      </c>
      <c r="X274" s="118">
        <f>R274+$F$47+IF('Parameters and Satisfaction'!$C$19="Ozone", 'Filtration System'!AE238*1000000, 0)</f>
        <v>5820334.4381755805</v>
      </c>
      <c r="Y274" s="118"/>
      <c r="Z274" s="118">
        <f t="shared" si="36"/>
        <v>0.43161840996910217</v>
      </c>
      <c r="AA274" s="118">
        <f t="shared" si="37"/>
        <v>0.37949695844727793</v>
      </c>
      <c r="AB274" s="118">
        <f t="shared" si="38"/>
        <v>0.431018898530873</v>
      </c>
      <c r="AC274" s="118">
        <f t="shared" si="39"/>
        <v>0.33482142857142855</v>
      </c>
      <c r="AD274" s="118">
        <f t="shared" si="40"/>
        <v>0.4157381741553986</v>
      </c>
      <c r="AE274" s="118"/>
      <c r="AF274" s="118"/>
      <c r="AG274" s="118"/>
      <c r="AK274">
        <f t="shared" si="41"/>
        <v>21248640</v>
      </c>
      <c r="AL274">
        <f t="shared" si="41"/>
        <v>21248640</v>
      </c>
      <c r="AM274">
        <f t="shared" si="41"/>
        <v>21248640</v>
      </c>
      <c r="AN274">
        <f t="shared" si="41"/>
        <v>21248640</v>
      </c>
      <c r="AO274">
        <f t="shared" si="41"/>
        <v>21248640</v>
      </c>
    </row>
    <row r="275" spans="1:41">
      <c r="A275" s="185">
        <f>'Water Stuff'!F209</f>
        <v>44766</v>
      </c>
      <c r="B275" s="118">
        <f>'Filtration System'!B239</f>
        <v>120</v>
      </c>
      <c r="C275" s="118">
        <f>'Filtration System'!C239</f>
        <v>800</v>
      </c>
      <c r="D275" s="118">
        <f>'Filtration System'!D239</f>
        <v>56.796420193763076</v>
      </c>
      <c r="E275" s="118">
        <f>'Filtration System'!E239</f>
        <v>0</v>
      </c>
      <c r="F275" s="118">
        <f>'Filtration System'!F239</f>
        <v>0</v>
      </c>
      <c r="G275" s="118"/>
      <c r="H275" s="118">
        <f>B275/1000*(1000*9.81*Pumps!$B$14+'Parameters and Satisfaction'!$B$27)</f>
        <v>32166.381510611547</v>
      </c>
      <c r="I275" s="118">
        <f>C275/1000*(1000*9.81*Pumps!$B$14+'Parameters and Satisfaction'!$B$27)</f>
        <v>214442.54340407701</v>
      </c>
      <c r="J275" s="118">
        <f>D275/1000*(1000*9.81*Pumps!$B$14+'Parameters and Satisfaction'!$B$27)</f>
        <v>15224.461003246543</v>
      </c>
      <c r="K275" s="118">
        <f>E275/1000*(1000*9.81*Pumps!$B$14+'Parameters and Satisfaction'!$B$27)</f>
        <v>0</v>
      </c>
      <c r="L275" s="118">
        <f>F275/1000*(1000*9.81*Pumps!$B$14+'Parameters and Satisfaction'!$B$27)</f>
        <v>0</v>
      </c>
      <c r="M275" s="118"/>
      <c r="N275" s="118">
        <f>H275/IF('Parameters and Satisfaction'!$C$13="Pump A", 0.7, IF('Parameters and Satisfaction'!$C$13 = "Pump B", 0.72, 0.65))</f>
        <v>44675.529875849374</v>
      </c>
      <c r="O275" s="118">
        <f>I275/IF('Parameters and Satisfaction'!$C$13="Pump A", 0.7, IF('Parameters and Satisfaction'!$C$13 = "Pump B", 0.72, 0.65))</f>
        <v>297836.86583899584</v>
      </c>
      <c r="P275" s="118">
        <f>J275/IF('Parameters and Satisfaction'!$C$13="Pump A", 0.7, IF('Parameters and Satisfaction'!$C$13 = "Pump B", 0.72, 0.65))</f>
        <v>21145.084726731311</v>
      </c>
      <c r="Q275" s="118">
        <f>K275/IF('Parameters and Satisfaction'!$C$13="Pump A", 0.7, IF('Parameters and Satisfaction'!$C$13 = "Pump B", 0.72, 0.65))</f>
        <v>0</v>
      </c>
      <c r="R275" s="118">
        <f>L275/IF('Parameters and Satisfaction'!$C$13="Pump A", 0.7, IF('Parameters and Satisfaction'!$C$13 = "Pump B", 0.72, 0.65))</f>
        <v>0</v>
      </c>
      <c r="S275" s="118"/>
      <c r="T275" s="118">
        <f>N275+$F$47+IF('Parameters and Satisfaction'!$C$19="Ozone", 'Filtration System'!AA239*1000000, 0)</f>
        <v>4732175.5298758494</v>
      </c>
      <c r="U275" s="118">
        <f>O275+$F$47+IF('Parameters and Satisfaction'!$C$19="Ozone", 'Filtration System'!AB239*1000000, 0)</f>
        <v>4985336.8658389961</v>
      </c>
      <c r="V275" s="118">
        <f>P275+$F$47+IF('Parameters and Satisfaction'!$C$19="Ozone", 'Filtration System'!AC239*1000000, 0)</f>
        <v>4708645.0847267313</v>
      </c>
      <c r="W275" s="118">
        <f>Q275+$F$47+IF('Parameters and Satisfaction'!$C$19="Ozone", 'Filtration System'!AD239*1000000, 0)</f>
        <v>4687500</v>
      </c>
      <c r="X275" s="118">
        <f>R275+$F$47+IF('Parameters and Satisfaction'!$C$19="Ozone", 'Filtration System'!AE239*1000000, 0)</f>
        <v>4687500</v>
      </c>
      <c r="Y275" s="118"/>
      <c r="Z275" s="118">
        <f t="shared" si="36"/>
        <v>0.33801253784827495</v>
      </c>
      <c r="AA275" s="118">
        <f t="shared" si="37"/>
        <v>0.35609549041707117</v>
      </c>
      <c r="AB275" s="118">
        <f t="shared" si="38"/>
        <v>0.3363317917661951</v>
      </c>
      <c r="AC275" s="118">
        <f t="shared" si="39"/>
        <v>0.33482142857142855</v>
      </c>
      <c r="AD275" s="118">
        <f t="shared" si="40"/>
        <v>0.33482142857142855</v>
      </c>
      <c r="AE275" s="118"/>
      <c r="AF275" s="118"/>
      <c r="AG275" s="118"/>
      <c r="AK275">
        <f t="shared" si="41"/>
        <v>21248640</v>
      </c>
      <c r="AL275">
        <f t="shared" si="41"/>
        <v>21248640</v>
      </c>
      <c r="AM275">
        <f t="shared" si="41"/>
        <v>21248640</v>
      </c>
      <c r="AN275">
        <f t="shared" si="41"/>
        <v>21248640</v>
      </c>
      <c r="AO275">
        <f t="shared" si="41"/>
        <v>21248640</v>
      </c>
    </row>
    <row r="276" spans="1:41">
      <c r="A276" s="185">
        <f>'Water Stuff'!F210</f>
        <v>44767</v>
      </c>
      <c r="B276" s="118">
        <f>'Filtration System'!B240</f>
        <v>0</v>
      </c>
      <c r="C276" s="118">
        <f>'Filtration System'!C240</f>
        <v>840</v>
      </c>
      <c r="D276" s="118">
        <f>'Filtration System'!D240</f>
        <v>626.43682176073298</v>
      </c>
      <c r="E276" s="118">
        <f>'Filtration System'!E240</f>
        <v>2318.7636052836019</v>
      </c>
      <c r="F276" s="118">
        <f>'Filtration System'!F240</f>
        <v>0</v>
      </c>
      <c r="G276" s="118"/>
      <c r="H276" s="118">
        <f>B276/1000*(1000*9.81*Pumps!$B$14+'Parameters and Satisfaction'!$B$27)</f>
        <v>0</v>
      </c>
      <c r="I276" s="118">
        <f>C276/1000*(1000*9.81*Pumps!$B$14+'Parameters and Satisfaction'!$B$27)</f>
        <v>225164.67057428084</v>
      </c>
      <c r="J276" s="118">
        <f>D276/1000*(1000*9.81*Pumps!$B$14+'Parameters and Satisfaction'!$B$27)</f>
        <v>167918.38167542254</v>
      </c>
      <c r="K276" s="118">
        <f>E276/1000*(1000*9.81*Pumps!$B$14+'Parameters and Satisfaction'!$B$27)</f>
        <v>621551.95633727859</v>
      </c>
      <c r="L276" s="118">
        <f>F276/1000*(1000*9.81*Pumps!$B$14+'Parameters and Satisfaction'!$B$27)</f>
        <v>0</v>
      </c>
      <c r="M276" s="118"/>
      <c r="N276" s="118">
        <f>H276/IF('Parameters and Satisfaction'!$C$13="Pump A", 0.7, IF('Parameters and Satisfaction'!$C$13 = "Pump B", 0.72, 0.65))</f>
        <v>0</v>
      </c>
      <c r="O276" s="118">
        <f>I276/IF('Parameters and Satisfaction'!$C$13="Pump A", 0.7, IF('Parameters and Satisfaction'!$C$13 = "Pump B", 0.72, 0.65))</f>
        <v>312728.70913094562</v>
      </c>
      <c r="P276" s="118">
        <f>J276/IF('Parameters and Satisfaction'!$C$13="Pump A", 0.7, IF('Parameters and Satisfaction'!$C$13 = "Pump B", 0.72, 0.65))</f>
        <v>233219.97454919797</v>
      </c>
      <c r="Q276" s="118">
        <f>K276/IF('Parameters and Satisfaction'!$C$13="Pump A", 0.7, IF('Parameters and Satisfaction'!$C$13 = "Pump B", 0.72, 0.65))</f>
        <v>863266.60602399812</v>
      </c>
      <c r="R276" s="118">
        <f>L276/IF('Parameters and Satisfaction'!$C$13="Pump A", 0.7, IF('Parameters and Satisfaction'!$C$13 = "Pump B", 0.72, 0.65))</f>
        <v>0</v>
      </c>
      <c r="S276" s="118"/>
      <c r="T276" s="118">
        <f>N276+$F$47+IF('Parameters and Satisfaction'!$C$19="Ozone", 'Filtration System'!AA240*1000000, 0)</f>
        <v>4687500</v>
      </c>
      <c r="U276" s="118">
        <f>O276+$F$47+IF('Parameters and Satisfaction'!$C$19="Ozone", 'Filtration System'!AB240*1000000, 0)</f>
        <v>5000228.7091309456</v>
      </c>
      <c r="V276" s="118">
        <f>P276+$F$47+IF('Parameters and Satisfaction'!$C$19="Ozone", 'Filtration System'!AC240*1000000, 0)</f>
        <v>4920719.9745491976</v>
      </c>
      <c r="W276" s="118">
        <f>Q276+$F$47+IF('Parameters and Satisfaction'!$C$19="Ozone", 'Filtration System'!AD240*1000000, 0)</f>
        <v>5550766.606023998</v>
      </c>
      <c r="X276" s="118">
        <f>R276+$F$47+IF('Parameters and Satisfaction'!$C$19="Ozone", 'Filtration System'!AE240*1000000, 0)</f>
        <v>4687500</v>
      </c>
      <c r="Y276" s="118"/>
      <c r="Z276" s="118">
        <f t="shared" si="36"/>
        <v>0.33482142857142855</v>
      </c>
      <c r="AA276" s="118">
        <f t="shared" si="37"/>
        <v>0.35715919350935327</v>
      </c>
      <c r="AB276" s="118">
        <f t="shared" si="38"/>
        <v>0.35147999818208553</v>
      </c>
      <c r="AC276" s="118">
        <f t="shared" si="39"/>
        <v>0.39648332900171412</v>
      </c>
      <c r="AD276" s="118">
        <f t="shared" si="40"/>
        <v>0.33482142857142855</v>
      </c>
      <c r="AE276" s="118"/>
      <c r="AF276" s="118"/>
      <c r="AG276" s="118"/>
      <c r="AK276">
        <f t="shared" si="41"/>
        <v>21248640</v>
      </c>
      <c r="AL276">
        <f t="shared" si="41"/>
        <v>21248640</v>
      </c>
      <c r="AM276">
        <f t="shared" si="41"/>
        <v>21248640</v>
      </c>
      <c r="AN276">
        <f t="shared" si="41"/>
        <v>21248640</v>
      </c>
      <c r="AO276">
        <f t="shared" si="41"/>
        <v>21248640</v>
      </c>
    </row>
    <row r="277" spans="1:41">
      <c r="A277" s="185">
        <f>'Water Stuff'!F211</f>
        <v>44768</v>
      </c>
      <c r="B277" s="118">
        <f>'Filtration System'!B241</f>
        <v>0</v>
      </c>
      <c r="C277" s="118">
        <f>'Filtration System'!C241</f>
        <v>0</v>
      </c>
      <c r="D277" s="118">
        <f>'Filtration System'!D241</f>
        <v>942.94899662030593</v>
      </c>
      <c r="E277" s="118">
        <f>'Filtration System'!E241</f>
        <v>0</v>
      </c>
      <c r="F277" s="118">
        <f>'Filtration System'!F241</f>
        <v>0</v>
      </c>
      <c r="G277" s="118"/>
      <c r="H277" s="118">
        <f>B277/1000*(1000*9.81*Pumps!$B$14+'Parameters and Satisfaction'!$B$27)</f>
        <v>0</v>
      </c>
      <c r="I277" s="118">
        <f>C277/1000*(1000*9.81*Pumps!$B$14+'Parameters and Satisfaction'!$B$27)</f>
        <v>0</v>
      </c>
      <c r="J277" s="118">
        <f>D277/1000*(1000*9.81*Pumps!$B$14+'Parameters and Satisfaction'!$B$27)</f>
        <v>252760.47641947601</v>
      </c>
      <c r="K277" s="118">
        <f>E277/1000*(1000*9.81*Pumps!$B$14+'Parameters and Satisfaction'!$B$27)</f>
        <v>0</v>
      </c>
      <c r="L277" s="118">
        <f>F277/1000*(1000*9.81*Pumps!$B$14+'Parameters and Satisfaction'!$B$27)</f>
        <v>0</v>
      </c>
      <c r="M277" s="118"/>
      <c r="N277" s="118">
        <f>H277/IF('Parameters and Satisfaction'!$C$13="Pump A", 0.7, IF('Parameters and Satisfaction'!$C$13 = "Pump B", 0.72, 0.65))</f>
        <v>0</v>
      </c>
      <c r="O277" s="118">
        <f>I277/IF('Parameters and Satisfaction'!$C$13="Pump A", 0.7, IF('Parameters and Satisfaction'!$C$13 = "Pump B", 0.72, 0.65))</f>
        <v>0</v>
      </c>
      <c r="P277" s="118">
        <f>J277/IF('Parameters and Satisfaction'!$C$13="Pump A", 0.7, IF('Parameters and Satisfaction'!$C$13 = "Pump B", 0.72, 0.65))</f>
        <v>351056.21724927222</v>
      </c>
      <c r="Q277" s="118">
        <f>K277/IF('Parameters and Satisfaction'!$C$13="Pump A", 0.7, IF('Parameters and Satisfaction'!$C$13 = "Pump B", 0.72, 0.65))</f>
        <v>0</v>
      </c>
      <c r="R277" s="118">
        <f>L277/IF('Parameters and Satisfaction'!$C$13="Pump A", 0.7, IF('Parameters and Satisfaction'!$C$13 = "Pump B", 0.72, 0.65))</f>
        <v>0</v>
      </c>
      <c r="S277" s="118"/>
      <c r="T277" s="118">
        <f>N277+$F$47+IF('Parameters and Satisfaction'!$C$19="Ozone", 'Filtration System'!AA241*1000000, 0)</f>
        <v>4687500</v>
      </c>
      <c r="U277" s="118">
        <f>O277+$F$47+IF('Parameters and Satisfaction'!$C$19="Ozone", 'Filtration System'!AB241*1000000, 0)</f>
        <v>4687500</v>
      </c>
      <c r="V277" s="118">
        <f>P277+$F$47+IF('Parameters and Satisfaction'!$C$19="Ozone", 'Filtration System'!AC241*1000000, 0)</f>
        <v>5038556.2172492724</v>
      </c>
      <c r="W277" s="118">
        <f>Q277+$F$47+IF('Parameters and Satisfaction'!$C$19="Ozone", 'Filtration System'!AD241*1000000, 0)</f>
        <v>4687500</v>
      </c>
      <c r="X277" s="118">
        <f>R277+$F$47+IF('Parameters and Satisfaction'!$C$19="Ozone", 'Filtration System'!AE241*1000000, 0)</f>
        <v>4687500</v>
      </c>
      <c r="Y277" s="118"/>
      <c r="Z277" s="118">
        <f t="shared" si="36"/>
        <v>0.33482142857142855</v>
      </c>
      <c r="AA277" s="118">
        <f t="shared" si="37"/>
        <v>0.33482142857142855</v>
      </c>
      <c r="AB277" s="118">
        <f t="shared" si="38"/>
        <v>0.35989687266066234</v>
      </c>
      <c r="AC277" s="118">
        <f t="shared" si="39"/>
        <v>0.33482142857142855</v>
      </c>
      <c r="AD277" s="118">
        <f t="shared" si="40"/>
        <v>0.33482142857142855</v>
      </c>
      <c r="AE277" s="118"/>
      <c r="AF277" s="118"/>
      <c r="AG277" s="118"/>
      <c r="AK277">
        <f t="shared" si="41"/>
        <v>21248640</v>
      </c>
      <c r="AL277">
        <f t="shared" si="41"/>
        <v>21248640</v>
      </c>
      <c r="AM277">
        <f t="shared" si="41"/>
        <v>21248640</v>
      </c>
      <c r="AN277">
        <f t="shared" si="41"/>
        <v>21248640</v>
      </c>
      <c r="AO277">
        <f t="shared" si="41"/>
        <v>21248640</v>
      </c>
    </row>
    <row r="278" spans="1:41">
      <c r="A278" s="185">
        <f>'Water Stuff'!F212</f>
        <v>44769</v>
      </c>
      <c r="B278" s="118">
        <f>'Filtration System'!B242</f>
        <v>0</v>
      </c>
      <c r="C278" s="118">
        <f>'Filtration System'!C242</f>
        <v>0</v>
      </c>
      <c r="D278" s="118">
        <f>'Filtration System'!D242</f>
        <v>0</v>
      </c>
      <c r="E278" s="118">
        <f>'Filtration System'!E242</f>
        <v>0</v>
      </c>
      <c r="F278" s="118">
        <f>'Filtration System'!F242</f>
        <v>0</v>
      </c>
      <c r="G278" s="118"/>
      <c r="H278" s="118">
        <f>B278/1000*(1000*9.81*Pumps!$B$14+'Parameters and Satisfaction'!$B$27)</f>
        <v>0</v>
      </c>
      <c r="I278" s="118">
        <f>C278/1000*(1000*9.81*Pumps!$B$14+'Parameters and Satisfaction'!$B$27)</f>
        <v>0</v>
      </c>
      <c r="J278" s="118">
        <f>D278/1000*(1000*9.81*Pumps!$B$14+'Parameters and Satisfaction'!$B$27)</f>
        <v>0</v>
      </c>
      <c r="K278" s="118">
        <f>E278/1000*(1000*9.81*Pumps!$B$14+'Parameters and Satisfaction'!$B$27)</f>
        <v>0</v>
      </c>
      <c r="L278" s="118">
        <f>F278/1000*(1000*9.81*Pumps!$B$14+'Parameters and Satisfaction'!$B$27)</f>
        <v>0</v>
      </c>
      <c r="M278" s="118"/>
      <c r="N278" s="118">
        <f>H278/IF('Parameters and Satisfaction'!$C$13="Pump A", 0.7, IF('Parameters and Satisfaction'!$C$13 = "Pump B", 0.72, 0.65))</f>
        <v>0</v>
      </c>
      <c r="O278" s="118">
        <f>I278/IF('Parameters and Satisfaction'!$C$13="Pump A", 0.7, IF('Parameters and Satisfaction'!$C$13 = "Pump B", 0.72, 0.65))</f>
        <v>0</v>
      </c>
      <c r="P278" s="118">
        <f>J278/IF('Parameters and Satisfaction'!$C$13="Pump A", 0.7, IF('Parameters and Satisfaction'!$C$13 = "Pump B", 0.72, 0.65))</f>
        <v>0</v>
      </c>
      <c r="Q278" s="118">
        <f>K278/IF('Parameters and Satisfaction'!$C$13="Pump A", 0.7, IF('Parameters and Satisfaction'!$C$13 = "Pump B", 0.72, 0.65))</f>
        <v>0</v>
      </c>
      <c r="R278" s="118">
        <f>L278/IF('Parameters and Satisfaction'!$C$13="Pump A", 0.7, IF('Parameters and Satisfaction'!$C$13 = "Pump B", 0.72, 0.65))</f>
        <v>0</v>
      </c>
      <c r="S278" s="118"/>
      <c r="T278" s="118">
        <f>N278+$F$47+IF('Parameters and Satisfaction'!$C$19="Ozone", 'Filtration System'!AA242*1000000, 0)</f>
        <v>4687500</v>
      </c>
      <c r="U278" s="118">
        <f>O278+$F$47+IF('Parameters and Satisfaction'!$C$19="Ozone", 'Filtration System'!AB242*1000000, 0)</f>
        <v>4687500</v>
      </c>
      <c r="V278" s="118">
        <f>P278+$F$47+IF('Parameters and Satisfaction'!$C$19="Ozone", 'Filtration System'!AC242*1000000, 0)</f>
        <v>4687500</v>
      </c>
      <c r="W278" s="118">
        <f>Q278+$F$47+IF('Parameters and Satisfaction'!$C$19="Ozone", 'Filtration System'!AD242*1000000, 0)</f>
        <v>4687500</v>
      </c>
      <c r="X278" s="118">
        <f>R278+$F$47+IF('Parameters and Satisfaction'!$C$19="Ozone", 'Filtration System'!AE242*1000000, 0)</f>
        <v>4687500</v>
      </c>
      <c r="Y278" s="118"/>
      <c r="Z278" s="118">
        <f t="shared" si="36"/>
        <v>0.33482142857142855</v>
      </c>
      <c r="AA278" s="118">
        <f t="shared" si="37"/>
        <v>0.33482142857142855</v>
      </c>
      <c r="AB278" s="118">
        <f t="shared" si="38"/>
        <v>0.33482142857142855</v>
      </c>
      <c r="AC278" s="118">
        <f t="shared" si="39"/>
        <v>0.33482142857142855</v>
      </c>
      <c r="AD278" s="118">
        <f t="shared" si="40"/>
        <v>0.33482142857142855</v>
      </c>
      <c r="AE278" s="118"/>
      <c r="AF278" s="118"/>
      <c r="AG278" s="118"/>
      <c r="AK278">
        <f t="shared" si="41"/>
        <v>21248640</v>
      </c>
      <c r="AL278">
        <f t="shared" si="41"/>
        <v>21248640</v>
      </c>
      <c r="AM278">
        <f t="shared" si="41"/>
        <v>21248640</v>
      </c>
      <c r="AN278">
        <f t="shared" si="41"/>
        <v>21248640</v>
      </c>
      <c r="AO278">
        <f t="shared" si="41"/>
        <v>21248640</v>
      </c>
    </row>
    <row r="279" spans="1:41">
      <c r="A279" s="185">
        <f>'Water Stuff'!F213</f>
        <v>44770</v>
      </c>
      <c r="B279" s="118">
        <f>'Filtration System'!B243</f>
        <v>0</v>
      </c>
      <c r="C279" s="118">
        <f>'Filtration System'!C243</f>
        <v>0</v>
      </c>
      <c r="D279" s="118">
        <f>'Filtration System'!D243</f>
        <v>593.72097542725157</v>
      </c>
      <c r="E279" s="118">
        <f>'Filtration System'!E243</f>
        <v>1107.5304446071023</v>
      </c>
      <c r="F279" s="118">
        <f>'Filtration System'!F243</f>
        <v>1376.135618712937</v>
      </c>
      <c r="G279" s="118"/>
      <c r="H279" s="118">
        <f>B279/1000*(1000*9.81*Pumps!$B$14+'Parameters and Satisfaction'!$B$27)</f>
        <v>0</v>
      </c>
      <c r="I279" s="118">
        <f>C279/1000*(1000*9.81*Pumps!$B$14+'Parameters and Satisfaction'!$B$27)</f>
        <v>0</v>
      </c>
      <c r="J279" s="118">
        <f>D279/1000*(1000*9.81*Pumps!$B$14+'Parameters and Satisfaction'!$B$27)</f>
        <v>159148.79505371166</v>
      </c>
      <c r="K279" s="118">
        <f>E279/1000*(1000*9.81*Pumps!$B$14+'Parameters and Satisfaction'!$B$27)</f>
        <v>296877.05679874402</v>
      </c>
      <c r="L279" s="118">
        <f>F279/1000*(1000*9.81*Pumps!$B$14+'Parameters and Satisfaction'!$B$27)</f>
        <v>368877.52768218168</v>
      </c>
      <c r="M279" s="118"/>
      <c r="N279" s="118">
        <f>H279/IF('Parameters and Satisfaction'!$C$13="Pump A", 0.7, IF('Parameters and Satisfaction'!$C$13 = "Pump B", 0.72, 0.65))</f>
        <v>0</v>
      </c>
      <c r="O279" s="118">
        <f>I279/IF('Parameters and Satisfaction'!$C$13="Pump A", 0.7, IF('Parameters and Satisfaction'!$C$13 = "Pump B", 0.72, 0.65))</f>
        <v>0</v>
      </c>
      <c r="P279" s="118">
        <f>J279/IF('Parameters and Satisfaction'!$C$13="Pump A", 0.7, IF('Parameters and Satisfaction'!$C$13 = "Pump B", 0.72, 0.65))</f>
        <v>221039.99313015508</v>
      </c>
      <c r="Q279" s="118">
        <f>K279/IF('Parameters and Satisfaction'!$C$13="Pump A", 0.7, IF('Parameters and Satisfaction'!$C$13 = "Pump B", 0.72, 0.65))</f>
        <v>412329.24555381114</v>
      </c>
      <c r="R279" s="118">
        <f>L279/IF('Parameters and Satisfaction'!$C$13="Pump A", 0.7, IF('Parameters and Satisfaction'!$C$13 = "Pump B", 0.72, 0.65))</f>
        <v>512329.89955858566</v>
      </c>
      <c r="S279" s="118"/>
      <c r="T279" s="118">
        <f>N279+$F$47+IF('Parameters and Satisfaction'!$C$19="Ozone", 'Filtration System'!AA243*1000000, 0)</f>
        <v>4687500</v>
      </c>
      <c r="U279" s="118">
        <f>O279+$F$47+IF('Parameters and Satisfaction'!$C$19="Ozone", 'Filtration System'!AB243*1000000, 0)</f>
        <v>4687500</v>
      </c>
      <c r="V279" s="118">
        <f>P279+$F$47+IF('Parameters and Satisfaction'!$C$19="Ozone", 'Filtration System'!AC243*1000000, 0)</f>
        <v>4908539.9931301549</v>
      </c>
      <c r="W279" s="118">
        <f>Q279+$F$47+IF('Parameters and Satisfaction'!$C$19="Ozone", 'Filtration System'!AD243*1000000, 0)</f>
        <v>5099829.2455538111</v>
      </c>
      <c r="X279" s="118">
        <f>R279+$F$47+IF('Parameters and Satisfaction'!$C$19="Ozone", 'Filtration System'!AE243*1000000, 0)</f>
        <v>5199829.8995585861</v>
      </c>
      <c r="Y279" s="118"/>
      <c r="Z279" s="118">
        <f t="shared" si="36"/>
        <v>0.33482142857142855</v>
      </c>
      <c r="AA279" s="118">
        <f t="shared" si="37"/>
        <v>0.33482142857142855</v>
      </c>
      <c r="AB279" s="118">
        <f t="shared" si="38"/>
        <v>0.35060999950929678</v>
      </c>
      <c r="AC279" s="118">
        <f t="shared" si="39"/>
        <v>0.36427351753955794</v>
      </c>
      <c r="AD279" s="118">
        <f t="shared" si="40"/>
        <v>0.37141642139704184</v>
      </c>
      <c r="AE279" s="118"/>
      <c r="AF279" s="118"/>
      <c r="AG279" s="118"/>
      <c r="AK279">
        <f t="shared" si="41"/>
        <v>21248640</v>
      </c>
      <c r="AL279">
        <f t="shared" si="41"/>
        <v>21248640</v>
      </c>
      <c r="AM279">
        <f t="shared" si="41"/>
        <v>21248640</v>
      </c>
      <c r="AN279">
        <f t="shared" si="41"/>
        <v>21248640</v>
      </c>
      <c r="AO279">
        <f t="shared" si="41"/>
        <v>21248640</v>
      </c>
    </row>
    <row r="280" spans="1:41">
      <c r="A280" s="185">
        <f>'Water Stuff'!F214</f>
        <v>44771</v>
      </c>
      <c r="B280" s="118">
        <f>'Filtration System'!B244</f>
        <v>0</v>
      </c>
      <c r="C280" s="118">
        <f>'Filtration System'!C244</f>
        <v>0</v>
      </c>
      <c r="D280" s="118">
        <f>'Filtration System'!D244</f>
        <v>172.41246586438163</v>
      </c>
      <c r="E280" s="118">
        <f>'Filtration System'!E244</f>
        <v>0</v>
      </c>
      <c r="F280" s="118">
        <f>'Filtration System'!F244</f>
        <v>0</v>
      </c>
      <c r="G280" s="118"/>
      <c r="H280" s="118">
        <f>B280/1000*(1000*9.81*Pumps!$B$14+'Parameters and Satisfaction'!$B$27)</f>
        <v>0</v>
      </c>
      <c r="I280" s="118">
        <f>C280/1000*(1000*9.81*Pumps!$B$14+'Parameters and Satisfaction'!$B$27)</f>
        <v>0</v>
      </c>
      <c r="J280" s="118">
        <f>D280/1000*(1000*9.81*Pumps!$B$14+'Parameters and Satisfaction'!$B$27)</f>
        <v>46215.709618158253</v>
      </c>
      <c r="K280" s="118">
        <f>E280/1000*(1000*9.81*Pumps!$B$14+'Parameters and Satisfaction'!$B$27)</f>
        <v>0</v>
      </c>
      <c r="L280" s="118">
        <f>F280/1000*(1000*9.81*Pumps!$B$14+'Parameters and Satisfaction'!$B$27)</f>
        <v>0</v>
      </c>
      <c r="M280" s="118"/>
      <c r="N280" s="118">
        <f>H280/IF('Parameters and Satisfaction'!$C$13="Pump A", 0.7, IF('Parameters and Satisfaction'!$C$13 = "Pump B", 0.72, 0.65))</f>
        <v>0</v>
      </c>
      <c r="O280" s="118">
        <f>I280/IF('Parameters and Satisfaction'!$C$13="Pump A", 0.7, IF('Parameters and Satisfaction'!$C$13 = "Pump B", 0.72, 0.65))</f>
        <v>0</v>
      </c>
      <c r="P280" s="118">
        <f>J280/IF('Parameters and Satisfaction'!$C$13="Pump A", 0.7, IF('Parameters and Satisfaction'!$C$13 = "Pump B", 0.72, 0.65))</f>
        <v>64188.485580775356</v>
      </c>
      <c r="Q280" s="118">
        <f>K280/IF('Parameters and Satisfaction'!$C$13="Pump A", 0.7, IF('Parameters and Satisfaction'!$C$13 = "Pump B", 0.72, 0.65))</f>
        <v>0</v>
      </c>
      <c r="R280" s="118">
        <f>L280/IF('Parameters and Satisfaction'!$C$13="Pump A", 0.7, IF('Parameters and Satisfaction'!$C$13 = "Pump B", 0.72, 0.65))</f>
        <v>0</v>
      </c>
      <c r="S280" s="118"/>
      <c r="T280" s="118">
        <f>N280+$F$47+IF('Parameters and Satisfaction'!$C$19="Ozone", 'Filtration System'!AA244*1000000, 0)</f>
        <v>4687500</v>
      </c>
      <c r="U280" s="118">
        <f>O280+$F$47+IF('Parameters and Satisfaction'!$C$19="Ozone", 'Filtration System'!AB244*1000000, 0)</f>
        <v>4687500</v>
      </c>
      <c r="V280" s="118">
        <f>P280+$F$47+IF('Parameters and Satisfaction'!$C$19="Ozone", 'Filtration System'!AC244*1000000, 0)</f>
        <v>4751688.485580775</v>
      </c>
      <c r="W280" s="118">
        <f>Q280+$F$47+IF('Parameters and Satisfaction'!$C$19="Ozone", 'Filtration System'!AD244*1000000, 0)</f>
        <v>4687500</v>
      </c>
      <c r="X280" s="118">
        <f>R280+$F$47+IF('Parameters and Satisfaction'!$C$19="Ozone", 'Filtration System'!AE244*1000000, 0)</f>
        <v>4687500</v>
      </c>
      <c r="Y280" s="118"/>
      <c r="Z280" s="118">
        <f t="shared" si="36"/>
        <v>0.33482142857142855</v>
      </c>
      <c r="AA280" s="118">
        <f t="shared" si="37"/>
        <v>0.33482142857142855</v>
      </c>
      <c r="AB280" s="118">
        <f t="shared" si="38"/>
        <v>0.33940632039862678</v>
      </c>
      <c r="AC280" s="118">
        <f t="shared" si="39"/>
        <v>0.33482142857142855</v>
      </c>
      <c r="AD280" s="118">
        <f t="shared" si="40"/>
        <v>0.33482142857142855</v>
      </c>
      <c r="AE280" s="118"/>
      <c r="AF280" s="118"/>
      <c r="AG280" s="118"/>
      <c r="AK280">
        <f t="shared" si="41"/>
        <v>21248640</v>
      </c>
      <c r="AL280">
        <f t="shared" si="41"/>
        <v>21248640</v>
      </c>
      <c r="AM280">
        <f t="shared" si="41"/>
        <v>21248640</v>
      </c>
      <c r="AN280">
        <f t="shared" si="41"/>
        <v>21248640</v>
      </c>
      <c r="AO280">
        <f t="shared" si="41"/>
        <v>21248640</v>
      </c>
    </row>
    <row r="281" spans="1:41">
      <c r="A281" s="185">
        <f>'Water Stuff'!F215</f>
        <v>44772</v>
      </c>
      <c r="B281" s="118">
        <f>'Filtration System'!B245</f>
        <v>0</v>
      </c>
      <c r="C281" s="118">
        <f>'Filtration System'!C245</f>
        <v>0</v>
      </c>
      <c r="D281" s="118">
        <f>'Filtration System'!D245</f>
        <v>1773.1948164735272</v>
      </c>
      <c r="E281" s="118">
        <f>'Filtration System'!E245</f>
        <v>0</v>
      </c>
      <c r="F281" s="118">
        <f>'Filtration System'!F245</f>
        <v>0</v>
      </c>
      <c r="G281" s="118"/>
      <c r="H281" s="118">
        <f>B281/1000*(1000*9.81*Pumps!$B$14+'Parameters and Satisfaction'!$B$27)</f>
        <v>0</v>
      </c>
      <c r="I281" s="118">
        <f>C281/1000*(1000*9.81*Pumps!$B$14+'Parameters and Satisfaction'!$B$27)</f>
        <v>0</v>
      </c>
      <c r="J281" s="118">
        <f>D281/1000*(1000*9.81*Pumps!$B$14+'Parameters and Satisfaction'!$B$27)</f>
        <v>475310.50799438584</v>
      </c>
      <c r="K281" s="118">
        <f>E281/1000*(1000*9.81*Pumps!$B$14+'Parameters and Satisfaction'!$B$27)</f>
        <v>0</v>
      </c>
      <c r="L281" s="118">
        <f>F281/1000*(1000*9.81*Pumps!$B$14+'Parameters and Satisfaction'!$B$27)</f>
        <v>0</v>
      </c>
      <c r="M281" s="118"/>
      <c r="N281" s="118">
        <f>H281/IF('Parameters and Satisfaction'!$C$13="Pump A", 0.7, IF('Parameters and Satisfaction'!$C$13 = "Pump B", 0.72, 0.65))</f>
        <v>0</v>
      </c>
      <c r="O281" s="118">
        <f>I281/IF('Parameters and Satisfaction'!$C$13="Pump A", 0.7, IF('Parameters and Satisfaction'!$C$13 = "Pump B", 0.72, 0.65))</f>
        <v>0</v>
      </c>
      <c r="P281" s="118">
        <f>J281/IF('Parameters and Satisfaction'!$C$13="Pump A", 0.7, IF('Parameters and Satisfaction'!$C$13 = "Pump B", 0.72, 0.65))</f>
        <v>660153.4833255359</v>
      </c>
      <c r="Q281" s="118">
        <f>K281/IF('Parameters and Satisfaction'!$C$13="Pump A", 0.7, IF('Parameters and Satisfaction'!$C$13 = "Pump B", 0.72, 0.65))</f>
        <v>0</v>
      </c>
      <c r="R281" s="118">
        <f>L281/IF('Parameters and Satisfaction'!$C$13="Pump A", 0.7, IF('Parameters and Satisfaction'!$C$13 = "Pump B", 0.72, 0.65))</f>
        <v>0</v>
      </c>
      <c r="S281" s="118"/>
      <c r="T281" s="118">
        <f>N281+$F$47+IF('Parameters and Satisfaction'!$C$19="Ozone", 'Filtration System'!AA245*1000000, 0)</f>
        <v>4687500</v>
      </c>
      <c r="U281" s="118">
        <f>O281+$F$47+IF('Parameters and Satisfaction'!$C$19="Ozone", 'Filtration System'!AB245*1000000, 0)</f>
        <v>4687500</v>
      </c>
      <c r="V281" s="118">
        <f>P281+$F$47+IF('Parameters and Satisfaction'!$C$19="Ozone", 'Filtration System'!AC245*1000000, 0)</f>
        <v>5347653.4833255354</v>
      </c>
      <c r="W281" s="118">
        <f>Q281+$F$47+IF('Parameters and Satisfaction'!$C$19="Ozone", 'Filtration System'!AD245*1000000, 0)</f>
        <v>4687500</v>
      </c>
      <c r="X281" s="118">
        <f>R281+$F$47+IF('Parameters and Satisfaction'!$C$19="Ozone", 'Filtration System'!AE245*1000000, 0)</f>
        <v>4687500</v>
      </c>
      <c r="Y281" s="118"/>
      <c r="Z281" s="118">
        <f t="shared" si="36"/>
        <v>0.33482142857142855</v>
      </c>
      <c r="AA281" s="118">
        <f t="shared" si="37"/>
        <v>0.33482142857142855</v>
      </c>
      <c r="AB281" s="118">
        <f t="shared" si="38"/>
        <v>0.38197524880896683</v>
      </c>
      <c r="AC281" s="118">
        <f t="shared" si="39"/>
        <v>0.33482142857142855</v>
      </c>
      <c r="AD281" s="118">
        <f t="shared" si="40"/>
        <v>0.33482142857142855</v>
      </c>
      <c r="AE281" s="118"/>
      <c r="AF281" s="118"/>
      <c r="AG281" s="118"/>
      <c r="AK281">
        <f t="shared" si="41"/>
        <v>21248640</v>
      </c>
      <c r="AL281">
        <f t="shared" si="41"/>
        <v>21248640</v>
      </c>
      <c r="AM281">
        <f t="shared" si="41"/>
        <v>21248640</v>
      </c>
      <c r="AN281">
        <f t="shared" si="41"/>
        <v>21248640</v>
      </c>
      <c r="AO281">
        <f t="shared" si="41"/>
        <v>21248640</v>
      </c>
    </row>
    <row r="282" spans="1:41">
      <c r="A282" s="185">
        <f>'Water Stuff'!F216</f>
        <v>44773</v>
      </c>
      <c r="B282" s="118">
        <f>'Filtration System'!B246</f>
        <v>0</v>
      </c>
      <c r="C282" s="118">
        <f>'Filtration System'!C246</f>
        <v>0</v>
      </c>
      <c r="D282" s="118">
        <f>'Filtration System'!D246</f>
        <v>654.31945230364715</v>
      </c>
      <c r="E282" s="118">
        <f>'Filtration System'!E246</f>
        <v>0</v>
      </c>
      <c r="F282" s="118">
        <f>'Filtration System'!F246</f>
        <v>1059.3133665491939</v>
      </c>
      <c r="G282" s="118"/>
      <c r="H282" s="118">
        <f>B282/1000*(1000*9.81*Pumps!$B$14+'Parameters and Satisfaction'!$B$27)</f>
        <v>0</v>
      </c>
      <c r="I282" s="118">
        <f>C282/1000*(1000*9.81*Pumps!$B$14+'Parameters and Satisfaction'!$B$27)</f>
        <v>0</v>
      </c>
      <c r="J282" s="118">
        <f>D282/1000*(1000*9.81*Pumps!$B$14+'Parameters and Satisfaction'!$B$27)</f>
        <v>175392.40943844593</v>
      </c>
      <c r="K282" s="118">
        <f>E282/1000*(1000*9.81*Pumps!$B$14+'Parameters and Satisfaction'!$B$27)</f>
        <v>0</v>
      </c>
      <c r="L282" s="118">
        <f>F282/1000*(1000*9.81*Pumps!$B$14+'Parameters and Satisfaction'!$B$27)</f>
        <v>283952.31573093054</v>
      </c>
      <c r="M282" s="118"/>
      <c r="N282" s="118">
        <f>H282/IF('Parameters and Satisfaction'!$C$13="Pump A", 0.7, IF('Parameters and Satisfaction'!$C$13 = "Pump B", 0.72, 0.65))</f>
        <v>0</v>
      </c>
      <c r="O282" s="118">
        <f>I282/IF('Parameters and Satisfaction'!$C$13="Pump A", 0.7, IF('Parameters and Satisfaction'!$C$13 = "Pump B", 0.72, 0.65))</f>
        <v>0</v>
      </c>
      <c r="P282" s="118">
        <f>J282/IF('Parameters and Satisfaction'!$C$13="Pump A", 0.7, IF('Parameters and Satisfaction'!$C$13 = "Pump B", 0.72, 0.65))</f>
        <v>243600.56866450826</v>
      </c>
      <c r="Q282" s="118">
        <f>K282/IF('Parameters and Satisfaction'!$C$13="Pump A", 0.7, IF('Parameters and Satisfaction'!$C$13 = "Pump B", 0.72, 0.65))</f>
        <v>0</v>
      </c>
      <c r="R282" s="118">
        <f>L282/IF('Parameters and Satisfaction'!$C$13="Pump A", 0.7, IF('Parameters and Satisfaction'!$C$13 = "Pump B", 0.72, 0.65))</f>
        <v>394378.21629295911</v>
      </c>
      <c r="S282" s="118"/>
      <c r="T282" s="118">
        <f>N282+$F$47+IF('Parameters and Satisfaction'!$C$19="Ozone", 'Filtration System'!AA246*1000000, 0)</f>
        <v>4687500</v>
      </c>
      <c r="U282" s="118">
        <f>O282+$F$47+IF('Parameters and Satisfaction'!$C$19="Ozone", 'Filtration System'!AB246*1000000, 0)</f>
        <v>4687500</v>
      </c>
      <c r="V282" s="118">
        <f>P282+$F$47+IF('Parameters and Satisfaction'!$C$19="Ozone", 'Filtration System'!AC246*1000000, 0)</f>
        <v>4931100.5686645079</v>
      </c>
      <c r="W282" s="118">
        <f>Q282+$F$47+IF('Parameters and Satisfaction'!$C$19="Ozone", 'Filtration System'!AD246*1000000, 0)</f>
        <v>4687500</v>
      </c>
      <c r="X282" s="118">
        <f>R282+$F$47+IF('Parameters and Satisfaction'!$C$19="Ozone", 'Filtration System'!AE246*1000000, 0)</f>
        <v>5081878.2162929587</v>
      </c>
      <c r="Y282" s="118"/>
      <c r="Z282" s="118">
        <f t="shared" si="36"/>
        <v>0.33482142857142855</v>
      </c>
      <c r="AA282" s="118">
        <f t="shared" si="37"/>
        <v>0.33482142857142855</v>
      </c>
      <c r="AB282" s="118">
        <f t="shared" si="38"/>
        <v>0.35222146919032199</v>
      </c>
      <c r="AC282" s="118">
        <f t="shared" si="39"/>
        <v>0.33482142857142855</v>
      </c>
      <c r="AD282" s="118">
        <f t="shared" si="40"/>
        <v>0.36299130116378275</v>
      </c>
      <c r="AE282" s="118"/>
      <c r="AF282" s="118"/>
      <c r="AG282" s="118"/>
      <c r="AK282">
        <f t="shared" si="41"/>
        <v>21248640</v>
      </c>
      <c r="AL282">
        <f t="shared" si="41"/>
        <v>21248640</v>
      </c>
      <c r="AM282">
        <f t="shared" si="41"/>
        <v>21248640</v>
      </c>
      <c r="AN282">
        <f t="shared" si="41"/>
        <v>21248640</v>
      </c>
      <c r="AO282">
        <f t="shared" si="41"/>
        <v>21248640</v>
      </c>
    </row>
    <row r="283" spans="1:41">
      <c r="A283" s="185">
        <f>'Water Stuff'!F217</f>
        <v>44774</v>
      </c>
      <c r="B283" s="118">
        <f>'Filtration System'!B247</f>
        <v>0</v>
      </c>
      <c r="C283" s="118">
        <f>'Filtration System'!C247</f>
        <v>0</v>
      </c>
      <c r="D283" s="118">
        <f>'Filtration System'!D247</f>
        <v>0</v>
      </c>
      <c r="E283" s="118">
        <f>'Filtration System'!E247</f>
        <v>0</v>
      </c>
      <c r="F283" s="118">
        <f>'Filtration System'!F247</f>
        <v>0</v>
      </c>
      <c r="G283" s="118"/>
      <c r="H283" s="118">
        <f>B283/1000*(1000*9.81*Pumps!$B$14+'Parameters and Satisfaction'!$B$27)</f>
        <v>0</v>
      </c>
      <c r="I283" s="118">
        <f>C283/1000*(1000*9.81*Pumps!$B$14+'Parameters and Satisfaction'!$B$27)</f>
        <v>0</v>
      </c>
      <c r="J283" s="118">
        <f>D283/1000*(1000*9.81*Pumps!$B$14+'Parameters and Satisfaction'!$B$27)</f>
        <v>0</v>
      </c>
      <c r="K283" s="118">
        <f>E283/1000*(1000*9.81*Pumps!$B$14+'Parameters and Satisfaction'!$B$27)</f>
        <v>0</v>
      </c>
      <c r="L283" s="118">
        <f>F283/1000*(1000*9.81*Pumps!$B$14+'Parameters and Satisfaction'!$B$27)</f>
        <v>0</v>
      </c>
      <c r="M283" s="118"/>
      <c r="N283" s="118">
        <f>H283/IF('Parameters and Satisfaction'!$C$13="Pump A", 0.7, IF('Parameters and Satisfaction'!$C$13 = "Pump B", 0.72, 0.65))</f>
        <v>0</v>
      </c>
      <c r="O283" s="118">
        <f>I283/IF('Parameters and Satisfaction'!$C$13="Pump A", 0.7, IF('Parameters and Satisfaction'!$C$13 = "Pump B", 0.72, 0.65))</f>
        <v>0</v>
      </c>
      <c r="P283" s="118">
        <f>J283/IF('Parameters and Satisfaction'!$C$13="Pump A", 0.7, IF('Parameters and Satisfaction'!$C$13 = "Pump B", 0.72, 0.65))</f>
        <v>0</v>
      </c>
      <c r="Q283" s="118">
        <f>K283/IF('Parameters and Satisfaction'!$C$13="Pump A", 0.7, IF('Parameters and Satisfaction'!$C$13 = "Pump B", 0.72, 0.65))</f>
        <v>0</v>
      </c>
      <c r="R283" s="118">
        <f>L283/IF('Parameters and Satisfaction'!$C$13="Pump A", 0.7, IF('Parameters and Satisfaction'!$C$13 = "Pump B", 0.72, 0.65))</f>
        <v>0</v>
      </c>
      <c r="S283" s="118"/>
      <c r="T283" s="118">
        <f>N283+$F$47+IF('Parameters and Satisfaction'!$C$19="Ozone", 'Filtration System'!AA247*1000000, 0)</f>
        <v>4687500</v>
      </c>
      <c r="U283" s="118">
        <f>O283+$F$47+IF('Parameters and Satisfaction'!$C$19="Ozone", 'Filtration System'!AB247*1000000, 0)</f>
        <v>4687500</v>
      </c>
      <c r="V283" s="118">
        <f>P283+$F$47+IF('Parameters and Satisfaction'!$C$19="Ozone", 'Filtration System'!AC247*1000000, 0)</f>
        <v>4687500</v>
      </c>
      <c r="W283" s="118">
        <f>Q283+$F$47+IF('Parameters and Satisfaction'!$C$19="Ozone", 'Filtration System'!AD247*1000000, 0)</f>
        <v>4687500</v>
      </c>
      <c r="X283" s="118">
        <f>R283+$F$47+IF('Parameters and Satisfaction'!$C$19="Ozone", 'Filtration System'!AE247*1000000, 0)</f>
        <v>4687500</v>
      </c>
      <c r="Y283" s="118"/>
      <c r="Z283" s="118">
        <f t="shared" si="36"/>
        <v>0.33482142857142855</v>
      </c>
      <c r="AA283" s="118">
        <f t="shared" si="37"/>
        <v>0.33482142857142855</v>
      </c>
      <c r="AB283" s="118">
        <f t="shared" si="38"/>
        <v>0.33482142857142855</v>
      </c>
      <c r="AC283" s="118">
        <f t="shared" si="39"/>
        <v>0.33482142857142855</v>
      </c>
      <c r="AD283" s="118">
        <f t="shared" si="40"/>
        <v>0.33482142857142855</v>
      </c>
      <c r="AE283" s="118"/>
      <c r="AF283" s="118"/>
      <c r="AG283" s="118"/>
      <c r="AK283">
        <f t="shared" ref="AK283:AO292" si="42">$D$62</f>
        <v>19877760</v>
      </c>
      <c r="AL283">
        <f t="shared" si="42"/>
        <v>19877760</v>
      </c>
      <c r="AM283">
        <f t="shared" si="42"/>
        <v>19877760</v>
      </c>
      <c r="AN283">
        <f t="shared" si="42"/>
        <v>19877760</v>
      </c>
      <c r="AO283">
        <f t="shared" si="42"/>
        <v>19877760</v>
      </c>
    </row>
    <row r="284" spans="1:41">
      <c r="A284" s="185">
        <f>'Water Stuff'!F218</f>
        <v>44775</v>
      </c>
      <c r="B284" s="118">
        <f>'Filtration System'!B248</f>
        <v>0</v>
      </c>
      <c r="C284" s="118">
        <f>'Filtration System'!C248</f>
        <v>0</v>
      </c>
      <c r="D284" s="118">
        <f>'Filtration System'!D248</f>
        <v>151.52700558821064</v>
      </c>
      <c r="E284" s="118">
        <f>'Filtration System'!E248</f>
        <v>0</v>
      </c>
      <c r="F284" s="118">
        <f>'Filtration System'!F248</f>
        <v>0</v>
      </c>
      <c r="G284" s="118"/>
      <c r="H284" s="118">
        <f>B284/1000*(1000*9.81*Pumps!$B$14+'Parameters and Satisfaction'!$B$27)</f>
        <v>0</v>
      </c>
      <c r="I284" s="118">
        <f>C284/1000*(1000*9.81*Pumps!$B$14+'Parameters and Satisfaction'!$B$27)</f>
        <v>0</v>
      </c>
      <c r="J284" s="118">
        <f>D284/1000*(1000*9.81*Pumps!$B$14+'Parameters and Satisfaction'!$B$27)</f>
        <v>40617.295590924594</v>
      </c>
      <c r="K284" s="118">
        <f>E284/1000*(1000*9.81*Pumps!$B$14+'Parameters and Satisfaction'!$B$27)</f>
        <v>0</v>
      </c>
      <c r="L284" s="118">
        <f>F284/1000*(1000*9.81*Pumps!$B$14+'Parameters and Satisfaction'!$B$27)</f>
        <v>0</v>
      </c>
      <c r="M284" s="118"/>
      <c r="N284" s="118">
        <f>H284/IF('Parameters and Satisfaction'!$C$13="Pump A", 0.7, IF('Parameters and Satisfaction'!$C$13 = "Pump B", 0.72, 0.65))</f>
        <v>0</v>
      </c>
      <c r="O284" s="118">
        <f>I284/IF('Parameters and Satisfaction'!$C$13="Pump A", 0.7, IF('Parameters and Satisfaction'!$C$13 = "Pump B", 0.72, 0.65))</f>
        <v>0</v>
      </c>
      <c r="P284" s="118">
        <f>J284/IF('Parameters and Satisfaction'!$C$13="Pump A", 0.7, IF('Parameters and Satisfaction'!$C$13 = "Pump B", 0.72, 0.65))</f>
        <v>56412.910542950827</v>
      </c>
      <c r="Q284" s="118">
        <f>K284/IF('Parameters and Satisfaction'!$C$13="Pump A", 0.7, IF('Parameters and Satisfaction'!$C$13 = "Pump B", 0.72, 0.65))</f>
        <v>0</v>
      </c>
      <c r="R284" s="118">
        <f>L284/IF('Parameters and Satisfaction'!$C$13="Pump A", 0.7, IF('Parameters and Satisfaction'!$C$13 = "Pump B", 0.72, 0.65))</f>
        <v>0</v>
      </c>
      <c r="S284" s="118"/>
      <c r="T284" s="118">
        <f>N284+$F$47+IF('Parameters and Satisfaction'!$C$19="Ozone", 'Filtration System'!AA248*1000000, 0)</f>
        <v>4687500</v>
      </c>
      <c r="U284" s="118">
        <f>O284+$F$47+IF('Parameters and Satisfaction'!$C$19="Ozone", 'Filtration System'!AB248*1000000, 0)</f>
        <v>4687500</v>
      </c>
      <c r="V284" s="118">
        <f>P284+$F$47+IF('Parameters and Satisfaction'!$C$19="Ozone", 'Filtration System'!AC248*1000000, 0)</f>
        <v>4743912.910542951</v>
      </c>
      <c r="W284" s="118">
        <f>Q284+$F$47+IF('Parameters and Satisfaction'!$C$19="Ozone", 'Filtration System'!AD248*1000000, 0)</f>
        <v>4687500</v>
      </c>
      <c r="X284" s="118">
        <f>R284+$F$47+IF('Parameters and Satisfaction'!$C$19="Ozone", 'Filtration System'!AE248*1000000, 0)</f>
        <v>4687500</v>
      </c>
      <c r="Y284" s="118"/>
      <c r="Z284" s="118">
        <f t="shared" si="36"/>
        <v>0.33482142857142855</v>
      </c>
      <c r="AA284" s="118">
        <f t="shared" si="37"/>
        <v>0.33482142857142855</v>
      </c>
      <c r="AB284" s="118">
        <f t="shared" si="38"/>
        <v>0.33885092218163937</v>
      </c>
      <c r="AC284" s="118">
        <f t="shared" si="39"/>
        <v>0.33482142857142855</v>
      </c>
      <c r="AD284" s="118">
        <f t="shared" si="40"/>
        <v>0.33482142857142855</v>
      </c>
      <c r="AE284" s="118"/>
      <c r="AF284" s="118"/>
      <c r="AG284" s="118"/>
      <c r="AK284">
        <f t="shared" si="42"/>
        <v>19877760</v>
      </c>
      <c r="AL284">
        <f t="shared" si="42"/>
        <v>19877760</v>
      </c>
      <c r="AM284">
        <f t="shared" si="42"/>
        <v>19877760</v>
      </c>
      <c r="AN284">
        <f t="shared" si="42"/>
        <v>19877760</v>
      </c>
      <c r="AO284">
        <f t="shared" si="42"/>
        <v>19877760</v>
      </c>
    </row>
    <row r="285" spans="1:41">
      <c r="A285" s="185">
        <f>'Water Stuff'!F219</f>
        <v>44776</v>
      </c>
      <c r="B285" s="118">
        <f>'Filtration System'!B249</f>
        <v>0</v>
      </c>
      <c r="C285" s="118">
        <f>'Filtration System'!C249</f>
        <v>0</v>
      </c>
      <c r="D285" s="118">
        <f>'Filtration System'!D249</f>
        <v>0</v>
      </c>
      <c r="E285" s="118">
        <f>'Filtration System'!E249</f>
        <v>0</v>
      </c>
      <c r="F285" s="118">
        <f>'Filtration System'!F249</f>
        <v>0</v>
      </c>
      <c r="G285" s="118"/>
      <c r="H285" s="118">
        <f>B285/1000*(1000*9.81*Pumps!$B$14+'Parameters and Satisfaction'!$B$27)</f>
        <v>0</v>
      </c>
      <c r="I285" s="118">
        <f>C285/1000*(1000*9.81*Pumps!$B$14+'Parameters and Satisfaction'!$B$27)</f>
        <v>0</v>
      </c>
      <c r="J285" s="118">
        <f>D285/1000*(1000*9.81*Pumps!$B$14+'Parameters and Satisfaction'!$B$27)</f>
        <v>0</v>
      </c>
      <c r="K285" s="118">
        <f>E285/1000*(1000*9.81*Pumps!$B$14+'Parameters and Satisfaction'!$B$27)</f>
        <v>0</v>
      </c>
      <c r="L285" s="118">
        <f>F285/1000*(1000*9.81*Pumps!$B$14+'Parameters and Satisfaction'!$B$27)</f>
        <v>0</v>
      </c>
      <c r="M285" s="118"/>
      <c r="N285" s="118">
        <f>H285/IF('Parameters and Satisfaction'!$C$13="Pump A", 0.7, IF('Parameters and Satisfaction'!$C$13 = "Pump B", 0.72, 0.65))</f>
        <v>0</v>
      </c>
      <c r="O285" s="118">
        <f>I285/IF('Parameters and Satisfaction'!$C$13="Pump A", 0.7, IF('Parameters and Satisfaction'!$C$13 = "Pump B", 0.72, 0.65))</f>
        <v>0</v>
      </c>
      <c r="P285" s="118">
        <f>J285/IF('Parameters and Satisfaction'!$C$13="Pump A", 0.7, IF('Parameters and Satisfaction'!$C$13 = "Pump B", 0.72, 0.65))</f>
        <v>0</v>
      </c>
      <c r="Q285" s="118">
        <f>K285/IF('Parameters and Satisfaction'!$C$13="Pump A", 0.7, IF('Parameters and Satisfaction'!$C$13 = "Pump B", 0.72, 0.65))</f>
        <v>0</v>
      </c>
      <c r="R285" s="118">
        <f>L285/IF('Parameters and Satisfaction'!$C$13="Pump A", 0.7, IF('Parameters and Satisfaction'!$C$13 = "Pump B", 0.72, 0.65))</f>
        <v>0</v>
      </c>
      <c r="S285" s="118"/>
      <c r="T285" s="118">
        <f>N285+$F$47+IF('Parameters and Satisfaction'!$C$19="Ozone", 'Filtration System'!AA249*1000000, 0)</f>
        <v>4687500</v>
      </c>
      <c r="U285" s="118">
        <f>O285+$F$47+IF('Parameters and Satisfaction'!$C$19="Ozone", 'Filtration System'!AB249*1000000, 0)</f>
        <v>4687500</v>
      </c>
      <c r="V285" s="118">
        <f>P285+$F$47+IF('Parameters and Satisfaction'!$C$19="Ozone", 'Filtration System'!AC249*1000000, 0)</f>
        <v>4687500</v>
      </c>
      <c r="W285" s="118">
        <f>Q285+$F$47+IF('Parameters and Satisfaction'!$C$19="Ozone", 'Filtration System'!AD249*1000000, 0)</f>
        <v>4687500</v>
      </c>
      <c r="X285" s="118">
        <f>R285+$F$47+IF('Parameters and Satisfaction'!$C$19="Ozone", 'Filtration System'!AE249*1000000, 0)</f>
        <v>4687500</v>
      </c>
      <c r="Y285" s="118"/>
      <c r="Z285" s="118">
        <f t="shared" si="36"/>
        <v>0.33482142857142855</v>
      </c>
      <c r="AA285" s="118">
        <f t="shared" si="37"/>
        <v>0.33482142857142855</v>
      </c>
      <c r="AB285" s="118">
        <f t="shared" si="38"/>
        <v>0.33482142857142855</v>
      </c>
      <c r="AC285" s="118">
        <f t="shared" si="39"/>
        <v>0.33482142857142855</v>
      </c>
      <c r="AD285" s="118">
        <f t="shared" si="40"/>
        <v>0.33482142857142855</v>
      </c>
      <c r="AE285" s="118"/>
      <c r="AF285" s="118"/>
      <c r="AG285" s="118"/>
      <c r="AK285">
        <f t="shared" si="42"/>
        <v>19877760</v>
      </c>
      <c r="AL285">
        <f t="shared" si="42"/>
        <v>19877760</v>
      </c>
      <c r="AM285">
        <f t="shared" si="42"/>
        <v>19877760</v>
      </c>
      <c r="AN285">
        <f t="shared" si="42"/>
        <v>19877760</v>
      </c>
      <c r="AO285">
        <f t="shared" si="42"/>
        <v>19877760</v>
      </c>
    </row>
    <row r="286" spans="1:41">
      <c r="A286" s="185">
        <f>'Water Stuff'!F220</f>
        <v>44777</v>
      </c>
      <c r="B286" s="118">
        <f>'Filtration System'!B250</f>
        <v>0</v>
      </c>
      <c r="C286" s="118">
        <f>'Filtration System'!C250</f>
        <v>0</v>
      </c>
      <c r="D286" s="118">
        <f>'Filtration System'!D250</f>
        <v>567.16288269093582</v>
      </c>
      <c r="E286" s="118">
        <f>'Filtration System'!E250</f>
        <v>0</v>
      </c>
      <c r="F286" s="118">
        <f>'Filtration System'!F250</f>
        <v>0</v>
      </c>
      <c r="G286" s="118"/>
      <c r="H286" s="118">
        <f>B286/1000*(1000*9.81*Pumps!$B$14+'Parameters and Satisfaction'!$B$27)</f>
        <v>0</v>
      </c>
      <c r="I286" s="118">
        <f>C286/1000*(1000*9.81*Pumps!$B$14+'Parameters and Satisfaction'!$B$27)</f>
        <v>0</v>
      </c>
      <c r="J286" s="118">
        <f>D286/1000*(1000*9.81*Pumps!$B$14+'Parameters and Satisfaction'!$B$27)</f>
        <v>152029.81386079054</v>
      </c>
      <c r="K286" s="118">
        <f>E286/1000*(1000*9.81*Pumps!$B$14+'Parameters and Satisfaction'!$B$27)</f>
        <v>0</v>
      </c>
      <c r="L286" s="118">
        <f>F286/1000*(1000*9.81*Pumps!$B$14+'Parameters and Satisfaction'!$B$27)</f>
        <v>0</v>
      </c>
      <c r="M286" s="118"/>
      <c r="N286" s="118">
        <f>H286/IF('Parameters and Satisfaction'!$C$13="Pump A", 0.7, IF('Parameters and Satisfaction'!$C$13 = "Pump B", 0.72, 0.65))</f>
        <v>0</v>
      </c>
      <c r="O286" s="118">
        <f>I286/IF('Parameters and Satisfaction'!$C$13="Pump A", 0.7, IF('Parameters and Satisfaction'!$C$13 = "Pump B", 0.72, 0.65))</f>
        <v>0</v>
      </c>
      <c r="P286" s="118">
        <f>J286/IF('Parameters and Satisfaction'!$C$13="Pump A", 0.7, IF('Parameters and Satisfaction'!$C$13 = "Pump B", 0.72, 0.65))</f>
        <v>211152.51925109798</v>
      </c>
      <c r="Q286" s="118">
        <f>K286/IF('Parameters and Satisfaction'!$C$13="Pump A", 0.7, IF('Parameters and Satisfaction'!$C$13 = "Pump B", 0.72, 0.65))</f>
        <v>0</v>
      </c>
      <c r="R286" s="118">
        <f>L286/IF('Parameters and Satisfaction'!$C$13="Pump A", 0.7, IF('Parameters and Satisfaction'!$C$13 = "Pump B", 0.72, 0.65))</f>
        <v>0</v>
      </c>
      <c r="S286" s="118"/>
      <c r="T286" s="118">
        <f>N286+$F$47+IF('Parameters and Satisfaction'!$C$19="Ozone", 'Filtration System'!AA250*1000000, 0)</f>
        <v>4687500</v>
      </c>
      <c r="U286" s="118">
        <f>O286+$F$47+IF('Parameters and Satisfaction'!$C$19="Ozone", 'Filtration System'!AB250*1000000, 0)</f>
        <v>4687500</v>
      </c>
      <c r="V286" s="118">
        <f>P286+$F$47+IF('Parameters and Satisfaction'!$C$19="Ozone", 'Filtration System'!AC250*1000000, 0)</f>
        <v>4898652.5192510979</v>
      </c>
      <c r="W286" s="118">
        <f>Q286+$F$47+IF('Parameters and Satisfaction'!$C$19="Ozone", 'Filtration System'!AD250*1000000, 0)</f>
        <v>4687500</v>
      </c>
      <c r="X286" s="118">
        <f>R286+$F$47+IF('Parameters and Satisfaction'!$C$19="Ozone", 'Filtration System'!AE250*1000000, 0)</f>
        <v>4687500</v>
      </c>
      <c r="Y286" s="118"/>
      <c r="Z286" s="118">
        <f t="shared" si="36"/>
        <v>0.33482142857142855</v>
      </c>
      <c r="AA286" s="118">
        <f t="shared" si="37"/>
        <v>0.33482142857142855</v>
      </c>
      <c r="AB286" s="118">
        <f t="shared" si="38"/>
        <v>0.3499037513750784</v>
      </c>
      <c r="AC286" s="118">
        <f t="shared" si="39"/>
        <v>0.33482142857142855</v>
      </c>
      <c r="AD286" s="118">
        <f t="shared" si="40"/>
        <v>0.33482142857142855</v>
      </c>
      <c r="AE286" s="118"/>
      <c r="AF286" s="118"/>
      <c r="AG286" s="118"/>
      <c r="AK286">
        <f t="shared" si="42"/>
        <v>19877760</v>
      </c>
      <c r="AL286">
        <f t="shared" si="42"/>
        <v>19877760</v>
      </c>
      <c r="AM286">
        <f t="shared" si="42"/>
        <v>19877760</v>
      </c>
      <c r="AN286">
        <f t="shared" si="42"/>
        <v>19877760</v>
      </c>
      <c r="AO286">
        <f t="shared" si="42"/>
        <v>19877760</v>
      </c>
    </row>
    <row r="287" spans="1:41">
      <c r="A287" s="185">
        <f>'Water Stuff'!F221</f>
        <v>44778</v>
      </c>
      <c r="B287" s="118">
        <f>'Filtration System'!B251</f>
        <v>0</v>
      </c>
      <c r="C287" s="118">
        <f>'Filtration System'!C251</f>
        <v>0</v>
      </c>
      <c r="D287" s="118">
        <f>'Filtration System'!D251</f>
        <v>0</v>
      </c>
      <c r="E287" s="118">
        <f>'Filtration System'!E251</f>
        <v>217.85162855717641</v>
      </c>
      <c r="F287" s="118">
        <f>'Filtration System'!F251</f>
        <v>0</v>
      </c>
      <c r="G287" s="118"/>
      <c r="H287" s="118">
        <f>B287/1000*(1000*9.81*Pumps!$B$14+'Parameters and Satisfaction'!$B$27)</f>
        <v>0</v>
      </c>
      <c r="I287" s="118">
        <f>C287/1000*(1000*9.81*Pumps!$B$14+'Parameters and Satisfaction'!$B$27)</f>
        <v>0</v>
      </c>
      <c r="J287" s="118">
        <f>D287/1000*(1000*9.81*Pumps!$B$14+'Parameters and Satisfaction'!$B$27)</f>
        <v>0</v>
      </c>
      <c r="K287" s="118">
        <f>E287/1000*(1000*9.81*Pumps!$B$14+'Parameters and Satisfaction'!$B$27)</f>
        <v>58395.821640651448</v>
      </c>
      <c r="L287" s="118">
        <f>F287/1000*(1000*9.81*Pumps!$B$14+'Parameters and Satisfaction'!$B$27)</f>
        <v>0</v>
      </c>
      <c r="M287" s="118"/>
      <c r="N287" s="118">
        <f>H287/IF('Parameters and Satisfaction'!$C$13="Pump A", 0.7, IF('Parameters and Satisfaction'!$C$13 = "Pump B", 0.72, 0.65))</f>
        <v>0</v>
      </c>
      <c r="O287" s="118">
        <f>I287/IF('Parameters and Satisfaction'!$C$13="Pump A", 0.7, IF('Parameters and Satisfaction'!$C$13 = "Pump B", 0.72, 0.65))</f>
        <v>0</v>
      </c>
      <c r="P287" s="118">
        <f>J287/IF('Parameters and Satisfaction'!$C$13="Pump A", 0.7, IF('Parameters and Satisfaction'!$C$13 = "Pump B", 0.72, 0.65))</f>
        <v>0</v>
      </c>
      <c r="Q287" s="118">
        <f>K287/IF('Parameters and Satisfaction'!$C$13="Pump A", 0.7, IF('Parameters and Satisfaction'!$C$13 = "Pump B", 0.72, 0.65))</f>
        <v>81105.30783423812</v>
      </c>
      <c r="R287" s="118">
        <f>L287/IF('Parameters and Satisfaction'!$C$13="Pump A", 0.7, IF('Parameters and Satisfaction'!$C$13 = "Pump B", 0.72, 0.65))</f>
        <v>0</v>
      </c>
      <c r="S287" s="118"/>
      <c r="T287" s="118">
        <f>N287+$F$47+IF('Parameters and Satisfaction'!$C$19="Ozone", 'Filtration System'!AA251*1000000, 0)</f>
        <v>4687500</v>
      </c>
      <c r="U287" s="118">
        <f>O287+$F$47+IF('Parameters and Satisfaction'!$C$19="Ozone", 'Filtration System'!AB251*1000000, 0)</f>
        <v>4687500</v>
      </c>
      <c r="V287" s="118">
        <f>P287+$F$47+IF('Parameters and Satisfaction'!$C$19="Ozone", 'Filtration System'!AC251*1000000, 0)</f>
        <v>4687500</v>
      </c>
      <c r="W287" s="118">
        <f>Q287+$F$47+IF('Parameters and Satisfaction'!$C$19="Ozone", 'Filtration System'!AD251*1000000, 0)</f>
        <v>4768605.3078342378</v>
      </c>
      <c r="X287" s="118">
        <f>R287+$F$47+IF('Parameters and Satisfaction'!$C$19="Ozone", 'Filtration System'!AE251*1000000, 0)</f>
        <v>4687500</v>
      </c>
      <c r="Y287" s="118"/>
      <c r="Z287" s="118">
        <f t="shared" si="36"/>
        <v>0.33482142857142855</v>
      </c>
      <c r="AA287" s="118">
        <f t="shared" si="37"/>
        <v>0.33482142857142855</v>
      </c>
      <c r="AB287" s="118">
        <f t="shared" si="38"/>
        <v>0.33482142857142855</v>
      </c>
      <c r="AC287" s="118">
        <f t="shared" si="39"/>
        <v>0.34061466484530273</v>
      </c>
      <c r="AD287" s="118">
        <f t="shared" si="40"/>
        <v>0.33482142857142855</v>
      </c>
      <c r="AE287" s="118"/>
      <c r="AF287" s="118"/>
      <c r="AG287" s="118"/>
      <c r="AK287">
        <f t="shared" si="42"/>
        <v>19877760</v>
      </c>
      <c r="AL287">
        <f t="shared" si="42"/>
        <v>19877760</v>
      </c>
      <c r="AM287">
        <f t="shared" si="42"/>
        <v>19877760</v>
      </c>
      <c r="AN287">
        <f t="shared" si="42"/>
        <v>19877760</v>
      </c>
      <c r="AO287">
        <f t="shared" si="42"/>
        <v>19877760</v>
      </c>
    </row>
    <row r="288" spans="1:41">
      <c r="A288" s="185">
        <f>'Water Stuff'!F222</f>
        <v>44779</v>
      </c>
      <c r="B288" s="118">
        <f>'Filtration System'!B252</f>
        <v>0</v>
      </c>
      <c r="C288" s="118">
        <f>'Filtration System'!C252</f>
        <v>640</v>
      </c>
      <c r="D288" s="118">
        <f>'Filtration System'!D252</f>
        <v>0</v>
      </c>
      <c r="E288" s="118">
        <f>'Filtration System'!E252</f>
        <v>569.78794955744979</v>
      </c>
      <c r="F288" s="118">
        <f>'Filtration System'!F252</f>
        <v>693.65163155751043</v>
      </c>
      <c r="G288" s="118"/>
      <c r="H288" s="118">
        <f>B288/1000*(1000*9.81*Pumps!$B$14+'Parameters and Satisfaction'!$B$27)</f>
        <v>0</v>
      </c>
      <c r="I288" s="118">
        <f>C288/1000*(1000*9.81*Pumps!$B$14+'Parameters and Satisfaction'!$B$27)</f>
        <v>171554.0347232616</v>
      </c>
      <c r="J288" s="118">
        <f>D288/1000*(1000*9.81*Pumps!$B$14+'Parameters and Satisfaction'!$B$27)</f>
        <v>0</v>
      </c>
      <c r="K288" s="118">
        <f>E288/1000*(1000*9.81*Pumps!$B$14+'Parameters and Satisfaction'!$B$27)</f>
        <v>152733.47138011683</v>
      </c>
      <c r="L288" s="118">
        <f>F288/1000*(1000*9.81*Pumps!$B$14+'Parameters and Satisfaction'!$B$27)</f>
        <v>185935.52513447532</v>
      </c>
      <c r="M288" s="118"/>
      <c r="N288" s="118">
        <f>H288/IF('Parameters and Satisfaction'!$C$13="Pump A", 0.7, IF('Parameters and Satisfaction'!$C$13 = "Pump B", 0.72, 0.65))</f>
        <v>0</v>
      </c>
      <c r="O288" s="118">
        <f>I288/IF('Parameters and Satisfaction'!$C$13="Pump A", 0.7, IF('Parameters and Satisfaction'!$C$13 = "Pump B", 0.72, 0.65))</f>
        <v>238269.49267119667</v>
      </c>
      <c r="P288" s="118">
        <f>J288/IF('Parameters and Satisfaction'!$C$13="Pump A", 0.7, IF('Parameters and Satisfaction'!$C$13 = "Pump B", 0.72, 0.65))</f>
        <v>0</v>
      </c>
      <c r="Q288" s="118">
        <f>K288/IF('Parameters and Satisfaction'!$C$13="Pump A", 0.7, IF('Parameters and Satisfaction'!$C$13 = "Pump B", 0.72, 0.65))</f>
        <v>212129.82136127338</v>
      </c>
      <c r="R288" s="118">
        <f>L288/IF('Parameters and Satisfaction'!$C$13="Pump A", 0.7, IF('Parameters and Satisfaction'!$C$13 = "Pump B", 0.72, 0.65))</f>
        <v>258243.78490899352</v>
      </c>
      <c r="S288" s="118"/>
      <c r="T288" s="118">
        <f>N288+$F$47+IF('Parameters and Satisfaction'!$C$19="Ozone", 'Filtration System'!AA252*1000000, 0)</f>
        <v>4687500</v>
      </c>
      <c r="U288" s="118">
        <f>O288+$F$47+IF('Parameters and Satisfaction'!$C$19="Ozone", 'Filtration System'!AB252*1000000, 0)</f>
        <v>4925769.4926711963</v>
      </c>
      <c r="V288" s="118">
        <f>P288+$F$47+IF('Parameters and Satisfaction'!$C$19="Ozone", 'Filtration System'!AC252*1000000, 0)</f>
        <v>4687500</v>
      </c>
      <c r="W288" s="118">
        <f>Q288+$F$47+IF('Parameters and Satisfaction'!$C$19="Ozone", 'Filtration System'!AD252*1000000, 0)</f>
        <v>4899629.8213612735</v>
      </c>
      <c r="X288" s="118">
        <f>R288+$F$47+IF('Parameters and Satisfaction'!$C$19="Ozone", 'Filtration System'!AE252*1000000, 0)</f>
        <v>4945743.7849089932</v>
      </c>
      <c r="Y288" s="118"/>
      <c r="Z288" s="118">
        <f t="shared" si="36"/>
        <v>0.33482142857142855</v>
      </c>
      <c r="AA288" s="118">
        <f t="shared" si="37"/>
        <v>0.35184067804794261</v>
      </c>
      <c r="AB288" s="118">
        <f t="shared" si="38"/>
        <v>0.33482142857142855</v>
      </c>
      <c r="AC288" s="118">
        <f t="shared" si="39"/>
        <v>0.34997355866866242</v>
      </c>
      <c r="AD288" s="118">
        <f t="shared" si="40"/>
        <v>0.35326741320778521</v>
      </c>
      <c r="AE288" s="118"/>
      <c r="AF288" s="118"/>
      <c r="AG288" s="118"/>
      <c r="AK288">
        <f t="shared" si="42"/>
        <v>19877760</v>
      </c>
      <c r="AL288">
        <f t="shared" si="42"/>
        <v>19877760</v>
      </c>
      <c r="AM288">
        <f t="shared" si="42"/>
        <v>19877760</v>
      </c>
      <c r="AN288">
        <f t="shared" si="42"/>
        <v>19877760</v>
      </c>
      <c r="AO288">
        <f t="shared" si="42"/>
        <v>19877760</v>
      </c>
    </row>
    <row r="289" spans="1:41">
      <c r="A289" s="185">
        <f>'Water Stuff'!F223</f>
        <v>44780</v>
      </c>
      <c r="B289" s="118">
        <f>'Filtration System'!B253</f>
        <v>0</v>
      </c>
      <c r="C289" s="118">
        <f>'Filtration System'!C253</f>
        <v>2920</v>
      </c>
      <c r="D289" s="118">
        <f>'Filtration System'!D253</f>
        <v>0</v>
      </c>
      <c r="E289" s="118">
        <f>'Filtration System'!E253</f>
        <v>4188.3059694482045</v>
      </c>
      <c r="F289" s="118">
        <f>'Filtration System'!F253</f>
        <v>0</v>
      </c>
      <c r="G289" s="118"/>
      <c r="H289" s="118">
        <f>B289/1000*(1000*9.81*Pumps!$B$14+'Parameters and Satisfaction'!$B$27)</f>
        <v>0</v>
      </c>
      <c r="I289" s="118">
        <f>C289/1000*(1000*9.81*Pumps!$B$14+'Parameters and Satisfaction'!$B$27)</f>
        <v>782715.28342488105</v>
      </c>
      <c r="J289" s="118">
        <f>D289/1000*(1000*9.81*Pumps!$B$14+'Parameters and Satisfaction'!$B$27)</f>
        <v>0</v>
      </c>
      <c r="K289" s="118">
        <f>E289/1000*(1000*9.81*Pumps!$B$14+'Parameters and Satisfaction'!$B$27)</f>
        <v>1122688.730803689</v>
      </c>
      <c r="L289" s="118">
        <f>F289/1000*(1000*9.81*Pumps!$B$14+'Parameters and Satisfaction'!$B$27)</f>
        <v>0</v>
      </c>
      <c r="M289" s="118"/>
      <c r="N289" s="118">
        <f>H289/IF('Parameters and Satisfaction'!$C$13="Pump A", 0.7, IF('Parameters and Satisfaction'!$C$13 = "Pump B", 0.72, 0.65))</f>
        <v>0</v>
      </c>
      <c r="O289" s="118">
        <f>I289/IF('Parameters and Satisfaction'!$C$13="Pump A", 0.7, IF('Parameters and Satisfaction'!$C$13 = "Pump B", 0.72, 0.65))</f>
        <v>1087104.5603123349</v>
      </c>
      <c r="P289" s="118">
        <f>J289/IF('Parameters and Satisfaction'!$C$13="Pump A", 0.7, IF('Parameters and Satisfaction'!$C$13 = "Pump B", 0.72, 0.65))</f>
        <v>0</v>
      </c>
      <c r="Q289" s="118">
        <f>K289/IF('Parameters and Satisfaction'!$C$13="Pump A", 0.7, IF('Parameters and Satisfaction'!$C$13 = "Pump B", 0.72, 0.65))</f>
        <v>1559289.9038940126</v>
      </c>
      <c r="R289" s="118">
        <f>L289/IF('Parameters and Satisfaction'!$C$13="Pump A", 0.7, IF('Parameters and Satisfaction'!$C$13 = "Pump B", 0.72, 0.65))</f>
        <v>0</v>
      </c>
      <c r="S289" s="118"/>
      <c r="T289" s="118">
        <f>N289+$F$47+IF('Parameters and Satisfaction'!$C$19="Ozone", 'Filtration System'!AA253*1000000, 0)</f>
        <v>4687500</v>
      </c>
      <c r="U289" s="118">
        <f>O289+$F$47+IF('Parameters and Satisfaction'!$C$19="Ozone", 'Filtration System'!AB253*1000000, 0)</f>
        <v>5774604.5603123344</v>
      </c>
      <c r="V289" s="118">
        <f>P289+$F$47+IF('Parameters and Satisfaction'!$C$19="Ozone", 'Filtration System'!AC253*1000000, 0)</f>
        <v>4687500</v>
      </c>
      <c r="W289" s="118">
        <f>Q289+$F$47+IF('Parameters and Satisfaction'!$C$19="Ozone", 'Filtration System'!AD253*1000000, 0)</f>
        <v>6246789.9038940128</v>
      </c>
      <c r="X289" s="118">
        <f>R289+$F$47+IF('Parameters and Satisfaction'!$C$19="Ozone", 'Filtration System'!AE253*1000000, 0)</f>
        <v>4687500</v>
      </c>
      <c r="Y289" s="118"/>
      <c r="Z289" s="118">
        <f t="shared" si="36"/>
        <v>0.33482142857142855</v>
      </c>
      <c r="AA289" s="118">
        <f t="shared" si="37"/>
        <v>0.41247175430802391</v>
      </c>
      <c r="AB289" s="118">
        <f t="shared" si="38"/>
        <v>0.33482142857142855</v>
      </c>
      <c r="AC289" s="118">
        <f t="shared" si="39"/>
        <v>0.44619927884957233</v>
      </c>
      <c r="AD289" s="118">
        <f t="shared" si="40"/>
        <v>0.33482142857142855</v>
      </c>
      <c r="AE289" s="118"/>
      <c r="AF289" s="118"/>
      <c r="AG289" s="118"/>
      <c r="AK289">
        <f t="shared" si="42"/>
        <v>19877760</v>
      </c>
      <c r="AL289">
        <f t="shared" si="42"/>
        <v>19877760</v>
      </c>
      <c r="AM289">
        <f t="shared" si="42"/>
        <v>19877760</v>
      </c>
      <c r="AN289">
        <f t="shared" si="42"/>
        <v>19877760</v>
      </c>
      <c r="AO289">
        <f t="shared" si="42"/>
        <v>19877760</v>
      </c>
    </row>
    <row r="290" spans="1:41">
      <c r="A290" s="185">
        <f>'Water Stuff'!F224</f>
        <v>44781</v>
      </c>
      <c r="B290" s="118">
        <f>'Filtration System'!B254</f>
        <v>0</v>
      </c>
      <c r="C290" s="118">
        <f>'Filtration System'!C254</f>
        <v>4880</v>
      </c>
      <c r="D290" s="118">
        <f>'Filtration System'!D254</f>
        <v>0</v>
      </c>
      <c r="E290" s="118">
        <f>'Filtration System'!E254</f>
        <v>4440.7614624759799</v>
      </c>
      <c r="F290" s="118">
        <f>'Filtration System'!F254</f>
        <v>0</v>
      </c>
      <c r="G290" s="118"/>
      <c r="H290" s="118">
        <f>B290/1000*(1000*9.81*Pumps!$B$14+'Parameters and Satisfaction'!$B$27)</f>
        <v>0</v>
      </c>
      <c r="I290" s="118">
        <f>C290/1000*(1000*9.81*Pumps!$B$14+'Parameters and Satisfaction'!$B$27)</f>
        <v>1308099.5147648696</v>
      </c>
      <c r="J290" s="118">
        <f>D290/1000*(1000*9.81*Pumps!$B$14+'Parameters and Satisfaction'!$B$27)</f>
        <v>0</v>
      </c>
      <c r="K290" s="118">
        <f>E290/1000*(1000*9.81*Pumps!$B$14+'Parameters and Satisfaction'!$B$27)</f>
        <v>1190360.228330197</v>
      </c>
      <c r="L290" s="118">
        <f>F290/1000*(1000*9.81*Pumps!$B$14+'Parameters and Satisfaction'!$B$27)</f>
        <v>0</v>
      </c>
      <c r="M290" s="118"/>
      <c r="N290" s="118">
        <f>H290/IF('Parameters and Satisfaction'!$C$13="Pump A", 0.7, IF('Parameters and Satisfaction'!$C$13 = "Pump B", 0.72, 0.65))</f>
        <v>0</v>
      </c>
      <c r="O290" s="118">
        <f>I290/IF('Parameters and Satisfaction'!$C$13="Pump A", 0.7, IF('Parameters and Satisfaction'!$C$13 = "Pump B", 0.72, 0.65))</f>
        <v>1816804.8816178746</v>
      </c>
      <c r="P290" s="118">
        <f>J290/IF('Parameters and Satisfaction'!$C$13="Pump A", 0.7, IF('Parameters and Satisfaction'!$C$13 = "Pump B", 0.72, 0.65))</f>
        <v>0</v>
      </c>
      <c r="Q290" s="118">
        <f>K290/IF('Parameters and Satisfaction'!$C$13="Pump A", 0.7, IF('Parameters and Satisfaction'!$C$13 = "Pump B", 0.72, 0.65))</f>
        <v>1653278.0949030516</v>
      </c>
      <c r="R290" s="118">
        <f>L290/IF('Parameters and Satisfaction'!$C$13="Pump A", 0.7, IF('Parameters and Satisfaction'!$C$13 = "Pump B", 0.72, 0.65))</f>
        <v>0</v>
      </c>
      <c r="S290" s="118"/>
      <c r="T290" s="118">
        <f>N290+$F$47+IF('Parameters and Satisfaction'!$C$19="Ozone", 'Filtration System'!AA254*1000000, 0)</f>
        <v>4687500</v>
      </c>
      <c r="U290" s="118">
        <f>O290+$F$47+IF('Parameters and Satisfaction'!$C$19="Ozone", 'Filtration System'!AB254*1000000, 0)</f>
        <v>6504304.8816178748</v>
      </c>
      <c r="V290" s="118">
        <f>P290+$F$47+IF('Parameters and Satisfaction'!$C$19="Ozone", 'Filtration System'!AC254*1000000, 0)</f>
        <v>4687500</v>
      </c>
      <c r="W290" s="118">
        <f>Q290+$F$47+IF('Parameters and Satisfaction'!$C$19="Ozone", 'Filtration System'!AD254*1000000, 0)</f>
        <v>6340778.0949030519</v>
      </c>
      <c r="X290" s="118">
        <f>R290+$F$47+IF('Parameters and Satisfaction'!$C$19="Ozone", 'Filtration System'!AE254*1000000, 0)</f>
        <v>4687500</v>
      </c>
      <c r="Y290" s="118"/>
      <c r="Z290" s="118">
        <f t="shared" si="36"/>
        <v>0.33482142857142855</v>
      </c>
      <c r="AA290" s="118">
        <f t="shared" si="37"/>
        <v>0.4645932058298482</v>
      </c>
      <c r="AB290" s="118">
        <f t="shared" si="38"/>
        <v>0.33482142857142855</v>
      </c>
      <c r="AC290" s="118">
        <f t="shared" si="39"/>
        <v>0.4529127210645037</v>
      </c>
      <c r="AD290" s="118">
        <f t="shared" si="40"/>
        <v>0.33482142857142855</v>
      </c>
      <c r="AE290" s="118"/>
      <c r="AF290" s="118"/>
      <c r="AG290" s="118"/>
      <c r="AK290">
        <f t="shared" si="42"/>
        <v>19877760</v>
      </c>
      <c r="AL290">
        <f t="shared" si="42"/>
        <v>19877760</v>
      </c>
      <c r="AM290">
        <f t="shared" si="42"/>
        <v>19877760</v>
      </c>
      <c r="AN290">
        <f t="shared" si="42"/>
        <v>19877760</v>
      </c>
      <c r="AO290">
        <f t="shared" si="42"/>
        <v>19877760</v>
      </c>
    </row>
    <row r="291" spans="1:41">
      <c r="A291" s="185">
        <f>'Water Stuff'!F225</f>
        <v>44782</v>
      </c>
      <c r="B291" s="118">
        <f>'Filtration System'!B255</f>
        <v>0</v>
      </c>
      <c r="C291" s="118">
        <f>'Filtration System'!C255</f>
        <v>360</v>
      </c>
      <c r="D291" s="118">
        <f>'Filtration System'!D255</f>
        <v>146.74194983106347</v>
      </c>
      <c r="E291" s="118">
        <f>'Filtration System'!E255</f>
        <v>958.69175725134244</v>
      </c>
      <c r="F291" s="118">
        <f>'Filtration System'!F255</f>
        <v>0</v>
      </c>
      <c r="G291" s="118"/>
      <c r="H291" s="118">
        <f>B291/1000*(1000*9.81*Pumps!$B$14+'Parameters and Satisfaction'!$B$27)</f>
        <v>0</v>
      </c>
      <c r="I291" s="118">
        <f>C291/1000*(1000*9.81*Pumps!$B$14+'Parameters and Satisfaction'!$B$27)</f>
        <v>96499.144531834638</v>
      </c>
      <c r="J291" s="118">
        <f>D291/1000*(1000*9.81*Pumps!$B$14+'Parameters and Satisfaction'!$B$27)</f>
        <v>39334.646182308396</v>
      </c>
      <c r="K291" s="118">
        <f>E291/1000*(1000*9.81*Pumps!$B$14+'Parameters and Satisfaction'!$B$27)</f>
        <v>256980.37345687731</v>
      </c>
      <c r="L291" s="118">
        <f>F291/1000*(1000*9.81*Pumps!$B$14+'Parameters and Satisfaction'!$B$27)</f>
        <v>0</v>
      </c>
      <c r="M291" s="118"/>
      <c r="N291" s="118">
        <f>H291/IF('Parameters and Satisfaction'!$C$13="Pump A", 0.7, IF('Parameters and Satisfaction'!$C$13 = "Pump B", 0.72, 0.65))</f>
        <v>0</v>
      </c>
      <c r="O291" s="118">
        <f>I291/IF('Parameters and Satisfaction'!$C$13="Pump A", 0.7, IF('Parameters and Satisfaction'!$C$13 = "Pump B", 0.72, 0.65))</f>
        <v>134026.58962754812</v>
      </c>
      <c r="P291" s="118">
        <f>J291/IF('Parameters and Satisfaction'!$C$13="Pump A", 0.7, IF('Parameters and Satisfaction'!$C$13 = "Pump B", 0.72, 0.65))</f>
        <v>54631.453030983888</v>
      </c>
      <c r="Q291" s="118">
        <f>K291/IF('Parameters and Satisfaction'!$C$13="Pump A", 0.7, IF('Parameters and Satisfaction'!$C$13 = "Pump B", 0.72, 0.65))</f>
        <v>356917.18535677408</v>
      </c>
      <c r="R291" s="118">
        <f>L291/IF('Parameters and Satisfaction'!$C$13="Pump A", 0.7, IF('Parameters and Satisfaction'!$C$13 = "Pump B", 0.72, 0.65))</f>
        <v>0</v>
      </c>
      <c r="S291" s="118"/>
      <c r="T291" s="118">
        <f>N291+$F$47+IF('Parameters and Satisfaction'!$C$19="Ozone", 'Filtration System'!AA255*1000000, 0)</f>
        <v>4687500</v>
      </c>
      <c r="U291" s="118">
        <f>O291+$F$47+IF('Parameters and Satisfaction'!$C$19="Ozone", 'Filtration System'!AB255*1000000, 0)</f>
        <v>4821526.5896275481</v>
      </c>
      <c r="V291" s="118">
        <f>P291+$F$47+IF('Parameters and Satisfaction'!$C$19="Ozone", 'Filtration System'!AC255*1000000, 0)</f>
        <v>4742131.4530309839</v>
      </c>
      <c r="W291" s="118">
        <f>Q291+$F$47+IF('Parameters and Satisfaction'!$C$19="Ozone", 'Filtration System'!AD255*1000000, 0)</f>
        <v>5044417.1853567744</v>
      </c>
      <c r="X291" s="118">
        <f>R291+$F$47+IF('Parameters and Satisfaction'!$C$19="Ozone", 'Filtration System'!AE255*1000000, 0)</f>
        <v>4687500</v>
      </c>
      <c r="Y291" s="118"/>
      <c r="Z291" s="118">
        <f t="shared" si="36"/>
        <v>0.33482142857142855</v>
      </c>
      <c r="AA291" s="118">
        <f t="shared" si="37"/>
        <v>0.34439475640196771</v>
      </c>
      <c r="AB291" s="118">
        <f t="shared" si="38"/>
        <v>0.33872367521649888</v>
      </c>
      <c r="AC291" s="118">
        <f t="shared" si="39"/>
        <v>0.36031551323976962</v>
      </c>
      <c r="AD291" s="118">
        <f t="shared" si="40"/>
        <v>0.33482142857142855</v>
      </c>
      <c r="AE291" s="118"/>
      <c r="AF291" s="118"/>
      <c r="AG291" s="118"/>
      <c r="AK291">
        <f t="shared" si="42"/>
        <v>19877760</v>
      </c>
      <c r="AL291">
        <f t="shared" si="42"/>
        <v>19877760</v>
      </c>
      <c r="AM291">
        <f t="shared" si="42"/>
        <v>19877760</v>
      </c>
      <c r="AN291">
        <f t="shared" si="42"/>
        <v>19877760</v>
      </c>
      <c r="AO291">
        <f t="shared" si="42"/>
        <v>19877760</v>
      </c>
    </row>
    <row r="292" spans="1:41">
      <c r="A292" s="185">
        <f>'Water Stuff'!F226</f>
        <v>44783</v>
      </c>
      <c r="B292" s="118">
        <f>'Filtration System'!B256</f>
        <v>0</v>
      </c>
      <c r="C292" s="118">
        <f>'Filtration System'!C256</f>
        <v>0</v>
      </c>
      <c r="D292" s="118">
        <f>'Filtration System'!D256</f>
        <v>0</v>
      </c>
      <c r="E292" s="118">
        <f>'Filtration System'!E256</f>
        <v>0</v>
      </c>
      <c r="F292" s="118">
        <f>'Filtration System'!F256</f>
        <v>0</v>
      </c>
      <c r="G292" s="118"/>
      <c r="H292" s="118">
        <f>B292/1000*(1000*9.81*Pumps!$B$14+'Parameters and Satisfaction'!$B$27)</f>
        <v>0</v>
      </c>
      <c r="I292" s="118">
        <f>C292/1000*(1000*9.81*Pumps!$B$14+'Parameters and Satisfaction'!$B$27)</f>
        <v>0</v>
      </c>
      <c r="J292" s="118">
        <f>D292/1000*(1000*9.81*Pumps!$B$14+'Parameters and Satisfaction'!$B$27)</f>
        <v>0</v>
      </c>
      <c r="K292" s="118">
        <f>E292/1000*(1000*9.81*Pumps!$B$14+'Parameters and Satisfaction'!$B$27)</f>
        <v>0</v>
      </c>
      <c r="L292" s="118">
        <f>F292/1000*(1000*9.81*Pumps!$B$14+'Parameters and Satisfaction'!$B$27)</f>
        <v>0</v>
      </c>
      <c r="M292" s="118"/>
      <c r="N292" s="118">
        <f>H292/IF('Parameters and Satisfaction'!$C$13="Pump A", 0.7, IF('Parameters and Satisfaction'!$C$13 = "Pump B", 0.72, 0.65))</f>
        <v>0</v>
      </c>
      <c r="O292" s="118">
        <f>I292/IF('Parameters and Satisfaction'!$C$13="Pump A", 0.7, IF('Parameters and Satisfaction'!$C$13 = "Pump B", 0.72, 0.65))</f>
        <v>0</v>
      </c>
      <c r="P292" s="118">
        <f>J292/IF('Parameters and Satisfaction'!$C$13="Pump A", 0.7, IF('Parameters and Satisfaction'!$C$13 = "Pump B", 0.72, 0.65))</f>
        <v>0</v>
      </c>
      <c r="Q292" s="118">
        <f>K292/IF('Parameters and Satisfaction'!$C$13="Pump A", 0.7, IF('Parameters and Satisfaction'!$C$13 = "Pump B", 0.72, 0.65))</f>
        <v>0</v>
      </c>
      <c r="R292" s="118">
        <f>L292/IF('Parameters and Satisfaction'!$C$13="Pump A", 0.7, IF('Parameters and Satisfaction'!$C$13 = "Pump B", 0.72, 0.65))</f>
        <v>0</v>
      </c>
      <c r="S292" s="118"/>
      <c r="T292" s="118">
        <f>N292+$F$47+IF('Parameters and Satisfaction'!$C$19="Ozone", 'Filtration System'!AA256*1000000, 0)</f>
        <v>4687500</v>
      </c>
      <c r="U292" s="118">
        <f>O292+$F$47+IF('Parameters and Satisfaction'!$C$19="Ozone", 'Filtration System'!AB256*1000000, 0)</f>
        <v>4687500</v>
      </c>
      <c r="V292" s="118">
        <f>P292+$F$47+IF('Parameters and Satisfaction'!$C$19="Ozone", 'Filtration System'!AC256*1000000, 0)</f>
        <v>4687500</v>
      </c>
      <c r="W292" s="118">
        <f>Q292+$F$47+IF('Parameters and Satisfaction'!$C$19="Ozone", 'Filtration System'!AD256*1000000, 0)</f>
        <v>4687500</v>
      </c>
      <c r="X292" s="118">
        <f>R292+$F$47+IF('Parameters and Satisfaction'!$C$19="Ozone", 'Filtration System'!AE256*1000000, 0)</f>
        <v>4687500</v>
      </c>
      <c r="Y292" s="118"/>
      <c r="Z292" s="118">
        <f t="shared" si="36"/>
        <v>0.33482142857142855</v>
      </c>
      <c r="AA292" s="118">
        <f t="shared" si="37"/>
        <v>0.33482142857142855</v>
      </c>
      <c r="AB292" s="118">
        <f t="shared" si="38"/>
        <v>0.33482142857142855</v>
      </c>
      <c r="AC292" s="118">
        <f t="shared" si="39"/>
        <v>0.33482142857142855</v>
      </c>
      <c r="AD292" s="118">
        <f t="shared" si="40"/>
        <v>0.33482142857142855</v>
      </c>
      <c r="AE292" s="118"/>
      <c r="AF292" s="118"/>
      <c r="AG292" s="118"/>
      <c r="AK292">
        <f t="shared" si="42"/>
        <v>19877760</v>
      </c>
      <c r="AL292">
        <f t="shared" si="42"/>
        <v>19877760</v>
      </c>
      <c r="AM292">
        <f t="shared" si="42"/>
        <v>19877760</v>
      </c>
      <c r="AN292">
        <f t="shared" si="42"/>
        <v>19877760</v>
      </c>
      <c r="AO292">
        <f t="shared" si="42"/>
        <v>19877760</v>
      </c>
    </row>
    <row r="293" spans="1:41">
      <c r="A293" s="185">
        <f>'Water Stuff'!F227</f>
        <v>44784</v>
      </c>
      <c r="B293" s="118">
        <f>'Filtration System'!B257</f>
        <v>0</v>
      </c>
      <c r="C293" s="118">
        <f>'Filtration System'!C257</f>
        <v>0</v>
      </c>
      <c r="D293" s="118">
        <f>'Filtration System'!D257</f>
        <v>0</v>
      </c>
      <c r="E293" s="118">
        <f>'Filtration System'!E257</f>
        <v>0</v>
      </c>
      <c r="F293" s="118">
        <f>'Filtration System'!F257</f>
        <v>0</v>
      </c>
      <c r="G293" s="118"/>
      <c r="H293" s="118">
        <f>B293/1000*(1000*9.81*Pumps!$B$14+'Parameters and Satisfaction'!$B$27)</f>
        <v>0</v>
      </c>
      <c r="I293" s="118">
        <f>C293/1000*(1000*9.81*Pumps!$B$14+'Parameters and Satisfaction'!$B$27)</f>
        <v>0</v>
      </c>
      <c r="J293" s="118">
        <f>D293/1000*(1000*9.81*Pumps!$B$14+'Parameters and Satisfaction'!$B$27)</f>
        <v>0</v>
      </c>
      <c r="K293" s="118">
        <f>E293/1000*(1000*9.81*Pumps!$B$14+'Parameters and Satisfaction'!$B$27)</f>
        <v>0</v>
      </c>
      <c r="L293" s="118">
        <f>F293/1000*(1000*9.81*Pumps!$B$14+'Parameters and Satisfaction'!$B$27)</f>
        <v>0</v>
      </c>
      <c r="M293" s="118"/>
      <c r="N293" s="118">
        <f>H293/IF('Parameters and Satisfaction'!$C$13="Pump A", 0.7, IF('Parameters and Satisfaction'!$C$13 = "Pump B", 0.72, 0.65))</f>
        <v>0</v>
      </c>
      <c r="O293" s="118">
        <f>I293/IF('Parameters and Satisfaction'!$C$13="Pump A", 0.7, IF('Parameters and Satisfaction'!$C$13 = "Pump B", 0.72, 0.65))</f>
        <v>0</v>
      </c>
      <c r="P293" s="118">
        <f>J293/IF('Parameters and Satisfaction'!$C$13="Pump A", 0.7, IF('Parameters and Satisfaction'!$C$13 = "Pump B", 0.72, 0.65))</f>
        <v>0</v>
      </c>
      <c r="Q293" s="118">
        <f>K293/IF('Parameters and Satisfaction'!$C$13="Pump A", 0.7, IF('Parameters and Satisfaction'!$C$13 = "Pump B", 0.72, 0.65))</f>
        <v>0</v>
      </c>
      <c r="R293" s="118">
        <f>L293/IF('Parameters and Satisfaction'!$C$13="Pump A", 0.7, IF('Parameters and Satisfaction'!$C$13 = "Pump B", 0.72, 0.65))</f>
        <v>0</v>
      </c>
      <c r="S293" s="118"/>
      <c r="T293" s="118">
        <f>N293+$F$47+IF('Parameters and Satisfaction'!$C$19="Ozone", 'Filtration System'!AA257*1000000, 0)</f>
        <v>4687500</v>
      </c>
      <c r="U293" s="118">
        <f>O293+$F$47+IF('Parameters and Satisfaction'!$C$19="Ozone", 'Filtration System'!AB257*1000000, 0)</f>
        <v>4687500</v>
      </c>
      <c r="V293" s="118">
        <f>P293+$F$47+IF('Parameters and Satisfaction'!$C$19="Ozone", 'Filtration System'!AC257*1000000, 0)</f>
        <v>4687500</v>
      </c>
      <c r="W293" s="118">
        <f>Q293+$F$47+IF('Parameters and Satisfaction'!$C$19="Ozone", 'Filtration System'!AD257*1000000, 0)</f>
        <v>4687500</v>
      </c>
      <c r="X293" s="118">
        <f>R293+$F$47+IF('Parameters and Satisfaction'!$C$19="Ozone", 'Filtration System'!AE257*1000000, 0)</f>
        <v>4687500</v>
      </c>
      <c r="Y293" s="118"/>
      <c r="Z293" s="118">
        <f t="shared" si="36"/>
        <v>0.33482142857142855</v>
      </c>
      <c r="AA293" s="118">
        <f t="shared" si="37"/>
        <v>0.33482142857142855</v>
      </c>
      <c r="AB293" s="118">
        <f t="shared" si="38"/>
        <v>0.33482142857142855</v>
      </c>
      <c r="AC293" s="118">
        <f t="shared" si="39"/>
        <v>0.33482142857142855</v>
      </c>
      <c r="AD293" s="118">
        <f t="shared" si="40"/>
        <v>0.33482142857142855</v>
      </c>
      <c r="AE293" s="118"/>
      <c r="AF293" s="118"/>
      <c r="AG293" s="118"/>
      <c r="AK293">
        <f t="shared" ref="AK293:AO302" si="43">$D$62</f>
        <v>19877760</v>
      </c>
      <c r="AL293">
        <f t="shared" si="43"/>
        <v>19877760</v>
      </c>
      <c r="AM293">
        <f t="shared" si="43"/>
        <v>19877760</v>
      </c>
      <c r="AN293">
        <f t="shared" si="43"/>
        <v>19877760</v>
      </c>
      <c r="AO293">
        <f t="shared" si="43"/>
        <v>19877760</v>
      </c>
    </row>
    <row r="294" spans="1:41">
      <c r="A294" s="185">
        <f>'Water Stuff'!F228</f>
        <v>44785</v>
      </c>
      <c r="B294" s="118">
        <f>'Filtration System'!B258</f>
        <v>0</v>
      </c>
      <c r="C294" s="118">
        <f>'Filtration System'!C258</f>
        <v>0</v>
      </c>
      <c r="D294" s="118">
        <f>'Filtration System'!D258</f>
        <v>0</v>
      </c>
      <c r="E294" s="118">
        <f>'Filtration System'!E258</f>
        <v>0</v>
      </c>
      <c r="F294" s="118">
        <f>'Filtration System'!F258</f>
        <v>713.4478994865334</v>
      </c>
      <c r="G294" s="118"/>
      <c r="H294" s="118">
        <f>B294/1000*(1000*9.81*Pumps!$B$14+'Parameters and Satisfaction'!$B$27)</f>
        <v>0</v>
      </c>
      <c r="I294" s="118">
        <f>C294/1000*(1000*9.81*Pumps!$B$14+'Parameters and Satisfaction'!$B$27)</f>
        <v>0</v>
      </c>
      <c r="J294" s="118">
        <f>D294/1000*(1000*9.81*Pumps!$B$14+'Parameters and Satisfaction'!$B$27)</f>
        <v>0</v>
      </c>
      <c r="K294" s="118">
        <f>E294/1000*(1000*9.81*Pumps!$B$14+'Parameters and Satisfaction'!$B$27)</f>
        <v>0</v>
      </c>
      <c r="L294" s="118">
        <f>F294/1000*(1000*9.81*Pumps!$B$14+'Parameters and Satisfaction'!$B$27)</f>
        <v>191241.97769023562</v>
      </c>
      <c r="M294" s="118"/>
      <c r="N294" s="118">
        <f>H294/IF('Parameters and Satisfaction'!$C$13="Pump A", 0.7, IF('Parameters and Satisfaction'!$C$13 = "Pump B", 0.72, 0.65))</f>
        <v>0</v>
      </c>
      <c r="O294" s="118">
        <f>I294/IF('Parameters and Satisfaction'!$C$13="Pump A", 0.7, IF('Parameters and Satisfaction'!$C$13 = "Pump B", 0.72, 0.65))</f>
        <v>0</v>
      </c>
      <c r="P294" s="118">
        <f>J294/IF('Parameters and Satisfaction'!$C$13="Pump A", 0.7, IF('Parameters and Satisfaction'!$C$13 = "Pump B", 0.72, 0.65))</f>
        <v>0</v>
      </c>
      <c r="Q294" s="118">
        <f>K294/IF('Parameters and Satisfaction'!$C$13="Pump A", 0.7, IF('Parameters and Satisfaction'!$C$13 = "Pump B", 0.72, 0.65))</f>
        <v>0</v>
      </c>
      <c r="R294" s="118">
        <f>L294/IF('Parameters and Satisfaction'!$C$13="Pump A", 0.7, IF('Parameters and Satisfaction'!$C$13 = "Pump B", 0.72, 0.65))</f>
        <v>265613.85790310503</v>
      </c>
      <c r="S294" s="118"/>
      <c r="T294" s="118">
        <f>N294+$F$47+IF('Parameters and Satisfaction'!$C$19="Ozone", 'Filtration System'!AA258*1000000, 0)</f>
        <v>4687500</v>
      </c>
      <c r="U294" s="118">
        <f>O294+$F$47+IF('Parameters and Satisfaction'!$C$19="Ozone", 'Filtration System'!AB258*1000000, 0)</f>
        <v>4687500</v>
      </c>
      <c r="V294" s="118">
        <f>P294+$F$47+IF('Parameters and Satisfaction'!$C$19="Ozone", 'Filtration System'!AC258*1000000, 0)</f>
        <v>4687500</v>
      </c>
      <c r="W294" s="118">
        <f>Q294+$F$47+IF('Parameters and Satisfaction'!$C$19="Ozone", 'Filtration System'!AD258*1000000, 0)</f>
        <v>4687500</v>
      </c>
      <c r="X294" s="118">
        <f>R294+$F$47+IF('Parameters and Satisfaction'!$C$19="Ozone", 'Filtration System'!AE258*1000000, 0)</f>
        <v>4953113.8579031052</v>
      </c>
      <c r="Y294" s="118"/>
      <c r="Z294" s="118">
        <f t="shared" si="36"/>
        <v>0.33482142857142855</v>
      </c>
      <c r="AA294" s="118">
        <f t="shared" si="37"/>
        <v>0.33482142857142855</v>
      </c>
      <c r="AB294" s="118">
        <f t="shared" si="38"/>
        <v>0.33482142857142855</v>
      </c>
      <c r="AC294" s="118">
        <f t="shared" si="39"/>
        <v>0.33482142857142855</v>
      </c>
      <c r="AD294" s="118">
        <f t="shared" si="40"/>
        <v>0.35379384699307892</v>
      </c>
      <c r="AE294" s="118"/>
      <c r="AF294" s="118"/>
      <c r="AG294" s="118"/>
      <c r="AK294">
        <f t="shared" si="43"/>
        <v>19877760</v>
      </c>
      <c r="AL294">
        <f t="shared" si="43"/>
        <v>19877760</v>
      </c>
      <c r="AM294">
        <f t="shared" si="43"/>
        <v>19877760</v>
      </c>
      <c r="AN294">
        <f t="shared" si="43"/>
        <v>19877760</v>
      </c>
      <c r="AO294">
        <f t="shared" si="43"/>
        <v>19877760</v>
      </c>
    </row>
    <row r="295" spans="1:41">
      <c r="A295" s="185">
        <f>'Water Stuff'!F229</f>
        <v>44786</v>
      </c>
      <c r="B295" s="118">
        <f>'Filtration System'!B259</f>
        <v>0</v>
      </c>
      <c r="C295" s="118">
        <f>'Filtration System'!C259</f>
        <v>0</v>
      </c>
      <c r="D295" s="118">
        <f>'Filtration System'!D259</f>
        <v>472.01966933347103</v>
      </c>
      <c r="E295" s="118">
        <f>'Filtration System'!E259</f>
        <v>0</v>
      </c>
      <c r="F295" s="118">
        <f>'Filtration System'!F259</f>
        <v>0</v>
      </c>
      <c r="G295" s="118"/>
      <c r="H295" s="118">
        <f>B295/1000*(1000*9.81*Pumps!$B$14+'Parameters and Satisfaction'!$B$27)</f>
        <v>0</v>
      </c>
      <c r="I295" s="118">
        <f>C295/1000*(1000*9.81*Pumps!$B$14+'Parameters and Satisfaction'!$B$27)</f>
        <v>0</v>
      </c>
      <c r="J295" s="118">
        <f>D295/1000*(1000*9.81*Pumps!$B$14+'Parameters and Satisfaction'!$B$27)</f>
        <v>126526.37303577615</v>
      </c>
      <c r="K295" s="118">
        <f>E295/1000*(1000*9.81*Pumps!$B$14+'Parameters and Satisfaction'!$B$27)</f>
        <v>0</v>
      </c>
      <c r="L295" s="118">
        <f>F295/1000*(1000*9.81*Pumps!$B$14+'Parameters and Satisfaction'!$B$27)</f>
        <v>0</v>
      </c>
      <c r="M295" s="118"/>
      <c r="N295" s="118">
        <f>H295/IF('Parameters and Satisfaction'!$C$13="Pump A", 0.7, IF('Parameters and Satisfaction'!$C$13 = "Pump B", 0.72, 0.65))</f>
        <v>0</v>
      </c>
      <c r="O295" s="118">
        <f>I295/IF('Parameters and Satisfaction'!$C$13="Pump A", 0.7, IF('Parameters and Satisfaction'!$C$13 = "Pump B", 0.72, 0.65))</f>
        <v>0</v>
      </c>
      <c r="P295" s="118">
        <f>J295/IF('Parameters and Satisfaction'!$C$13="Pump A", 0.7, IF('Parameters and Satisfaction'!$C$13 = "Pump B", 0.72, 0.65))</f>
        <v>175731.0736608002</v>
      </c>
      <c r="Q295" s="118">
        <f>K295/IF('Parameters and Satisfaction'!$C$13="Pump A", 0.7, IF('Parameters and Satisfaction'!$C$13 = "Pump B", 0.72, 0.65))</f>
        <v>0</v>
      </c>
      <c r="R295" s="118">
        <f>L295/IF('Parameters and Satisfaction'!$C$13="Pump A", 0.7, IF('Parameters and Satisfaction'!$C$13 = "Pump B", 0.72, 0.65))</f>
        <v>0</v>
      </c>
      <c r="S295" s="118"/>
      <c r="T295" s="118">
        <f>N295+$F$47+IF('Parameters and Satisfaction'!$C$19="Ozone", 'Filtration System'!AA259*1000000, 0)</f>
        <v>4687500</v>
      </c>
      <c r="U295" s="118">
        <f>O295+$F$47+IF('Parameters and Satisfaction'!$C$19="Ozone", 'Filtration System'!AB259*1000000, 0)</f>
        <v>4687500</v>
      </c>
      <c r="V295" s="118">
        <f>P295+$F$47+IF('Parameters and Satisfaction'!$C$19="Ozone", 'Filtration System'!AC259*1000000, 0)</f>
        <v>4863231.0736608002</v>
      </c>
      <c r="W295" s="118">
        <f>Q295+$F$47+IF('Parameters and Satisfaction'!$C$19="Ozone", 'Filtration System'!AD259*1000000, 0)</f>
        <v>4687500</v>
      </c>
      <c r="X295" s="118">
        <f>R295+$F$47+IF('Parameters and Satisfaction'!$C$19="Ozone", 'Filtration System'!AE259*1000000, 0)</f>
        <v>4687500</v>
      </c>
      <c r="Y295" s="118"/>
      <c r="Z295" s="118">
        <f t="shared" si="36"/>
        <v>0.33482142857142855</v>
      </c>
      <c r="AA295" s="118">
        <f t="shared" si="37"/>
        <v>0.33482142857142855</v>
      </c>
      <c r="AB295" s="118">
        <f t="shared" si="38"/>
        <v>0.34737364811862859</v>
      </c>
      <c r="AC295" s="118">
        <f t="shared" si="39"/>
        <v>0.33482142857142855</v>
      </c>
      <c r="AD295" s="118">
        <f t="shared" si="40"/>
        <v>0.33482142857142855</v>
      </c>
      <c r="AE295" s="118"/>
      <c r="AF295" s="118"/>
      <c r="AG295" s="118"/>
      <c r="AK295">
        <f t="shared" si="43"/>
        <v>19877760</v>
      </c>
      <c r="AL295">
        <f t="shared" si="43"/>
        <v>19877760</v>
      </c>
      <c r="AM295">
        <f t="shared" si="43"/>
        <v>19877760</v>
      </c>
      <c r="AN295">
        <f t="shared" si="43"/>
        <v>19877760</v>
      </c>
      <c r="AO295">
        <f t="shared" si="43"/>
        <v>19877760</v>
      </c>
    </row>
    <row r="296" spans="1:41">
      <c r="A296" s="185">
        <f>'Water Stuff'!F230</f>
        <v>44787</v>
      </c>
      <c r="B296" s="118">
        <f>'Filtration System'!B260</f>
        <v>0</v>
      </c>
      <c r="C296" s="118">
        <f>'Filtration System'!C260</f>
        <v>0</v>
      </c>
      <c r="D296" s="118">
        <f>'Filtration System'!D260</f>
        <v>0</v>
      </c>
      <c r="E296" s="118">
        <f>'Filtration System'!E260</f>
        <v>1761.0220106759434</v>
      </c>
      <c r="F296" s="118">
        <f>'Filtration System'!F260</f>
        <v>0</v>
      </c>
      <c r="G296" s="118"/>
      <c r="H296" s="118">
        <f>B296/1000*(1000*9.81*Pumps!$B$14+'Parameters and Satisfaction'!$B$27)</f>
        <v>0</v>
      </c>
      <c r="I296" s="118">
        <f>C296/1000*(1000*9.81*Pumps!$B$14+'Parameters and Satisfaction'!$B$27)</f>
        <v>0</v>
      </c>
      <c r="J296" s="118">
        <f>D296/1000*(1000*9.81*Pumps!$B$14+'Parameters and Satisfaction'!$B$27)</f>
        <v>0</v>
      </c>
      <c r="K296" s="118">
        <f>E296/1000*(1000*9.81*Pumps!$B$14+'Parameters and Satisfaction'!$B$27)</f>
        <v>472047.54869988863</v>
      </c>
      <c r="L296" s="118">
        <f>F296/1000*(1000*9.81*Pumps!$B$14+'Parameters and Satisfaction'!$B$27)</f>
        <v>0</v>
      </c>
      <c r="M296" s="118"/>
      <c r="N296" s="118">
        <f>H296/IF('Parameters and Satisfaction'!$C$13="Pump A", 0.7, IF('Parameters and Satisfaction'!$C$13 = "Pump B", 0.72, 0.65))</f>
        <v>0</v>
      </c>
      <c r="O296" s="118">
        <f>I296/IF('Parameters and Satisfaction'!$C$13="Pump A", 0.7, IF('Parameters and Satisfaction'!$C$13 = "Pump B", 0.72, 0.65))</f>
        <v>0</v>
      </c>
      <c r="P296" s="118">
        <f>J296/IF('Parameters and Satisfaction'!$C$13="Pump A", 0.7, IF('Parameters and Satisfaction'!$C$13 = "Pump B", 0.72, 0.65))</f>
        <v>0</v>
      </c>
      <c r="Q296" s="118">
        <f>K296/IF('Parameters and Satisfaction'!$C$13="Pump A", 0.7, IF('Parameters and Satisfaction'!$C$13 = "Pump B", 0.72, 0.65))</f>
        <v>655621.59541651199</v>
      </c>
      <c r="R296" s="118">
        <f>L296/IF('Parameters and Satisfaction'!$C$13="Pump A", 0.7, IF('Parameters and Satisfaction'!$C$13 = "Pump B", 0.72, 0.65))</f>
        <v>0</v>
      </c>
      <c r="S296" s="118"/>
      <c r="T296" s="118">
        <f>N296+$F$47+IF('Parameters and Satisfaction'!$C$19="Ozone", 'Filtration System'!AA260*1000000, 0)</f>
        <v>4687500</v>
      </c>
      <c r="U296" s="118">
        <f>O296+$F$47+IF('Parameters and Satisfaction'!$C$19="Ozone", 'Filtration System'!AB260*1000000, 0)</f>
        <v>4687500</v>
      </c>
      <c r="V296" s="118">
        <f>P296+$F$47+IF('Parameters and Satisfaction'!$C$19="Ozone", 'Filtration System'!AC260*1000000, 0)</f>
        <v>4687500</v>
      </c>
      <c r="W296" s="118">
        <f>Q296+$F$47+IF('Parameters and Satisfaction'!$C$19="Ozone", 'Filtration System'!AD260*1000000, 0)</f>
        <v>5343121.5954165123</v>
      </c>
      <c r="X296" s="118">
        <f>R296+$F$47+IF('Parameters and Satisfaction'!$C$19="Ozone", 'Filtration System'!AE260*1000000, 0)</f>
        <v>4687500</v>
      </c>
      <c r="Y296" s="118"/>
      <c r="Z296" s="118">
        <f t="shared" si="36"/>
        <v>0.33482142857142855</v>
      </c>
      <c r="AA296" s="118">
        <f t="shared" si="37"/>
        <v>0.33482142857142855</v>
      </c>
      <c r="AB296" s="118">
        <f t="shared" si="38"/>
        <v>0.33482142857142855</v>
      </c>
      <c r="AC296" s="118">
        <f t="shared" si="39"/>
        <v>0.38165154252975086</v>
      </c>
      <c r="AD296" s="118">
        <f t="shared" si="40"/>
        <v>0.33482142857142855</v>
      </c>
      <c r="AE296" s="118"/>
      <c r="AF296" s="118"/>
      <c r="AG296" s="118"/>
      <c r="AK296">
        <f t="shared" si="43"/>
        <v>19877760</v>
      </c>
      <c r="AL296">
        <f t="shared" si="43"/>
        <v>19877760</v>
      </c>
      <c r="AM296">
        <f t="shared" si="43"/>
        <v>19877760</v>
      </c>
      <c r="AN296">
        <f t="shared" si="43"/>
        <v>19877760</v>
      </c>
      <c r="AO296">
        <f t="shared" si="43"/>
        <v>19877760</v>
      </c>
    </row>
    <row r="297" spans="1:41">
      <c r="A297" s="185">
        <f>'Water Stuff'!F231</f>
        <v>44788</v>
      </c>
      <c r="B297" s="118">
        <f>'Filtration System'!B261</f>
        <v>0</v>
      </c>
      <c r="C297" s="118">
        <f>'Filtration System'!C261</f>
        <v>0</v>
      </c>
      <c r="D297" s="118">
        <f>'Filtration System'!D261</f>
        <v>891.05480553294535</v>
      </c>
      <c r="E297" s="118">
        <f>'Filtration System'!E261</f>
        <v>0</v>
      </c>
      <c r="F297" s="118">
        <f>'Filtration System'!F261</f>
        <v>2336.6894261749781</v>
      </c>
      <c r="G297" s="118"/>
      <c r="H297" s="118">
        <f>B297/1000*(1000*9.81*Pumps!$B$14+'Parameters and Satisfaction'!$B$27)</f>
        <v>0</v>
      </c>
      <c r="I297" s="118">
        <f>C297/1000*(1000*9.81*Pumps!$B$14+'Parameters and Satisfaction'!$B$27)</f>
        <v>0</v>
      </c>
      <c r="J297" s="118">
        <f>D297/1000*(1000*9.81*Pumps!$B$14+'Parameters and Satisfaction'!$B$27)</f>
        <v>238850.07351363753</v>
      </c>
      <c r="K297" s="118">
        <f>E297/1000*(1000*9.81*Pumps!$B$14+'Parameters and Satisfaction'!$B$27)</f>
        <v>0</v>
      </c>
      <c r="L297" s="118">
        <f>F297/1000*(1000*9.81*Pumps!$B$14+'Parameters and Satisfaction'!$B$27)</f>
        <v>626357.02961796941</v>
      </c>
      <c r="M297" s="118"/>
      <c r="N297" s="118">
        <f>H297/IF('Parameters and Satisfaction'!$C$13="Pump A", 0.7, IF('Parameters and Satisfaction'!$C$13 = "Pump B", 0.72, 0.65))</f>
        <v>0</v>
      </c>
      <c r="O297" s="118">
        <f>I297/IF('Parameters and Satisfaction'!$C$13="Pump A", 0.7, IF('Parameters and Satisfaction'!$C$13 = "Pump B", 0.72, 0.65))</f>
        <v>0</v>
      </c>
      <c r="P297" s="118">
        <f>J297/IF('Parameters and Satisfaction'!$C$13="Pump A", 0.7, IF('Parameters and Satisfaction'!$C$13 = "Pump B", 0.72, 0.65))</f>
        <v>331736.21321338549</v>
      </c>
      <c r="Q297" s="118">
        <f>K297/IF('Parameters and Satisfaction'!$C$13="Pump A", 0.7, IF('Parameters and Satisfaction'!$C$13 = "Pump B", 0.72, 0.65))</f>
        <v>0</v>
      </c>
      <c r="R297" s="118">
        <f>L297/IF('Parameters and Satisfaction'!$C$13="Pump A", 0.7, IF('Parameters and Satisfaction'!$C$13 = "Pump B", 0.72, 0.65))</f>
        <v>869940.31891384639</v>
      </c>
      <c r="S297" s="118"/>
      <c r="T297" s="118">
        <f>N297+$F$47+IF('Parameters and Satisfaction'!$C$19="Ozone", 'Filtration System'!AA261*1000000, 0)</f>
        <v>4687500</v>
      </c>
      <c r="U297" s="118">
        <f>O297+$F$47+IF('Parameters and Satisfaction'!$C$19="Ozone", 'Filtration System'!AB261*1000000, 0)</f>
        <v>4687500</v>
      </c>
      <c r="V297" s="118">
        <f>P297+$F$47+IF('Parameters and Satisfaction'!$C$19="Ozone", 'Filtration System'!AC261*1000000, 0)</f>
        <v>5019236.2132133851</v>
      </c>
      <c r="W297" s="118">
        <f>Q297+$F$47+IF('Parameters and Satisfaction'!$C$19="Ozone", 'Filtration System'!AD261*1000000, 0)</f>
        <v>4687500</v>
      </c>
      <c r="X297" s="118">
        <f>R297+$F$47+IF('Parameters and Satisfaction'!$C$19="Ozone", 'Filtration System'!AE261*1000000, 0)</f>
        <v>5557440.3189138463</v>
      </c>
      <c r="Y297" s="118"/>
      <c r="Z297" s="118">
        <f t="shared" si="36"/>
        <v>0.33482142857142855</v>
      </c>
      <c r="AA297" s="118">
        <f t="shared" si="37"/>
        <v>0.33482142857142855</v>
      </c>
      <c r="AB297" s="118">
        <f t="shared" si="38"/>
        <v>0.35851687237238467</v>
      </c>
      <c r="AC297" s="118">
        <f t="shared" si="39"/>
        <v>0.33482142857142855</v>
      </c>
      <c r="AD297" s="118">
        <f t="shared" si="40"/>
        <v>0.39696002277956044</v>
      </c>
      <c r="AE297" s="118"/>
      <c r="AF297" s="118"/>
      <c r="AG297" s="118"/>
      <c r="AK297">
        <f t="shared" si="43"/>
        <v>19877760</v>
      </c>
      <c r="AL297">
        <f t="shared" si="43"/>
        <v>19877760</v>
      </c>
      <c r="AM297">
        <f t="shared" si="43"/>
        <v>19877760</v>
      </c>
      <c r="AN297">
        <f t="shared" si="43"/>
        <v>19877760</v>
      </c>
      <c r="AO297">
        <f t="shared" si="43"/>
        <v>19877760</v>
      </c>
    </row>
    <row r="298" spans="1:41">
      <c r="A298" s="185">
        <f>'Water Stuff'!F232</f>
        <v>44789</v>
      </c>
      <c r="B298" s="118">
        <f>'Filtration System'!B262</f>
        <v>0</v>
      </c>
      <c r="C298" s="118">
        <f>'Filtration System'!C262</f>
        <v>0</v>
      </c>
      <c r="D298" s="118">
        <f>'Filtration System'!D262</f>
        <v>597.21671365463362</v>
      </c>
      <c r="E298" s="118">
        <f>'Filtration System'!E262</f>
        <v>264.59002091068879</v>
      </c>
      <c r="F298" s="118">
        <f>'Filtration System'!F262</f>
        <v>2148.3025106004243</v>
      </c>
      <c r="G298" s="118"/>
      <c r="H298" s="118">
        <f>B298/1000*(1000*9.81*Pumps!$B$14+'Parameters and Satisfaction'!$B$27)</f>
        <v>0</v>
      </c>
      <c r="I298" s="118">
        <f>C298/1000*(1000*9.81*Pumps!$B$14+'Parameters and Satisfaction'!$B$27)</f>
        <v>0</v>
      </c>
      <c r="J298" s="118">
        <f>D298/1000*(1000*9.81*Pumps!$B$14+'Parameters and Satisfaction'!$B$27)</f>
        <v>160085.83879940497</v>
      </c>
      <c r="K298" s="118">
        <f>E298/1000*(1000*9.81*Pumps!$B$14+'Parameters and Satisfaction'!$B$27)</f>
        <v>70924.196304282523</v>
      </c>
      <c r="L298" s="118">
        <f>F298/1000*(1000*9.81*Pumps!$B$14+'Parameters and Satisfaction'!$B$27)</f>
        <v>575859.31796814885</v>
      </c>
      <c r="M298" s="118"/>
      <c r="N298" s="118">
        <f>H298/IF('Parameters and Satisfaction'!$C$13="Pump A", 0.7, IF('Parameters and Satisfaction'!$C$13 = "Pump B", 0.72, 0.65))</f>
        <v>0</v>
      </c>
      <c r="O298" s="118">
        <f>I298/IF('Parameters and Satisfaction'!$C$13="Pump A", 0.7, IF('Parameters and Satisfaction'!$C$13 = "Pump B", 0.72, 0.65))</f>
        <v>0</v>
      </c>
      <c r="P298" s="118">
        <f>J298/IF('Parameters and Satisfaction'!$C$13="Pump A", 0.7, IF('Parameters and Satisfaction'!$C$13 = "Pump B", 0.72, 0.65))</f>
        <v>222341.44277695136</v>
      </c>
      <c r="Q298" s="118">
        <f>K298/IF('Parameters and Satisfaction'!$C$13="Pump A", 0.7, IF('Parameters and Satisfaction'!$C$13 = "Pump B", 0.72, 0.65))</f>
        <v>98505.828200392396</v>
      </c>
      <c r="R298" s="118">
        <f>L298/IF('Parameters and Satisfaction'!$C$13="Pump A", 0.7, IF('Parameters and Satisfaction'!$C$13 = "Pump B", 0.72, 0.65))</f>
        <v>799804.60828909569</v>
      </c>
      <c r="S298" s="118"/>
      <c r="T298" s="118">
        <f>N298+$F$47+IF('Parameters and Satisfaction'!$C$19="Ozone", 'Filtration System'!AA262*1000000, 0)</f>
        <v>4687500</v>
      </c>
      <c r="U298" s="118">
        <f>O298+$F$47+IF('Parameters and Satisfaction'!$C$19="Ozone", 'Filtration System'!AB262*1000000, 0)</f>
        <v>4687500</v>
      </c>
      <c r="V298" s="118">
        <f>P298+$F$47+IF('Parameters and Satisfaction'!$C$19="Ozone", 'Filtration System'!AC262*1000000, 0)</f>
        <v>4909841.442776951</v>
      </c>
      <c r="W298" s="118">
        <f>Q298+$F$47+IF('Parameters and Satisfaction'!$C$19="Ozone", 'Filtration System'!AD262*1000000, 0)</f>
        <v>4786005.8282003924</v>
      </c>
      <c r="X298" s="118">
        <f>R298+$F$47+IF('Parameters and Satisfaction'!$C$19="Ozone", 'Filtration System'!AE262*1000000, 0)</f>
        <v>5487304.6082890956</v>
      </c>
      <c r="Y298" s="118"/>
      <c r="Z298" s="118">
        <f t="shared" si="36"/>
        <v>0.33482142857142855</v>
      </c>
      <c r="AA298" s="118">
        <f t="shared" si="37"/>
        <v>0.33482142857142855</v>
      </c>
      <c r="AB298" s="118">
        <f t="shared" si="38"/>
        <v>0.35070296019835362</v>
      </c>
      <c r="AC298" s="118">
        <f t="shared" si="39"/>
        <v>0.34185755915717086</v>
      </c>
      <c r="AD298" s="118">
        <f t="shared" si="40"/>
        <v>0.39195032916350681</v>
      </c>
      <c r="AE298" s="118"/>
      <c r="AF298" s="118"/>
      <c r="AG298" s="118"/>
      <c r="AK298">
        <f t="shared" si="43"/>
        <v>19877760</v>
      </c>
      <c r="AL298">
        <f t="shared" si="43"/>
        <v>19877760</v>
      </c>
      <c r="AM298">
        <f t="shared" si="43"/>
        <v>19877760</v>
      </c>
      <c r="AN298">
        <f t="shared" si="43"/>
        <v>19877760</v>
      </c>
      <c r="AO298">
        <f t="shared" si="43"/>
        <v>19877760</v>
      </c>
    </row>
    <row r="299" spans="1:41">
      <c r="A299" s="185">
        <f>'Water Stuff'!F233</f>
        <v>44790</v>
      </c>
      <c r="B299" s="118">
        <f>'Filtration System'!B263</f>
        <v>0</v>
      </c>
      <c r="C299" s="118">
        <f>'Filtration System'!C263</f>
        <v>0</v>
      </c>
      <c r="D299" s="118">
        <f>'Filtration System'!D263</f>
        <v>0</v>
      </c>
      <c r="E299" s="118">
        <f>'Filtration System'!E263</f>
        <v>1235.4088631561094</v>
      </c>
      <c r="F299" s="118">
        <f>'Filtration System'!F263</f>
        <v>0</v>
      </c>
      <c r="G299" s="118"/>
      <c r="H299" s="118">
        <f>B299/1000*(1000*9.81*Pumps!$B$14+'Parameters and Satisfaction'!$B$27)</f>
        <v>0</v>
      </c>
      <c r="I299" s="118">
        <f>C299/1000*(1000*9.81*Pumps!$B$14+'Parameters and Satisfaction'!$B$27)</f>
        <v>0</v>
      </c>
      <c r="J299" s="118">
        <f>D299/1000*(1000*9.81*Pumps!$B$14+'Parameters and Satisfaction'!$B$27)</f>
        <v>0</v>
      </c>
      <c r="K299" s="118">
        <f>E299/1000*(1000*9.81*Pumps!$B$14+'Parameters and Satisfaction'!$B$27)</f>
        <v>331155.27344891924</v>
      </c>
      <c r="L299" s="118">
        <f>F299/1000*(1000*9.81*Pumps!$B$14+'Parameters and Satisfaction'!$B$27)</f>
        <v>0</v>
      </c>
      <c r="M299" s="118"/>
      <c r="N299" s="118">
        <f>H299/IF('Parameters and Satisfaction'!$C$13="Pump A", 0.7, IF('Parameters and Satisfaction'!$C$13 = "Pump B", 0.72, 0.65))</f>
        <v>0</v>
      </c>
      <c r="O299" s="118">
        <f>I299/IF('Parameters and Satisfaction'!$C$13="Pump A", 0.7, IF('Parameters and Satisfaction'!$C$13 = "Pump B", 0.72, 0.65))</f>
        <v>0</v>
      </c>
      <c r="P299" s="118">
        <f>J299/IF('Parameters and Satisfaction'!$C$13="Pump A", 0.7, IF('Parameters and Satisfaction'!$C$13 = "Pump B", 0.72, 0.65))</f>
        <v>0</v>
      </c>
      <c r="Q299" s="118">
        <f>K299/IF('Parameters and Satisfaction'!$C$13="Pump A", 0.7, IF('Parameters and Satisfaction'!$C$13 = "Pump B", 0.72, 0.65))</f>
        <v>459937.87979016564</v>
      </c>
      <c r="R299" s="118">
        <f>L299/IF('Parameters and Satisfaction'!$C$13="Pump A", 0.7, IF('Parameters and Satisfaction'!$C$13 = "Pump B", 0.72, 0.65))</f>
        <v>0</v>
      </c>
      <c r="S299" s="118"/>
      <c r="T299" s="118">
        <f>N299+$F$47+IF('Parameters and Satisfaction'!$C$19="Ozone", 'Filtration System'!AA263*1000000, 0)</f>
        <v>4687500</v>
      </c>
      <c r="U299" s="118">
        <f>O299+$F$47+IF('Parameters and Satisfaction'!$C$19="Ozone", 'Filtration System'!AB263*1000000, 0)</f>
        <v>4687500</v>
      </c>
      <c r="V299" s="118">
        <f>P299+$F$47+IF('Parameters and Satisfaction'!$C$19="Ozone", 'Filtration System'!AC263*1000000, 0)</f>
        <v>4687500</v>
      </c>
      <c r="W299" s="118">
        <f>Q299+$F$47+IF('Parameters and Satisfaction'!$C$19="Ozone", 'Filtration System'!AD263*1000000, 0)</f>
        <v>5147437.8797901655</v>
      </c>
      <c r="X299" s="118">
        <f>R299+$F$47+IF('Parameters and Satisfaction'!$C$19="Ozone", 'Filtration System'!AE263*1000000, 0)</f>
        <v>4687500</v>
      </c>
      <c r="Y299" s="118"/>
      <c r="Z299" s="118">
        <f t="shared" si="36"/>
        <v>0.33482142857142855</v>
      </c>
      <c r="AA299" s="118">
        <f t="shared" si="37"/>
        <v>0.33482142857142855</v>
      </c>
      <c r="AB299" s="118">
        <f t="shared" si="38"/>
        <v>0.33482142857142855</v>
      </c>
      <c r="AC299" s="118">
        <f t="shared" si="39"/>
        <v>0.36767413427072609</v>
      </c>
      <c r="AD299" s="118">
        <f t="shared" si="40"/>
        <v>0.33482142857142855</v>
      </c>
      <c r="AE299" s="118"/>
      <c r="AF299" s="118"/>
      <c r="AG299" s="118"/>
      <c r="AK299">
        <f t="shared" si="43"/>
        <v>19877760</v>
      </c>
      <c r="AL299">
        <f t="shared" si="43"/>
        <v>19877760</v>
      </c>
      <c r="AM299">
        <f t="shared" si="43"/>
        <v>19877760</v>
      </c>
      <c r="AN299">
        <f t="shared" si="43"/>
        <v>19877760</v>
      </c>
      <c r="AO299">
        <f t="shared" si="43"/>
        <v>19877760</v>
      </c>
    </row>
    <row r="300" spans="1:41">
      <c r="A300" s="185">
        <f>'Water Stuff'!F234</f>
        <v>44791</v>
      </c>
      <c r="B300" s="118">
        <f>'Filtration System'!B264</f>
        <v>0</v>
      </c>
      <c r="C300" s="118">
        <f>'Filtration System'!C264</f>
        <v>0</v>
      </c>
      <c r="D300" s="118">
        <f>'Filtration System'!D264</f>
        <v>0</v>
      </c>
      <c r="E300" s="118">
        <f>'Filtration System'!E264</f>
        <v>0</v>
      </c>
      <c r="F300" s="118">
        <f>'Filtration System'!F264</f>
        <v>0</v>
      </c>
      <c r="G300" s="118"/>
      <c r="H300" s="118">
        <f>B300/1000*(1000*9.81*Pumps!$B$14+'Parameters and Satisfaction'!$B$27)</f>
        <v>0</v>
      </c>
      <c r="I300" s="118">
        <f>C300/1000*(1000*9.81*Pumps!$B$14+'Parameters and Satisfaction'!$B$27)</f>
        <v>0</v>
      </c>
      <c r="J300" s="118">
        <f>D300/1000*(1000*9.81*Pumps!$B$14+'Parameters and Satisfaction'!$B$27)</f>
        <v>0</v>
      </c>
      <c r="K300" s="118">
        <f>E300/1000*(1000*9.81*Pumps!$B$14+'Parameters and Satisfaction'!$B$27)</f>
        <v>0</v>
      </c>
      <c r="L300" s="118">
        <f>F300/1000*(1000*9.81*Pumps!$B$14+'Parameters and Satisfaction'!$B$27)</f>
        <v>0</v>
      </c>
      <c r="M300" s="118"/>
      <c r="N300" s="118">
        <f>H300/IF('Parameters and Satisfaction'!$C$13="Pump A", 0.7, IF('Parameters and Satisfaction'!$C$13 = "Pump B", 0.72, 0.65))</f>
        <v>0</v>
      </c>
      <c r="O300" s="118">
        <f>I300/IF('Parameters and Satisfaction'!$C$13="Pump A", 0.7, IF('Parameters and Satisfaction'!$C$13 = "Pump B", 0.72, 0.65))</f>
        <v>0</v>
      </c>
      <c r="P300" s="118">
        <f>J300/IF('Parameters and Satisfaction'!$C$13="Pump A", 0.7, IF('Parameters and Satisfaction'!$C$13 = "Pump B", 0.72, 0.65))</f>
        <v>0</v>
      </c>
      <c r="Q300" s="118">
        <f>K300/IF('Parameters and Satisfaction'!$C$13="Pump A", 0.7, IF('Parameters and Satisfaction'!$C$13 = "Pump B", 0.72, 0.65))</f>
        <v>0</v>
      </c>
      <c r="R300" s="118">
        <f>L300/IF('Parameters and Satisfaction'!$C$13="Pump A", 0.7, IF('Parameters and Satisfaction'!$C$13 = "Pump B", 0.72, 0.65))</f>
        <v>0</v>
      </c>
      <c r="S300" s="118"/>
      <c r="T300" s="118">
        <f>N300+$F$47+IF('Parameters and Satisfaction'!$C$19="Ozone", 'Filtration System'!AA264*1000000, 0)</f>
        <v>4687500</v>
      </c>
      <c r="U300" s="118">
        <f>O300+$F$47+IF('Parameters and Satisfaction'!$C$19="Ozone", 'Filtration System'!AB264*1000000, 0)</f>
        <v>4687500</v>
      </c>
      <c r="V300" s="118">
        <f>P300+$F$47+IF('Parameters and Satisfaction'!$C$19="Ozone", 'Filtration System'!AC264*1000000, 0)</f>
        <v>4687500</v>
      </c>
      <c r="W300" s="118">
        <f>Q300+$F$47+IF('Parameters and Satisfaction'!$C$19="Ozone", 'Filtration System'!AD264*1000000, 0)</f>
        <v>4687500</v>
      </c>
      <c r="X300" s="118">
        <f>R300+$F$47+IF('Parameters and Satisfaction'!$C$19="Ozone", 'Filtration System'!AE264*1000000, 0)</f>
        <v>4687500</v>
      </c>
      <c r="Y300" s="118"/>
      <c r="Z300" s="118">
        <f t="shared" si="36"/>
        <v>0.33482142857142855</v>
      </c>
      <c r="AA300" s="118">
        <f t="shared" si="37"/>
        <v>0.33482142857142855</v>
      </c>
      <c r="AB300" s="118">
        <f t="shared" si="38"/>
        <v>0.33482142857142855</v>
      </c>
      <c r="AC300" s="118">
        <f t="shared" si="39"/>
        <v>0.33482142857142855</v>
      </c>
      <c r="AD300" s="118">
        <f t="shared" si="40"/>
        <v>0.33482142857142855</v>
      </c>
      <c r="AE300" s="118"/>
      <c r="AF300" s="118"/>
      <c r="AG300" s="118"/>
      <c r="AK300">
        <f t="shared" si="43"/>
        <v>19877760</v>
      </c>
      <c r="AL300">
        <f t="shared" si="43"/>
        <v>19877760</v>
      </c>
      <c r="AM300">
        <f t="shared" si="43"/>
        <v>19877760</v>
      </c>
      <c r="AN300">
        <f t="shared" si="43"/>
        <v>19877760</v>
      </c>
      <c r="AO300">
        <f t="shared" si="43"/>
        <v>19877760</v>
      </c>
    </row>
    <row r="301" spans="1:41">
      <c r="A301" s="185">
        <f>'Water Stuff'!F235</f>
        <v>44792</v>
      </c>
      <c r="B301" s="118">
        <f>'Filtration System'!B265</f>
        <v>0</v>
      </c>
      <c r="C301" s="118">
        <f>'Filtration System'!C265</f>
        <v>0</v>
      </c>
      <c r="D301" s="118">
        <f>'Filtration System'!D265</f>
        <v>0</v>
      </c>
      <c r="E301" s="118">
        <f>'Filtration System'!E265</f>
        <v>0</v>
      </c>
      <c r="F301" s="118">
        <f>'Filtration System'!F265</f>
        <v>0</v>
      </c>
      <c r="G301" s="118"/>
      <c r="H301" s="118">
        <f>B301/1000*(1000*9.81*Pumps!$B$14+'Parameters and Satisfaction'!$B$27)</f>
        <v>0</v>
      </c>
      <c r="I301" s="118">
        <f>C301/1000*(1000*9.81*Pumps!$B$14+'Parameters and Satisfaction'!$B$27)</f>
        <v>0</v>
      </c>
      <c r="J301" s="118">
        <f>D301/1000*(1000*9.81*Pumps!$B$14+'Parameters and Satisfaction'!$B$27)</f>
        <v>0</v>
      </c>
      <c r="K301" s="118">
        <f>E301/1000*(1000*9.81*Pumps!$B$14+'Parameters and Satisfaction'!$B$27)</f>
        <v>0</v>
      </c>
      <c r="L301" s="118">
        <f>F301/1000*(1000*9.81*Pumps!$B$14+'Parameters and Satisfaction'!$B$27)</f>
        <v>0</v>
      </c>
      <c r="M301" s="118"/>
      <c r="N301" s="118">
        <f>H301/IF('Parameters and Satisfaction'!$C$13="Pump A", 0.7, IF('Parameters and Satisfaction'!$C$13 = "Pump B", 0.72, 0.65))</f>
        <v>0</v>
      </c>
      <c r="O301" s="118">
        <f>I301/IF('Parameters and Satisfaction'!$C$13="Pump A", 0.7, IF('Parameters and Satisfaction'!$C$13 = "Pump B", 0.72, 0.65))</f>
        <v>0</v>
      </c>
      <c r="P301" s="118">
        <f>J301/IF('Parameters and Satisfaction'!$C$13="Pump A", 0.7, IF('Parameters and Satisfaction'!$C$13 = "Pump B", 0.72, 0.65))</f>
        <v>0</v>
      </c>
      <c r="Q301" s="118">
        <f>K301/IF('Parameters and Satisfaction'!$C$13="Pump A", 0.7, IF('Parameters and Satisfaction'!$C$13 = "Pump B", 0.72, 0.65))</f>
        <v>0</v>
      </c>
      <c r="R301" s="118">
        <f>L301/IF('Parameters and Satisfaction'!$C$13="Pump A", 0.7, IF('Parameters and Satisfaction'!$C$13 = "Pump B", 0.72, 0.65))</f>
        <v>0</v>
      </c>
      <c r="S301" s="118"/>
      <c r="T301" s="118">
        <f>N301+$F$47+IF('Parameters and Satisfaction'!$C$19="Ozone", 'Filtration System'!AA265*1000000, 0)</f>
        <v>4687500</v>
      </c>
      <c r="U301" s="118">
        <f>O301+$F$47+IF('Parameters and Satisfaction'!$C$19="Ozone", 'Filtration System'!AB265*1000000, 0)</f>
        <v>4687500</v>
      </c>
      <c r="V301" s="118">
        <f>P301+$F$47+IF('Parameters and Satisfaction'!$C$19="Ozone", 'Filtration System'!AC265*1000000, 0)</f>
        <v>4687500</v>
      </c>
      <c r="W301" s="118">
        <f>Q301+$F$47+IF('Parameters and Satisfaction'!$C$19="Ozone", 'Filtration System'!AD265*1000000, 0)</f>
        <v>4687500</v>
      </c>
      <c r="X301" s="118">
        <f>R301+$F$47+IF('Parameters and Satisfaction'!$C$19="Ozone", 'Filtration System'!AE265*1000000, 0)</f>
        <v>4687500</v>
      </c>
      <c r="Y301" s="118"/>
      <c r="Z301" s="118">
        <f t="shared" si="36"/>
        <v>0.33482142857142855</v>
      </c>
      <c r="AA301" s="118">
        <f t="shared" si="37"/>
        <v>0.33482142857142855</v>
      </c>
      <c r="AB301" s="118">
        <f t="shared" si="38"/>
        <v>0.33482142857142855</v>
      </c>
      <c r="AC301" s="118">
        <f t="shared" si="39"/>
        <v>0.33482142857142855</v>
      </c>
      <c r="AD301" s="118">
        <f t="shared" si="40"/>
        <v>0.33482142857142855</v>
      </c>
      <c r="AE301" s="118"/>
      <c r="AF301" s="118"/>
      <c r="AG301" s="118"/>
      <c r="AK301">
        <f t="shared" si="43"/>
        <v>19877760</v>
      </c>
      <c r="AL301">
        <f t="shared" si="43"/>
        <v>19877760</v>
      </c>
      <c r="AM301">
        <f t="shared" si="43"/>
        <v>19877760</v>
      </c>
      <c r="AN301">
        <f t="shared" si="43"/>
        <v>19877760</v>
      </c>
      <c r="AO301">
        <f t="shared" si="43"/>
        <v>19877760</v>
      </c>
    </row>
    <row r="302" spans="1:41">
      <c r="A302" s="185">
        <f>'Water Stuff'!F236</f>
        <v>44793</v>
      </c>
      <c r="B302" s="118">
        <f>'Filtration System'!B266</f>
        <v>0</v>
      </c>
      <c r="C302" s="118">
        <f>'Filtration System'!C266</f>
        <v>0</v>
      </c>
      <c r="D302" s="118">
        <f>'Filtration System'!D266</f>
        <v>0</v>
      </c>
      <c r="E302" s="118">
        <f>'Filtration System'!E266</f>
        <v>102.46214664892284</v>
      </c>
      <c r="F302" s="118">
        <f>'Filtration System'!F266</f>
        <v>0</v>
      </c>
      <c r="G302" s="118"/>
      <c r="H302" s="118">
        <f>B302/1000*(1000*9.81*Pumps!$B$14+'Parameters and Satisfaction'!$B$27)</f>
        <v>0</v>
      </c>
      <c r="I302" s="118">
        <f>C302/1000*(1000*9.81*Pumps!$B$14+'Parameters and Satisfaction'!$B$27)</f>
        <v>0</v>
      </c>
      <c r="J302" s="118">
        <f>D302/1000*(1000*9.81*Pumps!$B$14+'Parameters and Satisfaction'!$B$27)</f>
        <v>0</v>
      </c>
      <c r="K302" s="118">
        <f>E302/1000*(1000*9.81*Pumps!$B$14+'Parameters and Satisfaction'!$B$27)</f>
        <v>27465.304162545672</v>
      </c>
      <c r="L302" s="118">
        <f>F302/1000*(1000*9.81*Pumps!$B$14+'Parameters and Satisfaction'!$B$27)</f>
        <v>0</v>
      </c>
      <c r="M302" s="118"/>
      <c r="N302" s="118">
        <f>H302/IF('Parameters and Satisfaction'!$C$13="Pump A", 0.7, IF('Parameters and Satisfaction'!$C$13 = "Pump B", 0.72, 0.65))</f>
        <v>0</v>
      </c>
      <c r="O302" s="118">
        <f>I302/IF('Parameters and Satisfaction'!$C$13="Pump A", 0.7, IF('Parameters and Satisfaction'!$C$13 = "Pump B", 0.72, 0.65))</f>
        <v>0</v>
      </c>
      <c r="P302" s="118">
        <f>J302/IF('Parameters and Satisfaction'!$C$13="Pump A", 0.7, IF('Parameters and Satisfaction'!$C$13 = "Pump B", 0.72, 0.65))</f>
        <v>0</v>
      </c>
      <c r="Q302" s="118">
        <f>K302/IF('Parameters and Satisfaction'!$C$13="Pump A", 0.7, IF('Parameters and Satisfaction'!$C$13 = "Pump B", 0.72, 0.65))</f>
        <v>38146.255781313434</v>
      </c>
      <c r="R302" s="118">
        <f>L302/IF('Parameters and Satisfaction'!$C$13="Pump A", 0.7, IF('Parameters and Satisfaction'!$C$13 = "Pump B", 0.72, 0.65))</f>
        <v>0</v>
      </c>
      <c r="S302" s="118"/>
      <c r="T302" s="118">
        <f>N302+$F$47+IF('Parameters and Satisfaction'!$C$19="Ozone", 'Filtration System'!AA266*1000000, 0)</f>
        <v>4687500</v>
      </c>
      <c r="U302" s="118">
        <f>O302+$F$47+IF('Parameters and Satisfaction'!$C$19="Ozone", 'Filtration System'!AB266*1000000, 0)</f>
        <v>4687500</v>
      </c>
      <c r="V302" s="118">
        <f>P302+$F$47+IF('Parameters and Satisfaction'!$C$19="Ozone", 'Filtration System'!AC266*1000000, 0)</f>
        <v>4687500</v>
      </c>
      <c r="W302" s="118">
        <f>Q302+$F$47+IF('Parameters and Satisfaction'!$C$19="Ozone", 'Filtration System'!AD266*1000000, 0)</f>
        <v>4725646.2557813134</v>
      </c>
      <c r="X302" s="118">
        <f>R302+$F$47+IF('Parameters and Satisfaction'!$C$19="Ozone", 'Filtration System'!AE266*1000000, 0)</f>
        <v>4687500</v>
      </c>
      <c r="Y302" s="118"/>
      <c r="Z302" s="118">
        <f t="shared" si="36"/>
        <v>0.33482142857142855</v>
      </c>
      <c r="AA302" s="118">
        <f t="shared" si="37"/>
        <v>0.33482142857142855</v>
      </c>
      <c r="AB302" s="118">
        <f t="shared" si="38"/>
        <v>0.33482142857142855</v>
      </c>
      <c r="AC302" s="118">
        <f t="shared" si="39"/>
        <v>0.33754616112723668</v>
      </c>
      <c r="AD302" s="118">
        <f t="shared" si="40"/>
        <v>0.33482142857142855</v>
      </c>
      <c r="AE302" s="118"/>
      <c r="AF302" s="118"/>
      <c r="AG302" s="118"/>
      <c r="AK302">
        <f t="shared" si="43"/>
        <v>19877760</v>
      </c>
      <c r="AL302">
        <f t="shared" si="43"/>
        <v>19877760</v>
      </c>
      <c r="AM302">
        <f t="shared" si="43"/>
        <v>19877760</v>
      </c>
      <c r="AN302">
        <f t="shared" si="43"/>
        <v>19877760</v>
      </c>
      <c r="AO302">
        <f t="shared" si="43"/>
        <v>19877760</v>
      </c>
    </row>
    <row r="303" spans="1:41">
      <c r="A303" s="185">
        <f>'Water Stuff'!F237</f>
        <v>44794</v>
      </c>
      <c r="B303" s="118">
        <f>'Filtration System'!B267</f>
        <v>0</v>
      </c>
      <c r="C303" s="118">
        <f>'Filtration System'!C267</f>
        <v>0</v>
      </c>
      <c r="D303" s="118">
        <f>'Filtration System'!D267</f>
        <v>0</v>
      </c>
      <c r="E303" s="118">
        <f>'Filtration System'!E267</f>
        <v>758.8633430447278</v>
      </c>
      <c r="F303" s="118">
        <f>'Filtration System'!F267</f>
        <v>0</v>
      </c>
      <c r="G303" s="118"/>
      <c r="H303" s="118">
        <f>B303/1000*(1000*9.81*Pumps!$B$14+'Parameters and Satisfaction'!$B$27)</f>
        <v>0</v>
      </c>
      <c r="I303" s="118">
        <f>C303/1000*(1000*9.81*Pumps!$B$14+'Parameters and Satisfaction'!$B$27)</f>
        <v>0</v>
      </c>
      <c r="J303" s="118">
        <f>D303/1000*(1000*9.81*Pumps!$B$14+'Parameters and Satisfaction'!$B$27)</f>
        <v>0</v>
      </c>
      <c r="K303" s="118">
        <f>E303/1000*(1000*9.81*Pumps!$B$14+'Parameters and Satisfaction'!$B$27)</f>
        <v>203415.73172329002</v>
      </c>
      <c r="L303" s="118">
        <f>F303/1000*(1000*9.81*Pumps!$B$14+'Parameters and Satisfaction'!$B$27)</f>
        <v>0</v>
      </c>
      <c r="M303" s="118"/>
      <c r="N303" s="118">
        <f>H303/IF('Parameters and Satisfaction'!$C$13="Pump A", 0.7, IF('Parameters and Satisfaction'!$C$13 = "Pump B", 0.72, 0.65))</f>
        <v>0</v>
      </c>
      <c r="O303" s="118">
        <f>I303/IF('Parameters and Satisfaction'!$C$13="Pump A", 0.7, IF('Parameters and Satisfaction'!$C$13 = "Pump B", 0.72, 0.65))</f>
        <v>0</v>
      </c>
      <c r="P303" s="118">
        <f>J303/IF('Parameters and Satisfaction'!$C$13="Pump A", 0.7, IF('Parameters and Satisfaction'!$C$13 = "Pump B", 0.72, 0.65))</f>
        <v>0</v>
      </c>
      <c r="Q303" s="118">
        <f>K303/IF('Parameters and Satisfaction'!$C$13="Pump A", 0.7, IF('Parameters and Satisfaction'!$C$13 = "Pump B", 0.72, 0.65))</f>
        <v>282521.84961568058</v>
      </c>
      <c r="R303" s="118">
        <f>L303/IF('Parameters and Satisfaction'!$C$13="Pump A", 0.7, IF('Parameters and Satisfaction'!$C$13 = "Pump B", 0.72, 0.65))</f>
        <v>0</v>
      </c>
      <c r="S303" s="118"/>
      <c r="T303" s="118">
        <f>N303+$F$47+IF('Parameters and Satisfaction'!$C$19="Ozone", 'Filtration System'!AA267*1000000, 0)</f>
        <v>4687500</v>
      </c>
      <c r="U303" s="118">
        <f>O303+$F$47+IF('Parameters and Satisfaction'!$C$19="Ozone", 'Filtration System'!AB267*1000000, 0)</f>
        <v>4687500</v>
      </c>
      <c r="V303" s="118">
        <f>P303+$F$47+IF('Parameters and Satisfaction'!$C$19="Ozone", 'Filtration System'!AC267*1000000, 0)</f>
        <v>4687500</v>
      </c>
      <c r="W303" s="118">
        <f>Q303+$F$47+IF('Parameters and Satisfaction'!$C$19="Ozone", 'Filtration System'!AD267*1000000, 0)</f>
        <v>4970021.849615681</v>
      </c>
      <c r="X303" s="118">
        <f>R303+$F$47+IF('Parameters and Satisfaction'!$C$19="Ozone", 'Filtration System'!AE267*1000000, 0)</f>
        <v>4687500</v>
      </c>
      <c r="Y303" s="118"/>
      <c r="Z303" s="118">
        <f t="shared" si="36"/>
        <v>0.33482142857142855</v>
      </c>
      <c r="AA303" s="118">
        <f t="shared" si="37"/>
        <v>0.33482142857142855</v>
      </c>
      <c r="AB303" s="118">
        <f t="shared" si="38"/>
        <v>0.33482142857142855</v>
      </c>
      <c r="AC303" s="118">
        <f t="shared" si="39"/>
        <v>0.35500156068683436</v>
      </c>
      <c r="AD303" s="118">
        <f t="shared" si="40"/>
        <v>0.33482142857142855</v>
      </c>
      <c r="AE303" s="118"/>
      <c r="AF303" s="118"/>
      <c r="AG303" s="118"/>
      <c r="AK303">
        <f t="shared" ref="AK303:AO313" si="44">$D$62</f>
        <v>19877760</v>
      </c>
      <c r="AL303">
        <f t="shared" si="44"/>
        <v>19877760</v>
      </c>
      <c r="AM303">
        <f t="shared" si="44"/>
        <v>19877760</v>
      </c>
      <c r="AN303">
        <f t="shared" si="44"/>
        <v>19877760</v>
      </c>
      <c r="AO303">
        <f t="shared" si="44"/>
        <v>19877760</v>
      </c>
    </row>
    <row r="304" spans="1:41">
      <c r="A304" s="185">
        <f>'Water Stuff'!F238</f>
        <v>44795</v>
      </c>
      <c r="B304" s="118">
        <f>'Filtration System'!B268</f>
        <v>0</v>
      </c>
      <c r="C304" s="118">
        <f>'Filtration System'!C268</f>
        <v>0</v>
      </c>
      <c r="D304" s="118">
        <f>'Filtration System'!D268</f>
        <v>0</v>
      </c>
      <c r="E304" s="118">
        <f>'Filtration System'!E268</f>
        <v>0</v>
      </c>
      <c r="F304" s="118">
        <f>'Filtration System'!F268</f>
        <v>0</v>
      </c>
      <c r="G304" s="118"/>
      <c r="H304" s="118">
        <f>B304/1000*(1000*9.81*Pumps!$B$14+'Parameters and Satisfaction'!$B$27)</f>
        <v>0</v>
      </c>
      <c r="I304" s="118">
        <f>C304/1000*(1000*9.81*Pumps!$B$14+'Parameters and Satisfaction'!$B$27)</f>
        <v>0</v>
      </c>
      <c r="J304" s="118">
        <f>D304/1000*(1000*9.81*Pumps!$B$14+'Parameters and Satisfaction'!$B$27)</f>
        <v>0</v>
      </c>
      <c r="K304" s="118">
        <f>E304/1000*(1000*9.81*Pumps!$B$14+'Parameters and Satisfaction'!$B$27)</f>
        <v>0</v>
      </c>
      <c r="L304" s="118">
        <f>F304/1000*(1000*9.81*Pumps!$B$14+'Parameters and Satisfaction'!$B$27)</f>
        <v>0</v>
      </c>
      <c r="M304" s="118"/>
      <c r="N304" s="118">
        <f>H304/IF('Parameters and Satisfaction'!$C$13="Pump A", 0.7, IF('Parameters and Satisfaction'!$C$13 = "Pump B", 0.72, 0.65))</f>
        <v>0</v>
      </c>
      <c r="O304" s="118">
        <f>I304/IF('Parameters and Satisfaction'!$C$13="Pump A", 0.7, IF('Parameters and Satisfaction'!$C$13 = "Pump B", 0.72, 0.65))</f>
        <v>0</v>
      </c>
      <c r="P304" s="118">
        <f>J304/IF('Parameters and Satisfaction'!$C$13="Pump A", 0.7, IF('Parameters and Satisfaction'!$C$13 = "Pump B", 0.72, 0.65))</f>
        <v>0</v>
      </c>
      <c r="Q304" s="118">
        <f>K304/IF('Parameters and Satisfaction'!$C$13="Pump A", 0.7, IF('Parameters and Satisfaction'!$C$13 = "Pump B", 0.72, 0.65))</f>
        <v>0</v>
      </c>
      <c r="R304" s="118">
        <f>L304/IF('Parameters and Satisfaction'!$C$13="Pump A", 0.7, IF('Parameters and Satisfaction'!$C$13 = "Pump B", 0.72, 0.65))</f>
        <v>0</v>
      </c>
      <c r="S304" s="118"/>
      <c r="T304" s="118">
        <f>N304+$F$47+IF('Parameters and Satisfaction'!$C$19="Ozone", 'Filtration System'!AA268*1000000, 0)</f>
        <v>4687500</v>
      </c>
      <c r="U304" s="118">
        <f>O304+$F$47+IF('Parameters and Satisfaction'!$C$19="Ozone", 'Filtration System'!AB268*1000000, 0)</f>
        <v>4687500</v>
      </c>
      <c r="V304" s="118">
        <f>P304+$F$47+IF('Parameters and Satisfaction'!$C$19="Ozone", 'Filtration System'!AC268*1000000, 0)</f>
        <v>4687500</v>
      </c>
      <c r="W304" s="118">
        <f>Q304+$F$47+IF('Parameters and Satisfaction'!$C$19="Ozone", 'Filtration System'!AD268*1000000, 0)</f>
        <v>4687500</v>
      </c>
      <c r="X304" s="118">
        <f>R304+$F$47+IF('Parameters and Satisfaction'!$C$19="Ozone", 'Filtration System'!AE268*1000000, 0)</f>
        <v>4687500</v>
      </c>
      <c r="Y304" s="118"/>
      <c r="Z304" s="118">
        <f t="shared" si="36"/>
        <v>0.33482142857142855</v>
      </c>
      <c r="AA304" s="118">
        <f t="shared" si="37"/>
        <v>0.33482142857142855</v>
      </c>
      <c r="AB304" s="118">
        <f t="shared" si="38"/>
        <v>0.33482142857142855</v>
      </c>
      <c r="AC304" s="118">
        <f t="shared" si="39"/>
        <v>0.33482142857142855</v>
      </c>
      <c r="AD304" s="118">
        <f t="shared" si="40"/>
        <v>0.33482142857142855</v>
      </c>
      <c r="AE304" s="118"/>
      <c r="AF304" s="118"/>
      <c r="AG304" s="118"/>
      <c r="AK304">
        <f t="shared" si="44"/>
        <v>19877760</v>
      </c>
      <c r="AL304">
        <f t="shared" si="44"/>
        <v>19877760</v>
      </c>
      <c r="AM304">
        <f t="shared" si="44"/>
        <v>19877760</v>
      </c>
      <c r="AN304">
        <f t="shared" si="44"/>
        <v>19877760</v>
      </c>
      <c r="AO304">
        <f t="shared" si="44"/>
        <v>19877760</v>
      </c>
    </row>
    <row r="305" spans="1:41">
      <c r="A305" s="185">
        <f>'Water Stuff'!F239</f>
        <v>44796</v>
      </c>
      <c r="B305" s="118">
        <f>'Filtration System'!B269</f>
        <v>0</v>
      </c>
      <c r="C305" s="118">
        <f>'Filtration System'!C269</f>
        <v>0</v>
      </c>
      <c r="D305" s="118">
        <f>'Filtration System'!D269</f>
        <v>580.31672791303617</v>
      </c>
      <c r="E305" s="118">
        <f>'Filtration System'!E269</f>
        <v>0</v>
      </c>
      <c r="F305" s="118">
        <f>'Filtration System'!F269</f>
        <v>0</v>
      </c>
      <c r="G305" s="118"/>
      <c r="H305" s="118">
        <f>B305/1000*(1000*9.81*Pumps!$B$14+'Parameters and Satisfaction'!$B$27)</f>
        <v>0</v>
      </c>
      <c r="I305" s="118">
        <f>C305/1000*(1000*9.81*Pumps!$B$14+'Parameters and Satisfaction'!$B$27)</f>
        <v>0</v>
      </c>
      <c r="J305" s="118">
        <f>D305/1000*(1000*9.81*Pumps!$B$14+'Parameters and Satisfaction'!$B$27)</f>
        <v>155555.74389200399</v>
      </c>
      <c r="K305" s="118">
        <f>E305/1000*(1000*9.81*Pumps!$B$14+'Parameters and Satisfaction'!$B$27)</f>
        <v>0</v>
      </c>
      <c r="L305" s="118">
        <f>F305/1000*(1000*9.81*Pumps!$B$14+'Parameters and Satisfaction'!$B$27)</f>
        <v>0</v>
      </c>
      <c r="M305" s="118"/>
      <c r="N305" s="118">
        <f>H305/IF('Parameters and Satisfaction'!$C$13="Pump A", 0.7, IF('Parameters and Satisfaction'!$C$13 = "Pump B", 0.72, 0.65))</f>
        <v>0</v>
      </c>
      <c r="O305" s="118">
        <f>I305/IF('Parameters and Satisfaction'!$C$13="Pump A", 0.7, IF('Parameters and Satisfaction'!$C$13 = "Pump B", 0.72, 0.65))</f>
        <v>0</v>
      </c>
      <c r="P305" s="118">
        <f>J305/IF('Parameters and Satisfaction'!$C$13="Pump A", 0.7, IF('Parameters and Satisfaction'!$C$13 = "Pump B", 0.72, 0.65))</f>
        <v>216049.64429445</v>
      </c>
      <c r="Q305" s="118">
        <f>K305/IF('Parameters and Satisfaction'!$C$13="Pump A", 0.7, IF('Parameters and Satisfaction'!$C$13 = "Pump B", 0.72, 0.65))</f>
        <v>0</v>
      </c>
      <c r="R305" s="118">
        <f>L305/IF('Parameters and Satisfaction'!$C$13="Pump A", 0.7, IF('Parameters and Satisfaction'!$C$13 = "Pump B", 0.72, 0.65))</f>
        <v>0</v>
      </c>
      <c r="S305" s="118"/>
      <c r="T305" s="118">
        <f>N305+$F$47+IF('Parameters and Satisfaction'!$C$19="Ozone", 'Filtration System'!AA269*1000000, 0)</f>
        <v>4687500</v>
      </c>
      <c r="U305" s="118">
        <f>O305+$F$47+IF('Parameters and Satisfaction'!$C$19="Ozone", 'Filtration System'!AB269*1000000, 0)</f>
        <v>4687500</v>
      </c>
      <c r="V305" s="118">
        <f>P305+$F$47+IF('Parameters and Satisfaction'!$C$19="Ozone", 'Filtration System'!AC269*1000000, 0)</f>
        <v>4903549.6442944501</v>
      </c>
      <c r="W305" s="118">
        <f>Q305+$F$47+IF('Parameters and Satisfaction'!$C$19="Ozone", 'Filtration System'!AD269*1000000, 0)</f>
        <v>4687500</v>
      </c>
      <c r="X305" s="118">
        <f>R305+$F$47+IF('Parameters and Satisfaction'!$C$19="Ozone", 'Filtration System'!AE269*1000000, 0)</f>
        <v>4687500</v>
      </c>
      <c r="Y305" s="118"/>
      <c r="Z305" s="118">
        <f t="shared" si="36"/>
        <v>0.33482142857142855</v>
      </c>
      <c r="AA305" s="118">
        <f t="shared" si="37"/>
        <v>0.33482142857142855</v>
      </c>
      <c r="AB305" s="118">
        <f t="shared" si="38"/>
        <v>0.35025354602103215</v>
      </c>
      <c r="AC305" s="118">
        <f t="shared" si="39"/>
        <v>0.33482142857142855</v>
      </c>
      <c r="AD305" s="118">
        <f t="shared" si="40"/>
        <v>0.33482142857142855</v>
      </c>
      <c r="AE305" s="118"/>
      <c r="AF305" s="118"/>
      <c r="AG305" s="118"/>
      <c r="AK305">
        <f t="shared" si="44"/>
        <v>19877760</v>
      </c>
      <c r="AL305">
        <f t="shared" si="44"/>
        <v>19877760</v>
      </c>
      <c r="AM305">
        <f t="shared" si="44"/>
        <v>19877760</v>
      </c>
      <c r="AN305">
        <f t="shared" si="44"/>
        <v>19877760</v>
      </c>
      <c r="AO305">
        <f t="shared" si="44"/>
        <v>19877760</v>
      </c>
    </row>
    <row r="306" spans="1:41">
      <c r="A306" s="185">
        <f>'Water Stuff'!F240</f>
        <v>44797</v>
      </c>
      <c r="B306" s="118">
        <f>'Filtration System'!B270</f>
        <v>0</v>
      </c>
      <c r="C306" s="118">
        <f>'Filtration System'!C270</f>
        <v>0</v>
      </c>
      <c r="D306" s="118">
        <f>'Filtration System'!D270</f>
        <v>996.50898847098381</v>
      </c>
      <c r="E306" s="118">
        <f>'Filtration System'!E270</f>
        <v>210.16371230469181</v>
      </c>
      <c r="F306" s="118">
        <f>'Filtration System'!F270</f>
        <v>1499.6826283449946</v>
      </c>
      <c r="G306" s="118"/>
      <c r="H306" s="118">
        <f>B306/1000*(1000*9.81*Pumps!$B$14+'Parameters and Satisfaction'!$B$27)</f>
        <v>0</v>
      </c>
      <c r="I306" s="118">
        <f>C306/1000*(1000*9.81*Pumps!$B$14+'Parameters and Satisfaction'!$B$27)</f>
        <v>0</v>
      </c>
      <c r="J306" s="118">
        <f>D306/1000*(1000*9.81*Pumps!$B$14+'Parameters and Satisfaction'!$B$27)</f>
        <v>267117.40251592727</v>
      </c>
      <c r="K306" s="118">
        <f>E306/1000*(1000*9.81*Pumps!$B$14+'Parameters and Satisfaction'!$B$27)</f>
        <v>56335.051247326024</v>
      </c>
      <c r="L306" s="118">
        <f>F306/1000*(1000*9.81*Pumps!$B$14+'Parameters and Satisfaction'!$B$27)</f>
        <v>401994.69640151475</v>
      </c>
      <c r="M306" s="118"/>
      <c r="N306" s="118">
        <f>H306/IF('Parameters and Satisfaction'!$C$13="Pump A", 0.7, IF('Parameters and Satisfaction'!$C$13 = "Pump B", 0.72, 0.65))</f>
        <v>0</v>
      </c>
      <c r="O306" s="118">
        <f>I306/IF('Parameters and Satisfaction'!$C$13="Pump A", 0.7, IF('Parameters and Satisfaction'!$C$13 = "Pump B", 0.72, 0.65))</f>
        <v>0</v>
      </c>
      <c r="P306" s="118">
        <f>J306/IF('Parameters and Satisfaction'!$C$13="Pump A", 0.7, IF('Parameters and Satisfaction'!$C$13 = "Pump B", 0.72, 0.65))</f>
        <v>370996.39238323236</v>
      </c>
      <c r="Q306" s="118">
        <f>K306/IF('Parameters and Satisfaction'!$C$13="Pump A", 0.7, IF('Parameters and Satisfaction'!$C$13 = "Pump B", 0.72, 0.65))</f>
        <v>78243.126732397257</v>
      </c>
      <c r="R306" s="118">
        <f>L306/IF('Parameters and Satisfaction'!$C$13="Pump A", 0.7, IF('Parameters and Satisfaction'!$C$13 = "Pump B", 0.72, 0.65))</f>
        <v>558325.9672243261</v>
      </c>
      <c r="S306" s="118"/>
      <c r="T306" s="118">
        <f>N306+$F$47+IF('Parameters and Satisfaction'!$C$19="Ozone", 'Filtration System'!AA270*1000000, 0)</f>
        <v>4687500</v>
      </c>
      <c r="U306" s="118">
        <f>O306+$F$47+IF('Parameters and Satisfaction'!$C$19="Ozone", 'Filtration System'!AB270*1000000, 0)</f>
        <v>4687500</v>
      </c>
      <c r="V306" s="118">
        <f>P306+$F$47+IF('Parameters and Satisfaction'!$C$19="Ozone", 'Filtration System'!AC270*1000000, 0)</f>
        <v>5058496.3923832327</v>
      </c>
      <c r="W306" s="118">
        <f>Q306+$F$47+IF('Parameters and Satisfaction'!$C$19="Ozone", 'Filtration System'!AD270*1000000, 0)</f>
        <v>4765743.1267323969</v>
      </c>
      <c r="X306" s="118">
        <f>R306+$F$47+IF('Parameters and Satisfaction'!$C$19="Ozone", 'Filtration System'!AE270*1000000, 0)</f>
        <v>5245825.967224326</v>
      </c>
      <c r="Y306" s="118"/>
      <c r="Z306" s="118">
        <f t="shared" si="36"/>
        <v>0.33482142857142855</v>
      </c>
      <c r="AA306" s="118">
        <f t="shared" si="37"/>
        <v>0.33482142857142855</v>
      </c>
      <c r="AB306" s="118">
        <f t="shared" si="38"/>
        <v>0.3613211708845166</v>
      </c>
      <c r="AC306" s="118">
        <f t="shared" si="39"/>
        <v>0.34041022333802834</v>
      </c>
      <c r="AD306" s="118">
        <f t="shared" si="40"/>
        <v>0.37470185480173757</v>
      </c>
      <c r="AE306" s="118"/>
      <c r="AF306" s="118"/>
      <c r="AG306" s="118"/>
      <c r="AK306">
        <f t="shared" si="44"/>
        <v>19877760</v>
      </c>
      <c r="AL306">
        <f t="shared" si="44"/>
        <v>19877760</v>
      </c>
      <c r="AM306">
        <f t="shared" si="44"/>
        <v>19877760</v>
      </c>
      <c r="AN306">
        <f t="shared" si="44"/>
        <v>19877760</v>
      </c>
      <c r="AO306">
        <f t="shared" si="44"/>
        <v>19877760</v>
      </c>
    </row>
    <row r="307" spans="1:41">
      <c r="A307" s="185">
        <f>'Water Stuff'!F241</f>
        <v>44798</v>
      </c>
      <c r="B307" s="118">
        <f>'Filtration System'!B271</f>
        <v>0</v>
      </c>
      <c r="C307" s="118">
        <f>'Filtration System'!C271</f>
        <v>0</v>
      </c>
      <c r="D307" s="118">
        <f>'Filtration System'!D271</f>
        <v>884.38365328209318</v>
      </c>
      <c r="E307" s="118">
        <f>'Filtration System'!E271</f>
        <v>1350.0388468128965</v>
      </c>
      <c r="F307" s="118">
        <f>'Filtration System'!F271</f>
        <v>0</v>
      </c>
      <c r="G307" s="118"/>
      <c r="H307" s="118">
        <f>B307/1000*(1000*9.81*Pumps!$B$14+'Parameters and Satisfaction'!$B$27)</f>
        <v>0</v>
      </c>
      <c r="I307" s="118">
        <f>C307/1000*(1000*9.81*Pumps!$B$14+'Parameters and Satisfaction'!$B$27)</f>
        <v>0</v>
      </c>
      <c r="J307" s="118">
        <f>D307/1000*(1000*9.81*Pumps!$B$14+'Parameters and Satisfaction'!$B$27)</f>
        <v>237061.84994350182</v>
      </c>
      <c r="K307" s="118">
        <f>E307/1000*(1000*9.81*Pumps!$B$14+'Parameters and Satisfaction'!$B$27)</f>
        <v>361882.2050060808</v>
      </c>
      <c r="L307" s="118">
        <f>F307/1000*(1000*9.81*Pumps!$B$14+'Parameters and Satisfaction'!$B$27)</f>
        <v>0</v>
      </c>
      <c r="M307" s="118"/>
      <c r="N307" s="118">
        <f>H307/IF('Parameters and Satisfaction'!$C$13="Pump A", 0.7, IF('Parameters and Satisfaction'!$C$13 = "Pump B", 0.72, 0.65))</f>
        <v>0</v>
      </c>
      <c r="O307" s="118">
        <f>I307/IF('Parameters and Satisfaction'!$C$13="Pump A", 0.7, IF('Parameters and Satisfaction'!$C$13 = "Pump B", 0.72, 0.65))</f>
        <v>0</v>
      </c>
      <c r="P307" s="118">
        <f>J307/IF('Parameters and Satisfaction'!$C$13="Pump A", 0.7, IF('Parameters and Satisfaction'!$C$13 = "Pump B", 0.72, 0.65))</f>
        <v>329252.56936597475</v>
      </c>
      <c r="Q307" s="118">
        <f>K307/IF('Parameters and Satisfaction'!$C$13="Pump A", 0.7, IF('Parameters and Satisfaction'!$C$13 = "Pump B", 0.72, 0.65))</f>
        <v>502614.17361955671</v>
      </c>
      <c r="R307" s="118">
        <f>L307/IF('Parameters and Satisfaction'!$C$13="Pump A", 0.7, IF('Parameters and Satisfaction'!$C$13 = "Pump B", 0.72, 0.65))</f>
        <v>0</v>
      </c>
      <c r="S307" s="118"/>
      <c r="T307" s="118">
        <f>N307+$F$47+IF('Parameters and Satisfaction'!$C$19="Ozone", 'Filtration System'!AA271*1000000, 0)</f>
        <v>4687500</v>
      </c>
      <c r="U307" s="118">
        <f>O307+$F$47+IF('Parameters and Satisfaction'!$C$19="Ozone", 'Filtration System'!AB271*1000000, 0)</f>
        <v>4687500</v>
      </c>
      <c r="V307" s="118">
        <f>P307+$F$47+IF('Parameters and Satisfaction'!$C$19="Ozone", 'Filtration System'!AC271*1000000, 0)</f>
        <v>5016752.5693659745</v>
      </c>
      <c r="W307" s="118">
        <f>Q307+$F$47+IF('Parameters and Satisfaction'!$C$19="Ozone", 'Filtration System'!AD271*1000000, 0)</f>
        <v>5190114.1736195572</v>
      </c>
      <c r="X307" s="118">
        <f>R307+$F$47+IF('Parameters and Satisfaction'!$C$19="Ozone", 'Filtration System'!AE271*1000000, 0)</f>
        <v>4687500</v>
      </c>
      <c r="Y307" s="118"/>
      <c r="Z307" s="118">
        <f t="shared" si="36"/>
        <v>0.33482142857142855</v>
      </c>
      <c r="AA307" s="118">
        <f t="shared" si="37"/>
        <v>0.33482142857142855</v>
      </c>
      <c r="AB307" s="118">
        <f t="shared" si="38"/>
        <v>0.35833946924042676</v>
      </c>
      <c r="AC307" s="118">
        <f t="shared" si="39"/>
        <v>0.37072244097282553</v>
      </c>
      <c r="AD307" s="118">
        <f t="shared" si="40"/>
        <v>0.33482142857142855</v>
      </c>
      <c r="AE307" s="118"/>
      <c r="AF307" s="118"/>
      <c r="AG307" s="118"/>
      <c r="AK307">
        <f t="shared" si="44"/>
        <v>19877760</v>
      </c>
      <c r="AL307">
        <f t="shared" si="44"/>
        <v>19877760</v>
      </c>
      <c r="AM307">
        <f t="shared" si="44"/>
        <v>19877760</v>
      </c>
      <c r="AN307">
        <f t="shared" si="44"/>
        <v>19877760</v>
      </c>
      <c r="AO307">
        <f t="shared" si="44"/>
        <v>19877760</v>
      </c>
    </row>
    <row r="308" spans="1:41">
      <c r="A308" s="185">
        <f>'Water Stuff'!F242</f>
        <v>44799</v>
      </c>
      <c r="B308" s="118">
        <f>'Filtration System'!B272</f>
        <v>0</v>
      </c>
      <c r="C308" s="118">
        <f>'Filtration System'!C272</f>
        <v>0</v>
      </c>
      <c r="D308" s="118">
        <f>'Filtration System'!D272</f>
        <v>0</v>
      </c>
      <c r="E308" s="118">
        <f>'Filtration System'!E272</f>
        <v>0</v>
      </c>
      <c r="F308" s="118">
        <f>'Filtration System'!F272</f>
        <v>0</v>
      </c>
      <c r="G308" s="118"/>
      <c r="H308" s="118">
        <f>B308/1000*(1000*9.81*Pumps!$B$14+'Parameters and Satisfaction'!$B$27)</f>
        <v>0</v>
      </c>
      <c r="I308" s="118">
        <f>C308/1000*(1000*9.81*Pumps!$B$14+'Parameters and Satisfaction'!$B$27)</f>
        <v>0</v>
      </c>
      <c r="J308" s="118">
        <f>D308/1000*(1000*9.81*Pumps!$B$14+'Parameters and Satisfaction'!$B$27)</f>
        <v>0</v>
      </c>
      <c r="K308" s="118">
        <f>E308/1000*(1000*9.81*Pumps!$B$14+'Parameters and Satisfaction'!$B$27)</f>
        <v>0</v>
      </c>
      <c r="L308" s="118">
        <f>F308/1000*(1000*9.81*Pumps!$B$14+'Parameters and Satisfaction'!$B$27)</f>
        <v>0</v>
      </c>
      <c r="M308" s="118"/>
      <c r="N308" s="118">
        <f>H308/IF('Parameters and Satisfaction'!$C$13="Pump A", 0.7, IF('Parameters and Satisfaction'!$C$13 = "Pump B", 0.72, 0.65))</f>
        <v>0</v>
      </c>
      <c r="O308" s="118">
        <f>I308/IF('Parameters and Satisfaction'!$C$13="Pump A", 0.7, IF('Parameters and Satisfaction'!$C$13 = "Pump B", 0.72, 0.65))</f>
        <v>0</v>
      </c>
      <c r="P308" s="118">
        <f>J308/IF('Parameters and Satisfaction'!$C$13="Pump A", 0.7, IF('Parameters and Satisfaction'!$C$13 = "Pump B", 0.72, 0.65))</f>
        <v>0</v>
      </c>
      <c r="Q308" s="118">
        <f>K308/IF('Parameters and Satisfaction'!$C$13="Pump A", 0.7, IF('Parameters and Satisfaction'!$C$13 = "Pump B", 0.72, 0.65))</f>
        <v>0</v>
      </c>
      <c r="R308" s="118">
        <f>L308/IF('Parameters and Satisfaction'!$C$13="Pump A", 0.7, IF('Parameters and Satisfaction'!$C$13 = "Pump B", 0.72, 0.65))</f>
        <v>0</v>
      </c>
      <c r="S308" s="118"/>
      <c r="T308" s="118">
        <f>N308+$F$47+IF('Parameters and Satisfaction'!$C$19="Ozone", 'Filtration System'!AA272*1000000, 0)</f>
        <v>4687500</v>
      </c>
      <c r="U308" s="118">
        <f>O308+$F$47+IF('Parameters and Satisfaction'!$C$19="Ozone", 'Filtration System'!AB272*1000000, 0)</f>
        <v>4687500</v>
      </c>
      <c r="V308" s="118">
        <f>P308+$F$47+IF('Parameters and Satisfaction'!$C$19="Ozone", 'Filtration System'!AC272*1000000, 0)</f>
        <v>4687500</v>
      </c>
      <c r="W308" s="118">
        <f>Q308+$F$47+IF('Parameters and Satisfaction'!$C$19="Ozone", 'Filtration System'!AD272*1000000, 0)</f>
        <v>4687500</v>
      </c>
      <c r="X308" s="118">
        <f>R308+$F$47+IF('Parameters and Satisfaction'!$C$19="Ozone", 'Filtration System'!AE272*1000000, 0)</f>
        <v>4687500</v>
      </c>
      <c r="Y308" s="118"/>
      <c r="Z308" s="118">
        <f t="shared" si="36"/>
        <v>0.33482142857142855</v>
      </c>
      <c r="AA308" s="118">
        <f t="shared" si="37"/>
        <v>0.33482142857142855</v>
      </c>
      <c r="AB308" s="118">
        <f t="shared" si="38"/>
        <v>0.33482142857142855</v>
      </c>
      <c r="AC308" s="118">
        <f t="shared" si="39"/>
        <v>0.33482142857142855</v>
      </c>
      <c r="AD308" s="118">
        <f t="shared" si="40"/>
        <v>0.33482142857142855</v>
      </c>
      <c r="AE308" s="118"/>
      <c r="AF308" s="118"/>
      <c r="AG308" s="118"/>
      <c r="AK308">
        <f t="shared" si="44"/>
        <v>19877760</v>
      </c>
      <c r="AL308">
        <f t="shared" si="44"/>
        <v>19877760</v>
      </c>
      <c r="AM308">
        <f t="shared" si="44"/>
        <v>19877760</v>
      </c>
      <c r="AN308">
        <f t="shared" si="44"/>
        <v>19877760</v>
      </c>
      <c r="AO308">
        <f t="shared" si="44"/>
        <v>19877760</v>
      </c>
    </row>
    <row r="309" spans="1:41">
      <c r="A309" s="185">
        <f>'Water Stuff'!F243</f>
        <v>44800</v>
      </c>
      <c r="B309" s="118">
        <f>'Filtration System'!B273</f>
        <v>0</v>
      </c>
      <c r="C309" s="118">
        <f>'Filtration System'!C273</f>
        <v>560</v>
      </c>
      <c r="D309" s="118">
        <f>'Filtration System'!D273</f>
        <v>0</v>
      </c>
      <c r="E309" s="118">
        <f>'Filtration System'!E273</f>
        <v>0</v>
      </c>
      <c r="F309" s="118">
        <f>'Filtration System'!F273</f>
        <v>0</v>
      </c>
      <c r="G309" s="118"/>
      <c r="H309" s="118">
        <f>B309/1000*(1000*9.81*Pumps!$B$14+'Parameters and Satisfaction'!$B$27)</f>
        <v>0</v>
      </c>
      <c r="I309" s="118">
        <f>C309/1000*(1000*9.81*Pumps!$B$14+'Parameters and Satisfaction'!$B$27)</f>
        <v>150109.7803828539</v>
      </c>
      <c r="J309" s="118">
        <f>D309/1000*(1000*9.81*Pumps!$B$14+'Parameters and Satisfaction'!$B$27)</f>
        <v>0</v>
      </c>
      <c r="K309" s="118">
        <f>E309/1000*(1000*9.81*Pumps!$B$14+'Parameters and Satisfaction'!$B$27)</f>
        <v>0</v>
      </c>
      <c r="L309" s="118">
        <f>F309/1000*(1000*9.81*Pumps!$B$14+'Parameters and Satisfaction'!$B$27)</f>
        <v>0</v>
      </c>
      <c r="M309" s="118"/>
      <c r="N309" s="118">
        <f>H309/IF('Parameters and Satisfaction'!$C$13="Pump A", 0.7, IF('Parameters and Satisfaction'!$C$13 = "Pump B", 0.72, 0.65))</f>
        <v>0</v>
      </c>
      <c r="O309" s="118">
        <f>I309/IF('Parameters and Satisfaction'!$C$13="Pump A", 0.7, IF('Parameters and Satisfaction'!$C$13 = "Pump B", 0.72, 0.65))</f>
        <v>208485.8060872971</v>
      </c>
      <c r="P309" s="118">
        <f>J309/IF('Parameters and Satisfaction'!$C$13="Pump A", 0.7, IF('Parameters and Satisfaction'!$C$13 = "Pump B", 0.72, 0.65))</f>
        <v>0</v>
      </c>
      <c r="Q309" s="118">
        <f>K309/IF('Parameters and Satisfaction'!$C$13="Pump A", 0.7, IF('Parameters and Satisfaction'!$C$13 = "Pump B", 0.72, 0.65))</f>
        <v>0</v>
      </c>
      <c r="R309" s="118">
        <f>L309/IF('Parameters and Satisfaction'!$C$13="Pump A", 0.7, IF('Parameters and Satisfaction'!$C$13 = "Pump B", 0.72, 0.65))</f>
        <v>0</v>
      </c>
      <c r="S309" s="118"/>
      <c r="T309" s="118">
        <f>N309+$F$47+IF('Parameters and Satisfaction'!$C$19="Ozone", 'Filtration System'!AA273*1000000, 0)</f>
        <v>4687500</v>
      </c>
      <c r="U309" s="118">
        <f>O309+$F$47+IF('Parameters and Satisfaction'!$C$19="Ozone", 'Filtration System'!AB273*1000000, 0)</f>
        <v>4895985.8060872974</v>
      </c>
      <c r="V309" s="118">
        <f>P309+$F$47+IF('Parameters and Satisfaction'!$C$19="Ozone", 'Filtration System'!AC273*1000000, 0)</f>
        <v>4687500</v>
      </c>
      <c r="W309" s="118">
        <f>Q309+$F$47+IF('Parameters and Satisfaction'!$C$19="Ozone", 'Filtration System'!AD273*1000000, 0)</f>
        <v>4687500</v>
      </c>
      <c r="X309" s="118">
        <f>R309+$F$47+IF('Parameters and Satisfaction'!$C$19="Ozone", 'Filtration System'!AE273*1000000, 0)</f>
        <v>4687500</v>
      </c>
      <c r="Y309" s="118"/>
      <c r="Z309" s="118">
        <f t="shared" si="36"/>
        <v>0.33482142857142855</v>
      </c>
      <c r="AA309" s="118">
        <f t="shared" si="37"/>
        <v>0.34971327186337836</v>
      </c>
      <c r="AB309" s="118">
        <f t="shared" si="38"/>
        <v>0.33482142857142855</v>
      </c>
      <c r="AC309" s="118">
        <f t="shared" si="39"/>
        <v>0.33482142857142855</v>
      </c>
      <c r="AD309" s="118">
        <f t="shared" si="40"/>
        <v>0.33482142857142855</v>
      </c>
      <c r="AE309" s="118"/>
      <c r="AF309" s="118"/>
      <c r="AG309" s="118"/>
      <c r="AK309">
        <f t="shared" si="44"/>
        <v>19877760</v>
      </c>
      <c r="AL309">
        <f t="shared" si="44"/>
        <v>19877760</v>
      </c>
      <c r="AM309">
        <f t="shared" si="44"/>
        <v>19877760</v>
      </c>
      <c r="AN309">
        <f t="shared" si="44"/>
        <v>19877760</v>
      </c>
      <c r="AO309">
        <f t="shared" si="44"/>
        <v>19877760</v>
      </c>
    </row>
    <row r="310" spans="1:41">
      <c r="A310" s="185">
        <f>'Water Stuff'!F244</f>
        <v>44801</v>
      </c>
      <c r="B310" s="118">
        <f>'Filtration System'!B274</f>
        <v>80</v>
      </c>
      <c r="C310" s="118">
        <f>'Filtration System'!C274</f>
        <v>2080</v>
      </c>
      <c r="D310" s="118">
        <f>'Filtration System'!D274</f>
        <v>866.54951521061867</v>
      </c>
      <c r="E310" s="118">
        <f>'Filtration System'!E274</f>
        <v>1730.9916733825985</v>
      </c>
      <c r="F310" s="118">
        <f>'Filtration System'!F274</f>
        <v>1315.3478096491376</v>
      </c>
      <c r="G310" s="118"/>
      <c r="H310" s="118">
        <f>B310/1000*(1000*9.81*Pumps!$B$14+'Parameters and Satisfaction'!$B$27)</f>
        <v>21444.254340407701</v>
      </c>
      <c r="I310" s="118">
        <f>C310/1000*(1000*9.81*Pumps!$B$14+'Parameters and Satisfaction'!$B$27)</f>
        <v>557550.61285060016</v>
      </c>
      <c r="J310" s="118">
        <f>D310/1000*(1000*9.81*Pumps!$B$14+'Parameters and Satisfaction'!$B$27)</f>
        <v>232281.35253416869</v>
      </c>
      <c r="K310" s="118">
        <f>E310/1000*(1000*9.81*Pumps!$B$14+'Parameters and Satisfaction'!$B$27)</f>
        <v>463997.82131430466</v>
      </c>
      <c r="L310" s="118">
        <f>F310/1000*(1000*9.81*Pumps!$B$14+'Parameters and Satisfaction'!$B$27)</f>
        <v>352583.1622026785</v>
      </c>
      <c r="M310" s="118"/>
      <c r="N310" s="118">
        <f>H310/IF('Parameters and Satisfaction'!$C$13="Pump A", 0.7, IF('Parameters and Satisfaction'!$C$13 = "Pump B", 0.72, 0.65))</f>
        <v>29783.686583899584</v>
      </c>
      <c r="O310" s="118">
        <f>I310/IF('Parameters and Satisfaction'!$C$13="Pump A", 0.7, IF('Parameters and Satisfaction'!$C$13 = "Pump B", 0.72, 0.65))</f>
        <v>774375.85118138918</v>
      </c>
      <c r="P310" s="118">
        <f>J310/IF('Parameters and Satisfaction'!$C$13="Pump A", 0.7, IF('Parameters and Satisfaction'!$C$13 = "Pump B", 0.72, 0.65))</f>
        <v>322612.98963078985</v>
      </c>
      <c r="Q310" s="118">
        <f>K310/IF('Parameters and Satisfaction'!$C$13="Pump A", 0.7, IF('Parameters and Satisfaction'!$C$13 = "Pump B", 0.72, 0.65))</f>
        <v>644441.41849208984</v>
      </c>
      <c r="R310" s="118">
        <f>L310/IF('Parameters and Satisfaction'!$C$13="Pump A", 0.7, IF('Parameters and Satisfaction'!$C$13 = "Pump B", 0.72, 0.65))</f>
        <v>489698.83639260905</v>
      </c>
      <c r="S310" s="118"/>
      <c r="T310" s="118">
        <f>N310+$F$47+IF('Parameters and Satisfaction'!$C$19="Ozone", 'Filtration System'!AA274*1000000, 0)</f>
        <v>4717283.6865838999</v>
      </c>
      <c r="U310" s="118">
        <f>O310+$F$47+IF('Parameters and Satisfaction'!$C$19="Ozone", 'Filtration System'!AB274*1000000, 0)</f>
        <v>5461875.8511813888</v>
      </c>
      <c r="V310" s="118">
        <f>P310+$F$47+IF('Parameters and Satisfaction'!$C$19="Ozone", 'Filtration System'!AC274*1000000, 0)</f>
        <v>5010112.9896307895</v>
      </c>
      <c r="W310" s="118">
        <f>Q310+$F$47+IF('Parameters and Satisfaction'!$C$19="Ozone", 'Filtration System'!AD274*1000000, 0)</f>
        <v>5331941.41849209</v>
      </c>
      <c r="X310" s="118">
        <f>R310+$F$47+IF('Parameters and Satisfaction'!$C$19="Ozone", 'Filtration System'!AE274*1000000, 0)</f>
        <v>5177198.8363926094</v>
      </c>
      <c r="Y310" s="118"/>
      <c r="Z310" s="118">
        <f t="shared" si="36"/>
        <v>0.33694883475599285</v>
      </c>
      <c r="AA310" s="118">
        <f t="shared" si="37"/>
        <v>0.39013398937009919</v>
      </c>
      <c r="AB310" s="118">
        <f t="shared" si="38"/>
        <v>0.3578652135450564</v>
      </c>
      <c r="AC310" s="118">
        <f t="shared" si="39"/>
        <v>0.38085295846372069</v>
      </c>
      <c r="AD310" s="118">
        <f t="shared" si="40"/>
        <v>0.36979991688518637</v>
      </c>
      <c r="AE310" s="118"/>
      <c r="AF310" s="118"/>
      <c r="AG310" s="118"/>
      <c r="AK310">
        <f t="shared" si="44"/>
        <v>19877760</v>
      </c>
      <c r="AL310">
        <f t="shared" si="44"/>
        <v>19877760</v>
      </c>
      <c r="AM310">
        <f t="shared" si="44"/>
        <v>19877760</v>
      </c>
      <c r="AN310">
        <f t="shared" si="44"/>
        <v>19877760</v>
      </c>
      <c r="AO310">
        <f t="shared" si="44"/>
        <v>19877760</v>
      </c>
    </row>
    <row r="311" spans="1:41">
      <c r="A311" s="185">
        <f>'Water Stuff'!F245</f>
        <v>44802</v>
      </c>
      <c r="B311" s="118">
        <f>'Filtration System'!B275</f>
        <v>1560</v>
      </c>
      <c r="C311" s="118">
        <f>'Filtration System'!C275</f>
        <v>6680</v>
      </c>
      <c r="D311" s="118">
        <f>'Filtration System'!D275</f>
        <v>1261.5264232320917</v>
      </c>
      <c r="E311" s="118">
        <f>'Filtration System'!E275</f>
        <v>6835.8344881693438</v>
      </c>
      <c r="F311" s="118">
        <f>'Filtration System'!F275</f>
        <v>1507.3942295957895</v>
      </c>
      <c r="G311" s="118"/>
      <c r="H311" s="118">
        <f>B311/1000*(1000*9.81*Pumps!$B$14+'Parameters and Satisfaction'!$B$27)</f>
        <v>418162.95963795017</v>
      </c>
      <c r="I311" s="118">
        <f>C311/1000*(1000*9.81*Pumps!$B$14+'Parameters and Satisfaction'!$B$27)</f>
        <v>1790595.2374240428</v>
      </c>
      <c r="J311" s="118">
        <f>D311/1000*(1000*9.81*Pumps!$B$14+'Parameters and Satisfaction'!$B$27)</f>
        <v>338156.16846167232</v>
      </c>
      <c r="K311" s="118">
        <f>E311/1000*(1000*9.81*Pumps!$B$14+'Parameters and Satisfaction'!$B$27)</f>
        <v>1832367.1674154261</v>
      </c>
      <c r="L311" s="118">
        <f>F311/1000*(1000*9.81*Pumps!$B$14+'Parameters and Satisfaction'!$B$27)</f>
        <v>404061.81563393789</v>
      </c>
      <c r="M311" s="118"/>
      <c r="N311" s="118">
        <f>H311/IF('Parameters and Satisfaction'!$C$13="Pump A", 0.7, IF('Parameters and Satisfaction'!$C$13 = "Pump B", 0.72, 0.65))</f>
        <v>580781.88838604197</v>
      </c>
      <c r="O311" s="118">
        <f>I311/IF('Parameters and Satisfaction'!$C$13="Pump A", 0.7, IF('Parameters and Satisfaction'!$C$13 = "Pump B", 0.72, 0.65))</f>
        <v>2486937.829755615</v>
      </c>
      <c r="P311" s="118">
        <f>J311/IF('Parameters and Satisfaction'!$C$13="Pump A", 0.7, IF('Parameters and Satisfaction'!$C$13 = "Pump B", 0.72, 0.65))</f>
        <v>469661.34508565604</v>
      </c>
      <c r="Q311" s="118">
        <f>K311/IF('Parameters and Satisfaction'!$C$13="Pump A", 0.7, IF('Parameters and Satisfaction'!$C$13 = "Pump B", 0.72, 0.65))</f>
        <v>2544954.399188092</v>
      </c>
      <c r="R311" s="118">
        <f>L311/IF('Parameters and Satisfaction'!$C$13="Pump A", 0.7, IF('Parameters and Satisfaction'!$C$13 = "Pump B", 0.72, 0.65))</f>
        <v>561196.96615824709</v>
      </c>
      <c r="S311" s="118"/>
      <c r="T311" s="118">
        <f>N311+$F$47+IF('Parameters and Satisfaction'!$C$19="Ozone", 'Filtration System'!AA275*1000000, 0)</f>
        <v>5268281.8883860419</v>
      </c>
      <c r="U311" s="118">
        <f>O311+$F$47+IF('Parameters and Satisfaction'!$C$19="Ozone", 'Filtration System'!AB275*1000000, 0)</f>
        <v>7174437.8297556154</v>
      </c>
      <c r="V311" s="118">
        <f>P311+$F$47+IF('Parameters and Satisfaction'!$C$19="Ozone", 'Filtration System'!AC275*1000000, 0)</f>
        <v>5157161.3450856563</v>
      </c>
      <c r="W311" s="118">
        <f>Q311+$F$47+IF('Parameters and Satisfaction'!$C$19="Ozone", 'Filtration System'!AD275*1000000, 0)</f>
        <v>7232454.399188092</v>
      </c>
      <c r="X311" s="118">
        <f>R311+$F$47+IF('Parameters and Satisfaction'!$C$19="Ozone", 'Filtration System'!AE275*1000000, 0)</f>
        <v>5248696.9661582466</v>
      </c>
      <c r="Y311" s="118"/>
      <c r="Z311" s="118">
        <f t="shared" si="36"/>
        <v>0.37630584917043158</v>
      </c>
      <c r="AA311" s="118">
        <f t="shared" si="37"/>
        <v>0.51245984498254393</v>
      </c>
      <c r="AB311" s="118">
        <f t="shared" si="38"/>
        <v>0.3683686675061183</v>
      </c>
      <c r="AC311" s="118">
        <f t="shared" si="39"/>
        <v>0.51660388565629234</v>
      </c>
      <c r="AD311" s="118">
        <f t="shared" si="40"/>
        <v>0.37490692615416049</v>
      </c>
      <c r="AE311" s="118"/>
      <c r="AF311" s="118"/>
      <c r="AG311" s="118"/>
      <c r="AK311">
        <f t="shared" si="44"/>
        <v>19877760</v>
      </c>
      <c r="AL311">
        <f t="shared" si="44"/>
        <v>19877760</v>
      </c>
      <c r="AM311">
        <f t="shared" si="44"/>
        <v>19877760</v>
      </c>
      <c r="AN311">
        <f t="shared" si="44"/>
        <v>19877760</v>
      </c>
      <c r="AO311">
        <f t="shared" si="44"/>
        <v>19877760</v>
      </c>
    </row>
    <row r="312" spans="1:41">
      <c r="A312" s="185">
        <f>'Water Stuff'!F246</f>
        <v>44803</v>
      </c>
      <c r="B312" s="118">
        <f>'Filtration System'!B276</f>
        <v>720</v>
      </c>
      <c r="C312" s="118">
        <f>'Filtration System'!C276</f>
        <v>5200</v>
      </c>
      <c r="D312" s="118">
        <f>'Filtration System'!D276</f>
        <v>864.1567697231277</v>
      </c>
      <c r="E312" s="118">
        <f>'Filtration System'!E276</f>
        <v>5382.1221377588799</v>
      </c>
      <c r="F312" s="118">
        <f>'Filtration System'!F276</f>
        <v>2304.8158451251061</v>
      </c>
      <c r="G312" s="118"/>
      <c r="H312" s="118">
        <f>B312/1000*(1000*9.81*Pumps!$B$14+'Parameters and Satisfaction'!$B$27)</f>
        <v>192998.28906366928</v>
      </c>
      <c r="I312" s="118">
        <f>C312/1000*(1000*9.81*Pumps!$B$14+'Parameters and Satisfaction'!$B$27)</f>
        <v>1393876.5321265005</v>
      </c>
      <c r="J312" s="118">
        <f>D312/1000*(1000*9.81*Pumps!$B$14+'Parameters and Satisfaction'!$B$27)</f>
        <v>231639.96949909849</v>
      </c>
      <c r="K312" s="118">
        <f>E312/1000*(1000*9.81*Pumps!$B$14+'Parameters and Satisfaction'!$B$27)</f>
        <v>1442694.9501655027</v>
      </c>
      <c r="L312" s="118">
        <f>F312/1000*(1000*9.81*Pumps!$B$14+'Parameters and Satisfaction'!$B$27)</f>
        <v>617813.21488330618</v>
      </c>
      <c r="M312" s="118"/>
      <c r="N312" s="118">
        <f>H312/IF('Parameters and Satisfaction'!$C$13="Pump A", 0.7, IF('Parameters and Satisfaction'!$C$13 = "Pump B", 0.72, 0.65))</f>
        <v>268053.17925509624</v>
      </c>
      <c r="O312" s="118">
        <f>I312/IF('Parameters and Satisfaction'!$C$13="Pump A", 0.7, IF('Parameters and Satisfaction'!$C$13 = "Pump B", 0.72, 0.65))</f>
        <v>1935939.627953473</v>
      </c>
      <c r="P312" s="118">
        <f>J312/IF('Parameters and Satisfaction'!$C$13="Pump A", 0.7, IF('Parameters and Satisfaction'!$C$13 = "Pump B", 0.72, 0.65))</f>
        <v>321722.179859859</v>
      </c>
      <c r="Q312" s="118">
        <f>K312/IF('Parameters and Satisfaction'!$C$13="Pump A", 0.7, IF('Parameters and Satisfaction'!$C$13 = "Pump B", 0.72, 0.65))</f>
        <v>2003742.9863409761</v>
      </c>
      <c r="R312" s="118">
        <f>L312/IF('Parameters and Satisfaction'!$C$13="Pump A", 0.7, IF('Parameters and Satisfaction'!$C$13 = "Pump B", 0.72, 0.65))</f>
        <v>858073.90956014756</v>
      </c>
      <c r="S312" s="118"/>
      <c r="T312" s="118">
        <f>N312+$F$47+IF('Parameters and Satisfaction'!$C$19="Ozone", 'Filtration System'!AA276*1000000, 0)</f>
        <v>4955553.1792550962</v>
      </c>
      <c r="U312" s="118">
        <f>O312+$F$47+IF('Parameters and Satisfaction'!$C$19="Ozone", 'Filtration System'!AB276*1000000, 0)</f>
        <v>6623439.6279534735</v>
      </c>
      <c r="V312" s="118">
        <f>P312+$F$47+IF('Parameters and Satisfaction'!$C$19="Ozone", 'Filtration System'!AC276*1000000, 0)</f>
        <v>5009222.1798598589</v>
      </c>
      <c r="W312" s="118">
        <f>Q312+$F$47+IF('Parameters and Satisfaction'!$C$19="Ozone", 'Filtration System'!AD276*1000000, 0)</f>
        <v>6691242.9863409763</v>
      </c>
      <c r="X312" s="118">
        <f>R312+$F$47+IF('Parameters and Satisfaction'!$C$19="Ozone", 'Filtration System'!AE276*1000000, 0)</f>
        <v>5545573.9095601477</v>
      </c>
      <c r="Y312" s="118"/>
      <c r="Z312" s="118">
        <f t="shared" si="36"/>
        <v>0.35396808423250686</v>
      </c>
      <c r="AA312" s="118">
        <f t="shared" si="37"/>
        <v>0.47310283056810526</v>
      </c>
      <c r="AB312" s="118">
        <f t="shared" si="38"/>
        <v>0.35780158427570419</v>
      </c>
      <c r="AC312" s="118">
        <f t="shared" si="39"/>
        <v>0.47794592759578403</v>
      </c>
      <c r="AD312" s="118">
        <f t="shared" si="40"/>
        <v>0.3961124221114391</v>
      </c>
      <c r="AE312" s="118"/>
      <c r="AF312" s="118"/>
      <c r="AG312" s="118"/>
      <c r="AK312">
        <f t="shared" si="44"/>
        <v>19877760</v>
      </c>
      <c r="AL312">
        <f t="shared" si="44"/>
        <v>19877760</v>
      </c>
      <c r="AM312">
        <f t="shared" si="44"/>
        <v>19877760</v>
      </c>
      <c r="AN312">
        <f t="shared" si="44"/>
        <v>19877760</v>
      </c>
      <c r="AO312">
        <f t="shared" si="44"/>
        <v>19877760</v>
      </c>
    </row>
    <row r="313" spans="1:41">
      <c r="A313" s="185">
        <f>'Water Stuff'!F247</f>
        <v>44804</v>
      </c>
      <c r="B313" s="118">
        <f>'Filtration System'!B277</f>
        <v>2120</v>
      </c>
      <c r="C313" s="118">
        <f>'Filtration System'!C277</f>
        <v>1200</v>
      </c>
      <c r="D313" s="118">
        <f>'Filtration System'!D277</f>
        <v>1973.8911673274893</v>
      </c>
      <c r="E313" s="118">
        <f>'Filtration System'!E277</f>
        <v>0</v>
      </c>
      <c r="F313" s="118">
        <f>'Filtration System'!F277</f>
        <v>2692.6839329569857</v>
      </c>
      <c r="G313" s="118"/>
      <c r="H313" s="118">
        <f>B313/1000*(1000*9.81*Pumps!$B$14+'Parameters and Satisfaction'!$B$27)</f>
        <v>568272.74002080411</v>
      </c>
      <c r="I313" s="118">
        <f>C313/1000*(1000*9.81*Pumps!$B$14+'Parameters and Satisfaction'!$B$27)</f>
        <v>321663.81510611548</v>
      </c>
      <c r="J313" s="118">
        <f>D313/1000*(1000*9.81*Pumps!$B$14+'Parameters and Satisfaction'!$B$27)</f>
        <v>529107.80290568667</v>
      </c>
      <c r="K313" s="118">
        <f>E313/1000*(1000*9.81*Pumps!$B$14+'Parameters and Satisfaction'!$B$27)</f>
        <v>0</v>
      </c>
      <c r="L313" s="118">
        <f>F313/1000*(1000*9.81*Pumps!$B$14+'Parameters and Satisfaction'!$B$27)</f>
        <v>721782.48895823641</v>
      </c>
      <c r="M313" s="118"/>
      <c r="N313" s="118">
        <f>H313/IF('Parameters and Satisfaction'!$C$13="Pump A", 0.7, IF('Parameters and Satisfaction'!$C$13 = "Pump B", 0.72, 0.65))</f>
        <v>789267.69447333901</v>
      </c>
      <c r="O313" s="118">
        <f>I313/IF('Parameters and Satisfaction'!$C$13="Pump A", 0.7, IF('Parameters and Satisfaction'!$C$13 = "Pump B", 0.72, 0.65))</f>
        <v>446755.29875849374</v>
      </c>
      <c r="P313" s="118">
        <f>J313/IF('Parameters and Satisfaction'!$C$13="Pump A", 0.7, IF('Parameters and Satisfaction'!$C$13 = "Pump B", 0.72, 0.65))</f>
        <v>734871.94848012039</v>
      </c>
      <c r="Q313" s="118">
        <f>K313/IF('Parameters and Satisfaction'!$C$13="Pump A", 0.7, IF('Parameters and Satisfaction'!$C$13 = "Pump B", 0.72, 0.65))</f>
        <v>0</v>
      </c>
      <c r="R313" s="118">
        <f>L313/IF('Parameters and Satisfaction'!$C$13="Pump A", 0.7, IF('Parameters and Satisfaction'!$C$13 = "Pump B", 0.72, 0.65))</f>
        <v>1002475.6791086617</v>
      </c>
      <c r="S313" s="118"/>
      <c r="T313" s="118">
        <f>N313+$F$47+IF('Parameters and Satisfaction'!$C$19="Ozone", 'Filtration System'!AA277*1000000, 0)</f>
        <v>5476767.6944733392</v>
      </c>
      <c r="U313" s="118">
        <f>O313+$F$47+IF('Parameters and Satisfaction'!$C$19="Ozone", 'Filtration System'!AB277*1000000, 0)</f>
        <v>5134255.2987584937</v>
      </c>
      <c r="V313" s="118">
        <f>P313+$F$47+IF('Parameters and Satisfaction'!$C$19="Ozone", 'Filtration System'!AC277*1000000, 0)</f>
        <v>5422371.9484801199</v>
      </c>
      <c r="W313" s="118">
        <f>Q313+$F$47+IF('Parameters and Satisfaction'!$C$19="Ozone", 'Filtration System'!AD277*1000000, 0)</f>
        <v>4687500</v>
      </c>
      <c r="X313" s="118">
        <f>R313+$F$47+IF('Parameters and Satisfaction'!$C$19="Ozone", 'Filtration System'!AE277*1000000, 0)</f>
        <v>5689975.6791086616</v>
      </c>
      <c r="Y313" s="118"/>
      <c r="Z313" s="118">
        <f t="shared" si="36"/>
        <v>0.3911976924623814</v>
      </c>
      <c r="AA313" s="118">
        <f t="shared" si="37"/>
        <v>0.36673252133989243</v>
      </c>
      <c r="AB313" s="118">
        <f t="shared" si="38"/>
        <v>0.3873122820342943</v>
      </c>
      <c r="AC313" s="118">
        <f t="shared" si="39"/>
        <v>0.33482142857142855</v>
      </c>
      <c r="AD313" s="118">
        <f t="shared" si="40"/>
        <v>0.40642683422204728</v>
      </c>
      <c r="AE313" s="118"/>
      <c r="AF313" s="118"/>
      <c r="AG313" s="118"/>
      <c r="AK313">
        <f t="shared" si="44"/>
        <v>19877760</v>
      </c>
      <c r="AL313">
        <f t="shared" si="44"/>
        <v>19877760</v>
      </c>
      <c r="AM313">
        <f t="shared" si="44"/>
        <v>19877760</v>
      </c>
      <c r="AN313">
        <f t="shared" si="44"/>
        <v>19877760</v>
      </c>
      <c r="AO313">
        <f t="shared" si="44"/>
        <v>19877760</v>
      </c>
    </row>
    <row r="314" spans="1:41">
      <c r="A314" s="185">
        <f>'Water Stuff'!F248</f>
        <v>44805</v>
      </c>
      <c r="B314" s="118">
        <f>'Filtration System'!B278</f>
        <v>640</v>
      </c>
      <c r="C314" s="118">
        <f>'Filtration System'!C278</f>
        <v>3160</v>
      </c>
      <c r="D314" s="118">
        <f>'Filtration System'!D278</f>
        <v>0</v>
      </c>
      <c r="E314" s="118">
        <f>'Filtration System'!E278</f>
        <v>2949.6949453292518</v>
      </c>
      <c r="F314" s="118">
        <f>'Filtration System'!F278</f>
        <v>0</v>
      </c>
      <c r="G314" s="118"/>
      <c r="H314" s="118">
        <f>B314/1000*(1000*9.81*Pumps!$B$14+'Parameters and Satisfaction'!$B$27)</f>
        <v>171554.0347232616</v>
      </c>
      <c r="I314" s="118">
        <f>C314/1000*(1000*9.81*Pumps!$B$14+'Parameters and Satisfaction'!$B$27)</f>
        <v>847048.04644610418</v>
      </c>
      <c r="J314" s="118">
        <f>D314/1000*(1000*9.81*Pumps!$B$14+'Parameters and Satisfaction'!$B$27)</f>
        <v>0</v>
      </c>
      <c r="K314" s="118">
        <f>E314/1000*(1000*9.81*Pumps!$B$14+'Parameters and Satisfaction'!$B$27)</f>
        <v>790675.10792819329</v>
      </c>
      <c r="L314" s="118">
        <f>F314/1000*(1000*9.81*Pumps!$B$14+'Parameters and Satisfaction'!$B$27)</f>
        <v>0</v>
      </c>
      <c r="M314" s="118"/>
      <c r="N314" s="118">
        <f>H314/IF('Parameters and Satisfaction'!$C$13="Pump A", 0.7, IF('Parameters and Satisfaction'!$C$13 = "Pump B", 0.72, 0.65))</f>
        <v>238269.49267119667</v>
      </c>
      <c r="O314" s="118">
        <f>I314/IF('Parameters and Satisfaction'!$C$13="Pump A", 0.7, IF('Parameters and Satisfaction'!$C$13 = "Pump B", 0.72, 0.65))</f>
        <v>1176455.6200640337</v>
      </c>
      <c r="P314" s="118">
        <f>J314/IF('Parameters and Satisfaction'!$C$13="Pump A", 0.7, IF('Parameters and Satisfaction'!$C$13 = "Pump B", 0.72, 0.65))</f>
        <v>0</v>
      </c>
      <c r="Q314" s="118">
        <f>K314/IF('Parameters and Satisfaction'!$C$13="Pump A", 0.7, IF('Parameters and Satisfaction'!$C$13 = "Pump B", 0.72, 0.65))</f>
        <v>1098159.8721224908</v>
      </c>
      <c r="R314" s="118">
        <f>L314/IF('Parameters and Satisfaction'!$C$13="Pump A", 0.7, IF('Parameters and Satisfaction'!$C$13 = "Pump B", 0.72, 0.65))</f>
        <v>0</v>
      </c>
      <c r="S314" s="118"/>
      <c r="T314" s="118">
        <f>N314+$F$47+IF('Parameters and Satisfaction'!$C$19="Ozone", 'Filtration System'!AA278*1000000, 0)</f>
        <v>4925769.4926711963</v>
      </c>
      <c r="U314" s="118">
        <f>O314+$F$47+IF('Parameters and Satisfaction'!$C$19="Ozone", 'Filtration System'!AB278*1000000, 0)</f>
        <v>5863955.6200640332</v>
      </c>
      <c r="V314" s="118">
        <f>P314+$F$47+IF('Parameters and Satisfaction'!$C$19="Ozone", 'Filtration System'!AC278*1000000, 0)</f>
        <v>4687500</v>
      </c>
      <c r="W314" s="118">
        <f>Q314+$F$47+IF('Parameters and Satisfaction'!$C$19="Ozone", 'Filtration System'!AD278*1000000, 0)</f>
        <v>5785659.8721224908</v>
      </c>
      <c r="X314" s="118">
        <f>R314+$F$47+IF('Parameters and Satisfaction'!$C$19="Ozone", 'Filtration System'!AE278*1000000, 0)</f>
        <v>4687500</v>
      </c>
      <c r="Y314" s="118"/>
      <c r="Z314" s="118">
        <f t="shared" si="36"/>
        <v>0.35184067804794261</v>
      </c>
      <c r="AA314" s="118">
        <f t="shared" si="37"/>
        <v>0.41885397286171666</v>
      </c>
      <c r="AB314" s="118">
        <f t="shared" si="38"/>
        <v>0.33482142857142855</v>
      </c>
      <c r="AC314" s="118">
        <f t="shared" si="39"/>
        <v>0.41326141943732075</v>
      </c>
      <c r="AD314" s="118">
        <f t="shared" si="40"/>
        <v>0.33482142857142855</v>
      </c>
      <c r="AE314" s="118"/>
      <c r="AF314" s="118"/>
      <c r="AG314" s="118"/>
      <c r="AK314">
        <f t="shared" ref="AK314:AO323" si="45">$D$63</f>
        <v>17136000</v>
      </c>
      <c r="AL314">
        <f t="shared" si="45"/>
        <v>17136000</v>
      </c>
      <c r="AM314">
        <f t="shared" si="45"/>
        <v>17136000</v>
      </c>
      <c r="AN314">
        <f t="shared" si="45"/>
        <v>17136000</v>
      </c>
      <c r="AO314">
        <f t="shared" si="45"/>
        <v>17136000</v>
      </c>
    </row>
    <row r="315" spans="1:41">
      <c r="A315" s="185">
        <f>'Water Stuff'!F249</f>
        <v>44806</v>
      </c>
      <c r="B315" s="118">
        <f>'Filtration System'!B279</f>
        <v>1240</v>
      </c>
      <c r="C315" s="118">
        <f>'Filtration System'!C279</f>
        <v>160</v>
      </c>
      <c r="D315" s="118">
        <f>'Filtration System'!D279</f>
        <v>2805.9879166110281</v>
      </c>
      <c r="E315" s="118">
        <f>'Filtration System'!E279</f>
        <v>0</v>
      </c>
      <c r="F315" s="118">
        <f>'Filtration System'!F279</f>
        <v>248.90315006300517</v>
      </c>
      <c r="G315" s="118"/>
      <c r="H315" s="118">
        <f>B315/1000*(1000*9.81*Pumps!$B$14+'Parameters and Satisfaction'!$B$27)</f>
        <v>332385.94227631931</v>
      </c>
      <c r="I315" s="118">
        <f>C315/1000*(1000*9.81*Pumps!$B$14+'Parameters and Satisfaction'!$B$27)</f>
        <v>42888.508680815401</v>
      </c>
      <c r="J315" s="118">
        <f>D315/1000*(1000*9.81*Pumps!$B$14+'Parameters and Satisfaction'!$B$27)</f>
        <v>752153.98199896992</v>
      </c>
      <c r="K315" s="118">
        <f>E315/1000*(1000*9.81*Pumps!$B$14+'Parameters and Satisfaction'!$B$27)</f>
        <v>0</v>
      </c>
      <c r="L315" s="118">
        <f>F315/1000*(1000*9.81*Pumps!$B$14+'Parameters and Satisfaction'!$B$27)</f>
        <v>66719.280700996838</v>
      </c>
      <c r="M315" s="118"/>
      <c r="N315" s="118">
        <f>H315/IF('Parameters and Satisfaction'!$C$13="Pump A", 0.7, IF('Parameters and Satisfaction'!$C$13 = "Pump B", 0.72, 0.65))</f>
        <v>461647.14205044351</v>
      </c>
      <c r="O315" s="118">
        <f>I315/IF('Parameters and Satisfaction'!$C$13="Pump A", 0.7, IF('Parameters and Satisfaction'!$C$13 = "Pump B", 0.72, 0.65))</f>
        <v>59567.373167799167</v>
      </c>
      <c r="P315" s="118">
        <f>J315/IF('Parameters and Satisfaction'!$C$13="Pump A", 0.7, IF('Parameters and Satisfaction'!$C$13 = "Pump B", 0.72, 0.65))</f>
        <v>1044658.3083319027</v>
      </c>
      <c r="Q315" s="118">
        <f>K315/IF('Parameters and Satisfaction'!$C$13="Pump A", 0.7, IF('Parameters and Satisfaction'!$C$13 = "Pump B", 0.72, 0.65))</f>
        <v>0</v>
      </c>
      <c r="R315" s="118">
        <f>L315/IF('Parameters and Satisfaction'!$C$13="Pump A", 0.7, IF('Parameters and Satisfaction'!$C$13 = "Pump B", 0.72, 0.65))</f>
        <v>92665.667640273386</v>
      </c>
      <c r="S315" s="118"/>
      <c r="T315" s="118">
        <f>N315+$F$47+IF('Parameters and Satisfaction'!$C$19="Ozone", 'Filtration System'!AA279*1000000, 0)</f>
        <v>5149147.1420504432</v>
      </c>
      <c r="U315" s="118">
        <f>O315+$F$47+IF('Parameters and Satisfaction'!$C$19="Ozone", 'Filtration System'!AB279*1000000, 0)</f>
        <v>4747067.3731677989</v>
      </c>
      <c r="V315" s="118">
        <f>P315+$F$47+IF('Parameters and Satisfaction'!$C$19="Ozone", 'Filtration System'!AC279*1000000, 0)</f>
        <v>5732158.3083319031</v>
      </c>
      <c r="W315" s="118">
        <f>Q315+$F$47+IF('Parameters and Satisfaction'!$C$19="Ozone", 'Filtration System'!AD279*1000000, 0)</f>
        <v>4687500</v>
      </c>
      <c r="X315" s="118">
        <f>R315+$F$47+IF('Parameters and Satisfaction'!$C$19="Ozone", 'Filtration System'!AE279*1000000, 0)</f>
        <v>4780165.6676402735</v>
      </c>
      <c r="Y315" s="118"/>
      <c r="Z315" s="118">
        <f t="shared" si="36"/>
        <v>0.36779622443217452</v>
      </c>
      <c r="AA315" s="118">
        <f t="shared" si="37"/>
        <v>0.33907624094055705</v>
      </c>
      <c r="AB315" s="118">
        <f t="shared" si="38"/>
        <v>0.40943987916656449</v>
      </c>
      <c r="AC315" s="118">
        <f t="shared" si="39"/>
        <v>0.33482142857142855</v>
      </c>
      <c r="AD315" s="118">
        <f t="shared" si="40"/>
        <v>0.34144040483144811</v>
      </c>
      <c r="AE315" s="118"/>
      <c r="AF315" s="118"/>
      <c r="AG315" s="118"/>
      <c r="AK315">
        <f t="shared" si="45"/>
        <v>17136000</v>
      </c>
      <c r="AL315">
        <f t="shared" si="45"/>
        <v>17136000</v>
      </c>
      <c r="AM315">
        <f t="shared" si="45"/>
        <v>17136000</v>
      </c>
      <c r="AN315">
        <f t="shared" si="45"/>
        <v>17136000</v>
      </c>
      <c r="AO315">
        <f t="shared" si="45"/>
        <v>17136000</v>
      </c>
    </row>
    <row r="316" spans="1:41">
      <c r="A316" s="185">
        <f>'Water Stuff'!F250</f>
        <v>44807</v>
      </c>
      <c r="B316" s="118">
        <f>'Filtration System'!B280</f>
        <v>0</v>
      </c>
      <c r="C316" s="118">
        <f>'Filtration System'!C280</f>
        <v>480</v>
      </c>
      <c r="D316" s="118">
        <f>'Filtration System'!D280</f>
        <v>1090.2593975534082</v>
      </c>
      <c r="E316" s="118">
        <f>'Filtration System'!E280</f>
        <v>0</v>
      </c>
      <c r="F316" s="118">
        <f>'Filtration System'!F280</f>
        <v>2442.5168887750619</v>
      </c>
      <c r="G316" s="118"/>
      <c r="H316" s="118">
        <f>B316/1000*(1000*9.81*Pumps!$B$14+'Parameters and Satisfaction'!$B$27)</f>
        <v>0</v>
      </c>
      <c r="I316" s="118">
        <f>C316/1000*(1000*9.81*Pumps!$B$14+'Parameters and Satisfaction'!$B$27)</f>
        <v>128665.52604244619</v>
      </c>
      <c r="J316" s="118">
        <f>D316/1000*(1000*9.81*Pumps!$B$14+'Parameters and Satisfaction'!$B$27)</f>
        <v>292247.497726937</v>
      </c>
      <c r="K316" s="118">
        <f>E316/1000*(1000*9.81*Pumps!$B$14+'Parameters and Satisfaction'!$B$27)</f>
        <v>0</v>
      </c>
      <c r="L316" s="118">
        <f>F316/1000*(1000*9.81*Pumps!$B$14+'Parameters and Satisfaction'!$B$27)</f>
        <v>654724.41742042161</v>
      </c>
      <c r="M316" s="118"/>
      <c r="N316" s="118">
        <f>H316/IF('Parameters and Satisfaction'!$C$13="Pump A", 0.7, IF('Parameters and Satisfaction'!$C$13 = "Pump B", 0.72, 0.65))</f>
        <v>0</v>
      </c>
      <c r="O316" s="118">
        <f>I316/IF('Parameters and Satisfaction'!$C$13="Pump A", 0.7, IF('Parameters and Satisfaction'!$C$13 = "Pump B", 0.72, 0.65))</f>
        <v>178702.11950339749</v>
      </c>
      <c r="P316" s="118">
        <f>J316/IF('Parameters and Satisfaction'!$C$13="Pump A", 0.7, IF('Parameters and Satisfaction'!$C$13 = "Pump B", 0.72, 0.65))</f>
        <v>405899.30239852361</v>
      </c>
      <c r="Q316" s="118">
        <f>K316/IF('Parameters and Satisfaction'!$C$13="Pump A", 0.7, IF('Parameters and Satisfaction'!$C$13 = "Pump B", 0.72, 0.65))</f>
        <v>0</v>
      </c>
      <c r="R316" s="118">
        <f>L316/IF('Parameters and Satisfaction'!$C$13="Pump A", 0.7, IF('Parameters and Satisfaction'!$C$13 = "Pump B", 0.72, 0.65))</f>
        <v>909339.46863947448</v>
      </c>
      <c r="S316" s="118"/>
      <c r="T316" s="118">
        <f>N316+$F$47+IF('Parameters and Satisfaction'!$C$19="Ozone", 'Filtration System'!AA280*1000000, 0)</f>
        <v>4687500</v>
      </c>
      <c r="U316" s="118">
        <f>O316+$F$47+IF('Parameters and Satisfaction'!$C$19="Ozone", 'Filtration System'!AB280*1000000, 0)</f>
        <v>4866202.1195033975</v>
      </c>
      <c r="V316" s="118">
        <f>P316+$F$47+IF('Parameters and Satisfaction'!$C$19="Ozone", 'Filtration System'!AC280*1000000, 0)</f>
        <v>5093399.3023985233</v>
      </c>
      <c r="W316" s="118">
        <f>Q316+$F$47+IF('Parameters and Satisfaction'!$C$19="Ozone", 'Filtration System'!AD280*1000000, 0)</f>
        <v>4687500</v>
      </c>
      <c r="X316" s="118">
        <f>R316+$F$47+IF('Parameters and Satisfaction'!$C$19="Ozone", 'Filtration System'!AE280*1000000, 0)</f>
        <v>5596839.4686394744</v>
      </c>
      <c r="Y316" s="118"/>
      <c r="Z316" s="118">
        <f t="shared" si="36"/>
        <v>0.33482142857142855</v>
      </c>
      <c r="AA316" s="118">
        <f t="shared" si="37"/>
        <v>0.34758586567881411</v>
      </c>
      <c r="AB316" s="118">
        <f t="shared" si="38"/>
        <v>0.36381423588560879</v>
      </c>
      <c r="AC316" s="118">
        <f t="shared" si="39"/>
        <v>0.33482142857142855</v>
      </c>
      <c r="AD316" s="118">
        <f t="shared" si="40"/>
        <v>0.39977424775996245</v>
      </c>
      <c r="AE316" s="118"/>
      <c r="AF316" s="118"/>
      <c r="AG316" s="118"/>
      <c r="AK316">
        <f t="shared" si="45"/>
        <v>17136000</v>
      </c>
      <c r="AL316">
        <f t="shared" si="45"/>
        <v>17136000</v>
      </c>
      <c r="AM316">
        <f t="shared" si="45"/>
        <v>17136000</v>
      </c>
      <c r="AN316">
        <f t="shared" si="45"/>
        <v>17136000</v>
      </c>
      <c r="AO316">
        <f t="shared" si="45"/>
        <v>17136000</v>
      </c>
    </row>
    <row r="317" spans="1:41">
      <c r="A317" s="185">
        <f>'Water Stuff'!F251</f>
        <v>44808</v>
      </c>
      <c r="B317" s="118">
        <f>'Filtration System'!B281</f>
        <v>0</v>
      </c>
      <c r="C317" s="118">
        <f>'Filtration System'!C281</f>
        <v>0</v>
      </c>
      <c r="D317" s="118">
        <f>'Filtration System'!D281</f>
        <v>485.83746402762517</v>
      </c>
      <c r="E317" s="118">
        <f>'Filtration System'!E281</f>
        <v>0</v>
      </c>
      <c r="F317" s="118">
        <f>'Filtration System'!F281</f>
        <v>1913.5768938467684</v>
      </c>
      <c r="G317" s="118"/>
      <c r="H317" s="118">
        <f>B317/1000*(1000*9.81*Pumps!$B$14+'Parameters and Satisfaction'!$B$27)</f>
        <v>0</v>
      </c>
      <c r="I317" s="118">
        <f>C317/1000*(1000*9.81*Pumps!$B$14+'Parameters and Satisfaction'!$B$27)</f>
        <v>0</v>
      </c>
      <c r="J317" s="118">
        <f>D317/1000*(1000*9.81*Pumps!$B$14+'Parameters and Satisfaction'!$B$27)</f>
        <v>130230.27683383839</v>
      </c>
      <c r="K317" s="118">
        <f>E317/1000*(1000*9.81*Pumps!$B$14+'Parameters and Satisfaction'!$B$27)</f>
        <v>0</v>
      </c>
      <c r="L317" s="118">
        <f>F317/1000*(1000*9.81*Pumps!$B$14+'Parameters and Satisfaction'!$B$27)</f>
        <v>512940.37014471804</v>
      </c>
      <c r="M317" s="118"/>
      <c r="N317" s="118">
        <f>H317/IF('Parameters and Satisfaction'!$C$13="Pump A", 0.7, IF('Parameters and Satisfaction'!$C$13 = "Pump B", 0.72, 0.65))</f>
        <v>0</v>
      </c>
      <c r="O317" s="118">
        <f>I317/IF('Parameters and Satisfaction'!$C$13="Pump A", 0.7, IF('Parameters and Satisfaction'!$C$13 = "Pump B", 0.72, 0.65))</f>
        <v>0</v>
      </c>
      <c r="P317" s="118">
        <f>J317/IF('Parameters and Satisfaction'!$C$13="Pump A", 0.7, IF('Parameters and Satisfaction'!$C$13 = "Pump B", 0.72, 0.65))</f>
        <v>180875.38449144221</v>
      </c>
      <c r="Q317" s="118">
        <f>K317/IF('Parameters and Satisfaction'!$C$13="Pump A", 0.7, IF('Parameters and Satisfaction'!$C$13 = "Pump B", 0.72, 0.65))</f>
        <v>0</v>
      </c>
      <c r="R317" s="118">
        <f>L317/IF('Parameters and Satisfaction'!$C$13="Pump A", 0.7, IF('Parameters and Satisfaction'!$C$13 = "Pump B", 0.72, 0.65))</f>
        <v>712417.18075655284</v>
      </c>
      <c r="S317" s="118"/>
      <c r="T317" s="118">
        <f>N317+$F$47+IF('Parameters and Satisfaction'!$C$19="Ozone", 'Filtration System'!AA281*1000000, 0)</f>
        <v>4687500</v>
      </c>
      <c r="U317" s="118">
        <f>O317+$F$47+IF('Parameters and Satisfaction'!$C$19="Ozone", 'Filtration System'!AB281*1000000, 0)</f>
        <v>4687500</v>
      </c>
      <c r="V317" s="118">
        <f>P317+$F$47+IF('Parameters and Satisfaction'!$C$19="Ozone", 'Filtration System'!AC281*1000000, 0)</f>
        <v>4868375.3844914418</v>
      </c>
      <c r="W317" s="118">
        <f>Q317+$F$47+IF('Parameters and Satisfaction'!$C$19="Ozone", 'Filtration System'!AD281*1000000, 0)</f>
        <v>4687500</v>
      </c>
      <c r="X317" s="118">
        <f>R317+$F$47+IF('Parameters and Satisfaction'!$C$19="Ozone", 'Filtration System'!AE281*1000000, 0)</f>
        <v>5399917.1807565531</v>
      </c>
      <c r="Y317" s="118"/>
      <c r="Z317" s="118">
        <f t="shared" si="36"/>
        <v>0.33482142857142855</v>
      </c>
      <c r="AA317" s="118">
        <f t="shared" si="37"/>
        <v>0.33482142857142855</v>
      </c>
      <c r="AB317" s="118">
        <f t="shared" si="38"/>
        <v>0.34774109889224586</v>
      </c>
      <c r="AC317" s="118">
        <f t="shared" si="39"/>
        <v>0.33482142857142855</v>
      </c>
      <c r="AD317" s="118">
        <f t="shared" si="40"/>
        <v>0.38570837005403952</v>
      </c>
      <c r="AE317" s="118"/>
      <c r="AF317" s="118"/>
      <c r="AG317" s="118"/>
      <c r="AK317">
        <f t="shared" si="45"/>
        <v>17136000</v>
      </c>
      <c r="AL317">
        <f t="shared" si="45"/>
        <v>17136000</v>
      </c>
      <c r="AM317">
        <f t="shared" si="45"/>
        <v>17136000</v>
      </c>
      <c r="AN317">
        <f t="shared" si="45"/>
        <v>17136000</v>
      </c>
      <c r="AO317">
        <f t="shared" si="45"/>
        <v>17136000</v>
      </c>
    </row>
    <row r="318" spans="1:41">
      <c r="A318" s="185">
        <f>'Water Stuff'!F252</f>
        <v>44809</v>
      </c>
      <c r="B318" s="118">
        <f>'Filtration System'!B282</f>
        <v>0</v>
      </c>
      <c r="C318" s="118">
        <f>'Filtration System'!C282</f>
        <v>320</v>
      </c>
      <c r="D318" s="118">
        <f>'Filtration System'!D282</f>
        <v>517.66161892010496</v>
      </c>
      <c r="E318" s="118">
        <f>'Filtration System'!E282</f>
        <v>2018.93723288774</v>
      </c>
      <c r="F318" s="118">
        <f>'Filtration System'!F282</f>
        <v>0</v>
      </c>
      <c r="G318" s="118"/>
      <c r="H318" s="118">
        <f>B318/1000*(1000*9.81*Pumps!$B$14+'Parameters and Satisfaction'!$B$27)</f>
        <v>0</v>
      </c>
      <c r="I318" s="118">
        <f>C318/1000*(1000*9.81*Pumps!$B$14+'Parameters and Satisfaction'!$B$27)</f>
        <v>85777.017361630802</v>
      </c>
      <c r="J318" s="118">
        <f>D318/1000*(1000*9.81*Pumps!$B$14+'Parameters and Satisfaction'!$B$27)</f>
        <v>138760.84272987422</v>
      </c>
      <c r="K318" s="118">
        <f>E318/1000*(1000*9.81*Pumps!$B$14+'Parameters and Satisfaction'!$B$27)</f>
        <v>541182.54399204534</v>
      </c>
      <c r="L318" s="118">
        <f>F318/1000*(1000*9.81*Pumps!$B$14+'Parameters and Satisfaction'!$B$27)</f>
        <v>0</v>
      </c>
      <c r="M318" s="118"/>
      <c r="N318" s="118">
        <f>H318/IF('Parameters and Satisfaction'!$C$13="Pump A", 0.7, IF('Parameters and Satisfaction'!$C$13 = "Pump B", 0.72, 0.65))</f>
        <v>0</v>
      </c>
      <c r="O318" s="118">
        <f>I318/IF('Parameters and Satisfaction'!$C$13="Pump A", 0.7, IF('Parameters and Satisfaction'!$C$13 = "Pump B", 0.72, 0.65))</f>
        <v>119134.74633559833</v>
      </c>
      <c r="P318" s="118">
        <f>J318/IF('Parameters and Satisfaction'!$C$13="Pump A", 0.7, IF('Parameters and Satisfaction'!$C$13 = "Pump B", 0.72, 0.65))</f>
        <v>192723.39268038087</v>
      </c>
      <c r="Q318" s="118">
        <f>K318/IF('Parameters and Satisfaction'!$C$13="Pump A", 0.7, IF('Parameters and Satisfaction'!$C$13 = "Pump B", 0.72, 0.65))</f>
        <v>751642.42221117415</v>
      </c>
      <c r="R318" s="118">
        <f>L318/IF('Parameters and Satisfaction'!$C$13="Pump A", 0.7, IF('Parameters and Satisfaction'!$C$13 = "Pump B", 0.72, 0.65))</f>
        <v>0</v>
      </c>
      <c r="S318" s="118"/>
      <c r="T318" s="118">
        <f>N318+$F$47+IF('Parameters and Satisfaction'!$C$19="Ozone", 'Filtration System'!AA282*1000000, 0)</f>
        <v>4687500</v>
      </c>
      <c r="U318" s="118">
        <f>O318+$F$47+IF('Parameters and Satisfaction'!$C$19="Ozone", 'Filtration System'!AB282*1000000, 0)</f>
        <v>4806634.7463355986</v>
      </c>
      <c r="V318" s="118">
        <f>P318+$F$47+IF('Parameters and Satisfaction'!$C$19="Ozone", 'Filtration System'!AC282*1000000, 0)</f>
        <v>4880223.3926803805</v>
      </c>
      <c r="W318" s="118">
        <f>Q318+$F$47+IF('Parameters and Satisfaction'!$C$19="Ozone", 'Filtration System'!AD282*1000000, 0)</f>
        <v>5439142.4222111739</v>
      </c>
      <c r="X318" s="118">
        <f>R318+$F$47+IF('Parameters and Satisfaction'!$C$19="Ozone", 'Filtration System'!AE282*1000000, 0)</f>
        <v>4687500</v>
      </c>
      <c r="Y318" s="118"/>
      <c r="Z318" s="118">
        <f t="shared" si="36"/>
        <v>0.33482142857142855</v>
      </c>
      <c r="AA318" s="118">
        <f t="shared" si="37"/>
        <v>0.34333105330968561</v>
      </c>
      <c r="AB318" s="118">
        <f t="shared" si="38"/>
        <v>0.34858738519145577</v>
      </c>
      <c r="AC318" s="118">
        <f t="shared" si="39"/>
        <v>0.38851017301508384</v>
      </c>
      <c r="AD318" s="118">
        <f t="shared" si="40"/>
        <v>0.33482142857142855</v>
      </c>
      <c r="AE318" s="118"/>
      <c r="AF318" s="118"/>
      <c r="AG318" s="118"/>
      <c r="AK318">
        <f t="shared" si="45"/>
        <v>17136000</v>
      </c>
      <c r="AL318">
        <f t="shared" si="45"/>
        <v>17136000</v>
      </c>
      <c r="AM318">
        <f t="shared" si="45"/>
        <v>17136000</v>
      </c>
      <c r="AN318">
        <f t="shared" si="45"/>
        <v>17136000</v>
      </c>
      <c r="AO318">
        <f t="shared" si="45"/>
        <v>17136000</v>
      </c>
    </row>
    <row r="319" spans="1:41">
      <c r="A319" s="185">
        <f>'Water Stuff'!F253</f>
        <v>44810</v>
      </c>
      <c r="B319" s="118">
        <f>'Filtration System'!B283</f>
        <v>0</v>
      </c>
      <c r="C319" s="118">
        <f>'Filtration System'!C283</f>
        <v>0</v>
      </c>
      <c r="D319" s="118">
        <f>'Filtration System'!D283</f>
        <v>0</v>
      </c>
      <c r="E319" s="118">
        <f>'Filtration System'!E283</f>
        <v>0</v>
      </c>
      <c r="F319" s="118">
        <f>'Filtration System'!F283</f>
        <v>0</v>
      </c>
      <c r="G319" s="118"/>
      <c r="H319" s="118">
        <f>B319/1000*(1000*9.81*Pumps!$B$14+'Parameters and Satisfaction'!$B$27)</f>
        <v>0</v>
      </c>
      <c r="I319" s="118">
        <f>C319/1000*(1000*9.81*Pumps!$B$14+'Parameters and Satisfaction'!$B$27)</f>
        <v>0</v>
      </c>
      <c r="J319" s="118">
        <f>D319/1000*(1000*9.81*Pumps!$B$14+'Parameters and Satisfaction'!$B$27)</f>
        <v>0</v>
      </c>
      <c r="K319" s="118">
        <f>E319/1000*(1000*9.81*Pumps!$B$14+'Parameters and Satisfaction'!$B$27)</f>
        <v>0</v>
      </c>
      <c r="L319" s="118">
        <f>F319/1000*(1000*9.81*Pumps!$B$14+'Parameters and Satisfaction'!$B$27)</f>
        <v>0</v>
      </c>
      <c r="M319" s="118"/>
      <c r="N319" s="118">
        <f>H319/IF('Parameters and Satisfaction'!$C$13="Pump A", 0.7, IF('Parameters and Satisfaction'!$C$13 = "Pump B", 0.72, 0.65))</f>
        <v>0</v>
      </c>
      <c r="O319" s="118">
        <f>I319/IF('Parameters and Satisfaction'!$C$13="Pump A", 0.7, IF('Parameters and Satisfaction'!$C$13 = "Pump B", 0.72, 0.65))</f>
        <v>0</v>
      </c>
      <c r="P319" s="118">
        <f>J319/IF('Parameters and Satisfaction'!$C$13="Pump A", 0.7, IF('Parameters and Satisfaction'!$C$13 = "Pump B", 0.72, 0.65))</f>
        <v>0</v>
      </c>
      <c r="Q319" s="118">
        <f>K319/IF('Parameters and Satisfaction'!$C$13="Pump A", 0.7, IF('Parameters and Satisfaction'!$C$13 = "Pump B", 0.72, 0.65))</f>
        <v>0</v>
      </c>
      <c r="R319" s="118">
        <f>L319/IF('Parameters and Satisfaction'!$C$13="Pump A", 0.7, IF('Parameters and Satisfaction'!$C$13 = "Pump B", 0.72, 0.65))</f>
        <v>0</v>
      </c>
      <c r="S319" s="118"/>
      <c r="T319" s="118">
        <f>N319+$F$47+IF('Parameters and Satisfaction'!$C$19="Ozone", 'Filtration System'!AA283*1000000, 0)</f>
        <v>4687500</v>
      </c>
      <c r="U319" s="118">
        <f>O319+$F$47+IF('Parameters and Satisfaction'!$C$19="Ozone", 'Filtration System'!AB283*1000000, 0)</f>
        <v>4687500</v>
      </c>
      <c r="V319" s="118">
        <f>P319+$F$47+IF('Parameters and Satisfaction'!$C$19="Ozone", 'Filtration System'!AC283*1000000, 0)</f>
        <v>4687500</v>
      </c>
      <c r="W319" s="118">
        <f>Q319+$F$47+IF('Parameters and Satisfaction'!$C$19="Ozone", 'Filtration System'!AD283*1000000, 0)</f>
        <v>4687500</v>
      </c>
      <c r="X319" s="118">
        <f>R319+$F$47+IF('Parameters and Satisfaction'!$C$19="Ozone", 'Filtration System'!AE283*1000000, 0)</f>
        <v>4687500</v>
      </c>
      <c r="Y319" s="118"/>
      <c r="Z319" s="118">
        <f t="shared" si="36"/>
        <v>0.33482142857142855</v>
      </c>
      <c r="AA319" s="118">
        <f t="shared" si="37"/>
        <v>0.33482142857142855</v>
      </c>
      <c r="AB319" s="118">
        <f t="shared" si="38"/>
        <v>0.33482142857142855</v>
      </c>
      <c r="AC319" s="118">
        <f t="shared" si="39"/>
        <v>0.33482142857142855</v>
      </c>
      <c r="AD319" s="118">
        <f t="shared" si="40"/>
        <v>0.33482142857142855</v>
      </c>
      <c r="AE319" s="118"/>
      <c r="AF319" s="118"/>
      <c r="AG319" s="118"/>
      <c r="AK319">
        <f t="shared" si="45"/>
        <v>17136000</v>
      </c>
      <c r="AL319">
        <f t="shared" si="45"/>
        <v>17136000</v>
      </c>
      <c r="AM319">
        <f t="shared" si="45"/>
        <v>17136000</v>
      </c>
      <c r="AN319">
        <f t="shared" si="45"/>
        <v>17136000</v>
      </c>
      <c r="AO319">
        <f t="shared" si="45"/>
        <v>17136000</v>
      </c>
    </row>
    <row r="320" spans="1:41">
      <c r="A320" s="185">
        <f>'Water Stuff'!F254</f>
        <v>44811</v>
      </c>
      <c r="B320" s="118">
        <f>'Filtration System'!B284</f>
        <v>0</v>
      </c>
      <c r="C320" s="118">
        <f>'Filtration System'!C284</f>
        <v>5920</v>
      </c>
      <c r="D320" s="118">
        <f>'Filtration System'!D284</f>
        <v>0</v>
      </c>
      <c r="E320" s="118">
        <f>'Filtration System'!E284</f>
        <v>4825.5985196124175</v>
      </c>
      <c r="F320" s="118">
        <f>'Filtration System'!F284</f>
        <v>0</v>
      </c>
      <c r="G320" s="118"/>
      <c r="H320" s="118">
        <f>B320/1000*(1000*9.81*Pumps!$B$14+'Parameters and Satisfaction'!$B$27)</f>
        <v>0</v>
      </c>
      <c r="I320" s="118">
        <f>C320/1000*(1000*9.81*Pumps!$B$14+'Parameters and Satisfaction'!$B$27)</f>
        <v>1586874.8211901698</v>
      </c>
      <c r="J320" s="118">
        <f>D320/1000*(1000*9.81*Pumps!$B$14+'Parameters and Satisfaction'!$B$27)</f>
        <v>0</v>
      </c>
      <c r="K320" s="118">
        <f>E320/1000*(1000*9.81*Pumps!$B$14+'Parameters and Satisfaction'!$B$27)</f>
        <v>1293517.0249907945</v>
      </c>
      <c r="L320" s="118">
        <f>F320/1000*(1000*9.81*Pumps!$B$14+'Parameters and Satisfaction'!$B$27)</f>
        <v>0</v>
      </c>
      <c r="M320" s="118"/>
      <c r="N320" s="118">
        <f>H320/IF('Parameters and Satisfaction'!$C$13="Pump A", 0.7, IF('Parameters and Satisfaction'!$C$13 = "Pump B", 0.72, 0.65))</f>
        <v>0</v>
      </c>
      <c r="O320" s="118">
        <f>I320/IF('Parameters and Satisfaction'!$C$13="Pump A", 0.7, IF('Parameters and Satisfaction'!$C$13 = "Pump B", 0.72, 0.65))</f>
        <v>2203992.8072085693</v>
      </c>
      <c r="P320" s="118">
        <f>J320/IF('Parameters and Satisfaction'!$C$13="Pump A", 0.7, IF('Parameters and Satisfaction'!$C$13 = "Pump B", 0.72, 0.65))</f>
        <v>0</v>
      </c>
      <c r="Q320" s="118">
        <f>K320/IF('Parameters and Satisfaction'!$C$13="Pump A", 0.7, IF('Parameters and Satisfaction'!$C$13 = "Pump B", 0.72, 0.65))</f>
        <v>1796551.4235983258</v>
      </c>
      <c r="R320" s="118">
        <f>L320/IF('Parameters and Satisfaction'!$C$13="Pump A", 0.7, IF('Parameters and Satisfaction'!$C$13 = "Pump B", 0.72, 0.65))</f>
        <v>0</v>
      </c>
      <c r="S320" s="118"/>
      <c r="T320" s="118">
        <f>N320+$F$47+IF('Parameters and Satisfaction'!$C$19="Ozone", 'Filtration System'!AA284*1000000, 0)</f>
        <v>4687500</v>
      </c>
      <c r="U320" s="118">
        <f>O320+$F$47+IF('Parameters and Satisfaction'!$C$19="Ozone", 'Filtration System'!AB284*1000000, 0)</f>
        <v>6891492.8072085697</v>
      </c>
      <c r="V320" s="118">
        <f>P320+$F$47+IF('Parameters and Satisfaction'!$C$19="Ozone", 'Filtration System'!AC284*1000000, 0)</f>
        <v>4687500</v>
      </c>
      <c r="W320" s="118">
        <f>Q320+$F$47+IF('Parameters and Satisfaction'!$C$19="Ozone", 'Filtration System'!AD284*1000000, 0)</f>
        <v>6484051.4235983258</v>
      </c>
      <c r="X320" s="118">
        <f>R320+$F$47+IF('Parameters and Satisfaction'!$C$19="Ozone", 'Filtration System'!AE284*1000000, 0)</f>
        <v>4687500</v>
      </c>
      <c r="Y320" s="118"/>
      <c r="Z320" s="118">
        <f t="shared" si="36"/>
        <v>0.33482142857142855</v>
      </c>
      <c r="AA320" s="118">
        <f t="shared" si="37"/>
        <v>0.49224948622918357</v>
      </c>
      <c r="AB320" s="118">
        <f t="shared" si="38"/>
        <v>0.33482142857142855</v>
      </c>
      <c r="AC320" s="118">
        <f t="shared" si="39"/>
        <v>0.46314653025702329</v>
      </c>
      <c r="AD320" s="118">
        <f t="shared" si="40"/>
        <v>0.33482142857142855</v>
      </c>
      <c r="AE320" s="118"/>
      <c r="AF320" s="118"/>
      <c r="AG320" s="118"/>
      <c r="AK320">
        <f t="shared" si="45"/>
        <v>17136000</v>
      </c>
      <c r="AL320">
        <f t="shared" si="45"/>
        <v>17136000</v>
      </c>
      <c r="AM320">
        <f t="shared" si="45"/>
        <v>17136000</v>
      </c>
      <c r="AN320">
        <f t="shared" si="45"/>
        <v>17136000</v>
      </c>
      <c r="AO320">
        <f t="shared" si="45"/>
        <v>17136000</v>
      </c>
    </row>
    <row r="321" spans="1:41">
      <c r="A321" s="185">
        <f>'Water Stuff'!F255</f>
        <v>44812</v>
      </c>
      <c r="B321" s="118">
        <f>'Filtration System'!B285</f>
        <v>0</v>
      </c>
      <c r="C321" s="118">
        <f>'Filtration System'!C285</f>
        <v>2600</v>
      </c>
      <c r="D321" s="118">
        <f>'Filtration System'!D285</f>
        <v>1324.0488849938033</v>
      </c>
      <c r="E321" s="118">
        <f>'Filtration System'!E285</f>
        <v>3111.904718412346</v>
      </c>
      <c r="F321" s="118">
        <f>'Filtration System'!F285</f>
        <v>0</v>
      </c>
      <c r="G321" s="118"/>
      <c r="H321" s="118">
        <f>B321/1000*(1000*9.81*Pumps!$B$14+'Parameters and Satisfaction'!$B$27)</f>
        <v>0</v>
      </c>
      <c r="I321" s="118">
        <f>C321/1000*(1000*9.81*Pumps!$B$14+'Parameters and Satisfaction'!$B$27)</f>
        <v>696938.26606325025</v>
      </c>
      <c r="J321" s="118">
        <f>D321/1000*(1000*9.81*Pumps!$B$14+'Parameters and Satisfaction'!$B$27)</f>
        <v>354915.51311175426</v>
      </c>
      <c r="K321" s="118">
        <f>E321/1000*(1000*9.81*Pumps!$B$14+'Parameters and Satisfaction'!$B$27)</f>
        <v>834155.95330936438</v>
      </c>
      <c r="L321" s="118">
        <f>F321/1000*(1000*9.81*Pumps!$B$14+'Parameters and Satisfaction'!$B$27)</f>
        <v>0</v>
      </c>
      <c r="M321" s="118"/>
      <c r="N321" s="118">
        <f>H321/IF('Parameters and Satisfaction'!$C$13="Pump A", 0.7, IF('Parameters and Satisfaction'!$C$13 = "Pump B", 0.72, 0.65))</f>
        <v>0</v>
      </c>
      <c r="O321" s="118">
        <f>I321/IF('Parameters and Satisfaction'!$C$13="Pump A", 0.7, IF('Parameters and Satisfaction'!$C$13 = "Pump B", 0.72, 0.65))</f>
        <v>967969.81397673651</v>
      </c>
      <c r="P321" s="118">
        <f>J321/IF('Parameters and Satisfaction'!$C$13="Pump A", 0.7, IF('Parameters and Satisfaction'!$C$13 = "Pump B", 0.72, 0.65))</f>
        <v>492938.21265521424</v>
      </c>
      <c r="Q321" s="118">
        <f>K321/IF('Parameters and Satisfaction'!$C$13="Pump A", 0.7, IF('Parameters and Satisfaction'!$C$13 = "Pump B", 0.72, 0.65))</f>
        <v>1158549.935151895</v>
      </c>
      <c r="R321" s="118">
        <f>L321/IF('Parameters and Satisfaction'!$C$13="Pump A", 0.7, IF('Parameters and Satisfaction'!$C$13 = "Pump B", 0.72, 0.65))</f>
        <v>0</v>
      </c>
      <c r="S321" s="118"/>
      <c r="T321" s="118">
        <f>N321+$F$47+IF('Parameters and Satisfaction'!$C$19="Ozone", 'Filtration System'!AA285*1000000, 0)</f>
        <v>4687500</v>
      </c>
      <c r="U321" s="118">
        <f>O321+$F$47+IF('Parameters and Satisfaction'!$C$19="Ozone", 'Filtration System'!AB285*1000000, 0)</f>
        <v>5655469.8139767367</v>
      </c>
      <c r="V321" s="118">
        <f>P321+$F$47+IF('Parameters and Satisfaction'!$C$19="Ozone", 'Filtration System'!AC285*1000000, 0)</f>
        <v>5180438.2126552146</v>
      </c>
      <c r="W321" s="118">
        <f>Q321+$F$47+IF('Parameters and Satisfaction'!$C$19="Ozone", 'Filtration System'!AD285*1000000, 0)</f>
        <v>5846049.9351518955</v>
      </c>
      <c r="X321" s="118">
        <f>R321+$F$47+IF('Parameters and Satisfaction'!$C$19="Ozone", 'Filtration System'!AE285*1000000, 0)</f>
        <v>4687500</v>
      </c>
      <c r="Y321" s="118"/>
      <c r="Z321" s="118">
        <f t="shared" si="36"/>
        <v>0.33482142857142855</v>
      </c>
      <c r="AA321" s="118">
        <f t="shared" si="37"/>
        <v>0.4039621295697669</v>
      </c>
      <c r="AB321" s="118">
        <f t="shared" si="38"/>
        <v>0.37003130090394393</v>
      </c>
      <c r="AC321" s="118">
        <f t="shared" si="39"/>
        <v>0.41757499536799253</v>
      </c>
      <c r="AD321" s="118">
        <f t="shared" si="40"/>
        <v>0.33482142857142855</v>
      </c>
      <c r="AE321" s="118"/>
      <c r="AF321" s="118"/>
      <c r="AG321" s="118"/>
      <c r="AK321">
        <f t="shared" si="45"/>
        <v>17136000</v>
      </c>
      <c r="AL321">
        <f t="shared" si="45"/>
        <v>17136000</v>
      </c>
      <c r="AM321">
        <f t="shared" si="45"/>
        <v>17136000</v>
      </c>
      <c r="AN321">
        <f t="shared" si="45"/>
        <v>17136000</v>
      </c>
      <c r="AO321">
        <f t="shared" si="45"/>
        <v>17136000</v>
      </c>
    </row>
    <row r="322" spans="1:41">
      <c r="A322" s="185">
        <f>'Water Stuff'!F256</f>
        <v>44813</v>
      </c>
      <c r="B322" s="118">
        <f>'Filtration System'!B286</f>
        <v>0</v>
      </c>
      <c r="C322" s="118">
        <f>'Filtration System'!C286</f>
        <v>280</v>
      </c>
      <c r="D322" s="118">
        <f>'Filtration System'!D286</f>
        <v>618.81867157386705</v>
      </c>
      <c r="E322" s="118">
        <f>'Filtration System'!E286</f>
        <v>0</v>
      </c>
      <c r="F322" s="118">
        <f>'Filtration System'!F286</f>
        <v>599.48261824585393</v>
      </c>
      <c r="G322" s="118"/>
      <c r="H322" s="118">
        <f>B322/1000*(1000*9.81*Pumps!$B$14+'Parameters and Satisfaction'!$B$27)</f>
        <v>0</v>
      </c>
      <c r="I322" s="118">
        <f>C322/1000*(1000*9.81*Pumps!$B$14+'Parameters and Satisfaction'!$B$27)</f>
        <v>75054.890191426952</v>
      </c>
      <c r="J322" s="118">
        <f>D322/1000*(1000*9.81*Pumps!$B$14+'Parameters and Satisfaction'!$B$27)</f>
        <v>165876.31229779031</v>
      </c>
      <c r="K322" s="118">
        <f>E322/1000*(1000*9.81*Pumps!$B$14+'Parameters and Satisfaction'!$B$27)</f>
        <v>0</v>
      </c>
      <c r="L322" s="118">
        <f>F322/1000*(1000*9.81*Pumps!$B$14+'Parameters and Satisfaction'!$B$27)</f>
        <v>160693.2217289703</v>
      </c>
      <c r="M322" s="118"/>
      <c r="N322" s="118">
        <f>H322/IF('Parameters and Satisfaction'!$C$13="Pump A", 0.7, IF('Parameters and Satisfaction'!$C$13 = "Pump B", 0.72, 0.65))</f>
        <v>0</v>
      </c>
      <c r="O322" s="118">
        <f>I322/IF('Parameters and Satisfaction'!$C$13="Pump A", 0.7, IF('Parameters and Satisfaction'!$C$13 = "Pump B", 0.72, 0.65))</f>
        <v>104242.90304364855</v>
      </c>
      <c r="P322" s="118">
        <f>J322/IF('Parameters and Satisfaction'!$C$13="Pump A", 0.7, IF('Parameters and Satisfaction'!$C$13 = "Pump B", 0.72, 0.65))</f>
        <v>230383.76708026434</v>
      </c>
      <c r="Q322" s="118">
        <f>K322/IF('Parameters and Satisfaction'!$C$13="Pump A", 0.7, IF('Parameters and Satisfaction'!$C$13 = "Pump B", 0.72, 0.65))</f>
        <v>0</v>
      </c>
      <c r="R322" s="118">
        <f>L322/IF('Parameters and Satisfaction'!$C$13="Pump A", 0.7, IF('Parameters and Satisfaction'!$C$13 = "Pump B", 0.72, 0.65))</f>
        <v>223185.03017912543</v>
      </c>
      <c r="S322" s="118"/>
      <c r="T322" s="118">
        <f>N322+$F$47+IF('Parameters and Satisfaction'!$C$19="Ozone", 'Filtration System'!AA286*1000000, 0)</f>
        <v>4687500</v>
      </c>
      <c r="U322" s="118">
        <f>O322+$F$47+IF('Parameters and Satisfaction'!$C$19="Ozone", 'Filtration System'!AB286*1000000, 0)</f>
        <v>4791742.9030436482</v>
      </c>
      <c r="V322" s="118">
        <f>P322+$F$47+IF('Parameters and Satisfaction'!$C$19="Ozone", 'Filtration System'!AC286*1000000, 0)</f>
        <v>4917883.7670802642</v>
      </c>
      <c r="W322" s="118">
        <f>Q322+$F$47+IF('Parameters and Satisfaction'!$C$19="Ozone", 'Filtration System'!AD286*1000000, 0)</f>
        <v>4687500</v>
      </c>
      <c r="X322" s="118">
        <f>R322+$F$47+IF('Parameters and Satisfaction'!$C$19="Ozone", 'Filtration System'!AE286*1000000, 0)</f>
        <v>4910685.0301791253</v>
      </c>
      <c r="Y322" s="118"/>
      <c r="Z322" s="118">
        <f t="shared" si="36"/>
        <v>0.33482142857142855</v>
      </c>
      <c r="AA322" s="118">
        <f t="shared" si="37"/>
        <v>0.34226735021740345</v>
      </c>
      <c r="AB322" s="118">
        <f t="shared" si="38"/>
        <v>0.35127741193430456</v>
      </c>
      <c r="AC322" s="118">
        <f t="shared" si="39"/>
        <v>0.33482142857142855</v>
      </c>
      <c r="AD322" s="118">
        <f t="shared" si="40"/>
        <v>0.3507632164413661</v>
      </c>
      <c r="AE322" s="118"/>
      <c r="AF322" s="118"/>
      <c r="AG322" s="118"/>
      <c r="AK322">
        <f t="shared" si="45"/>
        <v>17136000</v>
      </c>
      <c r="AL322">
        <f t="shared" si="45"/>
        <v>17136000</v>
      </c>
      <c r="AM322">
        <f t="shared" si="45"/>
        <v>17136000</v>
      </c>
      <c r="AN322">
        <f t="shared" si="45"/>
        <v>17136000</v>
      </c>
      <c r="AO322">
        <f t="shared" si="45"/>
        <v>17136000</v>
      </c>
    </row>
    <row r="323" spans="1:41">
      <c r="A323" s="185">
        <f>'Water Stuff'!F257</f>
        <v>44814</v>
      </c>
      <c r="B323" s="118">
        <f>'Filtration System'!B287</f>
        <v>0</v>
      </c>
      <c r="C323" s="118">
        <f>'Filtration System'!C287</f>
        <v>0</v>
      </c>
      <c r="D323" s="118">
        <f>'Filtration System'!D287</f>
        <v>0</v>
      </c>
      <c r="E323" s="118">
        <f>'Filtration System'!E287</f>
        <v>672.68578237632664</v>
      </c>
      <c r="F323" s="118">
        <f>'Filtration System'!F287</f>
        <v>0</v>
      </c>
      <c r="G323" s="118"/>
      <c r="H323" s="118">
        <f>B323/1000*(1000*9.81*Pumps!$B$14+'Parameters and Satisfaction'!$B$27)</f>
        <v>0</v>
      </c>
      <c r="I323" s="118">
        <f>C323/1000*(1000*9.81*Pumps!$B$14+'Parameters and Satisfaction'!$B$27)</f>
        <v>0</v>
      </c>
      <c r="J323" s="118">
        <f>D323/1000*(1000*9.81*Pumps!$B$14+'Parameters and Satisfaction'!$B$27)</f>
        <v>0</v>
      </c>
      <c r="K323" s="118">
        <f>E323/1000*(1000*9.81*Pumps!$B$14+'Parameters and Satisfaction'!$B$27)</f>
        <v>180315.56260567612</v>
      </c>
      <c r="L323" s="118">
        <f>F323/1000*(1000*9.81*Pumps!$B$14+'Parameters and Satisfaction'!$B$27)</f>
        <v>0</v>
      </c>
      <c r="M323" s="118"/>
      <c r="N323" s="118">
        <f>H323/IF('Parameters and Satisfaction'!$C$13="Pump A", 0.7, IF('Parameters and Satisfaction'!$C$13 = "Pump B", 0.72, 0.65))</f>
        <v>0</v>
      </c>
      <c r="O323" s="118">
        <f>I323/IF('Parameters and Satisfaction'!$C$13="Pump A", 0.7, IF('Parameters and Satisfaction'!$C$13 = "Pump B", 0.72, 0.65))</f>
        <v>0</v>
      </c>
      <c r="P323" s="118">
        <f>J323/IF('Parameters and Satisfaction'!$C$13="Pump A", 0.7, IF('Parameters and Satisfaction'!$C$13 = "Pump B", 0.72, 0.65))</f>
        <v>0</v>
      </c>
      <c r="Q323" s="118">
        <f>K323/IF('Parameters and Satisfaction'!$C$13="Pump A", 0.7, IF('Parameters and Satisfaction'!$C$13 = "Pump B", 0.72, 0.65))</f>
        <v>250438.28139677239</v>
      </c>
      <c r="R323" s="118">
        <f>L323/IF('Parameters and Satisfaction'!$C$13="Pump A", 0.7, IF('Parameters and Satisfaction'!$C$13 = "Pump B", 0.72, 0.65))</f>
        <v>0</v>
      </c>
      <c r="S323" s="118"/>
      <c r="T323" s="118">
        <f>N323+$F$47+IF('Parameters and Satisfaction'!$C$19="Ozone", 'Filtration System'!AA287*1000000, 0)</f>
        <v>4687500</v>
      </c>
      <c r="U323" s="118">
        <f>O323+$F$47+IF('Parameters and Satisfaction'!$C$19="Ozone", 'Filtration System'!AB287*1000000, 0)</f>
        <v>4687500</v>
      </c>
      <c r="V323" s="118">
        <f>P323+$F$47+IF('Parameters and Satisfaction'!$C$19="Ozone", 'Filtration System'!AC287*1000000, 0)</f>
        <v>4687500</v>
      </c>
      <c r="W323" s="118">
        <f>Q323+$F$47+IF('Parameters and Satisfaction'!$C$19="Ozone", 'Filtration System'!AD287*1000000, 0)</f>
        <v>4937938.2813967727</v>
      </c>
      <c r="X323" s="118">
        <f>R323+$F$47+IF('Parameters and Satisfaction'!$C$19="Ozone", 'Filtration System'!AE287*1000000, 0)</f>
        <v>4687500</v>
      </c>
      <c r="Y323" s="118"/>
      <c r="Z323" s="118">
        <f t="shared" si="36"/>
        <v>0.33482142857142855</v>
      </c>
      <c r="AA323" s="118">
        <f t="shared" si="37"/>
        <v>0.33482142857142855</v>
      </c>
      <c r="AB323" s="118">
        <f t="shared" si="38"/>
        <v>0.33482142857142855</v>
      </c>
      <c r="AC323" s="118">
        <f t="shared" si="39"/>
        <v>0.35270987724262665</v>
      </c>
      <c r="AD323" s="118">
        <f t="shared" si="40"/>
        <v>0.33482142857142855</v>
      </c>
      <c r="AE323" s="118"/>
      <c r="AF323" s="118"/>
      <c r="AG323" s="118"/>
      <c r="AK323">
        <f t="shared" si="45"/>
        <v>17136000</v>
      </c>
      <c r="AL323">
        <f t="shared" si="45"/>
        <v>17136000</v>
      </c>
      <c r="AM323">
        <f t="shared" si="45"/>
        <v>17136000</v>
      </c>
      <c r="AN323">
        <f t="shared" si="45"/>
        <v>17136000</v>
      </c>
      <c r="AO323">
        <f t="shared" si="45"/>
        <v>17136000</v>
      </c>
    </row>
    <row r="324" spans="1:41">
      <c r="A324" s="185">
        <f>'Water Stuff'!F258</f>
        <v>44815</v>
      </c>
      <c r="B324" s="118">
        <f>'Filtration System'!B288</f>
        <v>0</v>
      </c>
      <c r="C324" s="118">
        <f>'Filtration System'!C288</f>
        <v>0</v>
      </c>
      <c r="D324" s="118">
        <f>'Filtration System'!D288</f>
        <v>94.961983419976079</v>
      </c>
      <c r="E324" s="118">
        <f>'Filtration System'!E288</f>
        <v>552.58539649365002</v>
      </c>
      <c r="F324" s="118">
        <f>'Filtration System'!F288</f>
        <v>0</v>
      </c>
      <c r="G324" s="118"/>
      <c r="H324" s="118">
        <f>B324/1000*(1000*9.81*Pumps!$B$14+'Parameters and Satisfaction'!$B$27)</f>
        <v>0</v>
      </c>
      <c r="I324" s="118">
        <f>C324/1000*(1000*9.81*Pumps!$B$14+'Parameters and Satisfaction'!$B$27)</f>
        <v>0</v>
      </c>
      <c r="J324" s="118">
        <f>D324/1000*(1000*9.81*Pumps!$B$14+'Parameters and Satisfaction'!$B$27)</f>
        <v>25454.861564094324</v>
      </c>
      <c r="K324" s="118">
        <f>E324/1000*(1000*9.81*Pumps!$B$14+'Parameters and Satisfaction'!$B$27)</f>
        <v>148122.27234006079</v>
      </c>
      <c r="L324" s="118">
        <f>F324/1000*(1000*9.81*Pumps!$B$14+'Parameters and Satisfaction'!$B$27)</f>
        <v>0</v>
      </c>
      <c r="M324" s="118"/>
      <c r="N324" s="118">
        <f>H324/IF('Parameters and Satisfaction'!$C$13="Pump A", 0.7, IF('Parameters and Satisfaction'!$C$13 = "Pump B", 0.72, 0.65))</f>
        <v>0</v>
      </c>
      <c r="O324" s="118">
        <f>I324/IF('Parameters and Satisfaction'!$C$13="Pump A", 0.7, IF('Parameters and Satisfaction'!$C$13 = "Pump B", 0.72, 0.65))</f>
        <v>0</v>
      </c>
      <c r="P324" s="118">
        <f>J324/IF('Parameters and Satisfaction'!$C$13="Pump A", 0.7, IF('Parameters and Satisfaction'!$C$13 = "Pump B", 0.72, 0.65))</f>
        <v>35353.974394575453</v>
      </c>
      <c r="Q324" s="118">
        <f>K324/IF('Parameters and Satisfaction'!$C$13="Pump A", 0.7, IF('Parameters and Satisfaction'!$C$13 = "Pump B", 0.72, 0.65))</f>
        <v>205725.37825008444</v>
      </c>
      <c r="R324" s="118">
        <f>L324/IF('Parameters and Satisfaction'!$C$13="Pump A", 0.7, IF('Parameters and Satisfaction'!$C$13 = "Pump B", 0.72, 0.65))</f>
        <v>0</v>
      </c>
      <c r="S324" s="118"/>
      <c r="T324" s="118">
        <f>N324+$F$47+IF('Parameters and Satisfaction'!$C$19="Ozone", 'Filtration System'!AA288*1000000, 0)</f>
        <v>4687500</v>
      </c>
      <c r="U324" s="118">
        <f>O324+$F$47+IF('Parameters and Satisfaction'!$C$19="Ozone", 'Filtration System'!AB288*1000000, 0)</f>
        <v>4687500</v>
      </c>
      <c r="V324" s="118">
        <f>P324+$F$47+IF('Parameters and Satisfaction'!$C$19="Ozone", 'Filtration System'!AC288*1000000, 0)</f>
        <v>4722853.9743945757</v>
      </c>
      <c r="W324" s="118">
        <f>Q324+$F$47+IF('Parameters and Satisfaction'!$C$19="Ozone", 'Filtration System'!AD288*1000000, 0)</f>
        <v>4893225.3782500848</v>
      </c>
      <c r="X324" s="118">
        <f>R324+$F$47+IF('Parameters and Satisfaction'!$C$19="Ozone", 'Filtration System'!AE288*1000000, 0)</f>
        <v>4687500</v>
      </c>
      <c r="Y324" s="118"/>
      <c r="Z324" s="118">
        <f t="shared" si="36"/>
        <v>0.33482142857142855</v>
      </c>
      <c r="AA324" s="118">
        <f t="shared" si="37"/>
        <v>0.33482142857142855</v>
      </c>
      <c r="AB324" s="118">
        <f t="shared" si="38"/>
        <v>0.3373467124567554</v>
      </c>
      <c r="AC324" s="118">
        <f t="shared" si="39"/>
        <v>0.34951609844643461</v>
      </c>
      <c r="AD324" s="118">
        <f t="shared" si="40"/>
        <v>0.33482142857142855</v>
      </c>
      <c r="AE324" s="118"/>
      <c r="AF324" s="118"/>
      <c r="AG324" s="118"/>
      <c r="AK324">
        <f t="shared" ref="AK324:AO333" si="46">$D$63</f>
        <v>17136000</v>
      </c>
      <c r="AL324">
        <f t="shared" si="46"/>
        <v>17136000</v>
      </c>
      <c r="AM324">
        <f t="shared" si="46"/>
        <v>17136000</v>
      </c>
      <c r="AN324">
        <f t="shared" si="46"/>
        <v>17136000</v>
      </c>
      <c r="AO324">
        <f t="shared" si="46"/>
        <v>17136000</v>
      </c>
    </row>
    <row r="325" spans="1:41">
      <c r="A325" s="185">
        <f>'Water Stuff'!F259</f>
        <v>44816</v>
      </c>
      <c r="B325" s="118">
        <f>'Filtration System'!B289</f>
        <v>0</v>
      </c>
      <c r="C325" s="118">
        <f>'Filtration System'!C289</f>
        <v>0</v>
      </c>
      <c r="D325" s="118">
        <f>'Filtration System'!D289</f>
        <v>0</v>
      </c>
      <c r="E325" s="118">
        <f>'Filtration System'!E289</f>
        <v>0</v>
      </c>
      <c r="F325" s="118">
        <f>'Filtration System'!F289</f>
        <v>0</v>
      </c>
      <c r="G325" s="118"/>
      <c r="H325" s="118">
        <f>B325/1000*(1000*9.81*Pumps!$B$14+'Parameters and Satisfaction'!$B$27)</f>
        <v>0</v>
      </c>
      <c r="I325" s="118">
        <f>C325/1000*(1000*9.81*Pumps!$B$14+'Parameters and Satisfaction'!$B$27)</f>
        <v>0</v>
      </c>
      <c r="J325" s="118">
        <f>D325/1000*(1000*9.81*Pumps!$B$14+'Parameters and Satisfaction'!$B$27)</f>
        <v>0</v>
      </c>
      <c r="K325" s="118">
        <f>E325/1000*(1000*9.81*Pumps!$B$14+'Parameters and Satisfaction'!$B$27)</f>
        <v>0</v>
      </c>
      <c r="L325" s="118">
        <f>F325/1000*(1000*9.81*Pumps!$B$14+'Parameters and Satisfaction'!$B$27)</f>
        <v>0</v>
      </c>
      <c r="M325" s="118"/>
      <c r="N325" s="118">
        <f>H325/IF('Parameters and Satisfaction'!$C$13="Pump A", 0.7, IF('Parameters and Satisfaction'!$C$13 = "Pump B", 0.72, 0.65))</f>
        <v>0</v>
      </c>
      <c r="O325" s="118">
        <f>I325/IF('Parameters and Satisfaction'!$C$13="Pump A", 0.7, IF('Parameters and Satisfaction'!$C$13 = "Pump B", 0.72, 0.65))</f>
        <v>0</v>
      </c>
      <c r="P325" s="118">
        <f>J325/IF('Parameters and Satisfaction'!$C$13="Pump A", 0.7, IF('Parameters and Satisfaction'!$C$13 = "Pump B", 0.72, 0.65))</f>
        <v>0</v>
      </c>
      <c r="Q325" s="118">
        <f>K325/IF('Parameters and Satisfaction'!$C$13="Pump A", 0.7, IF('Parameters and Satisfaction'!$C$13 = "Pump B", 0.72, 0.65))</f>
        <v>0</v>
      </c>
      <c r="R325" s="118">
        <f>L325/IF('Parameters and Satisfaction'!$C$13="Pump A", 0.7, IF('Parameters and Satisfaction'!$C$13 = "Pump B", 0.72, 0.65))</f>
        <v>0</v>
      </c>
      <c r="S325" s="118"/>
      <c r="T325" s="118">
        <f>N325+$F$47+IF('Parameters and Satisfaction'!$C$19="Ozone", 'Filtration System'!AA289*1000000, 0)</f>
        <v>4687500</v>
      </c>
      <c r="U325" s="118">
        <f>O325+$F$47+IF('Parameters and Satisfaction'!$C$19="Ozone", 'Filtration System'!AB289*1000000, 0)</f>
        <v>4687500</v>
      </c>
      <c r="V325" s="118">
        <f>P325+$F$47+IF('Parameters and Satisfaction'!$C$19="Ozone", 'Filtration System'!AC289*1000000, 0)</f>
        <v>4687500</v>
      </c>
      <c r="W325" s="118">
        <f>Q325+$F$47+IF('Parameters and Satisfaction'!$C$19="Ozone", 'Filtration System'!AD289*1000000, 0)</f>
        <v>4687500</v>
      </c>
      <c r="X325" s="118">
        <f>R325+$F$47+IF('Parameters and Satisfaction'!$C$19="Ozone", 'Filtration System'!AE289*1000000, 0)</f>
        <v>4687500</v>
      </c>
      <c r="Y325" s="118"/>
      <c r="Z325" s="118">
        <f t="shared" si="36"/>
        <v>0.33482142857142855</v>
      </c>
      <c r="AA325" s="118">
        <f t="shared" si="37"/>
        <v>0.33482142857142855</v>
      </c>
      <c r="AB325" s="118">
        <f t="shared" si="38"/>
        <v>0.33482142857142855</v>
      </c>
      <c r="AC325" s="118">
        <f t="shared" si="39"/>
        <v>0.33482142857142855</v>
      </c>
      <c r="AD325" s="118">
        <f t="shared" si="40"/>
        <v>0.33482142857142855</v>
      </c>
      <c r="AE325" s="118"/>
      <c r="AF325" s="118"/>
      <c r="AG325" s="118"/>
      <c r="AK325">
        <f t="shared" si="46"/>
        <v>17136000</v>
      </c>
      <c r="AL325">
        <f t="shared" si="46"/>
        <v>17136000</v>
      </c>
      <c r="AM325">
        <f t="shared" si="46"/>
        <v>17136000</v>
      </c>
      <c r="AN325">
        <f t="shared" si="46"/>
        <v>17136000</v>
      </c>
      <c r="AO325">
        <f t="shared" si="46"/>
        <v>17136000</v>
      </c>
    </row>
    <row r="326" spans="1:41">
      <c r="A326" s="185">
        <f>'Water Stuff'!F260</f>
        <v>44817</v>
      </c>
      <c r="B326" s="118">
        <f>'Filtration System'!B290</f>
        <v>0</v>
      </c>
      <c r="C326" s="118">
        <f>'Filtration System'!C290</f>
        <v>0</v>
      </c>
      <c r="D326" s="118">
        <f>'Filtration System'!D290</f>
        <v>182.86687576133608</v>
      </c>
      <c r="E326" s="118">
        <f>'Filtration System'!E290</f>
        <v>0</v>
      </c>
      <c r="F326" s="118">
        <f>'Filtration System'!F290</f>
        <v>0</v>
      </c>
      <c r="G326" s="118"/>
      <c r="H326" s="118">
        <f>B326/1000*(1000*9.81*Pumps!$B$14+'Parameters and Satisfaction'!$B$27)</f>
        <v>0</v>
      </c>
      <c r="I326" s="118">
        <f>C326/1000*(1000*9.81*Pumps!$B$14+'Parameters and Satisfaction'!$B$27)</f>
        <v>0</v>
      </c>
      <c r="J326" s="118">
        <f>D326/1000*(1000*9.81*Pumps!$B$14+'Parameters and Satisfaction'!$B$27)</f>
        <v>49018.047428272832</v>
      </c>
      <c r="K326" s="118">
        <f>E326/1000*(1000*9.81*Pumps!$B$14+'Parameters and Satisfaction'!$B$27)</f>
        <v>0</v>
      </c>
      <c r="L326" s="118">
        <f>F326/1000*(1000*9.81*Pumps!$B$14+'Parameters and Satisfaction'!$B$27)</f>
        <v>0</v>
      </c>
      <c r="M326" s="118"/>
      <c r="N326" s="118">
        <f>H326/IF('Parameters and Satisfaction'!$C$13="Pump A", 0.7, IF('Parameters and Satisfaction'!$C$13 = "Pump B", 0.72, 0.65))</f>
        <v>0</v>
      </c>
      <c r="O326" s="118">
        <f>I326/IF('Parameters and Satisfaction'!$C$13="Pump A", 0.7, IF('Parameters and Satisfaction'!$C$13 = "Pump B", 0.72, 0.65))</f>
        <v>0</v>
      </c>
      <c r="P326" s="118">
        <f>J326/IF('Parameters and Satisfaction'!$C$13="Pump A", 0.7, IF('Parameters and Satisfaction'!$C$13 = "Pump B", 0.72, 0.65))</f>
        <v>68080.621428156708</v>
      </c>
      <c r="Q326" s="118">
        <f>K326/IF('Parameters and Satisfaction'!$C$13="Pump A", 0.7, IF('Parameters and Satisfaction'!$C$13 = "Pump B", 0.72, 0.65))</f>
        <v>0</v>
      </c>
      <c r="R326" s="118">
        <f>L326/IF('Parameters and Satisfaction'!$C$13="Pump A", 0.7, IF('Parameters and Satisfaction'!$C$13 = "Pump B", 0.72, 0.65))</f>
        <v>0</v>
      </c>
      <c r="S326" s="118"/>
      <c r="T326" s="118">
        <f>N326+$F$47+IF('Parameters and Satisfaction'!$C$19="Ozone", 'Filtration System'!AA290*1000000, 0)</f>
        <v>4687500</v>
      </c>
      <c r="U326" s="118">
        <f>O326+$F$47+IF('Parameters and Satisfaction'!$C$19="Ozone", 'Filtration System'!AB290*1000000, 0)</f>
        <v>4687500</v>
      </c>
      <c r="V326" s="118">
        <f>P326+$F$47+IF('Parameters and Satisfaction'!$C$19="Ozone", 'Filtration System'!AC290*1000000, 0)</f>
        <v>4755580.6214281563</v>
      </c>
      <c r="W326" s="118">
        <f>Q326+$F$47+IF('Parameters and Satisfaction'!$C$19="Ozone", 'Filtration System'!AD290*1000000, 0)</f>
        <v>4687500</v>
      </c>
      <c r="X326" s="118">
        <f>R326+$F$47+IF('Parameters and Satisfaction'!$C$19="Ozone", 'Filtration System'!AE290*1000000, 0)</f>
        <v>4687500</v>
      </c>
      <c r="Y326" s="118"/>
      <c r="Z326" s="118">
        <f t="shared" si="36"/>
        <v>0.33482142857142855</v>
      </c>
      <c r="AA326" s="118">
        <f t="shared" si="37"/>
        <v>0.33482142857142855</v>
      </c>
      <c r="AB326" s="118">
        <f t="shared" si="38"/>
        <v>0.33968433010201116</v>
      </c>
      <c r="AC326" s="118">
        <f t="shared" si="39"/>
        <v>0.33482142857142855</v>
      </c>
      <c r="AD326" s="118">
        <f t="shared" si="40"/>
        <v>0.33482142857142855</v>
      </c>
      <c r="AE326" s="118"/>
      <c r="AF326" s="118"/>
      <c r="AG326" s="118"/>
      <c r="AK326">
        <f t="shared" si="46"/>
        <v>17136000</v>
      </c>
      <c r="AL326">
        <f t="shared" si="46"/>
        <v>17136000</v>
      </c>
      <c r="AM326">
        <f t="shared" si="46"/>
        <v>17136000</v>
      </c>
      <c r="AN326">
        <f t="shared" si="46"/>
        <v>17136000</v>
      </c>
      <c r="AO326">
        <f t="shared" si="46"/>
        <v>17136000</v>
      </c>
    </row>
    <row r="327" spans="1:41">
      <c r="A327" s="185">
        <f>'Water Stuff'!F261</f>
        <v>44818</v>
      </c>
      <c r="B327" s="118">
        <f>'Filtration System'!B291</f>
        <v>0</v>
      </c>
      <c r="C327" s="118">
        <f>'Filtration System'!C291</f>
        <v>0</v>
      </c>
      <c r="D327" s="118">
        <f>'Filtration System'!D291</f>
        <v>0</v>
      </c>
      <c r="E327" s="118">
        <f>'Filtration System'!E291</f>
        <v>0</v>
      </c>
      <c r="F327" s="118">
        <f>'Filtration System'!F291</f>
        <v>296.45647012008902</v>
      </c>
      <c r="G327" s="118"/>
      <c r="H327" s="118">
        <f>B327/1000*(1000*9.81*Pumps!$B$14+'Parameters and Satisfaction'!$B$27)</f>
        <v>0</v>
      </c>
      <c r="I327" s="118">
        <f>C327/1000*(1000*9.81*Pumps!$B$14+'Parameters and Satisfaction'!$B$27)</f>
        <v>0</v>
      </c>
      <c r="J327" s="118">
        <f>D327/1000*(1000*9.81*Pumps!$B$14+'Parameters and Satisfaction'!$B$27)</f>
        <v>0</v>
      </c>
      <c r="K327" s="118">
        <f>E327/1000*(1000*9.81*Pumps!$B$14+'Parameters and Satisfaction'!$B$27)</f>
        <v>0</v>
      </c>
      <c r="L327" s="118">
        <f>F327/1000*(1000*9.81*Pumps!$B$14+'Parameters and Satisfaction'!$B$27)</f>
        <v>79466.099326433308</v>
      </c>
      <c r="M327" s="118"/>
      <c r="N327" s="118">
        <f>H327/IF('Parameters and Satisfaction'!$C$13="Pump A", 0.7, IF('Parameters and Satisfaction'!$C$13 = "Pump B", 0.72, 0.65))</f>
        <v>0</v>
      </c>
      <c r="O327" s="118">
        <f>I327/IF('Parameters and Satisfaction'!$C$13="Pump A", 0.7, IF('Parameters and Satisfaction'!$C$13 = "Pump B", 0.72, 0.65))</f>
        <v>0</v>
      </c>
      <c r="P327" s="118">
        <f>J327/IF('Parameters and Satisfaction'!$C$13="Pump A", 0.7, IF('Parameters and Satisfaction'!$C$13 = "Pump B", 0.72, 0.65))</f>
        <v>0</v>
      </c>
      <c r="Q327" s="118">
        <f>K327/IF('Parameters and Satisfaction'!$C$13="Pump A", 0.7, IF('Parameters and Satisfaction'!$C$13 = "Pump B", 0.72, 0.65))</f>
        <v>0</v>
      </c>
      <c r="R327" s="118">
        <f>L327/IF('Parameters and Satisfaction'!$C$13="Pump A", 0.7, IF('Parameters and Satisfaction'!$C$13 = "Pump B", 0.72, 0.65))</f>
        <v>110369.58239782404</v>
      </c>
      <c r="S327" s="118"/>
      <c r="T327" s="118">
        <f>N327+$F$47+IF('Parameters and Satisfaction'!$C$19="Ozone", 'Filtration System'!AA291*1000000, 0)</f>
        <v>4687500</v>
      </c>
      <c r="U327" s="118">
        <f>O327+$F$47+IF('Parameters and Satisfaction'!$C$19="Ozone", 'Filtration System'!AB291*1000000, 0)</f>
        <v>4687500</v>
      </c>
      <c r="V327" s="118">
        <f>P327+$F$47+IF('Parameters and Satisfaction'!$C$19="Ozone", 'Filtration System'!AC291*1000000, 0)</f>
        <v>4687500</v>
      </c>
      <c r="W327" s="118">
        <f>Q327+$F$47+IF('Parameters and Satisfaction'!$C$19="Ozone", 'Filtration System'!AD291*1000000, 0)</f>
        <v>4687500</v>
      </c>
      <c r="X327" s="118">
        <f>R327+$F$47+IF('Parameters and Satisfaction'!$C$19="Ozone", 'Filtration System'!AE291*1000000, 0)</f>
        <v>4797869.5823978242</v>
      </c>
      <c r="Y327" s="118"/>
      <c r="Z327" s="118">
        <f t="shared" ref="Z327:Z390" si="47">T327/(40000000*0.35)</f>
        <v>0.33482142857142855</v>
      </c>
      <c r="AA327" s="118">
        <f t="shared" ref="AA327:AA390" si="48">U327/(40000000*0.35)</f>
        <v>0.33482142857142855</v>
      </c>
      <c r="AB327" s="118">
        <f t="shared" ref="AB327:AB390" si="49">V327/(40000000*0.35)</f>
        <v>0.33482142857142855</v>
      </c>
      <c r="AC327" s="118">
        <f t="shared" ref="AC327:AC390" si="50">W327/(40000000*0.35)</f>
        <v>0.33482142857142855</v>
      </c>
      <c r="AD327" s="118">
        <f t="shared" ref="AD327:AD390" si="51">X327/(40000000*0.35)</f>
        <v>0.34270497017127316</v>
      </c>
      <c r="AE327" s="118"/>
      <c r="AF327" s="118"/>
      <c r="AG327" s="118"/>
      <c r="AK327">
        <f t="shared" si="46"/>
        <v>17136000</v>
      </c>
      <c r="AL327">
        <f t="shared" si="46"/>
        <v>17136000</v>
      </c>
      <c r="AM327">
        <f t="shared" si="46"/>
        <v>17136000</v>
      </c>
      <c r="AN327">
        <f t="shared" si="46"/>
        <v>17136000</v>
      </c>
      <c r="AO327">
        <f t="shared" si="46"/>
        <v>17136000</v>
      </c>
    </row>
    <row r="328" spans="1:41">
      <c r="A328" s="185">
        <f>'Water Stuff'!F262</f>
        <v>44819</v>
      </c>
      <c r="B328" s="118">
        <f>'Filtration System'!B292</f>
        <v>0</v>
      </c>
      <c r="C328" s="118">
        <f>'Filtration System'!C292</f>
        <v>400</v>
      </c>
      <c r="D328" s="118">
        <f>'Filtration System'!D292</f>
        <v>0</v>
      </c>
      <c r="E328" s="118">
        <f>'Filtration System'!E292</f>
        <v>1031.5276950255034</v>
      </c>
      <c r="F328" s="118">
        <f>'Filtration System'!F292</f>
        <v>0</v>
      </c>
      <c r="G328" s="118"/>
      <c r="H328" s="118">
        <f>B328/1000*(1000*9.81*Pumps!$B$14+'Parameters and Satisfaction'!$B$27)</f>
        <v>0</v>
      </c>
      <c r="I328" s="118">
        <f>C328/1000*(1000*9.81*Pumps!$B$14+'Parameters and Satisfaction'!$B$27)</f>
        <v>107221.2717020385</v>
      </c>
      <c r="J328" s="118">
        <f>D328/1000*(1000*9.81*Pumps!$B$14+'Parameters and Satisfaction'!$B$27)</f>
        <v>0</v>
      </c>
      <c r="K328" s="118">
        <f>E328/1000*(1000*9.81*Pumps!$B$14+'Parameters and Satisfaction'!$B$27)</f>
        <v>276504.27814126754</v>
      </c>
      <c r="L328" s="118">
        <f>F328/1000*(1000*9.81*Pumps!$B$14+'Parameters and Satisfaction'!$B$27)</f>
        <v>0</v>
      </c>
      <c r="M328" s="118"/>
      <c r="N328" s="118">
        <f>H328/IF('Parameters and Satisfaction'!$C$13="Pump A", 0.7, IF('Parameters and Satisfaction'!$C$13 = "Pump B", 0.72, 0.65))</f>
        <v>0</v>
      </c>
      <c r="O328" s="118">
        <f>I328/IF('Parameters and Satisfaction'!$C$13="Pump A", 0.7, IF('Parameters and Satisfaction'!$C$13 = "Pump B", 0.72, 0.65))</f>
        <v>148918.43291949792</v>
      </c>
      <c r="P328" s="118">
        <f>J328/IF('Parameters and Satisfaction'!$C$13="Pump A", 0.7, IF('Parameters and Satisfaction'!$C$13 = "Pump B", 0.72, 0.65))</f>
        <v>0</v>
      </c>
      <c r="Q328" s="118">
        <f>K328/IF('Parameters and Satisfaction'!$C$13="Pump A", 0.7, IF('Parameters and Satisfaction'!$C$13 = "Pump B", 0.72, 0.65))</f>
        <v>384033.71964064939</v>
      </c>
      <c r="R328" s="118">
        <f>L328/IF('Parameters and Satisfaction'!$C$13="Pump A", 0.7, IF('Parameters and Satisfaction'!$C$13 = "Pump B", 0.72, 0.65))</f>
        <v>0</v>
      </c>
      <c r="S328" s="118"/>
      <c r="T328" s="118">
        <f>N328+$F$47+IF('Parameters and Satisfaction'!$C$19="Ozone", 'Filtration System'!AA292*1000000, 0)</f>
        <v>4687500</v>
      </c>
      <c r="U328" s="118">
        <f>O328+$F$47+IF('Parameters and Satisfaction'!$C$19="Ozone", 'Filtration System'!AB292*1000000, 0)</f>
        <v>4836418.4329194976</v>
      </c>
      <c r="V328" s="118">
        <f>P328+$F$47+IF('Parameters and Satisfaction'!$C$19="Ozone", 'Filtration System'!AC292*1000000, 0)</f>
        <v>4687500</v>
      </c>
      <c r="W328" s="118">
        <f>Q328+$F$47+IF('Parameters and Satisfaction'!$C$19="Ozone", 'Filtration System'!AD292*1000000, 0)</f>
        <v>5071533.7196406499</v>
      </c>
      <c r="X328" s="118">
        <f>R328+$F$47+IF('Parameters and Satisfaction'!$C$19="Ozone", 'Filtration System'!AE292*1000000, 0)</f>
        <v>4687500</v>
      </c>
      <c r="Y328" s="118"/>
      <c r="Z328" s="118">
        <f t="shared" si="47"/>
        <v>0.33482142857142855</v>
      </c>
      <c r="AA328" s="118">
        <f t="shared" si="48"/>
        <v>0.3454584594942498</v>
      </c>
      <c r="AB328" s="118">
        <f t="shared" si="49"/>
        <v>0.33482142857142855</v>
      </c>
      <c r="AC328" s="118">
        <f t="shared" si="50"/>
        <v>0.36225240854576068</v>
      </c>
      <c r="AD328" s="118">
        <f t="shared" si="51"/>
        <v>0.33482142857142855</v>
      </c>
      <c r="AE328" s="118"/>
      <c r="AF328" s="118"/>
      <c r="AG328" s="118"/>
      <c r="AK328">
        <f t="shared" si="46"/>
        <v>17136000</v>
      </c>
      <c r="AL328">
        <f t="shared" si="46"/>
        <v>17136000</v>
      </c>
      <c r="AM328">
        <f t="shared" si="46"/>
        <v>17136000</v>
      </c>
      <c r="AN328">
        <f t="shared" si="46"/>
        <v>17136000</v>
      </c>
      <c r="AO328">
        <f t="shared" si="46"/>
        <v>17136000</v>
      </c>
    </row>
    <row r="329" spans="1:41">
      <c r="A329" s="185">
        <f>'Water Stuff'!F263</f>
        <v>44820</v>
      </c>
      <c r="B329" s="118">
        <f>'Filtration System'!B293</f>
        <v>0</v>
      </c>
      <c r="C329" s="118">
        <f>'Filtration System'!C293</f>
        <v>800</v>
      </c>
      <c r="D329" s="118">
        <f>'Filtration System'!D293</f>
        <v>0</v>
      </c>
      <c r="E329" s="118">
        <f>'Filtration System'!E293</f>
        <v>0</v>
      </c>
      <c r="F329" s="118">
        <f>'Filtration System'!F293</f>
        <v>223.90483008944798</v>
      </c>
      <c r="G329" s="118"/>
      <c r="H329" s="118">
        <f>B329/1000*(1000*9.81*Pumps!$B$14+'Parameters and Satisfaction'!$B$27)</f>
        <v>0</v>
      </c>
      <c r="I329" s="118">
        <f>C329/1000*(1000*9.81*Pumps!$B$14+'Parameters and Satisfaction'!$B$27)</f>
        <v>214442.54340407701</v>
      </c>
      <c r="J329" s="118">
        <f>D329/1000*(1000*9.81*Pumps!$B$14+'Parameters and Satisfaction'!$B$27)</f>
        <v>0</v>
      </c>
      <c r="K329" s="118">
        <f>E329/1000*(1000*9.81*Pumps!$B$14+'Parameters and Satisfaction'!$B$27)</f>
        <v>0</v>
      </c>
      <c r="L329" s="118">
        <f>F329/1000*(1000*9.81*Pumps!$B$14+'Parameters and Satisfaction'!$B$27)</f>
        <v>60018.401556048666</v>
      </c>
      <c r="M329" s="118"/>
      <c r="N329" s="118">
        <f>H329/IF('Parameters and Satisfaction'!$C$13="Pump A", 0.7, IF('Parameters and Satisfaction'!$C$13 = "Pump B", 0.72, 0.65))</f>
        <v>0</v>
      </c>
      <c r="O329" s="118">
        <f>I329/IF('Parameters and Satisfaction'!$C$13="Pump A", 0.7, IF('Parameters and Satisfaction'!$C$13 = "Pump B", 0.72, 0.65))</f>
        <v>297836.86583899584</v>
      </c>
      <c r="P329" s="118">
        <f>J329/IF('Parameters and Satisfaction'!$C$13="Pump A", 0.7, IF('Parameters and Satisfaction'!$C$13 = "Pump B", 0.72, 0.65))</f>
        <v>0</v>
      </c>
      <c r="Q329" s="118">
        <f>K329/IF('Parameters and Satisfaction'!$C$13="Pump A", 0.7, IF('Parameters and Satisfaction'!$C$13 = "Pump B", 0.72, 0.65))</f>
        <v>0</v>
      </c>
      <c r="R329" s="118">
        <f>L329/IF('Parameters and Satisfaction'!$C$13="Pump A", 0.7, IF('Parameters and Satisfaction'!$C$13 = "Pump B", 0.72, 0.65))</f>
        <v>83358.891050067599</v>
      </c>
      <c r="S329" s="118"/>
      <c r="T329" s="118">
        <f>N329+$F$47+IF('Parameters and Satisfaction'!$C$19="Ozone", 'Filtration System'!AA293*1000000, 0)</f>
        <v>4687500</v>
      </c>
      <c r="U329" s="118">
        <f>O329+$F$47+IF('Parameters and Satisfaction'!$C$19="Ozone", 'Filtration System'!AB293*1000000, 0)</f>
        <v>4985336.8658389961</v>
      </c>
      <c r="V329" s="118">
        <f>P329+$F$47+IF('Parameters and Satisfaction'!$C$19="Ozone", 'Filtration System'!AC293*1000000, 0)</f>
        <v>4687500</v>
      </c>
      <c r="W329" s="118">
        <f>Q329+$F$47+IF('Parameters and Satisfaction'!$C$19="Ozone", 'Filtration System'!AD293*1000000, 0)</f>
        <v>4687500</v>
      </c>
      <c r="X329" s="118">
        <f>R329+$F$47+IF('Parameters and Satisfaction'!$C$19="Ozone", 'Filtration System'!AE293*1000000, 0)</f>
        <v>4770858.8910500677</v>
      </c>
      <c r="Y329" s="118"/>
      <c r="Z329" s="118">
        <f t="shared" si="47"/>
        <v>0.33482142857142855</v>
      </c>
      <c r="AA329" s="118">
        <f t="shared" si="48"/>
        <v>0.35609549041707117</v>
      </c>
      <c r="AB329" s="118">
        <f t="shared" si="49"/>
        <v>0.33482142857142855</v>
      </c>
      <c r="AC329" s="118">
        <f t="shared" si="50"/>
        <v>0.33482142857142855</v>
      </c>
      <c r="AD329" s="118">
        <f t="shared" si="51"/>
        <v>0.34077563507500486</v>
      </c>
      <c r="AE329" s="118"/>
      <c r="AF329" s="118"/>
      <c r="AG329" s="118"/>
      <c r="AK329">
        <f t="shared" si="46"/>
        <v>17136000</v>
      </c>
      <c r="AL329">
        <f t="shared" si="46"/>
        <v>17136000</v>
      </c>
      <c r="AM329">
        <f t="shared" si="46"/>
        <v>17136000</v>
      </c>
      <c r="AN329">
        <f t="shared" si="46"/>
        <v>17136000</v>
      </c>
      <c r="AO329">
        <f t="shared" si="46"/>
        <v>17136000</v>
      </c>
    </row>
    <row r="330" spans="1:41">
      <c r="A330" s="185">
        <f>'Water Stuff'!F264</f>
        <v>44821</v>
      </c>
      <c r="B330" s="118">
        <f>'Filtration System'!B294</f>
        <v>0</v>
      </c>
      <c r="C330" s="118">
        <f>'Filtration System'!C294</f>
        <v>560</v>
      </c>
      <c r="D330" s="118">
        <f>'Filtration System'!D294</f>
        <v>1561.1547725015557</v>
      </c>
      <c r="E330" s="118">
        <f>'Filtration System'!E294</f>
        <v>2238.4453797899719</v>
      </c>
      <c r="F330" s="118">
        <f>'Filtration System'!F294</f>
        <v>2891.0117100833118</v>
      </c>
      <c r="G330" s="118"/>
      <c r="H330" s="118">
        <f>B330/1000*(1000*9.81*Pumps!$B$14+'Parameters and Satisfaction'!$B$27)</f>
        <v>0</v>
      </c>
      <c r="I330" s="118">
        <f>C330/1000*(1000*9.81*Pumps!$B$14+'Parameters and Satisfaction'!$B$27)</f>
        <v>150109.7803828539</v>
      </c>
      <c r="J330" s="118">
        <f>D330/1000*(1000*9.81*Pumps!$B$14+'Parameters and Satisfaction'!$B$27)</f>
        <v>418472.50007830851</v>
      </c>
      <c r="K330" s="118">
        <f>E330/1000*(1000*9.81*Pumps!$B$14+'Parameters and Satisfaction'!$B$27)</f>
        <v>600022.40064158337</v>
      </c>
      <c r="L330" s="118">
        <f>F330/1000*(1000*9.81*Pumps!$B$14+'Parameters and Satisfaction'!$B$27)</f>
        <v>774944.88015154435</v>
      </c>
      <c r="M330" s="118"/>
      <c r="N330" s="118">
        <f>H330/IF('Parameters and Satisfaction'!$C$13="Pump A", 0.7, IF('Parameters and Satisfaction'!$C$13 = "Pump B", 0.72, 0.65))</f>
        <v>0</v>
      </c>
      <c r="O330" s="118">
        <f>I330/IF('Parameters and Satisfaction'!$C$13="Pump A", 0.7, IF('Parameters and Satisfaction'!$C$13 = "Pump B", 0.72, 0.65))</f>
        <v>208485.8060872971</v>
      </c>
      <c r="P330" s="118">
        <f>J330/IF('Parameters and Satisfaction'!$C$13="Pump A", 0.7, IF('Parameters and Satisfaction'!$C$13 = "Pump B", 0.72, 0.65))</f>
        <v>581211.80566431745</v>
      </c>
      <c r="Q330" s="118">
        <f>K330/IF('Parameters and Satisfaction'!$C$13="Pump A", 0.7, IF('Parameters and Satisfaction'!$C$13 = "Pump B", 0.72, 0.65))</f>
        <v>833364.44533553254</v>
      </c>
      <c r="R330" s="118">
        <f>L330/IF('Parameters and Satisfaction'!$C$13="Pump A", 0.7, IF('Parameters and Satisfaction'!$C$13 = "Pump B", 0.72, 0.65))</f>
        <v>1076312.3335438117</v>
      </c>
      <c r="S330" s="118"/>
      <c r="T330" s="118">
        <f>N330+$F$47+IF('Parameters and Satisfaction'!$C$19="Ozone", 'Filtration System'!AA294*1000000, 0)</f>
        <v>4687500</v>
      </c>
      <c r="U330" s="118">
        <f>O330+$F$47+IF('Parameters and Satisfaction'!$C$19="Ozone", 'Filtration System'!AB294*1000000, 0)</f>
        <v>4895985.8060872974</v>
      </c>
      <c r="V330" s="118">
        <f>P330+$F$47+IF('Parameters and Satisfaction'!$C$19="Ozone", 'Filtration System'!AC294*1000000, 0)</f>
        <v>5268711.8056643177</v>
      </c>
      <c r="W330" s="118">
        <f>Q330+$F$47+IF('Parameters and Satisfaction'!$C$19="Ozone", 'Filtration System'!AD294*1000000, 0)</f>
        <v>5520864.4453355325</v>
      </c>
      <c r="X330" s="118">
        <f>R330+$F$47+IF('Parameters and Satisfaction'!$C$19="Ozone", 'Filtration System'!AE294*1000000, 0)</f>
        <v>5763812.3335438119</v>
      </c>
      <c r="Y330" s="118"/>
      <c r="Z330" s="118">
        <f t="shared" si="47"/>
        <v>0.33482142857142855</v>
      </c>
      <c r="AA330" s="118">
        <f t="shared" si="48"/>
        <v>0.34971327186337836</v>
      </c>
      <c r="AB330" s="118">
        <f t="shared" si="49"/>
        <v>0.37633655754745127</v>
      </c>
      <c r="AC330" s="118">
        <f t="shared" si="50"/>
        <v>0.39434746038110946</v>
      </c>
      <c r="AD330" s="118">
        <f t="shared" si="51"/>
        <v>0.41170088096741514</v>
      </c>
      <c r="AE330" s="118"/>
      <c r="AF330" s="118"/>
      <c r="AG330" s="118"/>
      <c r="AK330">
        <f t="shared" si="46"/>
        <v>17136000</v>
      </c>
      <c r="AL330">
        <f t="shared" si="46"/>
        <v>17136000</v>
      </c>
      <c r="AM330">
        <f t="shared" si="46"/>
        <v>17136000</v>
      </c>
      <c r="AN330">
        <f t="shared" si="46"/>
        <v>17136000</v>
      </c>
      <c r="AO330">
        <f t="shared" si="46"/>
        <v>17136000</v>
      </c>
    </row>
    <row r="331" spans="1:41">
      <c r="A331" s="185">
        <f>'Water Stuff'!F265</f>
        <v>44822</v>
      </c>
      <c r="B331" s="118">
        <f>'Filtration System'!B295</f>
        <v>5280</v>
      </c>
      <c r="C331" s="118">
        <f>'Filtration System'!C295</f>
        <v>9280</v>
      </c>
      <c r="D331" s="118">
        <f>'Filtration System'!D295</f>
        <v>4988.7673400712256</v>
      </c>
      <c r="E331" s="118">
        <f>'Filtration System'!E295</f>
        <v>6445.0045743752198</v>
      </c>
      <c r="F331" s="118">
        <f>'Filtration System'!F295</f>
        <v>2568.05980360493</v>
      </c>
      <c r="G331" s="118"/>
      <c r="H331" s="118">
        <f>B331/1000*(1000*9.81*Pumps!$B$14+'Parameters and Satisfaction'!$B$27)</f>
        <v>1415320.7864669082</v>
      </c>
      <c r="I331" s="118">
        <f>C331/1000*(1000*9.81*Pumps!$B$14+'Parameters and Satisfaction'!$B$27)</f>
        <v>2487533.5034872931</v>
      </c>
      <c r="J331" s="118">
        <f>D331/1000*(1000*9.81*Pumps!$B$14+'Parameters and Satisfaction'!$B$27)</f>
        <v>1337254.9460700818</v>
      </c>
      <c r="K331" s="118">
        <f>E331/1000*(1000*9.81*Pumps!$B$14+'Parameters and Satisfaction'!$B$27)</f>
        <v>1727603.9664749161</v>
      </c>
      <c r="L331" s="118">
        <f>F331/1000*(1000*9.81*Pumps!$B$14+'Parameters and Satisfaction'!$B$27)</f>
        <v>688376.59487351961</v>
      </c>
      <c r="M331" s="118"/>
      <c r="N331" s="118">
        <f>H331/IF('Parameters and Satisfaction'!$C$13="Pump A", 0.7, IF('Parameters and Satisfaction'!$C$13 = "Pump B", 0.72, 0.65))</f>
        <v>1965723.3145373724</v>
      </c>
      <c r="O331" s="118">
        <f>I331/IF('Parameters and Satisfaction'!$C$13="Pump A", 0.7, IF('Parameters and Satisfaction'!$C$13 = "Pump B", 0.72, 0.65))</f>
        <v>3454907.6437323517</v>
      </c>
      <c r="P331" s="118">
        <f>J331/IF('Parameters and Satisfaction'!$C$13="Pump A", 0.7, IF('Parameters and Satisfaction'!$C$13 = "Pump B", 0.72, 0.65))</f>
        <v>1857298.5362084471</v>
      </c>
      <c r="Q331" s="118">
        <f>K331/IF('Parameters and Satisfaction'!$C$13="Pump A", 0.7, IF('Parameters and Satisfaction'!$C$13 = "Pump B", 0.72, 0.65))</f>
        <v>2399449.9534373838</v>
      </c>
      <c r="R331" s="118">
        <f>L331/IF('Parameters and Satisfaction'!$C$13="Pump A", 0.7, IF('Parameters and Satisfaction'!$C$13 = "Pump B", 0.72, 0.65))</f>
        <v>956078.60399099952</v>
      </c>
      <c r="S331" s="118"/>
      <c r="T331" s="118">
        <f>N331+$F$47+IF('Parameters and Satisfaction'!$C$19="Ozone", 'Filtration System'!AA295*1000000, 0)</f>
        <v>6653223.3145373724</v>
      </c>
      <c r="U331" s="118">
        <f>O331+$F$47+IF('Parameters and Satisfaction'!$C$19="Ozone", 'Filtration System'!AB295*1000000, 0)</f>
        <v>8142407.6437323522</v>
      </c>
      <c r="V331" s="118">
        <f>P331+$F$47+IF('Parameters and Satisfaction'!$C$19="Ozone", 'Filtration System'!AC295*1000000, 0)</f>
        <v>6544798.5362084471</v>
      </c>
      <c r="W331" s="118">
        <f>Q331+$F$47+IF('Parameters and Satisfaction'!$C$19="Ozone", 'Filtration System'!AD295*1000000, 0)</f>
        <v>7086949.9534373842</v>
      </c>
      <c r="X331" s="118">
        <f>R331+$F$47+IF('Parameters and Satisfaction'!$C$19="Ozone", 'Filtration System'!AE295*1000000, 0)</f>
        <v>5643578.603991</v>
      </c>
      <c r="Y331" s="118"/>
      <c r="Z331" s="118">
        <f t="shared" si="47"/>
        <v>0.47523023675266945</v>
      </c>
      <c r="AA331" s="118">
        <f t="shared" si="48"/>
        <v>0.58160054598088229</v>
      </c>
      <c r="AB331" s="118">
        <f t="shared" si="49"/>
        <v>0.4674856097291748</v>
      </c>
      <c r="AC331" s="118">
        <f t="shared" si="50"/>
        <v>0.50621071095981318</v>
      </c>
      <c r="AD331" s="118">
        <f t="shared" si="51"/>
        <v>0.40311275742792857</v>
      </c>
      <c r="AE331" s="118"/>
      <c r="AF331" s="118"/>
      <c r="AG331" s="118"/>
      <c r="AK331">
        <f t="shared" si="46"/>
        <v>17136000</v>
      </c>
      <c r="AL331">
        <f t="shared" si="46"/>
        <v>17136000</v>
      </c>
      <c r="AM331">
        <f t="shared" si="46"/>
        <v>17136000</v>
      </c>
      <c r="AN331">
        <f t="shared" si="46"/>
        <v>17136000</v>
      </c>
      <c r="AO331">
        <f t="shared" si="46"/>
        <v>17136000</v>
      </c>
    </row>
    <row r="332" spans="1:41">
      <c r="A332" s="185">
        <f>'Water Stuff'!F266</f>
        <v>44823</v>
      </c>
      <c r="B332" s="118">
        <f>'Filtration System'!B296</f>
        <v>80</v>
      </c>
      <c r="C332" s="118">
        <f>'Filtration System'!C296</f>
        <v>10000</v>
      </c>
      <c r="D332" s="118">
        <f>'Filtration System'!D296</f>
        <v>0</v>
      </c>
      <c r="E332" s="118">
        <f>'Filtration System'!E296</f>
        <v>10000</v>
      </c>
      <c r="F332" s="118">
        <f>'Filtration System'!F296</f>
        <v>0</v>
      </c>
      <c r="G332" s="118"/>
      <c r="H332" s="118">
        <f>B332/1000*(1000*9.81*Pumps!$B$14+'Parameters and Satisfaction'!$B$27)</f>
        <v>21444.254340407701</v>
      </c>
      <c r="I332" s="118">
        <f>C332/1000*(1000*9.81*Pumps!$B$14+'Parameters and Satisfaction'!$B$27)</f>
        <v>2680531.7925509624</v>
      </c>
      <c r="J332" s="118">
        <f>D332/1000*(1000*9.81*Pumps!$B$14+'Parameters and Satisfaction'!$B$27)</f>
        <v>0</v>
      </c>
      <c r="K332" s="118">
        <f>E332/1000*(1000*9.81*Pumps!$B$14+'Parameters and Satisfaction'!$B$27)</f>
        <v>2680531.7925509624</v>
      </c>
      <c r="L332" s="118">
        <f>F332/1000*(1000*9.81*Pumps!$B$14+'Parameters and Satisfaction'!$B$27)</f>
        <v>0</v>
      </c>
      <c r="M332" s="118"/>
      <c r="N332" s="118">
        <f>H332/IF('Parameters and Satisfaction'!$C$13="Pump A", 0.7, IF('Parameters and Satisfaction'!$C$13 = "Pump B", 0.72, 0.65))</f>
        <v>29783.686583899584</v>
      </c>
      <c r="O332" s="118">
        <f>I332/IF('Parameters and Satisfaction'!$C$13="Pump A", 0.7, IF('Parameters and Satisfaction'!$C$13 = "Pump B", 0.72, 0.65))</f>
        <v>3722960.822987448</v>
      </c>
      <c r="P332" s="118">
        <f>J332/IF('Parameters and Satisfaction'!$C$13="Pump A", 0.7, IF('Parameters and Satisfaction'!$C$13 = "Pump B", 0.72, 0.65))</f>
        <v>0</v>
      </c>
      <c r="Q332" s="118">
        <f>K332/IF('Parameters and Satisfaction'!$C$13="Pump A", 0.7, IF('Parameters and Satisfaction'!$C$13 = "Pump B", 0.72, 0.65))</f>
        <v>3722960.822987448</v>
      </c>
      <c r="R332" s="118">
        <f>L332/IF('Parameters and Satisfaction'!$C$13="Pump A", 0.7, IF('Parameters and Satisfaction'!$C$13 = "Pump B", 0.72, 0.65))</f>
        <v>0</v>
      </c>
      <c r="S332" s="118"/>
      <c r="T332" s="118">
        <f>N332+$F$47+IF('Parameters and Satisfaction'!$C$19="Ozone", 'Filtration System'!AA296*1000000, 0)</f>
        <v>4717283.6865838999</v>
      </c>
      <c r="U332" s="118">
        <f>O332+$F$47+IF('Parameters and Satisfaction'!$C$19="Ozone", 'Filtration System'!AB296*1000000, 0)</f>
        <v>8410460.8229874484</v>
      </c>
      <c r="V332" s="118">
        <f>P332+$F$47+IF('Parameters and Satisfaction'!$C$19="Ozone", 'Filtration System'!AC296*1000000, 0)</f>
        <v>4687500</v>
      </c>
      <c r="W332" s="118">
        <f>Q332+$F$47+IF('Parameters and Satisfaction'!$C$19="Ozone", 'Filtration System'!AD296*1000000, 0)</f>
        <v>8410460.8229874484</v>
      </c>
      <c r="X332" s="118">
        <f>R332+$F$47+IF('Parameters and Satisfaction'!$C$19="Ozone", 'Filtration System'!AE296*1000000, 0)</f>
        <v>4687500</v>
      </c>
      <c r="Y332" s="118"/>
      <c r="Z332" s="118">
        <f t="shared" si="47"/>
        <v>0.33694883475599285</v>
      </c>
      <c r="AA332" s="118">
        <f t="shared" si="48"/>
        <v>0.6007472016419606</v>
      </c>
      <c r="AB332" s="118">
        <f t="shared" si="49"/>
        <v>0.33482142857142855</v>
      </c>
      <c r="AC332" s="118">
        <f t="shared" si="50"/>
        <v>0.6007472016419606</v>
      </c>
      <c r="AD332" s="118">
        <f t="shared" si="51"/>
        <v>0.33482142857142855</v>
      </c>
      <c r="AE332" s="118"/>
      <c r="AF332" s="118"/>
      <c r="AG332" s="118"/>
      <c r="AK332">
        <f t="shared" si="46"/>
        <v>17136000</v>
      </c>
      <c r="AL332">
        <f t="shared" si="46"/>
        <v>17136000</v>
      </c>
      <c r="AM332">
        <f t="shared" si="46"/>
        <v>17136000</v>
      </c>
      <c r="AN332">
        <f t="shared" si="46"/>
        <v>17136000</v>
      </c>
      <c r="AO332">
        <f t="shared" si="46"/>
        <v>17136000</v>
      </c>
    </row>
    <row r="333" spans="1:41">
      <c r="A333" s="185">
        <f>'Water Stuff'!F267</f>
        <v>44824</v>
      </c>
      <c r="B333" s="118">
        <f>'Filtration System'!B297</f>
        <v>0</v>
      </c>
      <c r="C333" s="118">
        <f>'Filtration System'!C297</f>
        <v>280</v>
      </c>
      <c r="D333" s="118">
        <f>'Filtration System'!D297</f>
        <v>1133.9180938044969</v>
      </c>
      <c r="E333" s="118">
        <f>'Filtration System'!E297</f>
        <v>1007.2731686971146</v>
      </c>
      <c r="F333" s="118">
        <f>'Filtration System'!F297</f>
        <v>864.70426339235632</v>
      </c>
      <c r="G333" s="118"/>
      <c r="H333" s="118">
        <f>B333/1000*(1000*9.81*Pumps!$B$14+'Parameters and Satisfaction'!$B$27)</f>
        <v>0</v>
      </c>
      <c r="I333" s="118">
        <f>C333/1000*(1000*9.81*Pumps!$B$14+'Parameters and Satisfaction'!$B$27)</f>
        <v>75054.890191426952</v>
      </c>
      <c r="J333" s="118">
        <f>D333/1000*(1000*9.81*Pumps!$B$14+'Parameters and Satisfaction'!$B$27)</f>
        <v>303950.35005917388</v>
      </c>
      <c r="K333" s="118">
        <f>E333/1000*(1000*9.81*Pumps!$B$14+'Parameters and Satisfaction'!$B$27)</f>
        <v>270002.77524761646</v>
      </c>
      <c r="L333" s="118">
        <f>F333/1000*(1000*9.81*Pumps!$B$14+'Parameters and Satisfaction'!$B$27)</f>
        <v>231786.72691775725</v>
      </c>
      <c r="M333" s="118"/>
      <c r="N333" s="118">
        <f>H333/IF('Parameters and Satisfaction'!$C$13="Pump A", 0.7, IF('Parameters and Satisfaction'!$C$13 = "Pump B", 0.72, 0.65))</f>
        <v>0</v>
      </c>
      <c r="O333" s="118">
        <f>I333/IF('Parameters and Satisfaction'!$C$13="Pump A", 0.7, IF('Parameters and Satisfaction'!$C$13 = "Pump B", 0.72, 0.65))</f>
        <v>104242.90304364855</v>
      </c>
      <c r="P333" s="118">
        <f>J333/IF('Parameters and Satisfaction'!$C$13="Pump A", 0.7, IF('Parameters and Satisfaction'!$C$13 = "Pump B", 0.72, 0.65))</f>
        <v>422153.26397107483</v>
      </c>
      <c r="Q333" s="118">
        <f>K333/IF('Parameters and Satisfaction'!$C$13="Pump A", 0.7, IF('Parameters and Satisfaction'!$C$13 = "Pump B", 0.72, 0.65))</f>
        <v>375003.85451057844</v>
      </c>
      <c r="R333" s="118">
        <f>L333/IF('Parameters and Satisfaction'!$C$13="Pump A", 0.7, IF('Parameters and Satisfaction'!$C$13 = "Pump B", 0.72, 0.65))</f>
        <v>321926.00960799621</v>
      </c>
      <c r="S333" s="118"/>
      <c r="T333" s="118">
        <f>N333+$F$47+IF('Parameters and Satisfaction'!$C$19="Ozone", 'Filtration System'!AA297*1000000, 0)</f>
        <v>4687500</v>
      </c>
      <c r="U333" s="118">
        <f>O333+$F$47+IF('Parameters and Satisfaction'!$C$19="Ozone", 'Filtration System'!AB297*1000000, 0)</f>
        <v>4791742.9030436482</v>
      </c>
      <c r="V333" s="118">
        <f>P333+$F$47+IF('Parameters and Satisfaction'!$C$19="Ozone", 'Filtration System'!AC297*1000000, 0)</f>
        <v>5109653.2639710745</v>
      </c>
      <c r="W333" s="118">
        <f>Q333+$F$47+IF('Parameters and Satisfaction'!$C$19="Ozone", 'Filtration System'!AD297*1000000, 0)</f>
        <v>5062503.8545105783</v>
      </c>
      <c r="X333" s="118">
        <f>R333+$F$47+IF('Parameters and Satisfaction'!$C$19="Ozone", 'Filtration System'!AE297*1000000, 0)</f>
        <v>5009426.0096079959</v>
      </c>
      <c r="Y333" s="118"/>
      <c r="Z333" s="118">
        <f t="shared" si="47"/>
        <v>0.33482142857142855</v>
      </c>
      <c r="AA333" s="118">
        <f t="shared" si="48"/>
        <v>0.34226735021740345</v>
      </c>
      <c r="AB333" s="118">
        <f t="shared" si="49"/>
        <v>0.36497523314079106</v>
      </c>
      <c r="AC333" s="118">
        <f t="shared" si="50"/>
        <v>0.36160741817932701</v>
      </c>
      <c r="AD333" s="118">
        <f t="shared" si="51"/>
        <v>0.35781614354342828</v>
      </c>
      <c r="AE333" s="118"/>
      <c r="AF333" s="118"/>
      <c r="AG333" s="118"/>
      <c r="AK333">
        <f t="shared" si="46"/>
        <v>17136000</v>
      </c>
      <c r="AL333">
        <f t="shared" si="46"/>
        <v>17136000</v>
      </c>
      <c r="AM333">
        <f t="shared" si="46"/>
        <v>17136000</v>
      </c>
      <c r="AN333">
        <f t="shared" si="46"/>
        <v>17136000</v>
      </c>
      <c r="AO333">
        <f t="shared" si="46"/>
        <v>17136000</v>
      </c>
    </row>
    <row r="334" spans="1:41">
      <c r="A334" s="185">
        <f>'Water Stuff'!F268</f>
        <v>44825</v>
      </c>
      <c r="B334" s="118">
        <f>'Filtration System'!B298</f>
        <v>400</v>
      </c>
      <c r="C334" s="118">
        <f>'Filtration System'!C298</f>
        <v>840</v>
      </c>
      <c r="D334" s="118">
        <f>'Filtration System'!D298</f>
        <v>178.96485715228582</v>
      </c>
      <c r="E334" s="118">
        <f>'Filtration System'!E298</f>
        <v>502.79229618343055</v>
      </c>
      <c r="F334" s="118">
        <f>'Filtration System'!F298</f>
        <v>0</v>
      </c>
      <c r="G334" s="118"/>
      <c r="H334" s="118">
        <f>B334/1000*(1000*9.81*Pumps!$B$14+'Parameters and Satisfaction'!$B$27)</f>
        <v>107221.2717020385</v>
      </c>
      <c r="I334" s="118">
        <f>C334/1000*(1000*9.81*Pumps!$B$14+'Parameters and Satisfaction'!$B$27)</f>
        <v>225164.67057428084</v>
      </c>
      <c r="J334" s="118">
        <f>D334/1000*(1000*9.81*Pumps!$B$14+'Parameters and Satisfaction'!$B$27)</f>
        <v>47972.098934604364</v>
      </c>
      <c r="K334" s="118">
        <f>E334/1000*(1000*9.81*Pumps!$B$14+'Parameters and Satisfaction'!$B$27)</f>
        <v>134775.07349693857</v>
      </c>
      <c r="L334" s="118">
        <f>F334/1000*(1000*9.81*Pumps!$B$14+'Parameters and Satisfaction'!$B$27)</f>
        <v>0</v>
      </c>
      <c r="M334" s="118"/>
      <c r="N334" s="118">
        <f>H334/IF('Parameters and Satisfaction'!$C$13="Pump A", 0.7, IF('Parameters and Satisfaction'!$C$13 = "Pump B", 0.72, 0.65))</f>
        <v>148918.43291949792</v>
      </c>
      <c r="O334" s="118">
        <f>I334/IF('Parameters and Satisfaction'!$C$13="Pump A", 0.7, IF('Parameters and Satisfaction'!$C$13 = "Pump B", 0.72, 0.65))</f>
        <v>312728.70913094562</v>
      </c>
      <c r="P334" s="118">
        <f>J334/IF('Parameters and Satisfaction'!$C$13="Pump A", 0.7, IF('Parameters and Satisfaction'!$C$13 = "Pump B", 0.72, 0.65))</f>
        <v>66627.915186950515</v>
      </c>
      <c r="Q334" s="118">
        <f>K334/IF('Parameters and Satisfaction'!$C$13="Pump A", 0.7, IF('Parameters and Satisfaction'!$C$13 = "Pump B", 0.72, 0.65))</f>
        <v>187187.60207908135</v>
      </c>
      <c r="R334" s="118">
        <f>L334/IF('Parameters and Satisfaction'!$C$13="Pump A", 0.7, IF('Parameters and Satisfaction'!$C$13 = "Pump B", 0.72, 0.65))</f>
        <v>0</v>
      </c>
      <c r="S334" s="118"/>
      <c r="T334" s="118">
        <f>N334+$F$47+IF('Parameters and Satisfaction'!$C$19="Ozone", 'Filtration System'!AA298*1000000, 0)</f>
        <v>4836418.4329194976</v>
      </c>
      <c r="U334" s="118">
        <f>O334+$F$47+IF('Parameters and Satisfaction'!$C$19="Ozone", 'Filtration System'!AB298*1000000, 0)</f>
        <v>5000228.7091309456</v>
      </c>
      <c r="V334" s="118">
        <f>P334+$F$47+IF('Parameters and Satisfaction'!$C$19="Ozone", 'Filtration System'!AC298*1000000, 0)</f>
        <v>4754127.9151869509</v>
      </c>
      <c r="W334" s="118">
        <f>Q334+$F$47+IF('Parameters and Satisfaction'!$C$19="Ozone", 'Filtration System'!AD298*1000000, 0)</f>
        <v>4874687.6020790813</v>
      </c>
      <c r="X334" s="118">
        <f>R334+$F$47+IF('Parameters and Satisfaction'!$C$19="Ozone", 'Filtration System'!AE298*1000000, 0)</f>
        <v>4687500</v>
      </c>
      <c r="Y334" s="118"/>
      <c r="Z334" s="118">
        <f t="shared" si="47"/>
        <v>0.3454584594942498</v>
      </c>
      <c r="AA334" s="118">
        <f t="shared" si="48"/>
        <v>0.35715919350935327</v>
      </c>
      <c r="AB334" s="118">
        <f t="shared" si="49"/>
        <v>0.33958056537049652</v>
      </c>
      <c r="AC334" s="118">
        <f t="shared" si="50"/>
        <v>0.34819197157707726</v>
      </c>
      <c r="AD334" s="118">
        <f t="shared" si="51"/>
        <v>0.33482142857142855</v>
      </c>
      <c r="AE334" s="118"/>
      <c r="AF334" s="118"/>
      <c r="AG334" s="118"/>
      <c r="AK334">
        <f t="shared" ref="AK334:AO343" si="52">$D$63</f>
        <v>17136000</v>
      </c>
      <c r="AL334">
        <f t="shared" si="52"/>
        <v>17136000</v>
      </c>
      <c r="AM334">
        <f t="shared" si="52"/>
        <v>17136000</v>
      </c>
      <c r="AN334">
        <f t="shared" si="52"/>
        <v>17136000</v>
      </c>
      <c r="AO334">
        <f t="shared" si="52"/>
        <v>17136000</v>
      </c>
    </row>
    <row r="335" spans="1:41">
      <c r="A335" s="185">
        <f>'Water Stuff'!F269</f>
        <v>44826</v>
      </c>
      <c r="B335" s="118">
        <f>'Filtration System'!B299</f>
        <v>2480</v>
      </c>
      <c r="C335" s="118">
        <f>'Filtration System'!C299</f>
        <v>7959.9999999999991</v>
      </c>
      <c r="D335" s="118">
        <f>'Filtration System'!D299</f>
        <v>1504.1677370293755</v>
      </c>
      <c r="E335" s="118">
        <f>'Filtration System'!E299</f>
        <v>6193.5278013147536</v>
      </c>
      <c r="F335" s="118">
        <f>'Filtration System'!F299</f>
        <v>0</v>
      </c>
      <c r="G335" s="118"/>
      <c r="H335" s="118">
        <f>B335/1000*(1000*9.81*Pumps!$B$14+'Parameters and Satisfaction'!$B$27)</f>
        <v>664771.88455263863</v>
      </c>
      <c r="I335" s="118">
        <f>C335/1000*(1000*9.81*Pumps!$B$14+'Parameters and Satisfaction'!$B$27)</f>
        <v>2133703.3068705657</v>
      </c>
      <c r="J335" s="118">
        <f>D335/1000*(1000*9.81*Pumps!$B$14+'Parameters and Satisfaction'!$B$27)</f>
        <v>403196.9440436677</v>
      </c>
      <c r="K335" s="118">
        <f>E335/1000*(1000*9.81*Pumps!$B$14+'Parameters and Satisfaction'!$B$27)</f>
        <v>1660194.8179472457</v>
      </c>
      <c r="L335" s="118">
        <f>F335/1000*(1000*9.81*Pumps!$B$14+'Parameters and Satisfaction'!$B$27)</f>
        <v>0</v>
      </c>
      <c r="M335" s="118"/>
      <c r="N335" s="118">
        <f>H335/IF('Parameters and Satisfaction'!$C$13="Pump A", 0.7, IF('Parameters and Satisfaction'!$C$13 = "Pump B", 0.72, 0.65))</f>
        <v>923294.28410088702</v>
      </c>
      <c r="O335" s="118">
        <f>I335/IF('Parameters and Satisfaction'!$C$13="Pump A", 0.7, IF('Parameters and Satisfaction'!$C$13 = "Pump B", 0.72, 0.65))</f>
        <v>2963476.8150980081</v>
      </c>
      <c r="P335" s="118">
        <f>J335/IF('Parameters and Satisfaction'!$C$13="Pump A", 0.7, IF('Parameters and Satisfaction'!$C$13 = "Pump B", 0.72, 0.65))</f>
        <v>559995.75561620516</v>
      </c>
      <c r="Q335" s="118">
        <f>K335/IF('Parameters and Satisfaction'!$C$13="Pump A", 0.7, IF('Parameters and Satisfaction'!$C$13 = "Pump B", 0.72, 0.65))</f>
        <v>2305826.1360378414</v>
      </c>
      <c r="R335" s="118">
        <f>L335/IF('Parameters and Satisfaction'!$C$13="Pump A", 0.7, IF('Parameters and Satisfaction'!$C$13 = "Pump B", 0.72, 0.65))</f>
        <v>0</v>
      </c>
      <c r="S335" s="118"/>
      <c r="T335" s="118">
        <f>N335+$F$47+IF('Parameters and Satisfaction'!$C$19="Ozone", 'Filtration System'!AA299*1000000, 0)</f>
        <v>5610794.2841008874</v>
      </c>
      <c r="U335" s="118">
        <f>O335+$F$47+IF('Parameters and Satisfaction'!$C$19="Ozone", 'Filtration System'!AB299*1000000, 0)</f>
        <v>7650976.8150980081</v>
      </c>
      <c r="V335" s="118">
        <f>P335+$F$47+IF('Parameters and Satisfaction'!$C$19="Ozone", 'Filtration System'!AC299*1000000, 0)</f>
        <v>5247495.7556162048</v>
      </c>
      <c r="W335" s="118">
        <f>Q335+$F$47+IF('Parameters and Satisfaction'!$C$19="Ozone", 'Filtration System'!AD299*1000000, 0)</f>
        <v>6993326.1360378414</v>
      </c>
      <c r="X335" s="118">
        <f>R335+$F$47+IF('Parameters and Satisfaction'!$C$19="Ozone", 'Filtration System'!AE299*1000000, 0)</f>
        <v>4687500</v>
      </c>
      <c r="Y335" s="118"/>
      <c r="Z335" s="118">
        <f t="shared" si="47"/>
        <v>0.4007710202929205</v>
      </c>
      <c r="AA335" s="118">
        <f t="shared" si="48"/>
        <v>0.54649834393557206</v>
      </c>
      <c r="AB335" s="118">
        <f t="shared" si="49"/>
        <v>0.37482112540115747</v>
      </c>
      <c r="AC335" s="118">
        <f t="shared" si="50"/>
        <v>0.49952329543127438</v>
      </c>
      <c r="AD335" s="118">
        <f t="shared" si="51"/>
        <v>0.33482142857142855</v>
      </c>
      <c r="AE335" s="118"/>
      <c r="AF335" s="118"/>
      <c r="AG335" s="118"/>
      <c r="AK335">
        <f t="shared" si="52"/>
        <v>17136000</v>
      </c>
      <c r="AL335">
        <f t="shared" si="52"/>
        <v>17136000</v>
      </c>
      <c r="AM335">
        <f t="shared" si="52"/>
        <v>17136000</v>
      </c>
      <c r="AN335">
        <f t="shared" si="52"/>
        <v>17136000</v>
      </c>
      <c r="AO335">
        <f t="shared" si="52"/>
        <v>17136000</v>
      </c>
    </row>
    <row r="336" spans="1:41">
      <c r="A336" s="185">
        <f>'Water Stuff'!F270</f>
        <v>44827</v>
      </c>
      <c r="B336" s="118">
        <f>'Filtration System'!B300</f>
        <v>5880</v>
      </c>
      <c r="C336" s="118">
        <f>'Filtration System'!C300</f>
        <v>5960</v>
      </c>
      <c r="D336" s="118">
        <f>'Filtration System'!D300</f>
        <v>6332.2393000551483</v>
      </c>
      <c r="E336" s="118">
        <f>'Filtration System'!E300</f>
        <v>3539.1721528418138</v>
      </c>
      <c r="F336" s="118">
        <f>'Filtration System'!F300</f>
        <v>6408.246827881092</v>
      </c>
      <c r="G336" s="118"/>
      <c r="H336" s="118">
        <f>B336/1000*(1000*9.81*Pumps!$B$14+'Parameters and Satisfaction'!$B$27)</f>
        <v>1576152.6940199658</v>
      </c>
      <c r="I336" s="118">
        <f>C336/1000*(1000*9.81*Pumps!$B$14+'Parameters and Satisfaction'!$B$27)</f>
        <v>1597596.9483603735</v>
      </c>
      <c r="J336" s="118">
        <f>D336/1000*(1000*9.81*Pumps!$B$14+'Parameters and Satisfaction'!$B$27)</f>
        <v>1697376.8761838479</v>
      </c>
      <c r="K336" s="118">
        <f>E336/1000*(1000*9.81*Pumps!$B$14+'Parameters and Satisfaction'!$B$27)</f>
        <v>948686.34750035149</v>
      </c>
      <c r="L336" s="118">
        <f>F336/1000*(1000*9.81*Pumps!$B$14+'Parameters and Satisfaction'!$B$27)</f>
        <v>1717750.9356649122</v>
      </c>
      <c r="M336" s="118"/>
      <c r="N336" s="118">
        <f>H336/IF('Parameters and Satisfaction'!$C$13="Pump A", 0.7, IF('Parameters and Satisfaction'!$C$13 = "Pump B", 0.72, 0.65))</f>
        <v>2189100.9639166193</v>
      </c>
      <c r="O336" s="118">
        <f>I336/IF('Parameters and Satisfaction'!$C$13="Pump A", 0.7, IF('Parameters and Satisfaction'!$C$13 = "Pump B", 0.72, 0.65))</f>
        <v>2218884.6505005187</v>
      </c>
      <c r="P336" s="118">
        <f>J336/IF('Parameters and Satisfaction'!$C$13="Pump A", 0.7, IF('Parameters and Satisfaction'!$C$13 = "Pump B", 0.72, 0.65))</f>
        <v>2357467.8835886777</v>
      </c>
      <c r="Q336" s="118">
        <f>K336/IF('Parameters and Satisfaction'!$C$13="Pump A", 0.7, IF('Parameters and Satisfaction'!$C$13 = "Pump B", 0.72, 0.65))</f>
        <v>1317619.9270838215</v>
      </c>
      <c r="R336" s="118">
        <f>L336/IF('Parameters and Satisfaction'!$C$13="Pump A", 0.7, IF('Parameters and Satisfaction'!$C$13 = "Pump B", 0.72, 0.65))</f>
        <v>2385765.1884234892</v>
      </c>
      <c r="S336" s="118"/>
      <c r="T336" s="118">
        <f>N336+$F$47+IF('Parameters and Satisfaction'!$C$19="Ozone", 'Filtration System'!AA300*1000000, 0)</f>
        <v>6876600.9639166193</v>
      </c>
      <c r="U336" s="118">
        <f>O336+$F$47+IF('Parameters and Satisfaction'!$C$19="Ozone", 'Filtration System'!AB300*1000000, 0)</f>
        <v>6906384.6505005192</v>
      </c>
      <c r="V336" s="118">
        <f>P336+$F$47+IF('Parameters and Satisfaction'!$C$19="Ozone", 'Filtration System'!AC300*1000000, 0)</f>
        <v>7044967.8835886773</v>
      </c>
      <c r="W336" s="118">
        <f>Q336+$F$47+IF('Parameters and Satisfaction'!$C$19="Ozone", 'Filtration System'!AD300*1000000, 0)</f>
        <v>6005119.927083822</v>
      </c>
      <c r="X336" s="118">
        <f>R336+$F$47+IF('Parameters and Satisfaction'!$C$19="Ozone", 'Filtration System'!AE300*1000000, 0)</f>
        <v>7073265.1884234892</v>
      </c>
      <c r="Y336" s="118"/>
      <c r="Z336" s="118">
        <f t="shared" si="47"/>
        <v>0.49118578313690137</v>
      </c>
      <c r="AA336" s="118">
        <f t="shared" si="48"/>
        <v>0.49331318932146567</v>
      </c>
      <c r="AB336" s="118">
        <f t="shared" si="49"/>
        <v>0.50321199168490549</v>
      </c>
      <c r="AC336" s="118">
        <f t="shared" si="50"/>
        <v>0.42893713764884445</v>
      </c>
      <c r="AD336" s="118">
        <f t="shared" si="51"/>
        <v>0.50523322774453494</v>
      </c>
      <c r="AE336" s="118"/>
      <c r="AF336" s="118"/>
      <c r="AG336" s="118"/>
      <c r="AK336">
        <f t="shared" si="52"/>
        <v>17136000</v>
      </c>
      <c r="AL336">
        <f t="shared" si="52"/>
        <v>17136000</v>
      </c>
      <c r="AM336">
        <f t="shared" si="52"/>
        <v>17136000</v>
      </c>
      <c r="AN336">
        <f t="shared" si="52"/>
        <v>17136000</v>
      </c>
      <c r="AO336">
        <f t="shared" si="52"/>
        <v>17136000</v>
      </c>
    </row>
    <row r="337" spans="1:41">
      <c r="A337" s="185">
        <f>'Water Stuff'!F271</f>
        <v>44828</v>
      </c>
      <c r="B337" s="118">
        <f>'Filtration System'!B301</f>
        <v>320</v>
      </c>
      <c r="C337" s="118">
        <f>'Filtration System'!C301</f>
        <v>2360</v>
      </c>
      <c r="D337" s="118">
        <f>'Filtration System'!D301</f>
        <v>0</v>
      </c>
      <c r="E337" s="118">
        <f>'Filtration System'!E301</f>
        <v>904.52490023494056</v>
      </c>
      <c r="F337" s="118">
        <f>'Filtration System'!F301</f>
        <v>0</v>
      </c>
      <c r="G337" s="118"/>
      <c r="H337" s="118">
        <f>B337/1000*(1000*9.81*Pumps!$B$14+'Parameters and Satisfaction'!$B$27)</f>
        <v>85777.017361630802</v>
      </c>
      <c r="I337" s="118">
        <f>C337/1000*(1000*9.81*Pumps!$B$14+'Parameters and Satisfaction'!$B$27)</f>
        <v>632605.50304202712</v>
      </c>
      <c r="J337" s="118">
        <f>D337/1000*(1000*9.81*Pumps!$B$14+'Parameters and Satisfaction'!$B$27)</f>
        <v>0</v>
      </c>
      <c r="K337" s="118">
        <f>E337/1000*(1000*9.81*Pumps!$B$14+'Parameters and Satisfaction'!$B$27)</f>
        <v>242460.77522337457</v>
      </c>
      <c r="L337" s="118">
        <f>F337/1000*(1000*9.81*Pumps!$B$14+'Parameters and Satisfaction'!$B$27)</f>
        <v>0</v>
      </c>
      <c r="M337" s="118"/>
      <c r="N337" s="118">
        <f>H337/IF('Parameters and Satisfaction'!$C$13="Pump A", 0.7, IF('Parameters and Satisfaction'!$C$13 = "Pump B", 0.72, 0.65))</f>
        <v>119134.74633559833</v>
      </c>
      <c r="O337" s="118">
        <f>I337/IF('Parameters and Satisfaction'!$C$13="Pump A", 0.7, IF('Parameters and Satisfaction'!$C$13 = "Pump B", 0.72, 0.65))</f>
        <v>878618.75422503776</v>
      </c>
      <c r="P337" s="118">
        <f>J337/IF('Parameters and Satisfaction'!$C$13="Pump A", 0.7, IF('Parameters and Satisfaction'!$C$13 = "Pump B", 0.72, 0.65))</f>
        <v>0</v>
      </c>
      <c r="Q337" s="118">
        <f>K337/IF('Parameters and Satisfaction'!$C$13="Pump A", 0.7, IF('Parameters and Satisfaction'!$C$13 = "Pump B", 0.72, 0.65))</f>
        <v>336751.07669913134</v>
      </c>
      <c r="R337" s="118">
        <f>L337/IF('Parameters and Satisfaction'!$C$13="Pump A", 0.7, IF('Parameters and Satisfaction'!$C$13 = "Pump B", 0.72, 0.65))</f>
        <v>0</v>
      </c>
      <c r="S337" s="118"/>
      <c r="T337" s="118">
        <f>N337+$F$47+IF('Parameters and Satisfaction'!$C$19="Ozone", 'Filtration System'!AA301*1000000, 0)</f>
        <v>4806634.7463355986</v>
      </c>
      <c r="U337" s="118">
        <f>O337+$F$47+IF('Parameters and Satisfaction'!$C$19="Ozone", 'Filtration System'!AB301*1000000, 0)</f>
        <v>5566118.754225038</v>
      </c>
      <c r="V337" s="118">
        <f>P337+$F$47+IF('Parameters and Satisfaction'!$C$19="Ozone", 'Filtration System'!AC301*1000000, 0)</f>
        <v>4687500</v>
      </c>
      <c r="W337" s="118">
        <f>Q337+$F$47+IF('Parameters and Satisfaction'!$C$19="Ozone", 'Filtration System'!AD301*1000000, 0)</f>
        <v>5024251.0766991312</v>
      </c>
      <c r="X337" s="118">
        <f>R337+$F$47+IF('Parameters and Satisfaction'!$C$19="Ozone", 'Filtration System'!AE301*1000000, 0)</f>
        <v>4687500</v>
      </c>
      <c r="Y337" s="118"/>
      <c r="Z337" s="118">
        <f t="shared" si="47"/>
        <v>0.34333105330968561</v>
      </c>
      <c r="AA337" s="118">
        <f t="shared" si="48"/>
        <v>0.39757991101607415</v>
      </c>
      <c r="AB337" s="118">
        <f t="shared" si="49"/>
        <v>0.33482142857142855</v>
      </c>
      <c r="AC337" s="118">
        <f t="shared" si="50"/>
        <v>0.35887507690708081</v>
      </c>
      <c r="AD337" s="118">
        <f t="shared" si="51"/>
        <v>0.33482142857142855</v>
      </c>
      <c r="AE337" s="118"/>
      <c r="AF337" s="118"/>
      <c r="AG337" s="118"/>
      <c r="AK337">
        <f t="shared" si="52"/>
        <v>17136000</v>
      </c>
      <c r="AL337">
        <f t="shared" si="52"/>
        <v>17136000</v>
      </c>
      <c r="AM337">
        <f t="shared" si="52"/>
        <v>17136000</v>
      </c>
      <c r="AN337">
        <f t="shared" si="52"/>
        <v>17136000</v>
      </c>
      <c r="AO337">
        <f t="shared" si="52"/>
        <v>17136000</v>
      </c>
    </row>
    <row r="338" spans="1:41">
      <c r="A338" s="185">
        <f>'Water Stuff'!F272</f>
        <v>44829</v>
      </c>
      <c r="B338" s="118">
        <f>'Filtration System'!B302</f>
        <v>120</v>
      </c>
      <c r="C338" s="118">
        <f>'Filtration System'!C302</f>
        <v>320</v>
      </c>
      <c r="D338" s="118">
        <f>'Filtration System'!D302</f>
        <v>0</v>
      </c>
      <c r="E338" s="118">
        <f>'Filtration System'!E302</f>
        <v>593.01298921359967</v>
      </c>
      <c r="F338" s="118">
        <f>'Filtration System'!F302</f>
        <v>0</v>
      </c>
      <c r="G338" s="118"/>
      <c r="H338" s="118">
        <f>B338/1000*(1000*9.81*Pumps!$B$14+'Parameters and Satisfaction'!$B$27)</f>
        <v>32166.381510611547</v>
      </c>
      <c r="I338" s="118">
        <f>C338/1000*(1000*9.81*Pumps!$B$14+'Parameters and Satisfaction'!$B$27)</f>
        <v>85777.017361630802</v>
      </c>
      <c r="J338" s="118">
        <f>D338/1000*(1000*9.81*Pumps!$B$14+'Parameters and Satisfaction'!$B$27)</f>
        <v>0</v>
      </c>
      <c r="K338" s="118">
        <f>E338/1000*(1000*9.81*Pumps!$B$14+'Parameters and Satisfaction'!$B$27)</f>
        <v>158959.0170982735</v>
      </c>
      <c r="L338" s="118">
        <f>F338/1000*(1000*9.81*Pumps!$B$14+'Parameters and Satisfaction'!$B$27)</f>
        <v>0</v>
      </c>
      <c r="M338" s="118"/>
      <c r="N338" s="118">
        <f>H338/IF('Parameters and Satisfaction'!$C$13="Pump A", 0.7, IF('Parameters and Satisfaction'!$C$13 = "Pump B", 0.72, 0.65))</f>
        <v>44675.529875849374</v>
      </c>
      <c r="O338" s="118">
        <f>I338/IF('Parameters and Satisfaction'!$C$13="Pump A", 0.7, IF('Parameters and Satisfaction'!$C$13 = "Pump B", 0.72, 0.65))</f>
        <v>119134.74633559833</v>
      </c>
      <c r="P338" s="118">
        <f>J338/IF('Parameters and Satisfaction'!$C$13="Pump A", 0.7, IF('Parameters and Satisfaction'!$C$13 = "Pump B", 0.72, 0.65))</f>
        <v>0</v>
      </c>
      <c r="Q338" s="118">
        <f>K338/IF('Parameters and Satisfaction'!$C$13="Pump A", 0.7, IF('Parameters and Satisfaction'!$C$13 = "Pump B", 0.72, 0.65))</f>
        <v>220776.41263649098</v>
      </c>
      <c r="R338" s="118">
        <f>L338/IF('Parameters and Satisfaction'!$C$13="Pump A", 0.7, IF('Parameters and Satisfaction'!$C$13 = "Pump B", 0.72, 0.65))</f>
        <v>0</v>
      </c>
      <c r="S338" s="118"/>
      <c r="T338" s="118">
        <f>N338+$F$47+IF('Parameters and Satisfaction'!$C$19="Ozone", 'Filtration System'!AA302*1000000, 0)</f>
        <v>4732175.5298758494</v>
      </c>
      <c r="U338" s="118">
        <f>O338+$F$47+IF('Parameters and Satisfaction'!$C$19="Ozone", 'Filtration System'!AB302*1000000, 0)</f>
        <v>4806634.7463355986</v>
      </c>
      <c r="V338" s="118">
        <f>P338+$F$47+IF('Parameters and Satisfaction'!$C$19="Ozone", 'Filtration System'!AC302*1000000, 0)</f>
        <v>4687500</v>
      </c>
      <c r="W338" s="118">
        <f>Q338+$F$47+IF('Parameters and Satisfaction'!$C$19="Ozone", 'Filtration System'!AD302*1000000, 0)</f>
        <v>4908276.4126364905</v>
      </c>
      <c r="X338" s="118">
        <f>R338+$F$47+IF('Parameters and Satisfaction'!$C$19="Ozone", 'Filtration System'!AE302*1000000, 0)</f>
        <v>4687500</v>
      </c>
      <c r="Y338" s="118"/>
      <c r="Z338" s="118">
        <f t="shared" si="47"/>
        <v>0.33801253784827495</v>
      </c>
      <c r="AA338" s="118">
        <f t="shared" si="48"/>
        <v>0.34333105330968561</v>
      </c>
      <c r="AB338" s="118">
        <f t="shared" si="49"/>
        <v>0.33482142857142855</v>
      </c>
      <c r="AC338" s="118">
        <f t="shared" si="50"/>
        <v>0.35059117233117787</v>
      </c>
      <c r="AD338" s="118">
        <f t="shared" si="51"/>
        <v>0.33482142857142855</v>
      </c>
      <c r="AE338" s="118"/>
      <c r="AF338" s="118"/>
      <c r="AG338" s="118"/>
      <c r="AK338">
        <f t="shared" si="52"/>
        <v>17136000</v>
      </c>
      <c r="AL338">
        <f t="shared" si="52"/>
        <v>17136000</v>
      </c>
      <c r="AM338">
        <f t="shared" si="52"/>
        <v>17136000</v>
      </c>
      <c r="AN338">
        <f t="shared" si="52"/>
        <v>17136000</v>
      </c>
      <c r="AO338">
        <f t="shared" si="52"/>
        <v>17136000</v>
      </c>
    </row>
    <row r="339" spans="1:41">
      <c r="A339" s="185">
        <f>'Water Stuff'!F273</f>
        <v>44830</v>
      </c>
      <c r="B339" s="118">
        <f>'Filtration System'!B303</f>
        <v>1639.9999999999998</v>
      </c>
      <c r="C339" s="118">
        <f>'Filtration System'!C303</f>
        <v>0</v>
      </c>
      <c r="D339" s="118">
        <f>'Filtration System'!D303</f>
        <v>0</v>
      </c>
      <c r="E339" s="118">
        <f>'Filtration System'!E303</f>
        <v>0</v>
      </c>
      <c r="F339" s="118">
        <f>'Filtration System'!F303</f>
        <v>0</v>
      </c>
      <c r="G339" s="118"/>
      <c r="H339" s="118">
        <f>B339/1000*(1000*9.81*Pumps!$B$14+'Parameters and Satisfaction'!$B$27)</f>
        <v>439607.21397835773</v>
      </c>
      <c r="I339" s="118">
        <f>C339/1000*(1000*9.81*Pumps!$B$14+'Parameters and Satisfaction'!$B$27)</f>
        <v>0</v>
      </c>
      <c r="J339" s="118">
        <f>D339/1000*(1000*9.81*Pumps!$B$14+'Parameters and Satisfaction'!$B$27)</f>
        <v>0</v>
      </c>
      <c r="K339" s="118">
        <f>E339/1000*(1000*9.81*Pumps!$B$14+'Parameters and Satisfaction'!$B$27)</f>
        <v>0</v>
      </c>
      <c r="L339" s="118">
        <f>F339/1000*(1000*9.81*Pumps!$B$14+'Parameters and Satisfaction'!$B$27)</f>
        <v>0</v>
      </c>
      <c r="M339" s="118"/>
      <c r="N339" s="118">
        <f>H339/IF('Parameters and Satisfaction'!$C$13="Pump A", 0.7, IF('Parameters and Satisfaction'!$C$13 = "Pump B", 0.72, 0.65))</f>
        <v>610565.57496994128</v>
      </c>
      <c r="O339" s="118">
        <f>I339/IF('Parameters and Satisfaction'!$C$13="Pump A", 0.7, IF('Parameters and Satisfaction'!$C$13 = "Pump B", 0.72, 0.65))</f>
        <v>0</v>
      </c>
      <c r="P339" s="118">
        <f>J339/IF('Parameters and Satisfaction'!$C$13="Pump A", 0.7, IF('Parameters and Satisfaction'!$C$13 = "Pump B", 0.72, 0.65))</f>
        <v>0</v>
      </c>
      <c r="Q339" s="118">
        <f>K339/IF('Parameters and Satisfaction'!$C$13="Pump A", 0.7, IF('Parameters and Satisfaction'!$C$13 = "Pump B", 0.72, 0.65))</f>
        <v>0</v>
      </c>
      <c r="R339" s="118">
        <f>L339/IF('Parameters and Satisfaction'!$C$13="Pump A", 0.7, IF('Parameters and Satisfaction'!$C$13 = "Pump B", 0.72, 0.65))</f>
        <v>0</v>
      </c>
      <c r="S339" s="118"/>
      <c r="T339" s="118">
        <f>N339+$F$47+IF('Parameters and Satisfaction'!$C$19="Ozone", 'Filtration System'!AA303*1000000, 0)</f>
        <v>5298065.5749699418</v>
      </c>
      <c r="U339" s="118">
        <f>O339+$F$47+IF('Parameters and Satisfaction'!$C$19="Ozone", 'Filtration System'!AB303*1000000, 0)</f>
        <v>4687500</v>
      </c>
      <c r="V339" s="118">
        <f>P339+$F$47+IF('Parameters and Satisfaction'!$C$19="Ozone", 'Filtration System'!AC303*1000000, 0)</f>
        <v>4687500</v>
      </c>
      <c r="W339" s="118">
        <f>Q339+$F$47+IF('Parameters and Satisfaction'!$C$19="Ozone", 'Filtration System'!AD303*1000000, 0)</f>
        <v>4687500</v>
      </c>
      <c r="X339" s="118">
        <f>R339+$F$47+IF('Parameters and Satisfaction'!$C$19="Ozone", 'Filtration System'!AE303*1000000, 0)</f>
        <v>4687500</v>
      </c>
      <c r="Y339" s="118"/>
      <c r="Z339" s="118">
        <f t="shared" si="47"/>
        <v>0.37843325535499583</v>
      </c>
      <c r="AA339" s="118">
        <f t="shared" si="48"/>
        <v>0.33482142857142855</v>
      </c>
      <c r="AB339" s="118">
        <f t="shared" si="49"/>
        <v>0.33482142857142855</v>
      </c>
      <c r="AC339" s="118">
        <f t="shared" si="50"/>
        <v>0.33482142857142855</v>
      </c>
      <c r="AD339" s="118">
        <f t="shared" si="51"/>
        <v>0.33482142857142855</v>
      </c>
      <c r="AE339" s="118"/>
      <c r="AF339" s="118"/>
      <c r="AG339" s="118"/>
      <c r="AK339">
        <f t="shared" si="52"/>
        <v>17136000</v>
      </c>
      <c r="AL339">
        <f t="shared" si="52"/>
        <v>17136000</v>
      </c>
      <c r="AM339">
        <f t="shared" si="52"/>
        <v>17136000</v>
      </c>
      <c r="AN339">
        <f t="shared" si="52"/>
        <v>17136000</v>
      </c>
      <c r="AO339">
        <f t="shared" si="52"/>
        <v>17136000</v>
      </c>
    </row>
    <row r="340" spans="1:41">
      <c r="A340" s="185">
        <f>'Water Stuff'!F274</f>
        <v>44831</v>
      </c>
      <c r="B340" s="118">
        <f>'Filtration System'!B304</f>
        <v>0</v>
      </c>
      <c r="C340" s="118">
        <f>'Filtration System'!C304</f>
        <v>0</v>
      </c>
      <c r="D340" s="118">
        <f>'Filtration System'!D304</f>
        <v>0</v>
      </c>
      <c r="E340" s="118">
        <f>'Filtration System'!E304</f>
        <v>0</v>
      </c>
      <c r="F340" s="118">
        <f>'Filtration System'!F304</f>
        <v>1466.1775297150909</v>
      </c>
      <c r="G340" s="118"/>
      <c r="H340" s="118">
        <f>B340/1000*(1000*9.81*Pumps!$B$14+'Parameters and Satisfaction'!$B$27)</f>
        <v>0</v>
      </c>
      <c r="I340" s="118">
        <f>C340/1000*(1000*9.81*Pumps!$B$14+'Parameters and Satisfaction'!$B$27)</f>
        <v>0</v>
      </c>
      <c r="J340" s="118">
        <f>D340/1000*(1000*9.81*Pumps!$B$14+'Parameters and Satisfaction'!$B$27)</f>
        <v>0</v>
      </c>
      <c r="K340" s="118">
        <f>E340/1000*(1000*9.81*Pumps!$B$14+'Parameters and Satisfaction'!$B$27)</f>
        <v>0</v>
      </c>
      <c r="L340" s="118">
        <f>F340/1000*(1000*9.81*Pumps!$B$14+'Parameters and Satisfaction'!$B$27)</f>
        <v>393013.54819251347</v>
      </c>
      <c r="M340" s="118"/>
      <c r="N340" s="118">
        <f>H340/IF('Parameters and Satisfaction'!$C$13="Pump A", 0.7, IF('Parameters and Satisfaction'!$C$13 = "Pump B", 0.72, 0.65))</f>
        <v>0</v>
      </c>
      <c r="O340" s="118">
        <f>I340/IF('Parameters and Satisfaction'!$C$13="Pump A", 0.7, IF('Parameters and Satisfaction'!$C$13 = "Pump B", 0.72, 0.65))</f>
        <v>0</v>
      </c>
      <c r="P340" s="118">
        <f>J340/IF('Parameters and Satisfaction'!$C$13="Pump A", 0.7, IF('Parameters and Satisfaction'!$C$13 = "Pump B", 0.72, 0.65))</f>
        <v>0</v>
      </c>
      <c r="Q340" s="118">
        <f>K340/IF('Parameters and Satisfaction'!$C$13="Pump A", 0.7, IF('Parameters and Satisfaction'!$C$13 = "Pump B", 0.72, 0.65))</f>
        <v>0</v>
      </c>
      <c r="R340" s="118">
        <f>L340/IF('Parameters and Satisfaction'!$C$13="Pump A", 0.7, IF('Parameters and Satisfaction'!$C$13 = "Pump B", 0.72, 0.65))</f>
        <v>545852.15026737982</v>
      </c>
      <c r="S340" s="118"/>
      <c r="T340" s="118">
        <f>N340+$F$47+IF('Parameters and Satisfaction'!$C$19="Ozone", 'Filtration System'!AA304*1000000, 0)</f>
        <v>4687500</v>
      </c>
      <c r="U340" s="118">
        <f>O340+$F$47+IF('Parameters and Satisfaction'!$C$19="Ozone", 'Filtration System'!AB304*1000000, 0)</f>
        <v>4687500</v>
      </c>
      <c r="V340" s="118">
        <f>P340+$F$47+IF('Parameters and Satisfaction'!$C$19="Ozone", 'Filtration System'!AC304*1000000, 0)</f>
        <v>4687500</v>
      </c>
      <c r="W340" s="118">
        <f>Q340+$F$47+IF('Parameters and Satisfaction'!$C$19="Ozone", 'Filtration System'!AD304*1000000, 0)</f>
        <v>4687500</v>
      </c>
      <c r="X340" s="118">
        <f>R340+$F$47+IF('Parameters and Satisfaction'!$C$19="Ozone", 'Filtration System'!AE304*1000000, 0)</f>
        <v>5233352.1502673794</v>
      </c>
      <c r="Y340" s="118"/>
      <c r="Z340" s="118">
        <f t="shared" si="47"/>
        <v>0.33482142857142855</v>
      </c>
      <c r="AA340" s="118">
        <f t="shared" si="48"/>
        <v>0.33482142857142855</v>
      </c>
      <c r="AB340" s="118">
        <f t="shared" si="49"/>
        <v>0.33482142857142855</v>
      </c>
      <c r="AC340" s="118">
        <f t="shared" si="50"/>
        <v>0.33482142857142855</v>
      </c>
      <c r="AD340" s="118">
        <f t="shared" si="51"/>
        <v>0.3738108678762414</v>
      </c>
      <c r="AE340" s="118"/>
      <c r="AF340" s="118"/>
      <c r="AG340" s="118"/>
      <c r="AK340">
        <f t="shared" si="52"/>
        <v>17136000</v>
      </c>
      <c r="AL340">
        <f t="shared" si="52"/>
        <v>17136000</v>
      </c>
      <c r="AM340">
        <f t="shared" si="52"/>
        <v>17136000</v>
      </c>
      <c r="AN340">
        <f t="shared" si="52"/>
        <v>17136000</v>
      </c>
      <c r="AO340">
        <f t="shared" si="52"/>
        <v>17136000</v>
      </c>
    </row>
    <row r="341" spans="1:41">
      <c r="A341" s="185">
        <f>'Water Stuff'!F275</f>
        <v>44832</v>
      </c>
      <c r="B341" s="118">
        <f>'Filtration System'!B305</f>
        <v>2480</v>
      </c>
      <c r="C341" s="118">
        <f>'Filtration System'!C305</f>
        <v>0</v>
      </c>
      <c r="D341" s="118">
        <f>'Filtration System'!D305</f>
        <v>2426.9336872603299</v>
      </c>
      <c r="E341" s="118">
        <f>'Filtration System'!E305</f>
        <v>0</v>
      </c>
      <c r="F341" s="118">
        <f>'Filtration System'!F305</f>
        <v>2088.8257964518102</v>
      </c>
      <c r="G341" s="118"/>
      <c r="H341" s="118">
        <f>B341/1000*(1000*9.81*Pumps!$B$14+'Parameters and Satisfaction'!$B$27)</f>
        <v>664771.88455263863</v>
      </c>
      <c r="I341" s="118">
        <f>C341/1000*(1000*9.81*Pumps!$B$14+'Parameters and Satisfaction'!$B$27)</f>
        <v>0</v>
      </c>
      <c r="J341" s="118">
        <f>D341/1000*(1000*9.81*Pumps!$B$14+'Parameters and Satisfaction'!$B$27)</f>
        <v>650547.2907114249</v>
      </c>
      <c r="K341" s="118">
        <f>E341/1000*(1000*9.81*Pumps!$B$14+'Parameters and Satisfaction'!$B$27)</f>
        <v>0</v>
      </c>
      <c r="L341" s="118">
        <f>F341/1000*(1000*9.81*Pumps!$B$14+'Parameters and Satisfaction'!$B$27)</f>
        <v>559916.39564896631</v>
      </c>
      <c r="M341" s="118"/>
      <c r="N341" s="118">
        <f>H341/IF('Parameters and Satisfaction'!$C$13="Pump A", 0.7, IF('Parameters and Satisfaction'!$C$13 = "Pump B", 0.72, 0.65))</f>
        <v>923294.28410088702</v>
      </c>
      <c r="O341" s="118">
        <f>I341/IF('Parameters and Satisfaction'!$C$13="Pump A", 0.7, IF('Parameters and Satisfaction'!$C$13 = "Pump B", 0.72, 0.65))</f>
        <v>0</v>
      </c>
      <c r="P341" s="118">
        <f>J341/IF('Parameters and Satisfaction'!$C$13="Pump A", 0.7, IF('Parameters and Satisfaction'!$C$13 = "Pump B", 0.72, 0.65))</f>
        <v>903537.90376586793</v>
      </c>
      <c r="Q341" s="118">
        <f>K341/IF('Parameters and Satisfaction'!$C$13="Pump A", 0.7, IF('Parameters and Satisfaction'!$C$13 = "Pump B", 0.72, 0.65))</f>
        <v>0</v>
      </c>
      <c r="R341" s="118">
        <f>L341/IF('Parameters and Satisfaction'!$C$13="Pump A", 0.7, IF('Parameters and Satisfaction'!$C$13 = "Pump B", 0.72, 0.65))</f>
        <v>777661.66062356438</v>
      </c>
      <c r="S341" s="118"/>
      <c r="T341" s="118">
        <f>N341+$F$47+IF('Parameters and Satisfaction'!$C$19="Ozone", 'Filtration System'!AA305*1000000, 0)</f>
        <v>5610794.2841008874</v>
      </c>
      <c r="U341" s="118">
        <f>O341+$F$47+IF('Parameters and Satisfaction'!$C$19="Ozone", 'Filtration System'!AB305*1000000, 0)</f>
        <v>4687500</v>
      </c>
      <c r="V341" s="118">
        <f>P341+$F$47+IF('Parameters and Satisfaction'!$C$19="Ozone", 'Filtration System'!AC305*1000000, 0)</f>
        <v>5591037.9037658684</v>
      </c>
      <c r="W341" s="118">
        <f>Q341+$F$47+IF('Parameters and Satisfaction'!$C$19="Ozone", 'Filtration System'!AD305*1000000, 0)</f>
        <v>4687500</v>
      </c>
      <c r="X341" s="118">
        <f>R341+$F$47+IF('Parameters and Satisfaction'!$C$19="Ozone", 'Filtration System'!AE305*1000000, 0)</f>
        <v>5465161.6606235644</v>
      </c>
      <c r="Y341" s="118"/>
      <c r="Z341" s="118">
        <f t="shared" si="47"/>
        <v>0.4007710202929205</v>
      </c>
      <c r="AA341" s="118">
        <f t="shared" si="48"/>
        <v>0.33482142857142855</v>
      </c>
      <c r="AB341" s="118">
        <f t="shared" si="49"/>
        <v>0.39935985026899062</v>
      </c>
      <c r="AC341" s="118">
        <f t="shared" si="50"/>
        <v>0.33482142857142855</v>
      </c>
      <c r="AD341" s="118">
        <f t="shared" si="51"/>
        <v>0.39036869004454033</v>
      </c>
      <c r="AE341" s="118"/>
      <c r="AF341" s="118"/>
      <c r="AG341" s="118"/>
      <c r="AK341">
        <f t="shared" si="52"/>
        <v>17136000</v>
      </c>
      <c r="AL341">
        <f t="shared" si="52"/>
        <v>17136000</v>
      </c>
      <c r="AM341">
        <f t="shared" si="52"/>
        <v>17136000</v>
      </c>
      <c r="AN341">
        <f t="shared" si="52"/>
        <v>17136000</v>
      </c>
      <c r="AO341">
        <f t="shared" si="52"/>
        <v>17136000</v>
      </c>
    </row>
    <row r="342" spans="1:41">
      <c r="A342" s="185">
        <f>'Water Stuff'!F276</f>
        <v>44833</v>
      </c>
      <c r="B342" s="118">
        <f>'Filtration System'!B306</f>
        <v>1120</v>
      </c>
      <c r="C342" s="118">
        <f>'Filtration System'!C306</f>
        <v>0</v>
      </c>
      <c r="D342" s="118">
        <f>'Filtration System'!D306</f>
        <v>0</v>
      </c>
      <c r="E342" s="118">
        <f>'Filtration System'!E306</f>
        <v>0</v>
      </c>
      <c r="F342" s="118">
        <f>'Filtration System'!F306</f>
        <v>1018.4102635159438</v>
      </c>
      <c r="G342" s="118"/>
      <c r="H342" s="118">
        <f>B342/1000*(1000*9.81*Pumps!$B$14+'Parameters and Satisfaction'!$B$27)</f>
        <v>300219.56076570781</v>
      </c>
      <c r="I342" s="118">
        <f>C342/1000*(1000*9.81*Pumps!$B$14+'Parameters and Satisfaction'!$B$27)</f>
        <v>0</v>
      </c>
      <c r="J342" s="118">
        <f>D342/1000*(1000*9.81*Pumps!$B$14+'Parameters and Satisfaction'!$B$27)</f>
        <v>0</v>
      </c>
      <c r="K342" s="118">
        <f>E342/1000*(1000*9.81*Pumps!$B$14+'Parameters and Satisfaction'!$B$27)</f>
        <v>0</v>
      </c>
      <c r="L342" s="118">
        <f>F342/1000*(1000*9.81*Pumps!$B$14+'Parameters and Satisfaction'!$B$27)</f>
        <v>272988.10892146907</v>
      </c>
      <c r="M342" s="118"/>
      <c r="N342" s="118">
        <f>H342/IF('Parameters and Satisfaction'!$C$13="Pump A", 0.7, IF('Parameters and Satisfaction'!$C$13 = "Pump B", 0.72, 0.65))</f>
        <v>416971.61217459419</v>
      </c>
      <c r="O342" s="118">
        <f>I342/IF('Parameters and Satisfaction'!$C$13="Pump A", 0.7, IF('Parameters and Satisfaction'!$C$13 = "Pump B", 0.72, 0.65))</f>
        <v>0</v>
      </c>
      <c r="P342" s="118">
        <f>J342/IF('Parameters and Satisfaction'!$C$13="Pump A", 0.7, IF('Parameters and Satisfaction'!$C$13 = "Pump B", 0.72, 0.65))</f>
        <v>0</v>
      </c>
      <c r="Q342" s="118">
        <f>K342/IF('Parameters and Satisfaction'!$C$13="Pump A", 0.7, IF('Parameters and Satisfaction'!$C$13 = "Pump B", 0.72, 0.65))</f>
        <v>0</v>
      </c>
      <c r="R342" s="118">
        <f>L342/IF('Parameters and Satisfaction'!$C$13="Pump A", 0.7, IF('Parameters and Satisfaction'!$C$13 = "Pump B", 0.72, 0.65))</f>
        <v>379150.15127981815</v>
      </c>
      <c r="S342" s="118"/>
      <c r="T342" s="118">
        <f>N342+$F$47+IF('Parameters and Satisfaction'!$C$19="Ozone", 'Filtration System'!AA306*1000000, 0)</f>
        <v>5104471.6121745938</v>
      </c>
      <c r="U342" s="118">
        <f>O342+$F$47+IF('Parameters and Satisfaction'!$C$19="Ozone", 'Filtration System'!AB306*1000000, 0)</f>
        <v>4687500</v>
      </c>
      <c r="V342" s="118">
        <f>P342+$F$47+IF('Parameters and Satisfaction'!$C$19="Ozone", 'Filtration System'!AC306*1000000, 0)</f>
        <v>4687500</v>
      </c>
      <c r="W342" s="118">
        <f>Q342+$F$47+IF('Parameters and Satisfaction'!$C$19="Ozone", 'Filtration System'!AD306*1000000, 0)</f>
        <v>4687500</v>
      </c>
      <c r="X342" s="118">
        <f>R342+$F$47+IF('Parameters and Satisfaction'!$C$19="Ozone", 'Filtration System'!AE306*1000000, 0)</f>
        <v>5066650.1512798183</v>
      </c>
      <c r="Y342" s="118"/>
      <c r="Z342" s="118">
        <f t="shared" si="47"/>
        <v>0.36460511515532812</v>
      </c>
      <c r="AA342" s="118">
        <f t="shared" si="48"/>
        <v>0.33482142857142855</v>
      </c>
      <c r="AB342" s="118">
        <f t="shared" si="49"/>
        <v>0.33482142857142855</v>
      </c>
      <c r="AC342" s="118">
        <f t="shared" si="50"/>
        <v>0.33482142857142855</v>
      </c>
      <c r="AD342" s="118">
        <f t="shared" si="51"/>
        <v>0.36190358223427271</v>
      </c>
      <c r="AE342" s="118"/>
      <c r="AF342" s="118"/>
      <c r="AG342" s="118"/>
      <c r="AK342">
        <f t="shared" si="52"/>
        <v>17136000</v>
      </c>
      <c r="AL342">
        <f t="shared" si="52"/>
        <v>17136000</v>
      </c>
      <c r="AM342">
        <f t="shared" si="52"/>
        <v>17136000</v>
      </c>
      <c r="AN342">
        <f t="shared" si="52"/>
        <v>17136000</v>
      </c>
      <c r="AO342">
        <f t="shared" si="52"/>
        <v>17136000</v>
      </c>
    </row>
    <row r="343" spans="1:41">
      <c r="A343" s="185">
        <f>'Water Stuff'!F277</f>
        <v>44834</v>
      </c>
      <c r="B343" s="118">
        <f>'Filtration System'!B307</f>
        <v>0</v>
      </c>
      <c r="C343" s="118">
        <f>'Filtration System'!C307</f>
        <v>0</v>
      </c>
      <c r="D343" s="118">
        <f>'Filtration System'!D307</f>
        <v>0</v>
      </c>
      <c r="E343" s="118">
        <f>'Filtration System'!E307</f>
        <v>0</v>
      </c>
      <c r="F343" s="118">
        <f>'Filtration System'!F307</f>
        <v>0</v>
      </c>
      <c r="G343" s="118"/>
      <c r="H343" s="118">
        <f>B343/1000*(1000*9.81*Pumps!$B$14+'Parameters and Satisfaction'!$B$27)</f>
        <v>0</v>
      </c>
      <c r="I343" s="118">
        <f>C343/1000*(1000*9.81*Pumps!$B$14+'Parameters and Satisfaction'!$B$27)</f>
        <v>0</v>
      </c>
      <c r="J343" s="118">
        <f>D343/1000*(1000*9.81*Pumps!$B$14+'Parameters and Satisfaction'!$B$27)</f>
        <v>0</v>
      </c>
      <c r="K343" s="118">
        <f>E343/1000*(1000*9.81*Pumps!$B$14+'Parameters and Satisfaction'!$B$27)</f>
        <v>0</v>
      </c>
      <c r="L343" s="118">
        <f>F343/1000*(1000*9.81*Pumps!$B$14+'Parameters and Satisfaction'!$B$27)</f>
        <v>0</v>
      </c>
      <c r="M343" s="118"/>
      <c r="N343" s="118">
        <f>H343/IF('Parameters and Satisfaction'!$C$13="Pump A", 0.7, IF('Parameters and Satisfaction'!$C$13 = "Pump B", 0.72, 0.65))</f>
        <v>0</v>
      </c>
      <c r="O343" s="118">
        <f>I343/IF('Parameters and Satisfaction'!$C$13="Pump A", 0.7, IF('Parameters and Satisfaction'!$C$13 = "Pump B", 0.72, 0.65))</f>
        <v>0</v>
      </c>
      <c r="P343" s="118">
        <f>J343/IF('Parameters and Satisfaction'!$C$13="Pump A", 0.7, IF('Parameters and Satisfaction'!$C$13 = "Pump B", 0.72, 0.65))</f>
        <v>0</v>
      </c>
      <c r="Q343" s="118">
        <f>K343/IF('Parameters and Satisfaction'!$C$13="Pump A", 0.7, IF('Parameters and Satisfaction'!$C$13 = "Pump B", 0.72, 0.65))</f>
        <v>0</v>
      </c>
      <c r="R343" s="118">
        <f>L343/IF('Parameters and Satisfaction'!$C$13="Pump A", 0.7, IF('Parameters and Satisfaction'!$C$13 = "Pump B", 0.72, 0.65))</f>
        <v>0</v>
      </c>
      <c r="S343" s="118"/>
      <c r="T343" s="118">
        <f>N343+$F$47+IF('Parameters and Satisfaction'!$C$19="Ozone", 'Filtration System'!AA307*1000000, 0)</f>
        <v>4687500</v>
      </c>
      <c r="U343" s="118">
        <f>O343+$F$47+IF('Parameters and Satisfaction'!$C$19="Ozone", 'Filtration System'!AB307*1000000, 0)</f>
        <v>4687500</v>
      </c>
      <c r="V343" s="118">
        <f>P343+$F$47+IF('Parameters and Satisfaction'!$C$19="Ozone", 'Filtration System'!AC307*1000000, 0)</f>
        <v>4687500</v>
      </c>
      <c r="W343" s="118">
        <f>Q343+$F$47+IF('Parameters and Satisfaction'!$C$19="Ozone", 'Filtration System'!AD307*1000000, 0)</f>
        <v>4687500</v>
      </c>
      <c r="X343" s="118">
        <f>R343+$F$47+IF('Parameters and Satisfaction'!$C$19="Ozone", 'Filtration System'!AE307*1000000, 0)</f>
        <v>4687500</v>
      </c>
      <c r="Y343" s="118"/>
      <c r="Z343" s="118">
        <f t="shared" si="47"/>
        <v>0.33482142857142855</v>
      </c>
      <c r="AA343" s="118">
        <f t="shared" si="48"/>
        <v>0.33482142857142855</v>
      </c>
      <c r="AB343" s="118">
        <f t="shared" si="49"/>
        <v>0.33482142857142855</v>
      </c>
      <c r="AC343" s="118">
        <f t="shared" si="50"/>
        <v>0.33482142857142855</v>
      </c>
      <c r="AD343" s="118">
        <f t="shared" si="51"/>
        <v>0.33482142857142855</v>
      </c>
      <c r="AE343" s="118"/>
      <c r="AF343" s="118"/>
      <c r="AG343" s="118"/>
      <c r="AK343">
        <f t="shared" si="52"/>
        <v>17136000</v>
      </c>
      <c r="AL343">
        <f t="shared" si="52"/>
        <v>17136000</v>
      </c>
      <c r="AM343">
        <f t="shared" si="52"/>
        <v>17136000</v>
      </c>
      <c r="AN343">
        <f t="shared" si="52"/>
        <v>17136000</v>
      </c>
      <c r="AO343">
        <f t="shared" si="52"/>
        <v>17136000</v>
      </c>
    </row>
    <row r="344" spans="1:41">
      <c r="A344" s="185">
        <f>'Water Stuff'!F278</f>
        <v>44835</v>
      </c>
      <c r="B344" s="118">
        <f>'Filtration System'!B308</f>
        <v>0</v>
      </c>
      <c r="C344" s="118">
        <f>'Filtration System'!C308</f>
        <v>0</v>
      </c>
      <c r="D344" s="118">
        <f>'Filtration System'!D308</f>
        <v>0</v>
      </c>
      <c r="E344" s="118">
        <f>'Filtration System'!E308</f>
        <v>0</v>
      </c>
      <c r="F344" s="118">
        <f>'Filtration System'!F308</f>
        <v>755.4467529340676</v>
      </c>
      <c r="G344" s="118"/>
      <c r="H344" s="118">
        <f>B344/1000*(1000*9.81*Pumps!$B$14+'Parameters and Satisfaction'!$B$27)</f>
        <v>0</v>
      </c>
      <c r="I344" s="118">
        <f>C344/1000*(1000*9.81*Pumps!$B$14+'Parameters and Satisfaction'!$B$27)</f>
        <v>0</v>
      </c>
      <c r="J344" s="118">
        <f>D344/1000*(1000*9.81*Pumps!$B$14+'Parameters and Satisfaction'!$B$27)</f>
        <v>0</v>
      </c>
      <c r="K344" s="118">
        <f>E344/1000*(1000*9.81*Pumps!$B$14+'Parameters and Satisfaction'!$B$27)</f>
        <v>0</v>
      </c>
      <c r="L344" s="118">
        <f>F344/1000*(1000*9.81*Pumps!$B$14+'Parameters and Satisfaction'!$B$27)</f>
        <v>202499.90388191602</v>
      </c>
      <c r="M344" s="118"/>
      <c r="N344" s="118">
        <f>H344/IF('Parameters and Satisfaction'!$C$13="Pump A", 0.7, IF('Parameters and Satisfaction'!$C$13 = "Pump B", 0.72, 0.65))</f>
        <v>0</v>
      </c>
      <c r="O344" s="118">
        <f>I344/IF('Parameters and Satisfaction'!$C$13="Pump A", 0.7, IF('Parameters and Satisfaction'!$C$13 = "Pump B", 0.72, 0.65))</f>
        <v>0</v>
      </c>
      <c r="P344" s="118">
        <f>J344/IF('Parameters and Satisfaction'!$C$13="Pump A", 0.7, IF('Parameters and Satisfaction'!$C$13 = "Pump B", 0.72, 0.65))</f>
        <v>0</v>
      </c>
      <c r="Q344" s="118">
        <f>K344/IF('Parameters and Satisfaction'!$C$13="Pump A", 0.7, IF('Parameters and Satisfaction'!$C$13 = "Pump B", 0.72, 0.65))</f>
        <v>0</v>
      </c>
      <c r="R344" s="118">
        <f>L344/IF('Parameters and Satisfaction'!$C$13="Pump A", 0.7, IF('Parameters and Satisfaction'!$C$13 = "Pump B", 0.72, 0.65))</f>
        <v>281249.86650266114</v>
      </c>
      <c r="S344" s="118"/>
      <c r="T344" s="118">
        <f>N344+$F$47+IF('Parameters and Satisfaction'!$C$19="Ozone", 'Filtration System'!AA308*1000000, 0)</f>
        <v>4687500</v>
      </c>
      <c r="U344" s="118">
        <f>O344+$F$47+IF('Parameters and Satisfaction'!$C$19="Ozone", 'Filtration System'!AB308*1000000, 0)</f>
        <v>4687500</v>
      </c>
      <c r="V344" s="118">
        <f>P344+$F$47+IF('Parameters and Satisfaction'!$C$19="Ozone", 'Filtration System'!AC308*1000000, 0)</f>
        <v>4687500</v>
      </c>
      <c r="W344" s="118">
        <f>Q344+$F$47+IF('Parameters and Satisfaction'!$C$19="Ozone", 'Filtration System'!AD308*1000000, 0)</f>
        <v>4687500</v>
      </c>
      <c r="X344" s="118">
        <f>R344+$F$47+IF('Parameters and Satisfaction'!$C$19="Ozone", 'Filtration System'!AE308*1000000, 0)</f>
        <v>4968749.8665026613</v>
      </c>
      <c r="Y344" s="118"/>
      <c r="Z344" s="118">
        <f t="shared" si="47"/>
        <v>0.33482142857142855</v>
      </c>
      <c r="AA344" s="118">
        <f t="shared" si="48"/>
        <v>0.33482142857142855</v>
      </c>
      <c r="AB344" s="118">
        <f t="shared" si="49"/>
        <v>0.33482142857142855</v>
      </c>
      <c r="AC344" s="118">
        <f t="shared" si="50"/>
        <v>0.33482142857142855</v>
      </c>
      <c r="AD344" s="118">
        <f t="shared" si="51"/>
        <v>0.3549107047501901</v>
      </c>
      <c r="AE344" s="118"/>
      <c r="AF344" s="118"/>
      <c r="AG344" s="118"/>
      <c r="AK344">
        <f t="shared" ref="AK344:AO353" si="53">$D$64</f>
        <v>15079680.000000002</v>
      </c>
      <c r="AL344">
        <f t="shared" si="53"/>
        <v>15079680.000000002</v>
      </c>
      <c r="AM344">
        <f t="shared" si="53"/>
        <v>15079680.000000002</v>
      </c>
      <c r="AN344">
        <f t="shared" si="53"/>
        <v>15079680.000000002</v>
      </c>
      <c r="AO344">
        <f t="shared" si="53"/>
        <v>15079680.000000002</v>
      </c>
    </row>
    <row r="345" spans="1:41">
      <c r="A345" s="185">
        <f>'Water Stuff'!F279</f>
        <v>44836</v>
      </c>
      <c r="B345" s="118">
        <f>'Filtration System'!B309</f>
        <v>0</v>
      </c>
      <c r="C345" s="118">
        <f>'Filtration System'!C309</f>
        <v>0</v>
      </c>
      <c r="D345" s="118">
        <f>'Filtration System'!D309</f>
        <v>0</v>
      </c>
      <c r="E345" s="118">
        <f>'Filtration System'!E309</f>
        <v>113.04831358274203</v>
      </c>
      <c r="F345" s="118">
        <f>'Filtration System'!F309</f>
        <v>0</v>
      </c>
      <c r="G345" s="118"/>
      <c r="H345" s="118">
        <f>B345/1000*(1000*9.81*Pumps!$B$14+'Parameters and Satisfaction'!$B$27)</f>
        <v>0</v>
      </c>
      <c r="I345" s="118">
        <f>C345/1000*(1000*9.81*Pumps!$B$14+'Parameters and Satisfaction'!$B$27)</f>
        <v>0</v>
      </c>
      <c r="J345" s="118">
        <f>D345/1000*(1000*9.81*Pumps!$B$14+'Parameters and Satisfaction'!$B$27)</f>
        <v>0</v>
      </c>
      <c r="K345" s="118">
        <f>E345/1000*(1000*9.81*Pumps!$B$14+'Parameters and Satisfaction'!$B$27)</f>
        <v>30302.959865281078</v>
      </c>
      <c r="L345" s="118">
        <f>F345/1000*(1000*9.81*Pumps!$B$14+'Parameters and Satisfaction'!$B$27)</f>
        <v>0</v>
      </c>
      <c r="M345" s="118"/>
      <c r="N345" s="118">
        <f>H345/IF('Parameters and Satisfaction'!$C$13="Pump A", 0.7, IF('Parameters and Satisfaction'!$C$13 = "Pump B", 0.72, 0.65))</f>
        <v>0</v>
      </c>
      <c r="O345" s="118">
        <f>I345/IF('Parameters and Satisfaction'!$C$13="Pump A", 0.7, IF('Parameters and Satisfaction'!$C$13 = "Pump B", 0.72, 0.65))</f>
        <v>0</v>
      </c>
      <c r="P345" s="118">
        <f>J345/IF('Parameters and Satisfaction'!$C$13="Pump A", 0.7, IF('Parameters and Satisfaction'!$C$13 = "Pump B", 0.72, 0.65))</f>
        <v>0</v>
      </c>
      <c r="Q345" s="118">
        <f>K345/IF('Parameters and Satisfaction'!$C$13="Pump A", 0.7, IF('Parameters and Satisfaction'!$C$13 = "Pump B", 0.72, 0.65))</f>
        <v>42087.444257334835</v>
      </c>
      <c r="R345" s="118">
        <f>L345/IF('Parameters and Satisfaction'!$C$13="Pump A", 0.7, IF('Parameters and Satisfaction'!$C$13 = "Pump B", 0.72, 0.65))</f>
        <v>0</v>
      </c>
      <c r="S345" s="118"/>
      <c r="T345" s="118">
        <f>N345+$F$47+IF('Parameters and Satisfaction'!$C$19="Ozone", 'Filtration System'!AA309*1000000, 0)</f>
        <v>4687500</v>
      </c>
      <c r="U345" s="118">
        <f>O345+$F$47+IF('Parameters and Satisfaction'!$C$19="Ozone", 'Filtration System'!AB309*1000000, 0)</f>
        <v>4687500</v>
      </c>
      <c r="V345" s="118">
        <f>P345+$F$47+IF('Parameters and Satisfaction'!$C$19="Ozone", 'Filtration System'!AC309*1000000, 0)</f>
        <v>4687500</v>
      </c>
      <c r="W345" s="118">
        <f>Q345+$F$47+IF('Parameters and Satisfaction'!$C$19="Ozone", 'Filtration System'!AD309*1000000, 0)</f>
        <v>4729587.4442573348</v>
      </c>
      <c r="X345" s="118">
        <f>R345+$F$47+IF('Parameters and Satisfaction'!$C$19="Ozone", 'Filtration System'!AE309*1000000, 0)</f>
        <v>4687500</v>
      </c>
      <c r="Y345" s="118"/>
      <c r="Z345" s="118">
        <f t="shared" si="47"/>
        <v>0.33482142857142855</v>
      </c>
      <c r="AA345" s="118">
        <f t="shared" si="48"/>
        <v>0.33482142857142855</v>
      </c>
      <c r="AB345" s="118">
        <f t="shared" si="49"/>
        <v>0.33482142857142855</v>
      </c>
      <c r="AC345" s="118">
        <f t="shared" si="50"/>
        <v>0.33782767458980961</v>
      </c>
      <c r="AD345" s="118">
        <f t="shared" si="51"/>
        <v>0.33482142857142855</v>
      </c>
      <c r="AE345" s="118"/>
      <c r="AF345" s="118"/>
      <c r="AG345" s="118"/>
      <c r="AK345">
        <f t="shared" si="53"/>
        <v>15079680.000000002</v>
      </c>
      <c r="AL345">
        <f t="shared" si="53"/>
        <v>15079680.000000002</v>
      </c>
      <c r="AM345">
        <f t="shared" si="53"/>
        <v>15079680.000000002</v>
      </c>
      <c r="AN345">
        <f t="shared" si="53"/>
        <v>15079680.000000002</v>
      </c>
      <c r="AO345">
        <f t="shared" si="53"/>
        <v>15079680.000000002</v>
      </c>
    </row>
    <row r="346" spans="1:41">
      <c r="A346" s="185">
        <f>'Water Stuff'!F280</f>
        <v>44837</v>
      </c>
      <c r="B346" s="118">
        <f>'Filtration System'!B310</f>
        <v>10000</v>
      </c>
      <c r="C346" s="118">
        <f>'Filtration System'!C310</f>
        <v>0</v>
      </c>
      <c r="D346" s="118">
        <f>'Filtration System'!D310</f>
        <v>10000</v>
      </c>
      <c r="E346" s="118">
        <f>'Filtration System'!E310</f>
        <v>0</v>
      </c>
      <c r="F346" s="118">
        <f>'Filtration System'!F310</f>
        <v>10000</v>
      </c>
      <c r="G346" s="118"/>
      <c r="H346" s="118">
        <f>B346/1000*(1000*9.81*Pumps!$B$14+'Parameters and Satisfaction'!$B$27)</f>
        <v>2680531.7925509624</v>
      </c>
      <c r="I346" s="118">
        <f>C346/1000*(1000*9.81*Pumps!$B$14+'Parameters and Satisfaction'!$B$27)</f>
        <v>0</v>
      </c>
      <c r="J346" s="118">
        <f>D346/1000*(1000*9.81*Pumps!$B$14+'Parameters and Satisfaction'!$B$27)</f>
        <v>2680531.7925509624</v>
      </c>
      <c r="K346" s="118">
        <f>E346/1000*(1000*9.81*Pumps!$B$14+'Parameters and Satisfaction'!$B$27)</f>
        <v>0</v>
      </c>
      <c r="L346" s="118">
        <f>F346/1000*(1000*9.81*Pumps!$B$14+'Parameters and Satisfaction'!$B$27)</f>
        <v>2680531.7925509624</v>
      </c>
      <c r="M346" s="118"/>
      <c r="N346" s="118">
        <f>H346/IF('Parameters and Satisfaction'!$C$13="Pump A", 0.7, IF('Parameters and Satisfaction'!$C$13 = "Pump B", 0.72, 0.65))</f>
        <v>3722960.822987448</v>
      </c>
      <c r="O346" s="118">
        <f>I346/IF('Parameters and Satisfaction'!$C$13="Pump A", 0.7, IF('Parameters and Satisfaction'!$C$13 = "Pump B", 0.72, 0.65))</f>
        <v>0</v>
      </c>
      <c r="P346" s="118">
        <f>J346/IF('Parameters and Satisfaction'!$C$13="Pump A", 0.7, IF('Parameters and Satisfaction'!$C$13 = "Pump B", 0.72, 0.65))</f>
        <v>3722960.822987448</v>
      </c>
      <c r="Q346" s="118">
        <f>K346/IF('Parameters and Satisfaction'!$C$13="Pump A", 0.7, IF('Parameters and Satisfaction'!$C$13 = "Pump B", 0.72, 0.65))</f>
        <v>0</v>
      </c>
      <c r="R346" s="118">
        <f>L346/IF('Parameters and Satisfaction'!$C$13="Pump A", 0.7, IF('Parameters and Satisfaction'!$C$13 = "Pump B", 0.72, 0.65))</f>
        <v>3722960.822987448</v>
      </c>
      <c r="S346" s="118"/>
      <c r="T346" s="118">
        <f>N346+$F$47+IF('Parameters and Satisfaction'!$C$19="Ozone", 'Filtration System'!AA310*1000000, 0)</f>
        <v>8410460.8229874484</v>
      </c>
      <c r="U346" s="118">
        <f>O346+$F$47+IF('Parameters and Satisfaction'!$C$19="Ozone", 'Filtration System'!AB310*1000000, 0)</f>
        <v>4687500</v>
      </c>
      <c r="V346" s="118">
        <f>P346+$F$47+IF('Parameters and Satisfaction'!$C$19="Ozone", 'Filtration System'!AC310*1000000, 0)</f>
        <v>8410460.8229874484</v>
      </c>
      <c r="W346" s="118">
        <f>Q346+$F$47+IF('Parameters and Satisfaction'!$C$19="Ozone", 'Filtration System'!AD310*1000000, 0)</f>
        <v>4687500</v>
      </c>
      <c r="X346" s="118">
        <f>R346+$F$47+IF('Parameters and Satisfaction'!$C$19="Ozone", 'Filtration System'!AE310*1000000, 0)</f>
        <v>8410460.8229874484</v>
      </c>
      <c r="Y346" s="118"/>
      <c r="Z346" s="118">
        <f t="shared" si="47"/>
        <v>0.6007472016419606</v>
      </c>
      <c r="AA346" s="118">
        <f t="shared" si="48"/>
        <v>0.33482142857142855</v>
      </c>
      <c r="AB346" s="118">
        <f t="shared" si="49"/>
        <v>0.6007472016419606</v>
      </c>
      <c r="AC346" s="118">
        <f t="shared" si="50"/>
        <v>0.33482142857142855</v>
      </c>
      <c r="AD346" s="118">
        <f t="shared" si="51"/>
        <v>0.6007472016419606</v>
      </c>
      <c r="AE346" s="118"/>
      <c r="AF346" s="118"/>
      <c r="AG346" s="118"/>
      <c r="AK346">
        <f t="shared" si="53"/>
        <v>15079680.000000002</v>
      </c>
      <c r="AL346">
        <f t="shared" si="53"/>
        <v>15079680.000000002</v>
      </c>
      <c r="AM346">
        <f t="shared" si="53"/>
        <v>15079680.000000002</v>
      </c>
      <c r="AN346">
        <f t="shared" si="53"/>
        <v>15079680.000000002</v>
      </c>
      <c r="AO346">
        <f t="shared" si="53"/>
        <v>15079680.000000002</v>
      </c>
    </row>
    <row r="347" spans="1:41">
      <c r="A347" s="185">
        <f>'Water Stuff'!F281</f>
        <v>44838</v>
      </c>
      <c r="B347" s="118">
        <f>'Filtration System'!B311</f>
        <v>1200</v>
      </c>
      <c r="C347" s="118">
        <f>'Filtration System'!C311</f>
        <v>0</v>
      </c>
      <c r="D347" s="118">
        <f>'Filtration System'!D311</f>
        <v>781.17760230275235</v>
      </c>
      <c r="E347" s="118">
        <f>'Filtration System'!E311</f>
        <v>1580.1832254249221</v>
      </c>
      <c r="F347" s="118">
        <f>'Filtration System'!F311</f>
        <v>0</v>
      </c>
      <c r="G347" s="118"/>
      <c r="H347" s="118">
        <f>B347/1000*(1000*9.81*Pumps!$B$14+'Parameters and Satisfaction'!$B$27)</f>
        <v>321663.81510611548</v>
      </c>
      <c r="I347" s="118">
        <f>C347/1000*(1000*9.81*Pumps!$B$14+'Parameters and Satisfaction'!$B$27)</f>
        <v>0</v>
      </c>
      <c r="J347" s="118">
        <f>D347/1000*(1000*9.81*Pumps!$B$14+'Parameters and Satisfaction'!$B$27)</f>
        <v>209397.13986012596</v>
      </c>
      <c r="K347" s="118">
        <f>E347/1000*(1000*9.81*Pumps!$B$14+'Parameters and Satisfaction'!$B$27)</f>
        <v>423573.13738072274</v>
      </c>
      <c r="L347" s="118">
        <f>F347/1000*(1000*9.81*Pumps!$B$14+'Parameters and Satisfaction'!$B$27)</f>
        <v>0</v>
      </c>
      <c r="M347" s="118"/>
      <c r="N347" s="118">
        <f>H347/IF('Parameters and Satisfaction'!$C$13="Pump A", 0.7, IF('Parameters and Satisfaction'!$C$13 = "Pump B", 0.72, 0.65))</f>
        <v>446755.29875849374</v>
      </c>
      <c r="O347" s="118">
        <f>I347/IF('Parameters and Satisfaction'!$C$13="Pump A", 0.7, IF('Parameters and Satisfaction'!$C$13 = "Pump B", 0.72, 0.65))</f>
        <v>0</v>
      </c>
      <c r="P347" s="118">
        <f>J347/IF('Parameters and Satisfaction'!$C$13="Pump A", 0.7, IF('Parameters and Satisfaction'!$C$13 = "Pump B", 0.72, 0.65))</f>
        <v>290829.3609168416</v>
      </c>
      <c r="Q347" s="118">
        <f>K347/IF('Parameters and Satisfaction'!$C$13="Pump A", 0.7, IF('Parameters and Satisfaction'!$C$13 = "Pump B", 0.72, 0.65))</f>
        <v>588296.02413989266</v>
      </c>
      <c r="R347" s="118">
        <f>L347/IF('Parameters and Satisfaction'!$C$13="Pump A", 0.7, IF('Parameters and Satisfaction'!$C$13 = "Pump B", 0.72, 0.65))</f>
        <v>0</v>
      </c>
      <c r="S347" s="118"/>
      <c r="T347" s="118">
        <f>N347+$F$47+IF('Parameters and Satisfaction'!$C$19="Ozone", 'Filtration System'!AA311*1000000, 0)</f>
        <v>5134255.2987584937</v>
      </c>
      <c r="U347" s="118">
        <f>O347+$F$47+IF('Parameters and Satisfaction'!$C$19="Ozone", 'Filtration System'!AB311*1000000, 0)</f>
        <v>4687500</v>
      </c>
      <c r="V347" s="118">
        <f>P347+$F$47+IF('Parameters and Satisfaction'!$C$19="Ozone", 'Filtration System'!AC311*1000000, 0)</f>
        <v>4978329.3609168418</v>
      </c>
      <c r="W347" s="118">
        <f>Q347+$F$47+IF('Parameters and Satisfaction'!$C$19="Ozone", 'Filtration System'!AD311*1000000, 0)</f>
        <v>5275796.0241398923</v>
      </c>
      <c r="X347" s="118">
        <f>R347+$F$47+IF('Parameters and Satisfaction'!$C$19="Ozone", 'Filtration System'!AE311*1000000, 0)</f>
        <v>4687500</v>
      </c>
      <c r="Y347" s="118"/>
      <c r="Z347" s="118">
        <f t="shared" si="47"/>
        <v>0.36673252133989243</v>
      </c>
      <c r="AA347" s="118">
        <f t="shared" si="48"/>
        <v>0.33482142857142855</v>
      </c>
      <c r="AB347" s="118">
        <f t="shared" si="49"/>
        <v>0.35559495435120297</v>
      </c>
      <c r="AC347" s="118">
        <f t="shared" si="50"/>
        <v>0.37684257315284947</v>
      </c>
      <c r="AD347" s="118">
        <f t="shared" si="51"/>
        <v>0.33482142857142855</v>
      </c>
      <c r="AE347" s="118"/>
      <c r="AF347" s="118"/>
      <c r="AG347" s="118"/>
      <c r="AK347">
        <f t="shared" si="53"/>
        <v>15079680.000000002</v>
      </c>
      <c r="AL347">
        <f t="shared" si="53"/>
        <v>15079680.000000002</v>
      </c>
      <c r="AM347">
        <f t="shared" si="53"/>
        <v>15079680.000000002</v>
      </c>
      <c r="AN347">
        <f t="shared" si="53"/>
        <v>15079680.000000002</v>
      </c>
      <c r="AO347">
        <f t="shared" si="53"/>
        <v>15079680.000000002</v>
      </c>
    </row>
    <row r="348" spans="1:41">
      <c r="A348" s="185">
        <f>'Water Stuff'!F282</f>
        <v>44839</v>
      </c>
      <c r="B348" s="118">
        <f>'Filtration System'!B312</f>
        <v>1839.9999999999998</v>
      </c>
      <c r="C348" s="118">
        <f>'Filtration System'!C312</f>
        <v>0</v>
      </c>
      <c r="D348" s="118">
        <f>'Filtration System'!D312</f>
        <v>2141.0441269996318</v>
      </c>
      <c r="E348" s="118">
        <f>'Filtration System'!E312</f>
        <v>1707.1055475079295</v>
      </c>
      <c r="F348" s="118">
        <f>'Filtration System'!F312</f>
        <v>2199.0123914315218</v>
      </c>
      <c r="G348" s="118"/>
      <c r="H348" s="118">
        <f>B348/1000*(1000*9.81*Pumps!$B$14+'Parameters and Satisfaction'!$B$27)</f>
        <v>493217.84982937702</v>
      </c>
      <c r="I348" s="118">
        <f>C348/1000*(1000*9.81*Pumps!$B$14+'Parameters and Satisfaction'!$B$27)</f>
        <v>0</v>
      </c>
      <c r="J348" s="118">
        <f>D348/1000*(1000*9.81*Pumps!$B$14+'Parameters and Satisfaction'!$B$27)</f>
        <v>573913.68516770331</v>
      </c>
      <c r="K348" s="118">
        <f>E348/1000*(1000*9.81*Pumps!$B$14+'Parameters and Satisfaction'!$B$27)</f>
        <v>457595.06933351222</v>
      </c>
      <c r="L348" s="118">
        <f>F348/1000*(1000*9.81*Pumps!$B$14+'Parameters and Satisfaction'!$B$27)</f>
        <v>589452.26274457155</v>
      </c>
      <c r="M348" s="118"/>
      <c r="N348" s="118">
        <f>H348/IF('Parameters and Satisfaction'!$C$13="Pump A", 0.7, IF('Parameters and Satisfaction'!$C$13 = "Pump B", 0.72, 0.65))</f>
        <v>685024.79142969032</v>
      </c>
      <c r="O348" s="118">
        <f>I348/IF('Parameters and Satisfaction'!$C$13="Pump A", 0.7, IF('Parameters and Satisfaction'!$C$13 = "Pump B", 0.72, 0.65))</f>
        <v>0</v>
      </c>
      <c r="P348" s="118">
        <f>J348/IF('Parameters and Satisfaction'!$C$13="Pump A", 0.7, IF('Parameters and Satisfaction'!$C$13 = "Pump B", 0.72, 0.65))</f>
        <v>797102.34051069908</v>
      </c>
      <c r="Q348" s="118">
        <f>K348/IF('Parameters and Satisfaction'!$C$13="Pump A", 0.7, IF('Parameters and Satisfaction'!$C$13 = "Pump B", 0.72, 0.65))</f>
        <v>635548.70740765589</v>
      </c>
      <c r="R348" s="118">
        <f>L348/IF('Parameters and Satisfaction'!$C$13="Pump A", 0.7, IF('Parameters and Satisfaction'!$C$13 = "Pump B", 0.72, 0.65))</f>
        <v>818683.69825634942</v>
      </c>
      <c r="S348" s="118"/>
      <c r="T348" s="118">
        <f>N348+$F$47+IF('Parameters and Satisfaction'!$C$19="Ozone", 'Filtration System'!AA312*1000000, 0)</f>
        <v>5372524.7914296901</v>
      </c>
      <c r="U348" s="118">
        <f>O348+$F$47+IF('Parameters and Satisfaction'!$C$19="Ozone", 'Filtration System'!AB312*1000000, 0)</f>
        <v>4687500</v>
      </c>
      <c r="V348" s="118">
        <f>P348+$F$47+IF('Parameters and Satisfaction'!$C$19="Ozone", 'Filtration System'!AC312*1000000, 0)</f>
        <v>5484602.340510699</v>
      </c>
      <c r="W348" s="118">
        <f>Q348+$F$47+IF('Parameters and Satisfaction'!$C$19="Ozone", 'Filtration System'!AD312*1000000, 0)</f>
        <v>5323048.7074076561</v>
      </c>
      <c r="X348" s="118">
        <f>R348+$F$47+IF('Parameters and Satisfaction'!$C$19="Ozone", 'Filtration System'!AE312*1000000, 0)</f>
        <v>5506183.6982563492</v>
      </c>
      <c r="Y348" s="118"/>
      <c r="Z348" s="118">
        <f t="shared" si="47"/>
        <v>0.38375177081640643</v>
      </c>
      <c r="AA348" s="118">
        <f t="shared" si="48"/>
        <v>0.33482142857142855</v>
      </c>
      <c r="AB348" s="118">
        <f t="shared" si="49"/>
        <v>0.39175731003647851</v>
      </c>
      <c r="AC348" s="118">
        <f t="shared" si="50"/>
        <v>0.3802177648148326</v>
      </c>
      <c r="AD348" s="118">
        <f t="shared" si="51"/>
        <v>0.39329883558973922</v>
      </c>
      <c r="AE348" s="118"/>
      <c r="AF348" s="118"/>
      <c r="AG348" s="118"/>
      <c r="AK348">
        <f t="shared" si="53"/>
        <v>15079680.000000002</v>
      </c>
      <c r="AL348">
        <f t="shared" si="53"/>
        <v>15079680.000000002</v>
      </c>
      <c r="AM348">
        <f t="shared" si="53"/>
        <v>15079680.000000002</v>
      </c>
      <c r="AN348">
        <f t="shared" si="53"/>
        <v>15079680.000000002</v>
      </c>
      <c r="AO348">
        <f t="shared" si="53"/>
        <v>15079680.000000002</v>
      </c>
    </row>
    <row r="349" spans="1:41">
      <c r="A349" s="185">
        <f>'Water Stuff'!F283</f>
        <v>44840</v>
      </c>
      <c r="B349" s="118">
        <f>'Filtration System'!B313</f>
        <v>80</v>
      </c>
      <c r="C349" s="118">
        <f>'Filtration System'!C313</f>
        <v>800</v>
      </c>
      <c r="D349" s="118">
        <f>'Filtration System'!D313</f>
        <v>1396.2587295406693</v>
      </c>
      <c r="E349" s="118">
        <f>'Filtration System'!E313</f>
        <v>0</v>
      </c>
      <c r="F349" s="118">
        <f>'Filtration System'!F313</f>
        <v>0</v>
      </c>
      <c r="G349" s="118"/>
      <c r="H349" s="118">
        <f>B349/1000*(1000*9.81*Pumps!$B$14+'Parameters and Satisfaction'!$B$27)</f>
        <v>21444.254340407701</v>
      </c>
      <c r="I349" s="118">
        <f>C349/1000*(1000*9.81*Pumps!$B$14+'Parameters and Satisfaction'!$B$27)</f>
        <v>214442.54340407701</v>
      </c>
      <c r="J349" s="118">
        <f>D349/1000*(1000*9.81*Pumps!$B$14+'Parameters and Satisfaction'!$B$27)</f>
        <v>374271.59151605796</v>
      </c>
      <c r="K349" s="118">
        <f>E349/1000*(1000*9.81*Pumps!$B$14+'Parameters and Satisfaction'!$B$27)</f>
        <v>0</v>
      </c>
      <c r="L349" s="118">
        <f>F349/1000*(1000*9.81*Pumps!$B$14+'Parameters and Satisfaction'!$B$27)</f>
        <v>0</v>
      </c>
      <c r="M349" s="118"/>
      <c r="N349" s="118">
        <f>H349/IF('Parameters and Satisfaction'!$C$13="Pump A", 0.7, IF('Parameters and Satisfaction'!$C$13 = "Pump B", 0.72, 0.65))</f>
        <v>29783.686583899584</v>
      </c>
      <c r="O349" s="118">
        <f>I349/IF('Parameters and Satisfaction'!$C$13="Pump A", 0.7, IF('Parameters and Satisfaction'!$C$13 = "Pump B", 0.72, 0.65))</f>
        <v>297836.86583899584</v>
      </c>
      <c r="P349" s="118">
        <f>J349/IF('Parameters and Satisfaction'!$C$13="Pump A", 0.7, IF('Parameters and Satisfaction'!$C$13 = "Pump B", 0.72, 0.65))</f>
        <v>519821.65488341387</v>
      </c>
      <c r="Q349" s="118">
        <f>K349/IF('Parameters and Satisfaction'!$C$13="Pump A", 0.7, IF('Parameters and Satisfaction'!$C$13 = "Pump B", 0.72, 0.65))</f>
        <v>0</v>
      </c>
      <c r="R349" s="118">
        <f>L349/IF('Parameters and Satisfaction'!$C$13="Pump A", 0.7, IF('Parameters and Satisfaction'!$C$13 = "Pump B", 0.72, 0.65))</f>
        <v>0</v>
      </c>
      <c r="S349" s="118"/>
      <c r="T349" s="118">
        <f>N349+$F$47+IF('Parameters and Satisfaction'!$C$19="Ozone", 'Filtration System'!AA313*1000000, 0)</f>
        <v>4717283.6865838999</v>
      </c>
      <c r="U349" s="118">
        <f>O349+$F$47+IF('Parameters and Satisfaction'!$C$19="Ozone", 'Filtration System'!AB313*1000000, 0)</f>
        <v>4985336.8658389961</v>
      </c>
      <c r="V349" s="118">
        <f>P349+$F$47+IF('Parameters and Satisfaction'!$C$19="Ozone", 'Filtration System'!AC313*1000000, 0)</f>
        <v>5207321.6548834136</v>
      </c>
      <c r="W349" s="118">
        <f>Q349+$F$47+IF('Parameters and Satisfaction'!$C$19="Ozone", 'Filtration System'!AD313*1000000, 0)</f>
        <v>4687500</v>
      </c>
      <c r="X349" s="118">
        <f>R349+$F$47+IF('Parameters and Satisfaction'!$C$19="Ozone", 'Filtration System'!AE313*1000000, 0)</f>
        <v>4687500</v>
      </c>
      <c r="Y349" s="118"/>
      <c r="Z349" s="118">
        <f t="shared" si="47"/>
        <v>0.33694883475599285</v>
      </c>
      <c r="AA349" s="118">
        <f t="shared" si="48"/>
        <v>0.35609549041707117</v>
      </c>
      <c r="AB349" s="118">
        <f t="shared" si="49"/>
        <v>0.37195154677738668</v>
      </c>
      <c r="AC349" s="118">
        <f t="shared" si="50"/>
        <v>0.33482142857142855</v>
      </c>
      <c r="AD349" s="118">
        <f t="shared" si="51"/>
        <v>0.33482142857142855</v>
      </c>
      <c r="AE349" s="118"/>
      <c r="AF349" s="118"/>
      <c r="AG349" s="118"/>
      <c r="AK349">
        <f t="shared" si="53"/>
        <v>15079680.000000002</v>
      </c>
      <c r="AL349">
        <f t="shared" si="53"/>
        <v>15079680.000000002</v>
      </c>
      <c r="AM349">
        <f t="shared" si="53"/>
        <v>15079680.000000002</v>
      </c>
      <c r="AN349">
        <f t="shared" si="53"/>
        <v>15079680.000000002</v>
      </c>
      <c r="AO349">
        <f t="shared" si="53"/>
        <v>15079680.000000002</v>
      </c>
    </row>
    <row r="350" spans="1:41">
      <c r="A350" s="185">
        <f>'Water Stuff'!F284</f>
        <v>44841</v>
      </c>
      <c r="B350" s="118">
        <f>'Filtration System'!B314</f>
        <v>0</v>
      </c>
      <c r="C350" s="118">
        <f>'Filtration System'!C314</f>
        <v>3120</v>
      </c>
      <c r="D350" s="118">
        <f>'Filtration System'!D314</f>
        <v>0</v>
      </c>
      <c r="E350" s="118">
        <f>'Filtration System'!E314</f>
        <v>1938.347192120299</v>
      </c>
      <c r="F350" s="118">
        <f>'Filtration System'!F314</f>
        <v>1203.9932605828503</v>
      </c>
      <c r="G350" s="118"/>
      <c r="H350" s="118">
        <f>B350/1000*(1000*9.81*Pumps!$B$14+'Parameters and Satisfaction'!$B$27)</f>
        <v>0</v>
      </c>
      <c r="I350" s="118">
        <f>C350/1000*(1000*9.81*Pumps!$B$14+'Parameters and Satisfaction'!$B$27)</f>
        <v>836325.91927590035</v>
      </c>
      <c r="J350" s="118">
        <f>D350/1000*(1000*9.81*Pumps!$B$14+'Parameters and Satisfaction'!$B$27)</f>
        <v>0</v>
      </c>
      <c r="K350" s="118">
        <f>E350/1000*(1000*9.81*Pumps!$B$14+'Parameters and Satisfaction'!$B$27)</f>
        <v>519580.12734803499</v>
      </c>
      <c r="L350" s="118">
        <f>F350/1000*(1000*9.81*Pumps!$B$14+'Parameters and Satisfaction'!$B$27)</f>
        <v>322734.22130094259</v>
      </c>
      <c r="M350" s="118"/>
      <c r="N350" s="118">
        <f>H350/IF('Parameters and Satisfaction'!$C$13="Pump A", 0.7, IF('Parameters and Satisfaction'!$C$13 = "Pump B", 0.72, 0.65))</f>
        <v>0</v>
      </c>
      <c r="O350" s="118">
        <f>I350/IF('Parameters and Satisfaction'!$C$13="Pump A", 0.7, IF('Parameters and Satisfaction'!$C$13 = "Pump B", 0.72, 0.65))</f>
        <v>1161563.7767720839</v>
      </c>
      <c r="P350" s="118">
        <f>J350/IF('Parameters and Satisfaction'!$C$13="Pump A", 0.7, IF('Parameters and Satisfaction'!$C$13 = "Pump B", 0.72, 0.65))</f>
        <v>0</v>
      </c>
      <c r="Q350" s="118">
        <f>K350/IF('Parameters and Satisfaction'!$C$13="Pump A", 0.7, IF('Parameters and Satisfaction'!$C$13 = "Pump B", 0.72, 0.65))</f>
        <v>721639.06576115976</v>
      </c>
      <c r="R350" s="118">
        <f>L350/IF('Parameters and Satisfaction'!$C$13="Pump A", 0.7, IF('Parameters and Satisfaction'!$C$13 = "Pump B", 0.72, 0.65))</f>
        <v>448241.97402908694</v>
      </c>
      <c r="S350" s="118"/>
      <c r="T350" s="118">
        <f>N350+$F$47+IF('Parameters and Satisfaction'!$C$19="Ozone", 'Filtration System'!AA314*1000000, 0)</f>
        <v>4687500</v>
      </c>
      <c r="U350" s="118">
        <f>O350+$F$47+IF('Parameters and Satisfaction'!$C$19="Ozone", 'Filtration System'!AB314*1000000, 0)</f>
        <v>5849063.7767720837</v>
      </c>
      <c r="V350" s="118">
        <f>P350+$F$47+IF('Parameters and Satisfaction'!$C$19="Ozone", 'Filtration System'!AC314*1000000, 0)</f>
        <v>4687500</v>
      </c>
      <c r="W350" s="118">
        <f>Q350+$F$47+IF('Parameters and Satisfaction'!$C$19="Ozone", 'Filtration System'!AD314*1000000, 0)</f>
        <v>5409139.0657611601</v>
      </c>
      <c r="X350" s="118">
        <f>R350+$F$47+IF('Parameters and Satisfaction'!$C$19="Ozone", 'Filtration System'!AE314*1000000, 0)</f>
        <v>5135741.9740290865</v>
      </c>
      <c r="Y350" s="118"/>
      <c r="Z350" s="118">
        <f t="shared" si="47"/>
        <v>0.33482142857142855</v>
      </c>
      <c r="AA350" s="118">
        <f t="shared" si="48"/>
        <v>0.41779026976943456</v>
      </c>
      <c r="AB350" s="118">
        <f t="shared" si="49"/>
        <v>0.33482142857142855</v>
      </c>
      <c r="AC350" s="118">
        <f t="shared" si="50"/>
        <v>0.38636707612579713</v>
      </c>
      <c r="AD350" s="118">
        <f t="shared" si="51"/>
        <v>0.36683871243064903</v>
      </c>
      <c r="AE350" s="118"/>
      <c r="AF350" s="118"/>
      <c r="AG350" s="118"/>
      <c r="AK350">
        <f t="shared" si="53"/>
        <v>15079680.000000002</v>
      </c>
      <c r="AL350">
        <f t="shared" si="53"/>
        <v>15079680.000000002</v>
      </c>
      <c r="AM350">
        <f t="shared" si="53"/>
        <v>15079680.000000002</v>
      </c>
      <c r="AN350">
        <f t="shared" si="53"/>
        <v>15079680.000000002</v>
      </c>
      <c r="AO350">
        <f t="shared" si="53"/>
        <v>15079680.000000002</v>
      </c>
    </row>
    <row r="351" spans="1:41">
      <c r="A351" s="185">
        <f>'Water Stuff'!F285</f>
        <v>44842</v>
      </c>
      <c r="B351" s="118">
        <f>'Filtration System'!B315</f>
        <v>280</v>
      </c>
      <c r="C351" s="118">
        <f>'Filtration System'!C315</f>
        <v>1839.9999999999998</v>
      </c>
      <c r="D351" s="118">
        <f>'Filtration System'!D315</f>
        <v>0</v>
      </c>
      <c r="E351" s="118">
        <f>'Filtration System'!E315</f>
        <v>0</v>
      </c>
      <c r="F351" s="118">
        <f>'Filtration System'!F315</f>
        <v>0</v>
      </c>
      <c r="G351" s="118"/>
      <c r="H351" s="118">
        <f>B351/1000*(1000*9.81*Pumps!$B$14+'Parameters and Satisfaction'!$B$27)</f>
        <v>75054.890191426952</v>
      </c>
      <c r="I351" s="118">
        <f>C351/1000*(1000*9.81*Pumps!$B$14+'Parameters and Satisfaction'!$B$27)</f>
        <v>493217.84982937702</v>
      </c>
      <c r="J351" s="118">
        <f>D351/1000*(1000*9.81*Pumps!$B$14+'Parameters and Satisfaction'!$B$27)</f>
        <v>0</v>
      </c>
      <c r="K351" s="118">
        <f>E351/1000*(1000*9.81*Pumps!$B$14+'Parameters and Satisfaction'!$B$27)</f>
        <v>0</v>
      </c>
      <c r="L351" s="118">
        <f>F351/1000*(1000*9.81*Pumps!$B$14+'Parameters and Satisfaction'!$B$27)</f>
        <v>0</v>
      </c>
      <c r="M351" s="118"/>
      <c r="N351" s="118">
        <f>H351/IF('Parameters and Satisfaction'!$C$13="Pump A", 0.7, IF('Parameters and Satisfaction'!$C$13 = "Pump B", 0.72, 0.65))</f>
        <v>104242.90304364855</v>
      </c>
      <c r="O351" s="118">
        <f>I351/IF('Parameters and Satisfaction'!$C$13="Pump A", 0.7, IF('Parameters and Satisfaction'!$C$13 = "Pump B", 0.72, 0.65))</f>
        <v>685024.79142969032</v>
      </c>
      <c r="P351" s="118">
        <f>J351/IF('Parameters and Satisfaction'!$C$13="Pump A", 0.7, IF('Parameters and Satisfaction'!$C$13 = "Pump B", 0.72, 0.65))</f>
        <v>0</v>
      </c>
      <c r="Q351" s="118">
        <f>K351/IF('Parameters and Satisfaction'!$C$13="Pump A", 0.7, IF('Parameters and Satisfaction'!$C$13 = "Pump B", 0.72, 0.65))</f>
        <v>0</v>
      </c>
      <c r="R351" s="118">
        <f>L351/IF('Parameters and Satisfaction'!$C$13="Pump A", 0.7, IF('Parameters and Satisfaction'!$C$13 = "Pump B", 0.72, 0.65))</f>
        <v>0</v>
      </c>
      <c r="S351" s="118"/>
      <c r="T351" s="118">
        <f>N351+$F$47+IF('Parameters and Satisfaction'!$C$19="Ozone", 'Filtration System'!AA315*1000000, 0)</f>
        <v>4791742.9030436482</v>
      </c>
      <c r="U351" s="118">
        <f>O351+$F$47+IF('Parameters and Satisfaction'!$C$19="Ozone", 'Filtration System'!AB315*1000000, 0)</f>
        <v>5372524.7914296901</v>
      </c>
      <c r="V351" s="118">
        <f>P351+$F$47+IF('Parameters and Satisfaction'!$C$19="Ozone", 'Filtration System'!AC315*1000000, 0)</f>
        <v>4687500</v>
      </c>
      <c r="W351" s="118">
        <f>Q351+$F$47+IF('Parameters and Satisfaction'!$C$19="Ozone", 'Filtration System'!AD315*1000000, 0)</f>
        <v>4687500</v>
      </c>
      <c r="X351" s="118">
        <f>R351+$F$47+IF('Parameters and Satisfaction'!$C$19="Ozone", 'Filtration System'!AE315*1000000, 0)</f>
        <v>4687500</v>
      </c>
      <c r="Y351" s="118"/>
      <c r="Z351" s="118">
        <f t="shared" si="47"/>
        <v>0.34226735021740345</v>
      </c>
      <c r="AA351" s="118">
        <f t="shared" si="48"/>
        <v>0.38375177081640643</v>
      </c>
      <c r="AB351" s="118">
        <f t="shared" si="49"/>
        <v>0.33482142857142855</v>
      </c>
      <c r="AC351" s="118">
        <f t="shared" si="50"/>
        <v>0.33482142857142855</v>
      </c>
      <c r="AD351" s="118">
        <f t="shared" si="51"/>
        <v>0.33482142857142855</v>
      </c>
      <c r="AE351" s="118"/>
      <c r="AF351" s="118"/>
      <c r="AG351" s="118"/>
      <c r="AK351">
        <f t="shared" si="53"/>
        <v>15079680.000000002</v>
      </c>
      <c r="AL351">
        <f t="shared" si="53"/>
        <v>15079680.000000002</v>
      </c>
      <c r="AM351">
        <f t="shared" si="53"/>
        <v>15079680.000000002</v>
      </c>
      <c r="AN351">
        <f t="shared" si="53"/>
        <v>15079680.000000002</v>
      </c>
      <c r="AO351">
        <f t="shared" si="53"/>
        <v>15079680.000000002</v>
      </c>
    </row>
    <row r="352" spans="1:41">
      <c r="A352" s="185">
        <f>'Water Stuff'!F286</f>
        <v>44843</v>
      </c>
      <c r="B352" s="118">
        <f>'Filtration System'!B316</f>
        <v>360</v>
      </c>
      <c r="C352" s="118">
        <f>'Filtration System'!C316</f>
        <v>5280</v>
      </c>
      <c r="D352" s="118">
        <f>'Filtration System'!D316</f>
        <v>2044.9772115954556</v>
      </c>
      <c r="E352" s="118">
        <f>'Filtration System'!E316</f>
        <v>6678.8248291511482</v>
      </c>
      <c r="F352" s="118">
        <f>'Filtration System'!F316</f>
        <v>2545.3861465985783</v>
      </c>
      <c r="G352" s="118"/>
      <c r="H352" s="118">
        <f>B352/1000*(1000*9.81*Pumps!$B$14+'Parameters and Satisfaction'!$B$27)</f>
        <v>96499.144531834638</v>
      </c>
      <c r="I352" s="118">
        <f>C352/1000*(1000*9.81*Pumps!$B$14+'Parameters and Satisfaction'!$B$27)</f>
        <v>1415320.7864669082</v>
      </c>
      <c r="J352" s="118">
        <f>D352/1000*(1000*9.81*Pumps!$B$14+'Parameters and Satisfaction'!$B$27)</f>
        <v>548162.64307238359</v>
      </c>
      <c r="K352" s="118">
        <f>E352/1000*(1000*9.81*Pumps!$B$14+'Parameters and Satisfaction'!$B$27)</f>
        <v>1790280.2291418402</v>
      </c>
      <c r="L352" s="118">
        <f>F352/1000*(1000*9.81*Pumps!$B$14+'Parameters and Satisfaction'!$B$27)</f>
        <v>682298.84902762738</v>
      </c>
      <c r="M352" s="118"/>
      <c r="N352" s="118">
        <f>H352/IF('Parameters and Satisfaction'!$C$13="Pump A", 0.7, IF('Parameters and Satisfaction'!$C$13 = "Pump B", 0.72, 0.65))</f>
        <v>134026.58962754812</v>
      </c>
      <c r="O352" s="118">
        <f>I352/IF('Parameters and Satisfaction'!$C$13="Pump A", 0.7, IF('Parameters and Satisfaction'!$C$13 = "Pump B", 0.72, 0.65))</f>
        <v>1965723.3145373724</v>
      </c>
      <c r="P352" s="118">
        <f>J352/IF('Parameters and Satisfaction'!$C$13="Pump A", 0.7, IF('Parameters and Satisfaction'!$C$13 = "Pump B", 0.72, 0.65))</f>
        <v>761337.00426719943</v>
      </c>
      <c r="Q352" s="118">
        <f>K352/IF('Parameters and Satisfaction'!$C$13="Pump A", 0.7, IF('Parameters and Satisfaction'!$C$13 = "Pump B", 0.72, 0.65))</f>
        <v>2486500.318252556</v>
      </c>
      <c r="R352" s="118">
        <f>L352/IF('Parameters and Satisfaction'!$C$13="Pump A", 0.7, IF('Parameters and Satisfaction'!$C$13 = "Pump B", 0.72, 0.65))</f>
        <v>947637.29031614913</v>
      </c>
      <c r="S352" s="118"/>
      <c r="T352" s="118">
        <f>N352+$F$47+IF('Parameters and Satisfaction'!$C$19="Ozone", 'Filtration System'!AA316*1000000, 0)</f>
        <v>4821526.5896275481</v>
      </c>
      <c r="U352" s="118">
        <f>O352+$F$47+IF('Parameters and Satisfaction'!$C$19="Ozone", 'Filtration System'!AB316*1000000, 0)</f>
        <v>6653223.3145373724</v>
      </c>
      <c r="V352" s="118">
        <f>P352+$F$47+IF('Parameters and Satisfaction'!$C$19="Ozone", 'Filtration System'!AC316*1000000, 0)</f>
        <v>5448837.004267199</v>
      </c>
      <c r="W352" s="118">
        <f>Q352+$F$47+IF('Parameters and Satisfaction'!$C$19="Ozone", 'Filtration System'!AD316*1000000, 0)</f>
        <v>7174000.318252556</v>
      </c>
      <c r="X352" s="118">
        <f>R352+$F$47+IF('Parameters and Satisfaction'!$C$19="Ozone", 'Filtration System'!AE316*1000000, 0)</f>
        <v>5635137.2903161496</v>
      </c>
      <c r="Y352" s="118"/>
      <c r="Z352" s="118">
        <f t="shared" si="47"/>
        <v>0.34439475640196771</v>
      </c>
      <c r="AA352" s="118">
        <f t="shared" si="48"/>
        <v>0.47523023675266945</v>
      </c>
      <c r="AB352" s="118">
        <f t="shared" si="49"/>
        <v>0.38920264316194281</v>
      </c>
      <c r="AC352" s="118">
        <f t="shared" si="50"/>
        <v>0.51242859416089681</v>
      </c>
      <c r="AD352" s="118">
        <f t="shared" si="51"/>
        <v>0.40250980645115353</v>
      </c>
      <c r="AE352" s="118"/>
      <c r="AF352" s="118"/>
      <c r="AG352" s="118"/>
      <c r="AK352">
        <f t="shared" si="53"/>
        <v>15079680.000000002</v>
      </c>
      <c r="AL352">
        <f t="shared" si="53"/>
        <v>15079680.000000002</v>
      </c>
      <c r="AM352">
        <f t="shared" si="53"/>
        <v>15079680.000000002</v>
      </c>
      <c r="AN352">
        <f t="shared" si="53"/>
        <v>15079680.000000002</v>
      </c>
      <c r="AO352">
        <f t="shared" si="53"/>
        <v>15079680.000000002</v>
      </c>
    </row>
    <row r="353" spans="1:41">
      <c r="A353" s="185">
        <f>'Water Stuff'!F287</f>
        <v>44844</v>
      </c>
      <c r="B353" s="118">
        <f>'Filtration System'!B317</f>
        <v>3560</v>
      </c>
      <c r="C353" s="118">
        <f>'Filtration System'!C317</f>
        <v>5400</v>
      </c>
      <c r="D353" s="118">
        <f>'Filtration System'!D317</f>
        <v>1235.4620055366318</v>
      </c>
      <c r="E353" s="118">
        <f>'Filtration System'!E317</f>
        <v>4837.4390655523075</v>
      </c>
      <c r="F353" s="118">
        <f>'Filtration System'!F317</f>
        <v>763.51359125244119</v>
      </c>
      <c r="G353" s="118"/>
      <c r="H353" s="118">
        <f>B353/1000*(1000*9.81*Pumps!$B$14+'Parameters and Satisfaction'!$B$27)</f>
        <v>954269.31814814266</v>
      </c>
      <c r="I353" s="118">
        <f>C353/1000*(1000*9.81*Pumps!$B$14+'Parameters and Satisfaction'!$B$27)</f>
        <v>1447487.1679775198</v>
      </c>
      <c r="J353" s="118">
        <f>D353/1000*(1000*9.81*Pumps!$B$14+'Parameters and Satisfaction'!$B$27)</f>
        <v>331169.51843297144</v>
      </c>
      <c r="K353" s="118">
        <f>E353/1000*(1000*9.81*Pumps!$B$14+'Parameters and Satisfaction'!$B$27)</f>
        <v>1296690.9209740979</v>
      </c>
      <c r="L353" s="118">
        <f>F353/1000*(1000*9.81*Pumps!$B$14+'Parameters and Satisfaction'!$B$27)</f>
        <v>204662.2455396929</v>
      </c>
      <c r="M353" s="118"/>
      <c r="N353" s="118">
        <f>H353/IF('Parameters and Satisfaction'!$C$13="Pump A", 0.7, IF('Parameters and Satisfaction'!$C$13 = "Pump B", 0.72, 0.65))</f>
        <v>1325374.0529835315</v>
      </c>
      <c r="O353" s="118">
        <f>I353/IF('Parameters and Satisfaction'!$C$13="Pump A", 0.7, IF('Parameters and Satisfaction'!$C$13 = "Pump B", 0.72, 0.65))</f>
        <v>2010398.844413222</v>
      </c>
      <c r="P353" s="118">
        <f>J353/IF('Parameters and Satisfaction'!$C$13="Pump A", 0.7, IF('Parameters and Satisfaction'!$C$13 = "Pump B", 0.72, 0.65))</f>
        <v>459957.66449023812</v>
      </c>
      <c r="Q353" s="118">
        <f>K353/IF('Parameters and Satisfaction'!$C$13="Pump A", 0.7, IF('Parameters and Satisfaction'!$C$13 = "Pump B", 0.72, 0.65))</f>
        <v>1800959.6124640249</v>
      </c>
      <c r="R353" s="118">
        <f>L353/IF('Parameters and Satisfaction'!$C$13="Pump A", 0.7, IF('Parameters and Satisfaction'!$C$13 = "Pump B", 0.72, 0.65))</f>
        <v>284253.11880512902</v>
      </c>
      <c r="S353" s="118"/>
      <c r="T353" s="118">
        <f>N353+$F$47+IF('Parameters and Satisfaction'!$C$19="Ozone", 'Filtration System'!AA317*1000000, 0)</f>
        <v>6012874.0529835317</v>
      </c>
      <c r="U353" s="118">
        <f>O353+$F$47+IF('Parameters and Satisfaction'!$C$19="Ozone", 'Filtration System'!AB317*1000000, 0)</f>
        <v>6697898.8444132218</v>
      </c>
      <c r="V353" s="118">
        <f>P353+$F$47+IF('Parameters and Satisfaction'!$C$19="Ozone", 'Filtration System'!AC317*1000000, 0)</f>
        <v>5147457.6644902378</v>
      </c>
      <c r="W353" s="118">
        <f>Q353+$F$47+IF('Parameters and Satisfaction'!$C$19="Ozone", 'Filtration System'!AD317*1000000, 0)</f>
        <v>6488459.6124640247</v>
      </c>
      <c r="X353" s="118">
        <f>R353+$F$47+IF('Parameters and Satisfaction'!$C$19="Ozone", 'Filtration System'!AE317*1000000, 0)</f>
        <v>4971753.1188051291</v>
      </c>
      <c r="Y353" s="118"/>
      <c r="Z353" s="118">
        <f t="shared" si="47"/>
        <v>0.42949100378453797</v>
      </c>
      <c r="AA353" s="118">
        <f t="shared" si="48"/>
        <v>0.47842134602951586</v>
      </c>
      <c r="AB353" s="118">
        <f t="shared" si="49"/>
        <v>0.36767554746358844</v>
      </c>
      <c r="AC353" s="118">
        <f t="shared" si="50"/>
        <v>0.46346140089028748</v>
      </c>
      <c r="AD353" s="118">
        <f t="shared" si="51"/>
        <v>0.35512522277179492</v>
      </c>
      <c r="AE353" s="118"/>
      <c r="AF353" s="118"/>
      <c r="AG353" s="118"/>
      <c r="AK353">
        <f t="shared" si="53"/>
        <v>15079680.000000002</v>
      </c>
      <c r="AL353">
        <f t="shared" si="53"/>
        <v>15079680.000000002</v>
      </c>
      <c r="AM353">
        <f t="shared" si="53"/>
        <v>15079680.000000002</v>
      </c>
      <c r="AN353">
        <f t="shared" si="53"/>
        <v>15079680.000000002</v>
      </c>
      <c r="AO353">
        <f t="shared" si="53"/>
        <v>15079680.000000002</v>
      </c>
    </row>
    <row r="354" spans="1:41">
      <c r="A354" s="185">
        <f>'Water Stuff'!F288</f>
        <v>44845</v>
      </c>
      <c r="B354" s="118">
        <f>'Filtration System'!B318</f>
        <v>3080</v>
      </c>
      <c r="C354" s="118">
        <f>'Filtration System'!C318</f>
        <v>7520</v>
      </c>
      <c r="D354" s="118">
        <f>'Filtration System'!D318</f>
        <v>2249.566561306644</v>
      </c>
      <c r="E354" s="118">
        <f>'Filtration System'!E318</f>
        <v>4855.2823736271675</v>
      </c>
      <c r="F354" s="118">
        <f>'Filtration System'!F318</f>
        <v>792.34571529281504</v>
      </c>
      <c r="G354" s="118"/>
      <c r="H354" s="118">
        <f>B354/1000*(1000*9.81*Pumps!$B$14+'Parameters and Satisfaction'!$B$27)</f>
        <v>825603.7921056964</v>
      </c>
      <c r="I354" s="118">
        <f>C354/1000*(1000*9.81*Pumps!$B$14+'Parameters and Satisfaction'!$B$27)</f>
        <v>2015759.9079983237</v>
      </c>
      <c r="J354" s="118">
        <f>D354/1000*(1000*9.81*Pumps!$B$14+'Parameters and Satisfaction'!$B$27)</f>
        <v>603003.46870420035</v>
      </c>
      <c r="K354" s="118">
        <f>E354/1000*(1000*9.81*Pumps!$B$14+'Parameters and Satisfaction'!$B$27)</f>
        <v>1301473.8764319923</v>
      </c>
      <c r="L354" s="118">
        <f>F354/1000*(1000*9.81*Pumps!$B$14+'Parameters and Satisfaction'!$B$27)</f>
        <v>212390.7880533924</v>
      </c>
      <c r="M354" s="118"/>
      <c r="N354" s="118">
        <f>H354/IF('Parameters and Satisfaction'!$C$13="Pump A", 0.7, IF('Parameters and Satisfaction'!$C$13 = "Pump B", 0.72, 0.65))</f>
        <v>1146671.933480134</v>
      </c>
      <c r="O354" s="118">
        <f>I354/IF('Parameters and Satisfaction'!$C$13="Pump A", 0.7, IF('Parameters and Satisfaction'!$C$13 = "Pump B", 0.72, 0.65))</f>
        <v>2799666.5388865606</v>
      </c>
      <c r="P354" s="118">
        <f>J354/IF('Parameters and Satisfaction'!$C$13="Pump A", 0.7, IF('Parameters and Satisfaction'!$C$13 = "Pump B", 0.72, 0.65))</f>
        <v>837504.81764472276</v>
      </c>
      <c r="Q354" s="118">
        <f>K354/IF('Parameters and Satisfaction'!$C$13="Pump A", 0.7, IF('Parameters and Satisfaction'!$C$13 = "Pump B", 0.72, 0.65))</f>
        <v>1807602.606155545</v>
      </c>
      <c r="R354" s="118">
        <f>L354/IF('Parameters and Satisfaction'!$C$13="Pump A", 0.7, IF('Parameters and Satisfaction'!$C$13 = "Pump B", 0.72, 0.65))</f>
        <v>294987.20562971168</v>
      </c>
      <c r="S354" s="118"/>
      <c r="T354" s="118">
        <f>N354+$F$47+IF('Parameters and Satisfaction'!$C$19="Ozone", 'Filtration System'!AA318*1000000, 0)</f>
        <v>5834171.9334801342</v>
      </c>
      <c r="U354" s="118">
        <f>O354+$F$47+IF('Parameters and Satisfaction'!$C$19="Ozone", 'Filtration System'!AB318*1000000, 0)</f>
        <v>7487166.5388865601</v>
      </c>
      <c r="V354" s="118">
        <f>P354+$F$47+IF('Parameters and Satisfaction'!$C$19="Ozone", 'Filtration System'!AC318*1000000, 0)</f>
        <v>5525004.8176447228</v>
      </c>
      <c r="W354" s="118">
        <f>Q354+$F$47+IF('Parameters and Satisfaction'!$C$19="Ozone", 'Filtration System'!AD318*1000000, 0)</f>
        <v>6495102.6061555445</v>
      </c>
      <c r="X354" s="118">
        <f>R354+$F$47+IF('Parameters and Satisfaction'!$C$19="Ozone", 'Filtration System'!AE318*1000000, 0)</f>
        <v>4982487.205629712</v>
      </c>
      <c r="Y354" s="118"/>
      <c r="Z354" s="118">
        <f t="shared" si="47"/>
        <v>0.41672656667715247</v>
      </c>
      <c r="AA354" s="118">
        <f t="shared" si="48"/>
        <v>0.53479760992046854</v>
      </c>
      <c r="AB354" s="118">
        <f t="shared" si="49"/>
        <v>0.39464320126033736</v>
      </c>
      <c r="AC354" s="118">
        <f t="shared" si="50"/>
        <v>0.46393590043968175</v>
      </c>
      <c r="AD354" s="118">
        <f t="shared" si="51"/>
        <v>0.35589194325926515</v>
      </c>
      <c r="AE354" s="118"/>
      <c r="AF354" s="118"/>
      <c r="AG354" s="118"/>
      <c r="AK354">
        <f t="shared" ref="AK354:AO363" si="54">$D$64</f>
        <v>15079680.000000002</v>
      </c>
      <c r="AL354">
        <f t="shared" si="54"/>
        <v>15079680.000000002</v>
      </c>
      <c r="AM354">
        <f t="shared" si="54"/>
        <v>15079680.000000002</v>
      </c>
      <c r="AN354">
        <f t="shared" si="54"/>
        <v>15079680.000000002</v>
      </c>
      <c r="AO354">
        <f t="shared" si="54"/>
        <v>15079680.000000002</v>
      </c>
    </row>
    <row r="355" spans="1:41">
      <c r="A355" s="185">
        <f>'Water Stuff'!F289</f>
        <v>44846</v>
      </c>
      <c r="B355" s="118">
        <f>'Filtration System'!B319</f>
        <v>6600</v>
      </c>
      <c r="C355" s="118">
        <f>'Filtration System'!C319</f>
        <v>160</v>
      </c>
      <c r="D355" s="118">
        <f>'Filtration System'!D319</f>
        <v>3836.0181776035261</v>
      </c>
      <c r="E355" s="118">
        <f>'Filtration System'!E319</f>
        <v>0</v>
      </c>
      <c r="F355" s="118">
        <f>'Filtration System'!F319</f>
        <v>2339.7501945228823</v>
      </c>
      <c r="G355" s="118"/>
      <c r="H355" s="118">
        <f>B355/1000*(1000*9.81*Pumps!$B$14+'Parameters and Satisfaction'!$B$27)</f>
        <v>1769150.9830836351</v>
      </c>
      <c r="I355" s="118">
        <f>C355/1000*(1000*9.81*Pumps!$B$14+'Parameters and Satisfaction'!$B$27)</f>
        <v>42888.508680815401</v>
      </c>
      <c r="J355" s="118">
        <f>D355/1000*(1000*9.81*Pumps!$B$14+'Parameters and Satisfaction'!$B$27)</f>
        <v>1028256.8681869656</v>
      </c>
      <c r="K355" s="118">
        <f>E355/1000*(1000*9.81*Pumps!$B$14+'Parameters and Satisfaction'!$B$27)</f>
        <v>0</v>
      </c>
      <c r="L355" s="118">
        <f>F355/1000*(1000*9.81*Pumps!$B$14+'Parameters and Satisfaction'!$B$27)</f>
        <v>627177.47830458847</v>
      </c>
      <c r="M355" s="118"/>
      <c r="N355" s="118">
        <f>H355/IF('Parameters and Satisfaction'!$C$13="Pump A", 0.7, IF('Parameters and Satisfaction'!$C$13 = "Pump B", 0.72, 0.65))</f>
        <v>2457154.1431717156</v>
      </c>
      <c r="O355" s="118">
        <f>I355/IF('Parameters and Satisfaction'!$C$13="Pump A", 0.7, IF('Parameters and Satisfaction'!$C$13 = "Pump B", 0.72, 0.65))</f>
        <v>59567.373167799167</v>
      </c>
      <c r="P355" s="118">
        <f>J355/IF('Parameters and Satisfaction'!$C$13="Pump A", 0.7, IF('Parameters and Satisfaction'!$C$13 = "Pump B", 0.72, 0.65))</f>
        <v>1428134.5391485633</v>
      </c>
      <c r="Q355" s="118">
        <f>K355/IF('Parameters and Satisfaction'!$C$13="Pump A", 0.7, IF('Parameters and Satisfaction'!$C$13 = "Pump B", 0.72, 0.65))</f>
        <v>0</v>
      </c>
      <c r="R355" s="118">
        <f>L355/IF('Parameters and Satisfaction'!$C$13="Pump A", 0.7, IF('Parameters and Satisfaction'!$C$13 = "Pump B", 0.72, 0.65))</f>
        <v>871079.83097859507</v>
      </c>
      <c r="S355" s="118"/>
      <c r="T355" s="118">
        <f>N355+$F$47+IF('Parameters and Satisfaction'!$C$19="Ozone", 'Filtration System'!AA319*1000000, 0)</f>
        <v>7144654.1431717156</v>
      </c>
      <c r="U355" s="118">
        <f>O355+$F$47+IF('Parameters and Satisfaction'!$C$19="Ozone", 'Filtration System'!AB319*1000000, 0)</f>
        <v>4747067.3731677989</v>
      </c>
      <c r="V355" s="118">
        <f>P355+$F$47+IF('Parameters and Satisfaction'!$C$19="Ozone", 'Filtration System'!AC319*1000000, 0)</f>
        <v>6115634.5391485635</v>
      </c>
      <c r="W355" s="118">
        <f>Q355+$F$47+IF('Parameters and Satisfaction'!$C$19="Ozone", 'Filtration System'!AD319*1000000, 0)</f>
        <v>4687500</v>
      </c>
      <c r="X355" s="118">
        <f>R355+$F$47+IF('Parameters and Satisfaction'!$C$19="Ozone", 'Filtration System'!AE319*1000000, 0)</f>
        <v>5558579.8309785947</v>
      </c>
      <c r="Y355" s="118"/>
      <c r="Z355" s="118">
        <f t="shared" si="47"/>
        <v>0.51033243879797974</v>
      </c>
      <c r="AA355" s="118">
        <f t="shared" si="48"/>
        <v>0.33907624094055705</v>
      </c>
      <c r="AB355" s="118">
        <f t="shared" si="49"/>
        <v>0.43683103851061167</v>
      </c>
      <c r="AC355" s="118">
        <f t="shared" si="50"/>
        <v>0.33482142857142855</v>
      </c>
      <c r="AD355" s="118">
        <f t="shared" si="51"/>
        <v>0.39704141649847108</v>
      </c>
      <c r="AE355" s="118"/>
      <c r="AF355" s="118"/>
      <c r="AG355" s="118"/>
      <c r="AK355">
        <f t="shared" si="54"/>
        <v>15079680.000000002</v>
      </c>
      <c r="AL355">
        <f t="shared" si="54"/>
        <v>15079680.000000002</v>
      </c>
      <c r="AM355">
        <f t="shared" si="54"/>
        <v>15079680.000000002</v>
      </c>
      <c r="AN355">
        <f t="shared" si="54"/>
        <v>15079680.000000002</v>
      </c>
      <c r="AO355">
        <f t="shared" si="54"/>
        <v>15079680.000000002</v>
      </c>
    </row>
    <row r="356" spans="1:41">
      <c r="A356" s="185">
        <f>'Water Stuff'!F290</f>
        <v>44847</v>
      </c>
      <c r="B356" s="118">
        <f>'Filtration System'!B320</f>
        <v>6280</v>
      </c>
      <c r="C356" s="118">
        <f>'Filtration System'!C320</f>
        <v>120</v>
      </c>
      <c r="D356" s="118">
        <f>'Filtration System'!D320</f>
        <v>3863.5553062684644</v>
      </c>
      <c r="E356" s="118">
        <f>'Filtration System'!E320</f>
        <v>0</v>
      </c>
      <c r="F356" s="118">
        <f>'Filtration System'!F320</f>
        <v>1964.2578516611061</v>
      </c>
      <c r="G356" s="118"/>
      <c r="H356" s="118">
        <f>B356/1000*(1000*9.81*Pumps!$B$14+'Parameters and Satisfaction'!$B$27)</f>
        <v>1683373.9657220044</v>
      </c>
      <c r="I356" s="118">
        <f>C356/1000*(1000*9.81*Pumps!$B$14+'Parameters and Satisfaction'!$B$27)</f>
        <v>32166.381510611547</v>
      </c>
      <c r="J356" s="118">
        <f>D356/1000*(1000*9.81*Pumps!$B$14+'Parameters and Satisfaction'!$B$27)</f>
        <v>1035638.2830731589</v>
      </c>
      <c r="K356" s="118">
        <f>E356/1000*(1000*9.81*Pumps!$B$14+'Parameters and Satisfaction'!$B$27)</f>
        <v>0</v>
      </c>
      <c r="L356" s="118">
        <f>F356/1000*(1000*9.81*Pumps!$B$14+'Parameters and Satisfaction'!$B$27)</f>
        <v>526525.56201454473</v>
      </c>
      <c r="M356" s="118"/>
      <c r="N356" s="118">
        <f>H356/IF('Parameters and Satisfaction'!$C$13="Pump A", 0.7, IF('Parameters and Satisfaction'!$C$13 = "Pump B", 0.72, 0.65))</f>
        <v>2338019.3968361174</v>
      </c>
      <c r="O356" s="118">
        <f>I356/IF('Parameters and Satisfaction'!$C$13="Pump A", 0.7, IF('Parameters and Satisfaction'!$C$13 = "Pump B", 0.72, 0.65))</f>
        <v>44675.529875849374</v>
      </c>
      <c r="P356" s="118">
        <f>J356/IF('Parameters and Satisfaction'!$C$13="Pump A", 0.7, IF('Parameters and Satisfaction'!$C$13 = "Pump B", 0.72, 0.65))</f>
        <v>1438386.5042682763</v>
      </c>
      <c r="Q356" s="118">
        <f>K356/IF('Parameters and Satisfaction'!$C$13="Pump A", 0.7, IF('Parameters and Satisfaction'!$C$13 = "Pump B", 0.72, 0.65))</f>
        <v>0</v>
      </c>
      <c r="R356" s="118">
        <f>L356/IF('Parameters and Satisfaction'!$C$13="Pump A", 0.7, IF('Parameters and Satisfaction'!$C$13 = "Pump B", 0.72, 0.65))</f>
        <v>731285.50279797881</v>
      </c>
      <c r="S356" s="118"/>
      <c r="T356" s="118">
        <f>N356+$F$47+IF('Parameters and Satisfaction'!$C$19="Ozone", 'Filtration System'!AA320*1000000, 0)</f>
        <v>7025519.3968361169</v>
      </c>
      <c r="U356" s="118">
        <f>O356+$F$47+IF('Parameters and Satisfaction'!$C$19="Ozone", 'Filtration System'!AB320*1000000, 0)</f>
        <v>4732175.5298758494</v>
      </c>
      <c r="V356" s="118">
        <f>P356+$F$47+IF('Parameters and Satisfaction'!$C$19="Ozone", 'Filtration System'!AC320*1000000, 0)</f>
        <v>6125886.5042682765</v>
      </c>
      <c r="W356" s="118">
        <f>Q356+$F$47+IF('Parameters and Satisfaction'!$C$19="Ozone", 'Filtration System'!AD320*1000000, 0)</f>
        <v>4687500</v>
      </c>
      <c r="X356" s="118">
        <f>R356+$F$47+IF('Parameters and Satisfaction'!$C$19="Ozone", 'Filtration System'!AE320*1000000, 0)</f>
        <v>5418785.5027979789</v>
      </c>
      <c r="Y356" s="118"/>
      <c r="Z356" s="118">
        <f t="shared" si="47"/>
        <v>0.50182281405972262</v>
      </c>
      <c r="AA356" s="118">
        <f t="shared" si="48"/>
        <v>0.33801253784827495</v>
      </c>
      <c r="AB356" s="118">
        <f t="shared" si="49"/>
        <v>0.43756332173344831</v>
      </c>
      <c r="AC356" s="118">
        <f t="shared" si="50"/>
        <v>0.33482142857142855</v>
      </c>
      <c r="AD356" s="118">
        <f t="shared" si="51"/>
        <v>0.38705610734271279</v>
      </c>
      <c r="AE356" s="118"/>
      <c r="AF356" s="118"/>
      <c r="AG356" s="118"/>
      <c r="AK356">
        <f t="shared" si="54"/>
        <v>15079680.000000002</v>
      </c>
      <c r="AL356">
        <f t="shared" si="54"/>
        <v>15079680.000000002</v>
      </c>
      <c r="AM356">
        <f t="shared" si="54"/>
        <v>15079680.000000002</v>
      </c>
      <c r="AN356">
        <f t="shared" si="54"/>
        <v>15079680.000000002</v>
      </c>
      <c r="AO356">
        <f t="shared" si="54"/>
        <v>15079680.000000002</v>
      </c>
    </row>
    <row r="357" spans="1:41">
      <c r="A357" s="185">
        <f>'Water Stuff'!F291</f>
        <v>44848</v>
      </c>
      <c r="B357" s="118">
        <f>'Filtration System'!B321</f>
        <v>5680</v>
      </c>
      <c r="C357" s="118">
        <f>'Filtration System'!C321</f>
        <v>0</v>
      </c>
      <c r="D357" s="118">
        <f>'Filtration System'!D321</f>
        <v>4124.7835351029898</v>
      </c>
      <c r="E357" s="118">
        <f>'Filtration System'!E321</f>
        <v>0</v>
      </c>
      <c r="F357" s="118">
        <f>'Filtration System'!F321</f>
        <v>4159.1738200890759</v>
      </c>
      <c r="G357" s="118"/>
      <c r="H357" s="118">
        <f>B357/1000*(1000*9.81*Pumps!$B$14+'Parameters and Satisfaction'!$B$27)</f>
        <v>1522542.0581689465</v>
      </c>
      <c r="I357" s="118">
        <f>C357/1000*(1000*9.81*Pumps!$B$14+'Parameters and Satisfaction'!$B$27)</f>
        <v>0</v>
      </c>
      <c r="J357" s="118">
        <f>D357/1000*(1000*9.81*Pumps!$B$14+'Parameters and Satisfaction'!$B$27)</f>
        <v>1105661.3403234314</v>
      </c>
      <c r="K357" s="118">
        <f>E357/1000*(1000*9.81*Pumps!$B$14+'Parameters and Satisfaction'!$B$27)</f>
        <v>0</v>
      </c>
      <c r="L357" s="118">
        <f>F357/1000*(1000*9.81*Pumps!$B$14+'Parameters and Satisfaction'!$B$27)</f>
        <v>1114879.7655494404</v>
      </c>
      <c r="M357" s="118"/>
      <c r="N357" s="118">
        <f>H357/IF('Parameters and Satisfaction'!$C$13="Pump A", 0.7, IF('Parameters and Satisfaction'!$C$13 = "Pump B", 0.72, 0.65))</f>
        <v>2114641.74745687</v>
      </c>
      <c r="O357" s="118">
        <f>I357/IF('Parameters and Satisfaction'!$C$13="Pump A", 0.7, IF('Parameters and Satisfaction'!$C$13 = "Pump B", 0.72, 0.65))</f>
        <v>0</v>
      </c>
      <c r="P357" s="118">
        <f>J357/IF('Parameters and Satisfaction'!$C$13="Pump A", 0.7, IF('Parameters and Satisfaction'!$C$13 = "Pump B", 0.72, 0.65))</f>
        <v>1535640.7504492104</v>
      </c>
      <c r="Q357" s="118">
        <f>K357/IF('Parameters and Satisfaction'!$C$13="Pump A", 0.7, IF('Parameters and Satisfaction'!$C$13 = "Pump B", 0.72, 0.65))</f>
        <v>0</v>
      </c>
      <c r="R357" s="118">
        <f>L357/IF('Parameters and Satisfaction'!$C$13="Pump A", 0.7, IF('Parameters and Satisfaction'!$C$13 = "Pump B", 0.72, 0.65))</f>
        <v>1548444.1188186673</v>
      </c>
      <c r="S357" s="118"/>
      <c r="T357" s="118">
        <f>N357+$F$47+IF('Parameters and Satisfaction'!$C$19="Ozone", 'Filtration System'!AA321*1000000, 0)</f>
        <v>6802141.74745687</v>
      </c>
      <c r="U357" s="118">
        <f>O357+$F$47+IF('Parameters and Satisfaction'!$C$19="Ozone", 'Filtration System'!AB321*1000000, 0)</f>
        <v>4687500</v>
      </c>
      <c r="V357" s="118">
        <f>P357+$F$47+IF('Parameters and Satisfaction'!$C$19="Ozone", 'Filtration System'!AC321*1000000, 0)</f>
        <v>6223140.7504492104</v>
      </c>
      <c r="W357" s="118">
        <f>Q357+$F$47+IF('Parameters and Satisfaction'!$C$19="Ozone", 'Filtration System'!AD321*1000000, 0)</f>
        <v>4687500</v>
      </c>
      <c r="X357" s="118">
        <f>R357+$F$47+IF('Parameters and Satisfaction'!$C$19="Ozone", 'Filtration System'!AE321*1000000, 0)</f>
        <v>6235944.1188186668</v>
      </c>
      <c r="Y357" s="118"/>
      <c r="Z357" s="118">
        <f t="shared" si="47"/>
        <v>0.48586726767549071</v>
      </c>
      <c r="AA357" s="118">
        <f t="shared" si="48"/>
        <v>0.33482142857142855</v>
      </c>
      <c r="AB357" s="118">
        <f t="shared" si="49"/>
        <v>0.44451005360351503</v>
      </c>
      <c r="AC357" s="118">
        <f t="shared" si="50"/>
        <v>0.33482142857142855</v>
      </c>
      <c r="AD357" s="118">
        <f t="shared" si="51"/>
        <v>0.44542457991561907</v>
      </c>
      <c r="AE357" s="118"/>
      <c r="AF357" s="118"/>
      <c r="AG357" s="118"/>
      <c r="AK357">
        <f t="shared" si="54"/>
        <v>15079680.000000002</v>
      </c>
      <c r="AL357">
        <f t="shared" si="54"/>
        <v>15079680.000000002</v>
      </c>
      <c r="AM357">
        <f t="shared" si="54"/>
        <v>15079680.000000002</v>
      </c>
      <c r="AN357">
        <f t="shared" si="54"/>
        <v>15079680.000000002</v>
      </c>
      <c r="AO357">
        <f t="shared" si="54"/>
        <v>15079680.000000002</v>
      </c>
    </row>
    <row r="358" spans="1:41">
      <c r="A358" s="185">
        <f>'Water Stuff'!F292</f>
        <v>44849</v>
      </c>
      <c r="B358" s="118">
        <f>'Filtration System'!B322</f>
        <v>1280</v>
      </c>
      <c r="C358" s="118">
        <f>'Filtration System'!C322</f>
        <v>0</v>
      </c>
      <c r="D358" s="118">
        <f>'Filtration System'!D322</f>
        <v>50.467863779156716</v>
      </c>
      <c r="E358" s="118">
        <f>'Filtration System'!E322</f>
        <v>1637.0943884379451</v>
      </c>
      <c r="F358" s="118">
        <f>'Filtration System'!F322</f>
        <v>896.99942382366282</v>
      </c>
      <c r="G358" s="118"/>
      <c r="H358" s="118">
        <f>B358/1000*(1000*9.81*Pumps!$B$14+'Parameters and Satisfaction'!$B$27)</f>
        <v>343108.06944652321</v>
      </c>
      <c r="I358" s="118">
        <f>C358/1000*(1000*9.81*Pumps!$B$14+'Parameters and Satisfaction'!$B$27)</f>
        <v>0</v>
      </c>
      <c r="J358" s="118">
        <f>D358/1000*(1000*9.81*Pumps!$B$14+'Parameters and Satisfaction'!$B$27)</f>
        <v>13528.071336216073</v>
      </c>
      <c r="K358" s="118">
        <f>E358/1000*(1000*9.81*Pumps!$B$14+'Parameters and Satisfaction'!$B$27)</f>
        <v>438828.35556146869</v>
      </c>
      <c r="L358" s="118">
        <f>F358/1000*(1000*9.81*Pumps!$B$14+'Parameters and Satisfaction'!$B$27)</f>
        <v>240443.54734592233</v>
      </c>
      <c r="M358" s="118"/>
      <c r="N358" s="118">
        <f>H358/IF('Parameters and Satisfaction'!$C$13="Pump A", 0.7, IF('Parameters and Satisfaction'!$C$13 = "Pump B", 0.72, 0.65))</f>
        <v>476538.98534239334</v>
      </c>
      <c r="O358" s="118">
        <f>I358/IF('Parameters and Satisfaction'!$C$13="Pump A", 0.7, IF('Parameters and Satisfaction'!$C$13 = "Pump B", 0.72, 0.65))</f>
        <v>0</v>
      </c>
      <c r="P358" s="118">
        <f>J358/IF('Parameters and Satisfaction'!$C$13="Pump A", 0.7, IF('Parameters and Satisfaction'!$C$13 = "Pump B", 0.72, 0.65))</f>
        <v>18788.987966966768</v>
      </c>
      <c r="Q358" s="118">
        <f>K358/IF('Parameters and Satisfaction'!$C$13="Pump A", 0.7, IF('Parameters and Satisfaction'!$C$13 = "Pump B", 0.72, 0.65))</f>
        <v>609483.82716870657</v>
      </c>
      <c r="R358" s="118">
        <f>L358/IF('Parameters and Satisfaction'!$C$13="Pump A", 0.7, IF('Parameters and Satisfaction'!$C$13 = "Pump B", 0.72, 0.65))</f>
        <v>333949.37131378101</v>
      </c>
      <c r="S358" s="118"/>
      <c r="T358" s="118">
        <f>N358+$F$47+IF('Parameters and Satisfaction'!$C$19="Ozone", 'Filtration System'!AA322*1000000, 0)</f>
        <v>5164038.9853423936</v>
      </c>
      <c r="U358" s="118">
        <f>O358+$F$47+IF('Parameters and Satisfaction'!$C$19="Ozone", 'Filtration System'!AB322*1000000, 0)</f>
        <v>4687500</v>
      </c>
      <c r="V358" s="118">
        <f>P358+$F$47+IF('Parameters and Satisfaction'!$C$19="Ozone", 'Filtration System'!AC322*1000000, 0)</f>
        <v>4706288.9879669668</v>
      </c>
      <c r="W358" s="118">
        <f>Q358+$F$47+IF('Parameters and Satisfaction'!$C$19="Ozone", 'Filtration System'!AD322*1000000, 0)</f>
        <v>5296983.8271687068</v>
      </c>
      <c r="X358" s="118">
        <f>R358+$F$47+IF('Parameters and Satisfaction'!$C$19="Ozone", 'Filtration System'!AE322*1000000, 0)</f>
        <v>5021449.3713137805</v>
      </c>
      <c r="Y358" s="118"/>
      <c r="Z358" s="118">
        <f t="shared" si="47"/>
        <v>0.36885992752445668</v>
      </c>
      <c r="AA358" s="118">
        <f t="shared" si="48"/>
        <v>0.33482142857142855</v>
      </c>
      <c r="AB358" s="118">
        <f t="shared" si="49"/>
        <v>0.33616349914049765</v>
      </c>
      <c r="AC358" s="118">
        <f t="shared" si="50"/>
        <v>0.37835598765490763</v>
      </c>
      <c r="AD358" s="118">
        <f t="shared" si="51"/>
        <v>0.35867495509384145</v>
      </c>
      <c r="AE358" s="118"/>
      <c r="AF358" s="118"/>
      <c r="AG358" s="118"/>
      <c r="AK358">
        <f t="shared" si="54"/>
        <v>15079680.000000002</v>
      </c>
      <c r="AL358">
        <f t="shared" si="54"/>
        <v>15079680.000000002</v>
      </c>
      <c r="AM358">
        <f t="shared" si="54"/>
        <v>15079680.000000002</v>
      </c>
      <c r="AN358">
        <f t="shared" si="54"/>
        <v>15079680.000000002</v>
      </c>
      <c r="AO358">
        <f t="shared" si="54"/>
        <v>15079680.000000002</v>
      </c>
    </row>
    <row r="359" spans="1:41">
      <c r="A359" s="185">
        <f>'Water Stuff'!F293</f>
        <v>44850</v>
      </c>
      <c r="B359" s="118">
        <f>'Filtration System'!B323</f>
        <v>3440</v>
      </c>
      <c r="C359" s="118">
        <f>'Filtration System'!C323</f>
        <v>2840</v>
      </c>
      <c r="D359" s="118">
        <f>'Filtration System'!D323</f>
        <v>5157.1722428047524</v>
      </c>
      <c r="E359" s="118">
        <f>'Filtration System'!E323</f>
        <v>3071.1326625935003</v>
      </c>
      <c r="F359" s="118">
        <f>'Filtration System'!F323</f>
        <v>4563.1725980107622</v>
      </c>
      <c r="G359" s="118"/>
      <c r="H359" s="118">
        <f>B359/1000*(1000*9.81*Pumps!$B$14+'Parameters and Satisfaction'!$B$27)</f>
        <v>922102.93663753103</v>
      </c>
      <c r="I359" s="118">
        <f>C359/1000*(1000*9.81*Pumps!$B$14+'Parameters and Satisfaction'!$B$27)</f>
        <v>761271.02908447327</v>
      </c>
      <c r="J359" s="118">
        <f>D359/1000*(1000*9.81*Pumps!$B$14+'Parameters and Satisfaction'!$B$27)</f>
        <v>1382396.4156499491</v>
      </c>
      <c r="K359" s="118">
        <f>E359/1000*(1000*9.81*Pumps!$B$14+'Parameters and Satisfaction'!$B$27)</f>
        <v>823226.87412235665</v>
      </c>
      <c r="L359" s="118">
        <f>F359/1000*(1000*9.81*Pumps!$B$14+'Parameters and Satisfaction'!$B$27)</f>
        <v>1223172.9223865222</v>
      </c>
      <c r="M359" s="118"/>
      <c r="N359" s="118">
        <f>H359/IF('Parameters and Satisfaction'!$C$13="Pump A", 0.7, IF('Parameters and Satisfaction'!$C$13 = "Pump B", 0.72, 0.65))</f>
        <v>1280698.5231076821</v>
      </c>
      <c r="O359" s="118">
        <f>I359/IF('Parameters and Satisfaction'!$C$13="Pump A", 0.7, IF('Parameters and Satisfaction'!$C$13 = "Pump B", 0.72, 0.65))</f>
        <v>1057320.873728435</v>
      </c>
      <c r="P359" s="118">
        <f>J359/IF('Parameters and Satisfaction'!$C$13="Pump A", 0.7, IF('Parameters and Satisfaction'!$C$13 = "Pump B", 0.72, 0.65))</f>
        <v>1919995.0217360405</v>
      </c>
      <c r="Q359" s="118">
        <f>K359/IF('Parameters and Satisfaction'!$C$13="Pump A", 0.7, IF('Parameters and Satisfaction'!$C$13 = "Pump B", 0.72, 0.65))</f>
        <v>1143370.6585032733</v>
      </c>
      <c r="R359" s="118">
        <f>L359/IF('Parameters and Satisfaction'!$C$13="Pump A", 0.7, IF('Parameters and Satisfaction'!$C$13 = "Pump B", 0.72, 0.65))</f>
        <v>1698851.281092392</v>
      </c>
      <c r="S359" s="118"/>
      <c r="T359" s="118">
        <f>N359+$F$47+IF('Parameters and Satisfaction'!$C$19="Ozone", 'Filtration System'!AA323*1000000, 0)</f>
        <v>5968198.5231076824</v>
      </c>
      <c r="U359" s="118">
        <f>O359+$F$47+IF('Parameters and Satisfaction'!$C$19="Ozone", 'Filtration System'!AB323*1000000, 0)</f>
        <v>5744820.8737284355</v>
      </c>
      <c r="V359" s="118">
        <f>P359+$F$47+IF('Parameters and Satisfaction'!$C$19="Ozone", 'Filtration System'!AC323*1000000, 0)</f>
        <v>6607495.0217360407</v>
      </c>
      <c r="W359" s="118">
        <f>Q359+$F$47+IF('Parameters and Satisfaction'!$C$19="Ozone", 'Filtration System'!AD323*1000000, 0)</f>
        <v>5830870.6585032735</v>
      </c>
      <c r="X359" s="118">
        <f>R359+$F$47+IF('Parameters and Satisfaction'!$C$19="Ozone", 'Filtration System'!AE323*1000000, 0)</f>
        <v>6386351.2810923923</v>
      </c>
      <c r="Y359" s="118"/>
      <c r="Z359" s="118">
        <f t="shared" si="47"/>
        <v>0.42629989450769162</v>
      </c>
      <c r="AA359" s="118">
        <f t="shared" si="48"/>
        <v>0.41034434812345966</v>
      </c>
      <c r="AB359" s="118">
        <f t="shared" si="49"/>
        <v>0.4719639301240029</v>
      </c>
      <c r="AC359" s="118">
        <f t="shared" si="50"/>
        <v>0.41649076132166241</v>
      </c>
      <c r="AD359" s="118">
        <f t="shared" si="51"/>
        <v>0.45616794864945659</v>
      </c>
      <c r="AE359" s="118"/>
      <c r="AF359" s="118"/>
      <c r="AG359" s="118"/>
      <c r="AK359">
        <f t="shared" si="54"/>
        <v>15079680.000000002</v>
      </c>
      <c r="AL359">
        <f t="shared" si="54"/>
        <v>15079680.000000002</v>
      </c>
      <c r="AM359">
        <f t="shared" si="54"/>
        <v>15079680.000000002</v>
      </c>
      <c r="AN359">
        <f t="shared" si="54"/>
        <v>15079680.000000002</v>
      </c>
      <c r="AO359">
        <f t="shared" si="54"/>
        <v>15079680.000000002</v>
      </c>
    </row>
    <row r="360" spans="1:41">
      <c r="A360" s="185">
        <f>'Water Stuff'!F294</f>
        <v>44851</v>
      </c>
      <c r="B360" s="118">
        <f>'Filtration System'!B324</f>
        <v>5400</v>
      </c>
      <c r="C360" s="118">
        <f>'Filtration System'!C324</f>
        <v>1280</v>
      </c>
      <c r="D360" s="118">
        <f>'Filtration System'!D324</f>
        <v>6886.3727025374146</v>
      </c>
      <c r="E360" s="118">
        <f>'Filtration System'!E324</f>
        <v>2397.6200064415839</v>
      </c>
      <c r="F360" s="118">
        <f>'Filtration System'!F324</f>
        <v>7869.5199294154872</v>
      </c>
      <c r="G360" s="118"/>
      <c r="H360" s="118">
        <f>B360/1000*(1000*9.81*Pumps!$B$14+'Parameters and Satisfaction'!$B$27)</f>
        <v>1447487.1679775198</v>
      </c>
      <c r="I360" s="118">
        <f>C360/1000*(1000*9.81*Pumps!$B$14+'Parameters and Satisfaction'!$B$27)</f>
        <v>343108.06944652321</v>
      </c>
      <c r="J360" s="118">
        <f>D360/1000*(1000*9.81*Pumps!$B$14+'Parameters and Satisfaction'!$B$27)</f>
        <v>1845914.0964506632</v>
      </c>
      <c r="K360" s="118">
        <f>E360/1000*(1000*9.81*Pumps!$B$14+'Parameters and Satisfaction'!$B$27)</f>
        <v>642689.66537229088</v>
      </c>
      <c r="L360" s="118">
        <f>F360/1000*(1000*9.81*Pumps!$B$14+'Parameters and Satisfaction'!$B$27)</f>
        <v>2109449.8362911618</v>
      </c>
      <c r="M360" s="118"/>
      <c r="N360" s="118">
        <f>H360/IF('Parameters and Satisfaction'!$C$13="Pump A", 0.7, IF('Parameters and Satisfaction'!$C$13 = "Pump B", 0.72, 0.65))</f>
        <v>2010398.844413222</v>
      </c>
      <c r="O360" s="118">
        <f>I360/IF('Parameters and Satisfaction'!$C$13="Pump A", 0.7, IF('Parameters and Satisfaction'!$C$13 = "Pump B", 0.72, 0.65))</f>
        <v>476538.98534239334</v>
      </c>
      <c r="P360" s="118">
        <f>J360/IF('Parameters and Satisfaction'!$C$13="Pump A", 0.7, IF('Parameters and Satisfaction'!$C$13 = "Pump B", 0.72, 0.65))</f>
        <v>2563769.5784036987</v>
      </c>
      <c r="Q360" s="118">
        <f>K360/IF('Parameters and Satisfaction'!$C$13="Pump A", 0.7, IF('Parameters and Satisfaction'!$C$13 = "Pump B", 0.72, 0.65))</f>
        <v>892624.53523929289</v>
      </c>
      <c r="R360" s="118">
        <f>L360/IF('Parameters and Satisfaction'!$C$13="Pump A", 0.7, IF('Parameters and Satisfaction'!$C$13 = "Pump B", 0.72, 0.65))</f>
        <v>2929791.4392932802</v>
      </c>
      <c r="S360" s="118"/>
      <c r="T360" s="118">
        <f>N360+$F$47+IF('Parameters and Satisfaction'!$C$19="Ozone", 'Filtration System'!AA324*1000000, 0)</f>
        <v>6697898.8444132218</v>
      </c>
      <c r="U360" s="118">
        <f>O360+$F$47+IF('Parameters and Satisfaction'!$C$19="Ozone", 'Filtration System'!AB324*1000000, 0)</f>
        <v>5164038.9853423936</v>
      </c>
      <c r="V360" s="118">
        <f>P360+$F$47+IF('Parameters and Satisfaction'!$C$19="Ozone", 'Filtration System'!AC324*1000000, 0)</f>
        <v>7251269.5784036983</v>
      </c>
      <c r="W360" s="118">
        <f>Q360+$F$47+IF('Parameters and Satisfaction'!$C$19="Ozone", 'Filtration System'!AD324*1000000, 0)</f>
        <v>5580124.5352392932</v>
      </c>
      <c r="X360" s="118">
        <f>R360+$F$47+IF('Parameters and Satisfaction'!$C$19="Ozone", 'Filtration System'!AE324*1000000, 0)</f>
        <v>7617291.4392932802</v>
      </c>
      <c r="Y360" s="118"/>
      <c r="Z360" s="118">
        <f t="shared" si="47"/>
        <v>0.47842134602951586</v>
      </c>
      <c r="AA360" s="118">
        <f t="shared" si="48"/>
        <v>0.36885992752445668</v>
      </c>
      <c r="AB360" s="118">
        <f t="shared" si="49"/>
        <v>0.51794782702883557</v>
      </c>
      <c r="AC360" s="118">
        <f t="shared" si="50"/>
        <v>0.39858032394566378</v>
      </c>
      <c r="AD360" s="118">
        <f t="shared" si="51"/>
        <v>0.54409224566380576</v>
      </c>
      <c r="AE360" s="118"/>
      <c r="AF360" s="118"/>
      <c r="AG360" s="118"/>
      <c r="AK360">
        <f t="shared" si="54"/>
        <v>15079680.000000002</v>
      </c>
      <c r="AL360">
        <f t="shared" si="54"/>
        <v>15079680.000000002</v>
      </c>
      <c r="AM360">
        <f t="shared" si="54"/>
        <v>15079680.000000002</v>
      </c>
      <c r="AN360">
        <f t="shared" si="54"/>
        <v>15079680.000000002</v>
      </c>
      <c r="AO360">
        <f t="shared" si="54"/>
        <v>15079680.000000002</v>
      </c>
    </row>
    <row r="361" spans="1:41">
      <c r="A361" s="185">
        <f>'Water Stuff'!F295</f>
        <v>44852</v>
      </c>
      <c r="B361" s="118">
        <f>'Filtration System'!B325</f>
        <v>3360</v>
      </c>
      <c r="C361" s="118">
        <f>'Filtration System'!C325</f>
        <v>4680</v>
      </c>
      <c r="D361" s="118">
        <f>'Filtration System'!D325</f>
        <v>1061.4310951522054</v>
      </c>
      <c r="E361" s="118">
        <f>'Filtration System'!E325</f>
        <v>2674.9299265188101</v>
      </c>
      <c r="F361" s="118">
        <f>'Filtration System'!F325</f>
        <v>0</v>
      </c>
      <c r="G361" s="118"/>
      <c r="H361" s="118">
        <f>B361/1000*(1000*9.81*Pumps!$B$14+'Parameters and Satisfaction'!$B$27)</f>
        <v>900658.68229712336</v>
      </c>
      <c r="I361" s="118">
        <f>C361/1000*(1000*9.81*Pumps!$B$14+'Parameters and Satisfaction'!$B$27)</f>
        <v>1254488.8789138503</v>
      </c>
      <c r="J361" s="118">
        <f>D361/1000*(1000*9.81*Pumps!$B$14+'Parameters and Satisfaction'!$B$27)</f>
        <v>284519.97961576725</v>
      </c>
      <c r="K361" s="118">
        <f>E361/1000*(1000*9.81*Pumps!$B$14+'Parameters and Satisfaction'!$B$27)</f>
        <v>717023.47108796809</v>
      </c>
      <c r="L361" s="118">
        <f>F361/1000*(1000*9.81*Pumps!$B$14+'Parameters and Satisfaction'!$B$27)</f>
        <v>0</v>
      </c>
      <c r="M361" s="118"/>
      <c r="N361" s="118">
        <f>H361/IF('Parameters and Satisfaction'!$C$13="Pump A", 0.7, IF('Parameters and Satisfaction'!$C$13 = "Pump B", 0.72, 0.65))</f>
        <v>1250914.8365237825</v>
      </c>
      <c r="O361" s="118">
        <f>I361/IF('Parameters and Satisfaction'!$C$13="Pump A", 0.7, IF('Parameters and Satisfaction'!$C$13 = "Pump B", 0.72, 0.65))</f>
        <v>1742345.6651581256</v>
      </c>
      <c r="P361" s="118">
        <f>J361/IF('Parameters and Satisfaction'!$C$13="Pump A", 0.7, IF('Parameters and Satisfaction'!$C$13 = "Pump B", 0.72, 0.65))</f>
        <v>395166.63835523231</v>
      </c>
      <c r="Q361" s="118">
        <f>K361/IF('Parameters and Satisfaction'!$C$13="Pump A", 0.7, IF('Parameters and Satisfaction'!$C$13 = "Pump B", 0.72, 0.65))</f>
        <v>995865.93206662242</v>
      </c>
      <c r="R361" s="118">
        <f>L361/IF('Parameters and Satisfaction'!$C$13="Pump A", 0.7, IF('Parameters and Satisfaction'!$C$13 = "Pump B", 0.72, 0.65))</f>
        <v>0</v>
      </c>
      <c r="S361" s="118"/>
      <c r="T361" s="118">
        <f>N361+$F$47+IF('Parameters and Satisfaction'!$C$19="Ozone", 'Filtration System'!AA325*1000000, 0)</f>
        <v>5938414.8365237825</v>
      </c>
      <c r="U361" s="118">
        <f>O361+$F$47+IF('Parameters and Satisfaction'!$C$19="Ozone", 'Filtration System'!AB325*1000000, 0)</f>
        <v>6429845.6651581256</v>
      </c>
      <c r="V361" s="118">
        <f>P361+$F$47+IF('Parameters and Satisfaction'!$C$19="Ozone", 'Filtration System'!AC325*1000000, 0)</f>
        <v>5082666.6383552328</v>
      </c>
      <c r="W361" s="118">
        <f>Q361+$F$47+IF('Parameters and Satisfaction'!$C$19="Ozone", 'Filtration System'!AD325*1000000, 0)</f>
        <v>5683365.9320666222</v>
      </c>
      <c r="X361" s="118">
        <f>R361+$F$47+IF('Parameters and Satisfaction'!$C$19="Ozone", 'Filtration System'!AE325*1000000, 0)</f>
        <v>4687500</v>
      </c>
      <c r="Y361" s="118"/>
      <c r="Z361" s="118">
        <f t="shared" si="47"/>
        <v>0.42417248832312732</v>
      </c>
      <c r="AA361" s="118">
        <f t="shared" si="48"/>
        <v>0.45927469036843754</v>
      </c>
      <c r="AB361" s="118">
        <f t="shared" si="49"/>
        <v>0.36304761702537375</v>
      </c>
      <c r="AC361" s="118">
        <f t="shared" si="50"/>
        <v>0.40595470943333017</v>
      </c>
      <c r="AD361" s="118">
        <f t="shared" si="51"/>
        <v>0.33482142857142855</v>
      </c>
      <c r="AE361" s="118"/>
      <c r="AF361" s="118"/>
      <c r="AG361" s="118"/>
      <c r="AK361">
        <f t="shared" si="54"/>
        <v>15079680.000000002</v>
      </c>
      <c r="AL361">
        <f t="shared" si="54"/>
        <v>15079680.000000002</v>
      </c>
      <c r="AM361">
        <f t="shared" si="54"/>
        <v>15079680.000000002</v>
      </c>
      <c r="AN361">
        <f t="shared" si="54"/>
        <v>15079680.000000002</v>
      </c>
      <c r="AO361">
        <f t="shared" si="54"/>
        <v>15079680.000000002</v>
      </c>
    </row>
    <row r="362" spans="1:41">
      <c r="A362" s="185">
        <f>'Water Stuff'!F296</f>
        <v>44853</v>
      </c>
      <c r="B362" s="118">
        <f>'Filtration System'!B326</f>
        <v>9240</v>
      </c>
      <c r="C362" s="118">
        <f>'Filtration System'!C326</f>
        <v>120</v>
      </c>
      <c r="D362" s="118">
        <f>'Filtration System'!D326</f>
        <v>6611.2048059199933</v>
      </c>
      <c r="E362" s="118">
        <f>'Filtration System'!E326</f>
        <v>0</v>
      </c>
      <c r="F362" s="118">
        <f>'Filtration System'!F326</f>
        <v>4600.1709026145681</v>
      </c>
      <c r="G362" s="118"/>
      <c r="H362" s="118">
        <f>B362/1000*(1000*9.81*Pumps!$B$14+'Parameters and Satisfaction'!$B$27)</f>
        <v>2476811.3763170894</v>
      </c>
      <c r="I362" s="118">
        <f>C362/1000*(1000*9.81*Pumps!$B$14+'Parameters and Satisfaction'!$B$27)</f>
        <v>32166.381510611547</v>
      </c>
      <c r="J362" s="118">
        <f>D362/1000*(1000*9.81*Pumps!$B$14+'Parameters and Satisfaction'!$B$27)</f>
        <v>1772154.4669334257</v>
      </c>
      <c r="K362" s="118">
        <f>E362/1000*(1000*9.81*Pumps!$B$14+'Parameters and Satisfaction'!$B$27)</f>
        <v>0</v>
      </c>
      <c r="L362" s="118">
        <f>F362/1000*(1000*9.81*Pumps!$B$14+'Parameters and Satisfaction'!$B$27)</f>
        <v>1233090.4355626206</v>
      </c>
      <c r="M362" s="118"/>
      <c r="N362" s="118">
        <f>H362/IF('Parameters and Satisfaction'!$C$13="Pump A", 0.7, IF('Parameters and Satisfaction'!$C$13 = "Pump B", 0.72, 0.65))</f>
        <v>3440015.8004404022</v>
      </c>
      <c r="O362" s="118">
        <f>I362/IF('Parameters and Satisfaction'!$C$13="Pump A", 0.7, IF('Parameters and Satisfaction'!$C$13 = "Pump B", 0.72, 0.65))</f>
        <v>44675.529875849374</v>
      </c>
      <c r="P362" s="118">
        <f>J362/IF('Parameters and Satisfaction'!$C$13="Pump A", 0.7, IF('Parameters and Satisfaction'!$C$13 = "Pump B", 0.72, 0.65))</f>
        <v>2461325.6485186471</v>
      </c>
      <c r="Q362" s="118">
        <f>K362/IF('Parameters and Satisfaction'!$C$13="Pump A", 0.7, IF('Parameters and Satisfaction'!$C$13 = "Pump B", 0.72, 0.65))</f>
        <v>0</v>
      </c>
      <c r="R362" s="118">
        <f>L362/IF('Parameters and Satisfaction'!$C$13="Pump A", 0.7, IF('Parameters and Satisfaction'!$C$13 = "Pump B", 0.72, 0.65))</f>
        <v>1712625.6049480843</v>
      </c>
      <c r="S362" s="118"/>
      <c r="T362" s="118">
        <f>N362+$F$47+IF('Parameters and Satisfaction'!$C$19="Ozone", 'Filtration System'!AA326*1000000, 0)</f>
        <v>8127515.8004404027</v>
      </c>
      <c r="U362" s="118">
        <f>O362+$F$47+IF('Parameters and Satisfaction'!$C$19="Ozone", 'Filtration System'!AB326*1000000, 0)</f>
        <v>4732175.5298758494</v>
      </c>
      <c r="V362" s="118">
        <f>P362+$F$47+IF('Parameters and Satisfaction'!$C$19="Ozone", 'Filtration System'!AC326*1000000, 0)</f>
        <v>7148825.6485186471</v>
      </c>
      <c r="W362" s="118">
        <f>Q362+$F$47+IF('Parameters and Satisfaction'!$C$19="Ozone", 'Filtration System'!AD326*1000000, 0)</f>
        <v>4687500</v>
      </c>
      <c r="X362" s="118">
        <f>R362+$F$47+IF('Parameters and Satisfaction'!$C$19="Ozone", 'Filtration System'!AE326*1000000, 0)</f>
        <v>6400125.6049480848</v>
      </c>
      <c r="Y362" s="118"/>
      <c r="Z362" s="118">
        <f t="shared" si="47"/>
        <v>0.58053684288860019</v>
      </c>
      <c r="AA362" s="118">
        <f t="shared" si="48"/>
        <v>0.33801253784827495</v>
      </c>
      <c r="AB362" s="118">
        <f t="shared" si="49"/>
        <v>0.51063040346561761</v>
      </c>
      <c r="AC362" s="118">
        <f t="shared" si="50"/>
        <v>0.33482142857142855</v>
      </c>
      <c r="AD362" s="118">
        <f t="shared" si="51"/>
        <v>0.45715182892486322</v>
      </c>
      <c r="AE362" s="118"/>
      <c r="AF362" s="118"/>
      <c r="AG362" s="118"/>
      <c r="AK362">
        <f t="shared" si="54"/>
        <v>15079680.000000002</v>
      </c>
      <c r="AL362">
        <f t="shared" si="54"/>
        <v>15079680.000000002</v>
      </c>
      <c r="AM362">
        <f t="shared" si="54"/>
        <v>15079680.000000002</v>
      </c>
      <c r="AN362">
        <f t="shared" si="54"/>
        <v>15079680.000000002</v>
      </c>
      <c r="AO362">
        <f t="shared" si="54"/>
        <v>15079680.000000002</v>
      </c>
    </row>
    <row r="363" spans="1:41">
      <c r="A363" s="185">
        <f>'Water Stuff'!F297</f>
        <v>44854</v>
      </c>
      <c r="B363" s="118">
        <f>'Filtration System'!B327</f>
        <v>2160</v>
      </c>
      <c r="C363" s="118">
        <f>'Filtration System'!C327</f>
        <v>2039.9999999999995</v>
      </c>
      <c r="D363" s="118">
        <f>'Filtration System'!D327</f>
        <v>0</v>
      </c>
      <c r="E363" s="118">
        <f>'Filtration System'!E327</f>
        <v>0</v>
      </c>
      <c r="F363" s="118">
        <f>'Filtration System'!F327</f>
        <v>1761.9583513563207</v>
      </c>
      <c r="G363" s="118"/>
      <c r="H363" s="118">
        <f>B363/1000*(1000*9.81*Pumps!$B$14+'Parameters and Satisfaction'!$B$27)</f>
        <v>578994.86719100794</v>
      </c>
      <c r="I363" s="118">
        <f>C363/1000*(1000*9.81*Pumps!$B$14+'Parameters and Satisfaction'!$B$27)</f>
        <v>546828.4856803962</v>
      </c>
      <c r="J363" s="118">
        <f>D363/1000*(1000*9.81*Pumps!$B$14+'Parameters and Satisfaction'!$B$27)</f>
        <v>0</v>
      </c>
      <c r="K363" s="118">
        <f>E363/1000*(1000*9.81*Pumps!$B$14+'Parameters and Satisfaction'!$B$27)</f>
        <v>0</v>
      </c>
      <c r="L363" s="118">
        <f>F363/1000*(1000*9.81*Pumps!$B$14+'Parameters and Satisfaction'!$B$27)</f>
        <v>472298.53779612965</v>
      </c>
      <c r="M363" s="118"/>
      <c r="N363" s="118">
        <f>H363/IF('Parameters and Satisfaction'!$C$13="Pump A", 0.7, IF('Parameters and Satisfaction'!$C$13 = "Pump B", 0.72, 0.65))</f>
        <v>804159.53776528884</v>
      </c>
      <c r="O363" s="118">
        <f>I363/IF('Parameters and Satisfaction'!$C$13="Pump A", 0.7, IF('Parameters and Satisfaction'!$C$13 = "Pump B", 0.72, 0.65))</f>
        <v>759484.00788943924</v>
      </c>
      <c r="P363" s="118">
        <f>J363/IF('Parameters and Satisfaction'!$C$13="Pump A", 0.7, IF('Parameters and Satisfaction'!$C$13 = "Pump B", 0.72, 0.65))</f>
        <v>0</v>
      </c>
      <c r="Q363" s="118">
        <f>K363/IF('Parameters and Satisfaction'!$C$13="Pump A", 0.7, IF('Parameters and Satisfaction'!$C$13 = "Pump B", 0.72, 0.65))</f>
        <v>0</v>
      </c>
      <c r="R363" s="118">
        <f>L363/IF('Parameters and Satisfaction'!$C$13="Pump A", 0.7, IF('Parameters and Satisfaction'!$C$13 = "Pump B", 0.72, 0.65))</f>
        <v>655970.19138351339</v>
      </c>
      <c r="S363" s="118"/>
      <c r="T363" s="118">
        <f>N363+$F$47+IF('Parameters and Satisfaction'!$C$19="Ozone", 'Filtration System'!AA327*1000000, 0)</f>
        <v>5491659.5377652887</v>
      </c>
      <c r="U363" s="118">
        <f>O363+$F$47+IF('Parameters and Satisfaction'!$C$19="Ozone", 'Filtration System'!AB327*1000000, 0)</f>
        <v>5446984.0078894394</v>
      </c>
      <c r="V363" s="118">
        <f>P363+$F$47+IF('Parameters and Satisfaction'!$C$19="Ozone", 'Filtration System'!AC327*1000000, 0)</f>
        <v>4687500</v>
      </c>
      <c r="W363" s="118">
        <f>Q363+$F$47+IF('Parameters and Satisfaction'!$C$19="Ozone", 'Filtration System'!AD327*1000000, 0)</f>
        <v>4687500</v>
      </c>
      <c r="X363" s="118">
        <f>R363+$F$47+IF('Parameters and Satisfaction'!$C$19="Ozone", 'Filtration System'!AE327*1000000, 0)</f>
        <v>5343470.1913835136</v>
      </c>
      <c r="Y363" s="118"/>
      <c r="Z363" s="118">
        <f t="shared" si="47"/>
        <v>0.39226139555466349</v>
      </c>
      <c r="AA363" s="118">
        <f t="shared" si="48"/>
        <v>0.38907028627781709</v>
      </c>
      <c r="AB363" s="118">
        <f t="shared" si="49"/>
        <v>0.33482142857142855</v>
      </c>
      <c r="AC363" s="118">
        <f t="shared" si="50"/>
        <v>0.33482142857142855</v>
      </c>
      <c r="AD363" s="118">
        <f t="shared" si="51"/>
        <v>0.38167644224167957</v>
      </c>
      <c r="AE363" s="118"/>
      <c r="AF363" s="118"/>
      <c r="AG363" s="118"/>
      <c r="AK363">
        <f t="shared" si="54"/>
        <v>15079680.000000002</v>
      </c>
      <c r="AL363">
        <f t="shared" si="54"/>
        <v>15079680.000000002</v>
      </c>
      <c r="AM363">
        <f t="shared" si="54"/>
        <v>15079680.000000002</v>
      </c>
      <c r="AN363">
        <f t="shared" si="54"/>
        <v>15079680.000000002</v>
      </c>
      <c r="AO363">
        <f t="shared" si="54"/>
        <v>15079680.000000002</v>
      </c>
    </row>
    <row r="364" spans="1:41">
      <c r="A364" s="185">
        <f>'Water Stuff'!F298</f>
        <v>44855</v>
      </c>
      <c r="B364" s="118">
        <f>'Filtration System'!B328</f>
        <v>8040.0000000000009</v>
      </c>
      <c r="C364" s="118">
        <f>'Filtration System'!C328</f>
        <v>800</v>
      </c>
      <c r="D364" s="118">
        <f>'Filtration System'!D328</f>
        <v>5127.8551023917234</v>
      </c>
      <c r="E364" s="118">
        <f>'Filtration System'!E328</f>
        <v>1537.7489069125613</v>
      </c>
      <c r="F364" s="118">
        <f>'Filtration System'!F328</f>
        <v>5275.7233464764222</v>
      </c>
      <c r="G364" s="118"/>
      <c r="H364" s="118">
        <f>B364/1000*(1000*9.81*Pumps!$B$14+'Parameters and Satisfaction'!$B$27)</f>
        <v>2155147.5612109741</v>
      </c>
      <c r="I364" s="118">
        <f>C364/1000*(1000*9.81*Pumps!$B$14+'Parameters and Satisfaction'!$B$27)</f>
        <v>214442.54340407701</v>
      </c>
      <c r="J364" s="118">
        <f>D364/1000*(1000*9.81*Pumps!$B$14+'Parameters and Satisfaction'!$B$27)</f>
        <v>1374537.8629555686</v>
      </c>
      <c r="K364" s="118">
        <f>E364/1000*(1000*9.81*Pumps!$B$14+'Parameters and Satisfaction'!$B$27)</f>
        <v>412198.4833939611</v>
      </c>
      <c r="L364" s="118">
        <f>F364/1000*(1000*9.81*Pumps!$B$14+'Parameters and Satisfaction'!$B$27)</f>
        <v>1414174.4158933405</v>
      </c>
      <c r="M364" s="118"/>
      <c r="N364" s="118">
        <f>H364/IF('Parameters and Satisfaction'!$C$13="Pump A", 0.7, IF('Parameters and Satisfaction'!$C$13 = "Pump B", 0.72, 0.65))</f>
        <v>2993260.5016819085</v>
      </c>
      <c r="O364" s="118">
        <f>I364/IF('Parameters and Satisfaction'!$C$13="Pump A", 0.7, IF('Parameters and Satisfaction'!$C$13 = "Pump B", 0.72, 0.65))</f>
        <v>297836.86583899584</v>
      </c>
      <c r="P364" s="118">
        <f>J364/IF('Parameters and Satisfaction'!$C$13="Pump A", 0.7, IF('Parameters and Satisfaction'!$C$13 = "Pump B", 0.72, 0.65))</f>
        <v>1909080.3652160675</v>
      </c>
      <c r="Q364" s="118">
        <f>K364/IF('Parameters and Satisfaction'!$C$13="Pump A", 0.7, IF('Parameters and Satisfaction'!$C$13 = "Pump B", 0.72, 0.65))</f>
        <v>572497.89360272372</v>
      </c>
      <c r="R364" s="118">
        <f>L364/IF('Parameters and Satisfaction'!$C$13="Pump A", 0.7, IF('Parameters and Satisfaction'!$C$13 = "Pump B", 0.72, 0.65))</f>
        <v>1964131.1331851953</v>
      </c>
      <c r="S364" s="118"/>
      <c r="T364" s="118">
        <f>N364+$F$47+IF('Parameters and Satisfaction'!$C$19="Ozone", 'Filtration System'!AA328*1000000, 0)</f>
        <v>7680760.501681909</v>
      </c>
      <c r="U364" s="118">
        <f>O364+$F$47+IF('Parameters and Satisfaction'!$C$19="Ozone", 'Filtration System'!AB328*1000000, 0)</f>
        <v>4985336.8658389961</v>
      </c>
      <c r="V364" s="118">
        <f>P364+$F$47+IF('Parameters and Satisfaction'!$C$19="Ozone", 'Filtration System'!AC328*1000000, 0)</f>
        <v>6596580.3652160671</v>
      </c>
      <c r="W364" s="118">
        <f>Q364+$F$47+IF('Parameters and Satisfaction'!$C$19="Ozone", 'Filtration System'!AD328*1000000, 0)</f>
        <v>5259997.8936027233</v>
      </c>
      <c r="X364" s="118">
        <f>R364+$F$47+IF('Parameters and Satisfaction'!$C$19="Ozone", 'Filtration System'!AE328*1000000, 0)</f>
        <v>6651631.1331851948</v>
      </c>
      <c r="Y364" s="118"/>
      <c r="Z364" s="118">
        <f t="shared" si="47"/>
        <v>0.54862575012013637</v>
      </c>
      <c r="AA364" s="118">
        <f t="shared" si="48"/>
        <v>0.35609549041707117</v>
      </c>
      <c r="AB364" s="118">
        <f t="shared" si="49"/>
        <v>0.47118431180114767</v>
      </c>
      <c r="AC364" s="118">
        <f t="shared" si="50"/>
        <v>0.37571413525733738</v>
      </c>
      <c r="AD364" s="118">
        <f t="shared" si="51"/>
        <v>0.4751165095132282</v>
      </c>
      <c r="AE364" s="118"/>
      <c r="AF364" s="118"/>
      <c r="AG364" s="118"/>
      <c r="AK364">
        <f t="shared" ref="AK364:AO374" si="55">$D$64</f>
        <v>15079680.000000002</v>
      </c>
      <c r="AL364">
        <f t="shared" si="55"/>
        <v>15079680.000000002</v>
      </c>
      <c r="AM364">
        <f t="shared" si="55"/>
        <v>15079680.000000002</v>
      </c>
      <c r="AN364">
        <f t="shared" si="55"/>
        <v>15079680.000000002</v>
      </c>
      <c r="AO364">
        <f t="shared" si="55"/>
        <v>15079680.000000002</v>
      </c>
    </row>
    <row r="365" spans="1:41">
      <c r="A365" s="185">
        <f>'Water Stuff'!F299</f>
        <v>44856</v>
      </c>
      <c r="B365" s="118">
        <f>'Filtration System'!B329</f>
        <v>4280</v>
      </c>
      <c r="C365" s="118">
        <f>'Filtration System'!C329</f>
        <v>1960.0000000000002</v>
      </c>
      <c r="D365" s="118">
        <f>'Filtration System'!D329</f>
        <v>2572.6481315765259</v>
      </c>
      <c r="E365" s="118">
        <f>'Filtration System'!E329</f>
        <v>1055.9929816652443</v>
      </c>
      <c r="F365" s="118">
        <f>'Filtration System'!F329</f>
        <v>233.83514677632218</v>
      </c>
      <c r="G365" s="118"/>
      <c r="H365" s="118">
        <f>B365/1000*(1000*9.81*Pumps!$B$14+'Parameters and Satisfaction'!$B$27)</f>
        <v>1147267.6072118119</v>
      </c>
      <c r="I365" s="118">
        <f>C365/1000*(1000*9.81*Pumps!$B$14+'Parameters and Satisfaction'!$B$27)</f>
        <v>525384.23133998865</v>
      </c>
      <c r="J365" s="118">
        <f>D365/1000*(1000*9.81*Pumps!$B$14+'Parameters and Satisfaction'!$B$27)</f>
        <v>689606.51077377086</v>
      </c>
      <c r="K365" s="118">
        <f>E365/1000*(1000*9.81*Pumps!$B$14+'Parameters and Satisfaction'!$B$27)</f>
        <v>283062.27600643726</v>
      </c>
      <c r="L365" s="118">
        <f>F365/1000*(1000*9.81*Pumps!$B$14+'Parameters and Satisfaction'!$B$27)</f>
        <v>62680.254514975226</v>
      </c>
      <c r="M365" s="118"/>
      <c r="N365" s="118">
        <f>H365/IF('Parameters and Satisfaction'!$C$13="Pump A", 0.7, IF('Parameters and Satisfaction'!$C$13 = "Pump B", 0.72, 0.65))</f>
        <v>1593427.2322386277</v>
      </c>
      <c r="O365" s="118">
        <f>I365/IF('Parameters and Satisfaction'!$C$13="Pump A", 0.7, IF('Parameters and Satisfaction'!$C$13 = "Pump B", 0.72, 0.65))</f>
        <v>729700.32130553981</v>
      </c>
      <c r="P365" s="118">
        <f>J365/IF('Parameters and Satisfaction'!$C$13="Pump A", 0.7, IF('Parameters and Satisfaction'!$C$13 = "Pump B", 0.72, 0.65))</f>
        <v>957786.82051912625</v>
      </c>
      <c r="Q365" s="118">
        <f>K365/IF('Parameters and Satisfaction'!$C$13="Pump A", 0.7, IF('Parameters and Satisfaction'!$C$13 = "Pump B", 0.72, 0.65))</f>
        <v>393142.05000894063</v>
      </c>
      <c r="R365" s="118">
        <f>L365/IF('Parameters and Satisfaction'!$C$13="Pump A", 0.7, IF('Parameters and Satisfaction'!$C$13 = "Pump B", 0.72, 0.65))</f>
        <v>87055.909048576708</v>
      </c>
      <c r="S365" s="118"/>
      <c r="T365" s="118">
        <f>N365+$F$47+IF('Parameters and Satisfaction'!$C$19="Ozone", 'Filtration System'!AA329*1000000, 0)</f>
        <v>6280927.232238628</v>
      </c>
      <c r="U365" s="118">
        <f>O365+$F$47+IF('Parameters and Satisfaction'!$C$19="Ozone", 'Filtration System'!AB329*1000000, 0)</f>
        <v>5417200.3213055395</v>
      </c>
      <c r="V365" s="118">
        <f>P365+$F$47+IF('Parameters and Satisfaction'!$C$19="Ozone", 'Filtration System'!AC329*1000000, 0)</f>
        <v>5645286.820519126</v>
      </c>
      <c r="W365" s="118">
        <f>Q365+$F$47+IF('Parameters and Satisfaction'!$C$19="Ozone", 'Filtration System'!AD329*1000000, 0)</f>
        <v>5080642.0500089405</v>
      </c>
      <c r="X365" s="118">
        <f>R365+$F$47+IF('Parameters and Satisfaction'!$C$19="Ozone", 'Filtration System'!AE329*1000000, 0)</f>
        <v>4774555.9090485768</v>
      </c>
      <c r="Y365" s="118"/>
      <c r="Z365" s="118">
        <f t="shared" si="47"/>
        <v>0.44863765944561629</v>
      </c>
      <c r="AA365" s="118">
        <f t="shared" si="48"/>
        <v>0.38694288009325284</v>
      </c>
      <c r="AB365" s="118">
        <f t="shared" si="49"/>
        <v>0.40323477289422327</v>
      </c>
      <c r="AC365" s="118">
        <f t="shared" si="50"/>
        <v>0.36290300357206717</v>
      </c>
      <c r="AD365" s="118">
        <f t="shared" si="51"/>
        <v>0.34103970778918408</v>
      </c>
      <c r="AE365" s="118"/>
      <c r="AF365" s="118"/>
      <c r="AG365" s="118"/>
      <c r="AK365">
        <f t="shared" si="55"/>
        <v>15079680.000000002</v>
      </c>
      <c r="AL365">
        <f t="shared" si="55"/>
        <v>15079680.000000002</v>
      </c>
      <c r="AM365">
        <f t="shared" si="55"/>
        <v>15079680.000000002</v>
      </c>
      <c r="AN365">
        <f t="shared" si="55"/>
        <v>15079680.000000002</v>
      </c>
      <c r="AO365">
        <f t="shared" si="55"/>
        <v>15079680.000000002</v>
      </c>
    </row>
    <row r="366" spans="1:41">
      <c r="A366" s="185">
        <f>'Water Stuff'!F300</f>
        <v>44857</v>
      </c>
      <c r="B366" s="118">
        <f>'Filtration System'!B330</f>
        <v>1880</v>
      </c>
      <c r="C366" s="118">
        <f>'Filtration System'!C330</f>
        <v>0</v>
      </c>
      <c r="D366" s="118">
        <f>'Filtration System'!D330</f>
        <v>600.43247457178097</v>
      </c>
      <c r="E366" s="118">
        <f>'Filtration System'!E330</f>
        <v>0</v>
      </c>
      <c r="F366" s="118">
        <f>'Filtration System'!F330</f>
        <v>0</v>
      </c>
      <c r="G366" s="118"/>
      <c r="H366" s="118">
        <f>B366/1000*(1000*9.81*Pumps!$B$14+'Parameters and Satisfaction'!$B$27)</f>
        <v>503939.97699958092</v>
      </c>
      <c r="I366" s="118">
        <f>C366/1000*(1000*9.81*Pumps!$B$14+'Parameters and Satisfaction'!$B$27)</f>
        <v>0</v>
      </c>
      <c r="J366" s="118">
        <f>D366/1000*(1000*9.81*Pumps!$B$14+'Parameters and Satisfaction'!$B$27)</f>
        <v>160947.83373697061</v>
      </c>
      <c r="K366" s="118">
        <f>E366/1000*(1000*9.81*Pumps!$B$14+'Parameters and Satisfaction'!$B$27)</f>
        <v>0</v>
      </c>
      <c r="L366" s="118">
        <f>F366/1000*(1000*9.81*Pumps!$B$14+'Parameters and Satisfaction'!$B$27)</f>
        <v>0</v>
      </c>
      <c r="M366" s="118"/>
      <c r="N366" s="118">
        <f>H366/IF('Parameters and Satisfaction'!$C$13="Pump A", 0.7, IF('Parameters and Satisfaction'!$C$13 = "Pump B", 0.72, 0.65))</f>
        <v>699916.63472164015</v>
      </c>
      <c r="O366" s="118">
        <f>I366/IF('Parameters and Satisfaction'!$C$13="Pump A", 0.7, IF('Parameters and Satisfaction'!$C$13 = "Pump B", 0.72, 0.65))</f>
        <v>0</v>
      </c>
      <c r="P366" s="118">
        <f>J366/IF('Parameters and Satisfaction'!$C$13="Pump A", 0.7, IF('Parameters and Satisfaction'!$C$13 = "Pump B", 0.72, 0.65))</f>
        <v>223538.65796801474</v>
      </c>
      <c r="Q366" s="118">
        <f>K366/IF('Parameters and Satisfaction'!$C$13="Pump A", 0.7, IF('Parameters and Satisfaction'!$C$13 = "Pump B", 0.72, 0.65))</f>
        <v>0</v>
      </c>
      <c r="R366" s="118">
        <f>L366/IF('Parameters and Satisfaction'!$C$13="Pump A", 0.7, IF('Parameters and Satisfaction'!$C$13 = "Pump B", 0.72, 0.65))</f>
        <v>0</v>
      </c>
      <c r="S366" s="118"/>
      <c r="T366" s="118">
        <f>N366+$F$47+IF('Parameters and Satisfaction'!$C$19="Ozone", 'Filtration System'!AA330*1000000, 0)</f>
        <v>5387416.6347216405</v>
      </c>
      <c r="U366" s="118">
        <f>O366+$F$47+IF('Parameters and Satisfaction'!$C$19="Ozone", 'Filtration System'!AB330*1000000, 0)</f>
        <v>4687500</v>
      </c>
      <c r="V366" s="118">
        <f>P366+$F$47+IF('Parameters and Satisfaction'!$C$19="Ozone", 'Filtration System'!AC330*1000000, 0)</f>
        <v>4911038.6579680145</v>
      </c>
      <c r="W366" s="118">
        <f>Q366+$F$47+IF('Parameters and Satisfaction'!$C$19="Ozone", 'Filtration System'!AD330*1000000, 0)</f>
        <v>4687500</v>
      </c>
      <c r="X366" s="118">
        <f>R366+$F$47+IF('Parameters and Satisfaction'!$C$19="Ozone", 'Filtration System'!AE330*1000000, 0)</f>
        <v>4687500</v>
      </c>
      <c r="Y366" s="118"/>
      <c r="Z366" s="118">
        <f t="shared" si="47"/>
        <v>0.38481547390868859</v>
      </c>
      <c r="AA366" s="118">
        <f t="shared" si="48"/>
        <v>0.33482142857142855</v>
      </c>
      <c r="AB366" s="118">
        <f t="shared" si="49"/>
        <v>0.35078847556914389</v>
      </c>
      <c r="AC366" s="118">
        <f t="shared" si="50"/>
        <v>0.33482142857142855</v>
      </c>
      <c r="AD366" s="118">
        <f t="shared" si="51"/>
        <v>0.33482142857142855</v>
      </c>
      <c r="AE366" s="118"/>
      <c r="AF366" s="118"/>
      <c r="AG366" s="118"/>
      <c r="AK366">
        <f t="shared" si="55"/>
        <v>15079680.000000002</v>
      </c>
      <c r="AL366">
        <f t="shared" si="55"/>
        <v>15079680.000000002</v>
      </c>
      <c r="AM366">
        <f t="shared" si="55"/>
        <v>15079680.000000002</v>
      </c>
      <c r="AN366">
        <f t="shared" si="55"/>
        <v>15079680.000000002</v>
      </c>
      <c r="AO366">
        <f t="shared" si="55"/>
        <v>15079680.000000002</v>
      </c>
    </row>
    <row r="367" spans="1:41">
      <c r="A367" s="185">
        <f>'Water Stuff'!F301</f>
        <v>44858</v>
      </c>
      <c r="B367" s="118">
        <f>'Filtration System'!B331</f>
        <v>320</v>
      </c>
      <c r="C367" s="118">
        <f>'Filtration System'!C331</f>
        <v>1160</v>
      </c>
      <c r="D367" s="118">
        <f>'Filtration System'!D331</f>
        <v>1947.4264062088889</v>
      </c>
      <c r="E367" s="118">
        <f>'Filtration System'!E331</f>
        <v>0</v>
      </c>
      <c r="F367" s="118">
        <f>'Filtration System'!F331</f>
        <v>2624.531632569564</v>
      </c>
      <c r="G367" s="118"/>
      <c r="H367" s="118">
        <f>B367/1000*(1000*9.81*Pumps!$B$14+'Parameters and Satisfaction'!$B$27)</f>
        <v>85777.017361630802</v>
      </c>
      <c r="I367" s="118">
        <f>C367/1000*(1000*9.81*Pumps!$B$14+'Parameters and Satisfaction'!$B$27)</f>
        <v>310941.68793591164</v>
      </c>
      <c r="J367" s="118">
        <f>D367/1000*(1000*9.81*Pumps!$B$14+'Parameters and Satisfaction'!$B$27)</f>
        <v>522013.83954961918</v>
      </c>
      <c r="K367" s="118">
        <f>E367/1000*(1000*9.81*Pumps!$B$14+'Parameters and Satisfaction'!$B$27)</f>
        <v>0</v>
      </c>
      <c r="L367" s="118">
        <f>F367/1000*(1000*9.81*Pumps!$B$14+'Parameters and Satisfaction'!$B$27)</f>
        <v>703514.04816583975</v>
      </c>
      <c r="M367" s="118"/>
      <c r="N367" s="118">
        <f>H367/IF('Parameters and Satisfaction'!$C$13="Pump A", 0.7, IF('Parameters and Satisfaction'!$C$13 = "Pump B", 0.72, 0.65))</f>
        <v>119134.74633559833</v>
      </c>
      <c r="O367" s="118">
        <f>I367/IF('Parameters and Satisfaction'!$C$13="Pump A", 0.7, IF('Parameters and Satisfaction'!$C$13 = "Pump B", 0.72, 0.65))</f>
        <v>431863.45546654396</v>
      </c>
      <c r="P367" s="118">
        <f>J367/IF('Parameters and Satisfaction'!$C$13="Pump A", 0.7, IF('Parameters and Satisfaction'!$C$13 = "Pump B", 0.72, 0.65))</f>
        <v>725019.22159669339</v>
      </c>
      <c r="Q367" s="118">
        <f>K367/IF('Parameters and Satisfaction'!$C$13="Pump A", 0.7, IF('Parameters and Satisfaction'!$C$13 = "Pump B", 0.72, 0.65))</f>
        <v>0</v>
      </c>
      <c r="R367" s="118">
        <f>L367/IF('Parameters and Satisfaction'!$C$13="Pump A", 0.7, IF('Parameters and Satisfaction'!$C$13 = "Pump B", 0.72, 0.65))</f>
        <v>977102.84467477747</v>
      </c>
      <c r="S367" s="118"/>
      <c r="T367" s="118">
        <f>N367+$F$47+IF('Parameters and Satisfaction'!$C$19="Ozone", 'Filtration System'!AA331*1000000, 0)</f>
        <v>4806634.7463355986</v>
      </c>
      <c r="U367" s="118">
        <f>O367+$F$47+IF('Parameters and Satisfaction'!$C$19="Ozone", 'Filtration System'!AB331*1000000, 0)</f>
        <v>5119363.4554665443</v>
      </c>
      <c r="V367" s="118">
        <f>P367+$F$47+IF('Parameters and Satisfaction'!$C$19="Ozone", 'Filtration System'!AC331*1000000, 0)</f>
        <v>5412519.2215966936</v>
      </c>
      <c r="W367" s="118">
        <f>Q367+$F$47+IF('Parameters and Satisfaction'!$C$19="Ozone", 'Filtration System'!AD331*1000000, 0)</f>
        <v>4687500</v>
      </c>
      <c r="X367" s="118">
        <f>R367+$F$47+IF('Parameters and Satisfaction'!$C$19="Ozone", 'Filtration System'!AE331*1000000, 0)</f>
        <v>5664602.8446747772</v>
      </c>
      <c r="Y367" s="118"/>
      <c r="Z367" s="118">
        <f t="shared" si="47"/>
        <v>0.34333105330968561</v>
      </c>
      <c r="AA367" s="118">
        <f t="shared" si="48"/>
        <v>0.36566881824761033</v>
      </c>
      <c r="AB367" s="118">
        <f t="shared" si="49"/>
        <v>0.38660851582833528</v>
      </c>
      <c r="AC367" s="118">
        <f t="shared" si="50"/>
        <v>0.33482142857142855</v>
      </c>
      <c r="AD367" s="118">
        <f t="shared" si="51"/>
        <v>0.40461448890534124</v>
      </c>
      <c r="AE367" s="118"/>
      <c r="AF367" s="118"/>
      <c r="AG367" s="118"/>
      <c r="AK367">
        <f t="shared" si="55"/>
        <v>15079680.000000002</v>
      </c>
      <c r="AL367">
        <f t="shared" si="55"/>
        <v>15079680.000000002</v>
      </c>
      <c r="AM367">
        <f t="shared" si="55"/>
        <v>15079680.000000002</v>
      </c>
      <c r="AN367">
        <f t="shared" si="55"/>
        <v>15079680.000000002</v>
      </c>
      <c r="AO367">
        <f t="shared" si="55"/>
        <v>15079680.000000002</v>
      </c>
    </row>
    <row r="368" spans="1:41">
      <c r="A368" s="185">
        <f>'Water Stuff'!F302</f>
        <v>44859</v>
      </c>
      <c r="B368" s="118">
        <f>'Filtration System'!B332</f>
        <v>4360</v>
      </c>
      <c r="C368" s="118">
        <f>'Filtration System'!C332</f>
        <v>800</v>
      </c>
      <c r="D368" s="118">
        <f>'Filtration System'!D332</f>
        <v>5084.3879622084696</v>
      </c>
      <c r="E368" s="118">
        <f>'Filtration System'!E332</f>
        <v>0</v>
      </c>
      <c r="F368" s="118">
        <f>'Filtration System'!F332</f>
        <v>3039.9347211014801</v>
      </c>
      <c r="G368" s="118"/>
      <c r="H368" s="118">
        <f>B368/1000*(1000*9.81*Pumps!$B$14+'Parameters and Satisfaction'!$B$27)</f>
        <v>1168711.8615522196</v>
      </c>
      <c r="I368" s="118">
        <f>C368/1000*(1000*9.81*Pumps!$B$14+'Parameters and Satisfaction'!$B$27)</f>
        <v>214442.54340407701</v>
      </c>
      <c r="J368" s="118">
        <f>D368/1000*(1000*9.81*Pumps!$B$14+'Parameters and Satisfaction'!$B$27)</f>
        <v>1362886.3578363205</v>
      </c>
      <c r="K368" s="118">
        <f>E368/1000*(1000*9.81*Pumps!$B$14+'Parameters and Satisfaction'!$B$27)</f>
        <v>0</v>
      </c>
      <c r="L368" s="118">
        <f>F368/1000*(1000*9.81*Pumps!$B$14+'Parameters and Satisfaction'!$B$27)</f>
        <v>814864.16671920603</v>
      </c>
      <c r="M368" s="118"/>
      <c r="N368" s="118">
        <f>H368/IF('Parameters and Satisfaction'!$C$13="Pump A", 0.7, IF('Parameters and Satisfaction'!$C$13 = "Pump B", 0.72, 0.65))</f>
        <v>1623210.9188225274</v>
      </c>
      <c r="O368" s="118">
        <f>I368/IF('Parameters and Satisfaction'!$C$13="Pump A", 0.7, IF('Parameters and Satisfaction'!$C$13 = "Pump B", 0.72, 0.65))</f>
        <v>297836.86583899584</v>
      </c>
      <c r="P368" s="118">
        <f>J368/IF('Parameters and Satisfaction'!$C$13="Pump A", 0.7, IF('Parameters and Satisfaction'!$C$13 = "Pump B", 0.72, 0.65))</f>
        <v>1892897.7192171118</v>
      </c>
      <c r="Q368" s="118">
        <f>K368/IF('Parameters and Satisfaction'!$C$13="Pump A", 0.7, IF('Parameters and Satisfaction'!$C$13 = "Pump B", 0.72, 0.65))</f>
        <v>0</v>
      </c>
      <c r="R368" s="118">
        <f>L368/IF('Parameters and Satisfaction'!$C$13="Pump A", 0.7, IF('Parameters and Satisfaction'!$C$13 = "Pump B", 0.72, 0.65))</f>
        <v>1131755.7871100083</v>
      </c>
      <c r="S368" s="118"/>
      <c r="T368" s="118">
        <f>N368+$F$47+IF('Parameters and Satisfaction'!$C$19="Ozone", 'Filtration System'!AA332*1000000, 0)</f>
        <v>6310710.9188225269</v>
      </c>
      <c r="U368" s="118">
        <f>O368+$F$47+IF('Parameters and Satisfaction'!$C$19="Ozone", 'Filtration System'!AB332*1000000, 0)</f>
        <v>4985336.8658389961</v>
      </c>
      <c r="V368" s="118">
        <f>P368+$F$47+IF('Parameters and Satisfaction'!$C$19="Ozone", 'Filtration System'!AC332*1000000, 0)</f>
        <v>6580397.7192171123</v>
      </c>
      <c r="W368" s="118">
        <f>Q368+$F$47+IF('Parameters and Satisfaction'!$C$19="Ozone", 'Filtration System'!AD332*1000000, 0)</f>
        <v>4687500</v>
      </c>
      <c r="X368" s="118">
        <f>R368+$F$47+IF('Parameters and Satisfaction'!$C$19="Ozone", 'Filtration System'!AE332*1000000, 0)</f>
        <v>5819255.7871100083</v>
      </c>
      <c r="Y368" s="118"/>
      <c r="Z368" s="118">
        <f t="shared" si="47"/>
        <v>0.45076506563018048</v>
      </c>
      <c r="AA368" s="118">
        <f t="shared" si="48"/>
        <v>0.35609549041707117</v>
      </c>
      <c r="AB368" s="118">
        <f t="shared" si="49"/>
        <v>0.47002840851550803</v>
      </c>
      <c r="AC368" s="118">
        <f t="shared" si="50"/>
        <v>0.33482142857142855</v>
      </c>
      <c r="AD368" s="118">
        <f t="shared" si="51"/>
        <v>0.41566112765071489</v>
      </c>
      <c r="AE368" s="118"/>
      <c r="AF368" s="118"/>
      <c r="AG368" s="118"/>
      <c r="AK368">
        <f t="shared" si="55"/>
        <v>15079680.000000002</v>
      </c>
      <c r="AL368">
        <f t="shared" si="55"/>
        <v>15079680.000000002</v>
      </c>
      <c r="AM368">
        <f t="shared" si="55"/>
        <v>15079680.000000002</v>
      </c>
      <c r="AN368">
        <f t="shared" si="55"/>
        <v>15079680.000000002</v>
      </c>
      <c r="AO368">
        <f t="shared" si="55"/>
        <v>15079680.000000002</v>
      </c>
    </row>
    <row r="369" spans="1:41">
      <c r="A369" s="185">
        <f>'Water Stuff'!F303</f>
        <v>44860</v>
      </c>
      <c r="B369" s="118">
        <f>'Filtration System'!B333</f>
        <v>480</v>
      </c>
      <c r="C369" s="118">
        <f>'Filtration System'!C333</f>
        <v>0</v>
      </c>
      <c r="D369" s="118">
        <f>'Filtration System'!D333</f>
        <v>0</v>
      </c>
      <c r="E369" s="118">
        <f>'Filtration System'!E333</f>
        <v>877.22533932182159</v>
      </c>
      <c r="F369" s="118">
        <f>'Filtration System'!F333</f>
        <v>703.82031763552459</v>
      </c>
      <c r="G369" s="118"/>
      <c r="H369" s="118">
        <f>B369/1000*(1000*9.81*Pumps!$B$14+'Parameters and Satisfaction'!$B$27)</f>
        <v>128665.52604244619</v>
      </c>
      <c r="I369" s="118">
        <f>C369/1000*(1000*9.81*Pumps!$B$14+'Parameters and Satisfaction'!$B$27)</f>
        <v>0</v>
      </c>
      <c r="J369" s="118">
        <f>D369/1000*(1000*9.81*Pumps!$B$14+'Parameters and Satisfaction'!$B$27)</f>
        <v>0</v>
      </c>
      <c r="K369" s="118">
        <f>E369/1000*(1000*9.81*Pumps!$B$14+'Parameters and Satisfaction'!$B$27)</f>
        <v>235143.04112834486</v>
      </c>
      <c r="L369" s="118">
        <f>F369/1000*(1000*9.81*Pumps!$B$14+'Parameters and Satisfaction'!$B$27)</f>
        <v>188661.27376653402</v>
      </c>
      <c r="M369" s="118"/>
      <c r="N369" s="118">
        <f>H369/IF('Parameters and Satisfaction'!$C$13="Pump A", 0.7, IF('Parameters and Satisfaction'!$C$13 = "Pump B", 0.72, 0.65))</f>
        <v>178702.11950339749</v>
      </c>
      <c r="O369" s="118">
        <f>I369/IF('Parameters and Satisfaction'!$C$13="Pump A", 0.7, IF('Parameters and Satisfaction'!$C$13 = "Pump B", 0.72, 0.65))</f>
        <v>0</v>
      </c>
      <c r="P369" s="118">
        <f>J369/IF('Parameters and Satisfaction'!$C$13="Pump A", 0.7, IF('Parameters and Satisfaction'!$C$13 = "Pump B", 0.72, 0.65))</f>
        <v>0</v>
      </c>
      <c r="Q369" s="118">
        <f>K369/IF('Parameters and Satisfaction'!$C$13="Pump A", 0.7, IF('Parameters and Satisfaction'!$C$13 = "Pump B", 0.72, 0.65))</f>
        <v>326587.5571227012</v>
      </c>
      <c r="R369" s="118">
        <f>L369/IF('Parameters and Satisfaction'!$C$13="Pump A", 0.7, IF('Parameters and Satisfaction'!$C$13 = "Pump B", 0.72, 0.65))</f>
        <v>262029.54689796394</v>
      </c>
      <c r="S369" s="118"/>
      <c r="T369" s="118">
        <f>N369+$F$47+IF('Parameters and Satisfaction'!$C$19="Ozone", 'Filtration System'!AA333*1000000, 0)</f>
        <v>4866202.1195033975</v>
      </c>
      <c r="U369" s="118">
        <f>O369+$F$47+IF('Parameters and Satisfaction'!$C$19="Ozone", 'Filtration System'!AB333*1000000, 0)</f>
        <v>4687500</v>
      </c>
      <c r="V369" s="118">
        <f>P369+$F$47+IF('Parameters and Satisfaction'!$C$19="Ozone", 'Filtration System'!AC333*1000000, 0)</f>
        <v>4687500</v>
      </c>
      <c r="W369" s="118">
        <f>Q369+$F$47+IF('Parameters and Satisfaction'!$C$19="Ozone", 'Filtration System'!AD333*1000000, 0)</f>
        <v>5014087.5571227008</v>
      </c>
      <c r="X369" s="118">
        <f>R369+$F$47+IF('Parameters and Satisfaction'!$C$19="Ozone", 'Filtration System'!AE333*1000000, 0)</f>
        <v>4949529.5468979636</v>
      </c>
      <c r="Y369" s="118"/>
      <c r="Z369" s="118">
        <f t="shared" si="47"/>
        <v>0.34758586567881411</v>
      </c>
      <c r="AA369" s="118">
        <f t="shared" si="48"/>
        <v>0.33482142857142855</v>
      </c>
      <c r="AB369" s="118">
        <f t="shared" si="49"/>
        <v>0.33482142857142855</v>
      </c>
      <c r="AC369" s="118">
        <f t="shared" si="50"/>
        <v>0.35814911122305004</v>
      </c>
      <c r="AD369" s="118">
        <f t="shared" si="51"/>
        <v>0.35353782477842599</v>
      </c>
      <c r="AE369" s="118"/>
      <c r="AF369" s="118"/>
      <c r="AG369" s="118"/>
      <c r="AK369">
        <f t="shared" si="55"/>
        <v>15079680.000000002</v>
      </c>
      <c r="AL369">
        <f t="shared" si="55"/>
        <v>15079680.000000002</v>
      </c>
      <c r="AM369">
        <f t="shared" si="55"/>
        <v>15079680.000000002</v>
      </c>
      <c r="AN369">
        <f t="shared" si="55"/>
        <v>15079680.000000002</v>
      </c>
      <c r="AO369">
        <f t="shared" si="55"/>
        <v>15079680.000000002</v>
      </c>
    </row>
    <row r="370" spans="1:41">
      <c r="A370" s="185">
        <f>'Water Stuff'!F304</f>
        <v>44861</v>
      </c>
      <c r="B370" s="118">
        <f>'Filtration System'!B334</f>
        <v>6720</v>
      </c>
      <c r="C370" s="118">
        <f>'Filtration System'!C334</f>
        <v>1360</v>
      </c>
      <c r="D370" s="118">
        <f>'Filtration System'!D334</f>
        <v>5453.7974251482783</v>
      </c>
      <c r="E370" s="118">
        <f>'Filtration System'!E334</f>
        <v>585.13183523741395</v>
      </c>
      <c r="F370" s="118">
        <f>'Filtration System'!F334</f>
        <v>6644.4557291883657</v>
      </c>
      <c r="G370" s="118"/>
      <c r="H370" s="118">
        <f>B370/1000*(1000*9.81*Pumps!$B$14+'Parameters and Satisfaction'!$B$27)</f>
        <v>1801317.3645942467</v>
      </c>
      <c r="I370" s="118">
        <f>C370/1000*(1000*9.81*Pumps!$B$14+'Parameters and Satisfaction'!$B$27)</f>
        <v>364552.32378693094</v>
      </c>
      <c r="J370" s="118">
        <f>D370/1000*(1000*9.81*Pumps!$B$14+'Parameters and Satisfaction'!$B$27)</f>
        <v>1461907.7388242537</v>
      </c>
      <c r="K370" s="118">
        <f>E370/1000*(1000*9.81*Pumps!$B$14+'Parameters and Satisfaction'!$B$27)</f>
        <v>156846.44871875798</v>
      </c>
      <c r="L370" s="118">
        <f>F370/1000*(1000*9.81*Pumps!$B$14+'Parameters and Satisfaction'!$B$27)</f>
        <v>1781067.4826286801</v>
      </c>
      <c r="M370" s="118"/>
      <c r="N370" s="118">
        <f>H370/IF('Parameters and Satisfaction'!$C$13="Pump A", 0.7, IF('Parameters and Satisfaction'!$C$13 = "Pump B", 0.72, 0.65))</f>
        <v>2501829.6730475649</v>
      </c>
      <c r="O370" s="118">
        <f>I370/IF('Parameters and Satisfaction'!$C$13="Pump A", 0.7, IF('Parameters and Satisfaction'!$C$13 = "Pump B", 0.72, 0.65))</f>
        <v>506322.671926293</v>
      </c>
      <c r="P370" s="118">
        <f>J370/IF('Parameters and Satisfaction'!$C$13="Pump A", 0.7, IF('Parameters and Satisfaction'!$C$13 = "Pump B", 0.72, 0.65))</f>
        <v>2030427.4150336857</v>
      </c>
      <c r="Q370" s="118">
        <f>K370/IF('Parameters and Satisfaction'!$C$13="Pump A", 0.7, IF('Parameters and Satisfaction'!$C$13 = "Pump B", 0.72, 0.65))</f>
        <v>217842.28988716388</v>
      </c>
      <c r="R370" s="118">
        <f>L370/IF('Parameters and Satisfaction'!$C$13="Pump A", 0.7, IF('Parameters and Satisfaction'!$C$13 = "Pump B", 0.72, 0.65))</f>
        <v>2473704.8369842782</v>
      </c>
      <c r="S370" s="118"/>
      <c r="T370" s="118">
        <f>N370+$F$47+IF('Parameters and Satisfaction'!$C$19="Ozone", 'Filtration System'!AA334*1000000, 0)</f>
        <v>7189329.6730475649</v>
      </c>
      <c r="U370" s="118">
        <f>O370+$F$47+IF('Parameters and Satisfaction'!$C$19="Ozone", 'Filtration System'!AB334*1000000, 0)</f>
        <v>5193822.6719262926</v>
      </c>
      <c r="V370" s="118">
        <f>P370+$F$47+IF('Parameters and Satisfaction'!$C$19="Ozone", 'Filtration System'!AC334*1000000, 0)</f>
        <v>6717927.415033686</v>
      </c>
      <c r="W370" s="118">
        <f>Q370+$F$47+IF('Parameters and Satisfaction'!$C$19="Ozone", 'Filtration System'!AD334*1000000, 0)</f>
        <v>4905342.2898871638</v>
      </c>
      <c r="X370" s="118">
        <f>R370+$F$47+IF('Parameters and Satisfaction'!$C$19="Ozone", 'Filtration System'!AE334*1000000, 0)</f>
        <v>7161204.8369842786</v>
      </c>
      <c r="Y370" s="118"/>
      <c r="Z370" s="118">
        <f t="shared" si="47"/>
        <v>0.51352354807482603</v>
      </c>
      <c r="AA370" s="118">
        <f t="shared" si="48"/>
        <v>0.37098733370902087</v>
      </c>
      <c r="AB370" s="118">
        <f t="shared" si="49"/>
        <v>0.47985195821669185</v>
      </c>
      <c r="AC370" s="118">
        <f t="shared" si="50"/>
        <v>0.35038159213479741</v>
      </c>
      <c r="AD370" s="118">
        <f t="shared" si="51"/>
        <v>0.51151463121316276</v>
      </c>
      <c r="AE370" s="118"/>
      <c r="AF370" s="118"/>
      <c r="AG370" s="118"/>
      <c r="AK370">
        <f t="shared" si="55"/>
        <v>15079680.000000002</v>
      </c>
      <c r="AL370">
        <f t="shared" si="55"/>
        <v>15079680.000000002</v>
      </c>
      <c r="AM370">
        <f t="shared" si="55"/>
        <v>15079680.000000002</v>
      </c>
      <c r="AN370">
        <f t="shared" si="55"/>
        <v>15079680.000000002</v>
      </c>
      <c r="AO370">
        <f t="shared" si="55"/>
        <v>15079680.000000002</v>
      </c>
    </row>
    <row r="371" spans="1:41">
      <c r="A371" s="185">
        <f>'Water Stuff'!F305</f>
        <v>44862</v>
      </c>
      <c r="B371" s="118">
        <f>'Filtration System'!B335</f>
        <v>4880</v>
      </c>
      <c r="C371" s="118">
        <f>'Filtration System'!C335</f>
        <v>7800</v>
      </c>
      <c r="D371" s="118">
        <f>'Filtration System'!D335</f>
        <v>3401.6367045867783</v>
      </c>
      <c r="E371" s="118">
        <f>'Filtration System'!E335</f>
        <v>7005.5918859664516</v>
      </c>
      <c r="F371" s="118">
        <f>'Filtration System'!F335</f>
        <v>919.22514606296591</v>
      </c>
      <c r="G371" s="118"/>
      <c r="H371" s="118">
        <f>B371/1000*(1000*9.81*Pumps!$B$14+'Parameters and Satisfaction'!$B$27)</f>
        <v>1308099.5147648696</v>
      </c>
      <c r="I371" s="118">
        <f>C371/1000*(1000*9.81*Pumps!$B$14+'Parameters and Satisfaction'!$B$27)</f>
        <v>2090814.7981897506</v>
      </c>
      <c r="J371" s="118">
        <f>D371/1000*(1000*9.81*Pumps!$B$14+'Parameters and Satisfaction'!$B$27)</f>
        <v>911819.53333531448</v>
      </c>
      <c r="K371" s="118">
        <f>E371/1000*(1000*9.81*Pumps!$B$14+'Parameters and Satisfaction'!$B$27)</f>
        <v>1877871.1775970128</v>
      </c>
      <c r="L371" s="118">
        <f>F371/1000*(1000*9.81*Pumps!$B$14+'Parameters and Satisfaction'!$B$27)</f>
        <v>246401.22285340822</v>
      </c>
      <c r="M371" s="118"/>
      <c r="N371" s="118">
        <f>H371/IF('Parameters and Satisfaction'!$C$13="Pump A", 0.7, IF('Parameters and Satisfaction'!$C$13 = "Pump B", 0.72, 0.65))</f>
        <v>1816804.8816178746</v>
      </c>
      <c r="O371" s="118">
        <f>I371/IF('Parameters and Satisfaction'!$C$13="Pump A", 0.7, IF('Parameters and Satisfaction'!$C$13 = "Pump B", 0.72, 0.65))</f>
        <v>2903909.4419302093</v>
      </c>
      <c r="P371" s="118">
        <f>J371/IF('Parameters and Satisfaction'!$C$13="Pump A", 0.7, IF('Parameters and Satisfaction'!$C$13 = "Pump B", 0.72, 0.65))</f>
        <v>1266416.0185212702</v>
      </c>
      <c r="Q371" s="118">
        <f>K371/IF('Parameters and Satisfaction'!$C$13="Pump A", 0.7, IF('Parameters and Satisfaction'!$C$13 = "Pump B", 0.72, 0.65))</f>
        <v>2608154.4133291845</v>
      </c>
      <c r="R371" s="118">
        <f>L371/IF('Parameters and Satisfaction'!$C$13="Pump A", 0.7, IF('Parameters and Satisfaction'!$C$13 = "Pump B", 0.72, 0.65))</f>
        <v>342223.92062973365</v>
      </c>
      <c r="S371" s="118"/>
      <c r="T371" s="118">
        <f>N371+$F$47+IF('Parameters and Satisfaction'!$C$19="Ozone", 'Filtration System'!AA335*1000000, 0)</f>
        <v>6504304.8816178748</v>
      </c>
      <c r="U371" s="118">
        <f>O371+$F$47+IF('Parameters and Satisfaction'!$C$19="Ozone", 'Filtration System'!AB335*1000000, 0)</f>
        <v>7591409.4419302093</v>
      </c>
      <c r="V371" s="118">
        <f>P371+$F$47+IF('Parameters and Satisfaction'!$C$19="Ozone", 'Filtration System'!AC335*1000000, 0)</f>
        <v>5953916.0185212698</v>
      </c>
      <c r="W371" s="118">
        <f>Q371+$F$47+IF('Parameters and Satisfaction'!$C$19="Ozone", 'Filtration System'!AD335*1000000, 0)</f>
        <v>7295654.4133291841</v>
      </c>
      <c r="X371" s="118">
        <f>R371+$F$47+IF('Parameters and Satisfaction'!$C$19="Ozone", 'Filtration System'!AE335*1000000, 0)</f>
        <v>5029723.9206297332</v>
      </c>
      <c r="Y371" s="118"/>
      <c r="Z371" s="118">
        <f t="shared" si="47"/>
        <v>0.4645932058298482</v>
      </c>
      <c r="AA371" s="118">
        <f t="shared" si="48"/>
        <v>0.54224353156644356</v>
      </c>
      <c r="AB371" s="118">
        <f t="shared" si="49"/>
        <v>0.42527971560866212</v>
      </c>
      <c r="AC371" s="118">
        <f t="shared" si="50"/>
        <v>0.52111817238065605</v>
      </c>
      <c r="AD371" s="118">
        <f t="shared" si="51"/>
        <v>0.35926599433069523</v>
      </c>
      <c r="AE371" s="118"/>
      <c r="AF371" s="118"/>
      <c r="AG371" s="118"/>
      <c r="AK371">
        <f t="shared" si="55"/>
        <v>15079680.000000002</v>
      </c>
      <c r="AL371">
        <f t="shared" si="55"/>
        <v>15079680.000000002</v>
      </c>
      <c r="AM371">
        <f t="shared" si="55"/>
        <v>15079680.000000002</v>
      </c>
      <c r="AN371">
        <f t="shared" si="55"/>
        <v>15079680.000000002</v>
      </c>
      <c r="AO371">
        <f t="shared" si="55"/>
        <v>15079680.000000002</v>
      </c>
    </row>
    <row r="372" spans="1:41">
      <c r="A372" s="185">
        <f>'Water Stuff'!F306</f>
        <v>44863</v>
      </c>
      <c r="B372" s="118">
        <f>'Filtration System'!B336</f>
        <v>1400</v>
      </c>
      <c r="C372" s="118">
        <f>'Filtration System'!C336</f>
        <v>8119.9999999999991</v>
      </c>
      <c r="D372" s="118">
        <f>'Filtration System'!D336</f>
        <v>41.870441331165345</v>
      </c>
      <c r="E372" s="118">
        <f>'Filtration System'!E336</f>
        <v>8595.6267175126195</v>
      </c>
      <c r="F372" s="118">
        <f>'Filtration System'!F336</f>
        <v>0</v>
      </c>
      <c r="G372" s="118"/>
      <c r="H372" s="118">
        <f>B372/1000*(1000*9.81*Pumps!$B$14+'Parameters and Satisfaction'!$B$27)</f>
        <v>375274.45095713472</v>
      </c>
      <c r="I372" s="118">
        <f>C372/1000*(1000*9.81*Pumps!$B$14+'Parameters and Satisfaction'!$B$27)</f>
        <v>2176591.8155513811</v>
      </c>
      <c r="J372" s="118">
        <f>D372/1000*(1000*9.81*Pumps!$B$14+'Parameters and Satisfaction'!$B$27)</f>
        <v>11223.504915632855</v>
      </c>
      <c r="K372" s="118">
        <f>E372/1000*(1000*9.81*Pumps!$B$14+'Parameters and Satisfaction'!$B$27)</f>
        <v>2304085.0693193045</v>
      </c>
      <c r="L372" s="118">
        <f>F372/1000*(1000*9.81*Pumps!$B$14+'Parameters and Satisfaction'!$B$27)</f>
        <v>0</v>
      </c>
      <c r="M372" s="118"/>
      <c r="N372" s="118">
        <f>H372/IF('Parameters and Satisfaction'!$C$13="Pump A", 0.7, IF('Parameters and Satisfaction'!$C$13 = "Pump B", 0.72, 0.65))</f>
        <v>521214.51521824265</v>
      </c>
      <c r="O372" s="118">
        <f>I372/IF('Parameters and Satisfaction'!$C$13="Pump A", 0.7, IF('Parameters and Satisfaction'!$C$13 = "Pump B", 0.72, 0.65))</f>
        <v>3023044.188265807</v>
      </c>
      <c r="P372" s="118">
        <f>J372/IF('Parameters and Satisfaction'!$C$13="Pump A", 0.7, IF('Parameters and Satisfaction'!$C$13 = "Pump B", 0.72, 0.65))</f>
        <v>15588.2012717123</v>
      </c>
      <c r="Q372" s="118">
        <f>K372/IF('Parameters and Satisfaction'!$C$13="Pump A", 0.7, IF('Parameters and Satisfaction'!$C$13 = "Pump B", 0.72, 0.65))</f>
        <v>3200118.1518323678</v>
      </c>
      <c r="R372" s="118">
        <f>L372/IF('Parameters and Satisfaction'!$C$13="Pump A", 0.7, IF('Parameters and Satisfaction'!$C$13 = "Pump B", 0.72, 0.65))</f>
        <v>0</v>
      </c>
      <c r="S372" s="118"/>
      <c r="T372" s="118">
        <f>N372+$F$47+IF('Parameters and Satisfaction'!$C$19="Ozone", 'Filtration System'!AA336*1000000, 0)</f>
        <v>5208714.515218243</v>
      </c>
      <c r="U372" s="118">
        <f>O372+$F$47+IF('Parameters and Satisfaction'!$C$19="Ozone", 'Filtration System'!AB336*1000000, 0)</f>
        <v>7710544.188265807</v>
      </c>
      <c r="V372" s="118">
        <f>P372+$F$47+IF('Parameters and Satisfaction'!$C$19="Ozone", 'Filtration System'!AC336*1000000, 0)</f>
        <v>4703088.2012717118</v>
      </c>
      <c r="W372" s="118">
        <f>Q372+$F$47+IF('Parameters and Satisfaction'!$C$19="Ozone", 'Filtration System'!AD336*1000000, 0)</f>
        <v>7887618.1518323682</v>
      </c>
      <c r="X372" s="118">
        <f>R372+$F$47+IF('Parameters and Satisfaction'!$C$19="Ozone", 'Filtration System'!AE336*1000000, 0)</f>
        <v>4687500</v>
      </c>
      <c r="Y372" s="118"/>
      <c r="Z372" s="118">
        <f t="shared" si="47"/>
        <v>0.37205103680130308</v>
      </c>
      <c r="AA372" s="118">
        <f t="shared" si="48"/>
        <v>0.55075315630470045</v>
      </c>
      <c r="AB372" s="118">
        <f t="shared" si="49"/>
        <v>0.33593487151940798</v>
      </c>
      <c r="AC372" s="118">
        <f t="shared" si="50"/>
        <v>0.56340129655945492</v>
      </c>
      <c r="AD372" s="118">
        <f t="shared" si="51"/>
        <v>0.33482142857142855</v>
      </c>
      <c r="AE372" s="118"/>
      <c r="AF372" s="118"/>
      <c r="AG372" s="118"/>
      <c r="AK372">
        <f t="shared" si="55"/>
        <v>15079680.000000002</v>
      </c>
      <c r="AL372">
        <f t="shared" si="55"/>
        <v>15079680.000000002</v>
      </c>
      <c r="AM372">
        <f t="shared" si="55"/>
        <v>15079680.000000002</v>
      </c>
      <c r="AN372">
        <f t="shared" si="55"/>
        <v>15079680.000000002</v>
      </c>
      <c r="AO372">
        <f t="shared" si="55"/>
        <v>15079680.000000002</v>
      </c>
    </row>
    <row r="373" spans="1:41">
      <c r="A373" s="185">
        <f>'Water Stuff'!F307</f>
        <v>44864</v>
      </c>
      <c r="B373" s="118">
        <f>'Filtration System'!B337</f>
        <v>1800</v>
      </c>
      <c r="C373" s="118">
        <f>'Filtration System'!C337</f>
        <v>7080</v>
      </c>
      <c r="D373" s="118">
        <f>'Filtration System'!D337</f>
        <v>596.85282987751873</v>
      </c>
      <c r="E373" s="118">
        <f>'Filtration System'!E337</f>
        <v>4252.9984834204542</v>
      </c>
      <c r="F373" s="118">
        <f>'Filtration System'!F337</f>
        <v>2116.3461387814523</v>
      </c>
      <c r="G373" s="118"/>
      <c r="H373" s="118">
        <f>B373/1000*(1000*9.81*Pumps!$B$14+'Parameters and Satisfaction'!$B$27)</f>
        <v>482495.72265917325</v>
      </c>
      <c r="I373" s="118">
        <f>C373/1000*(1000*9.81*Pumps!$B$14+'Parameters and Satisfaction'!$B$27)</f>
        <v>1897816.5091260814</v>
      </c>
      <c r="J373" s="118">
        <f>D373/1000*(1000*9.81*Pumps!$B$14+'Parameters and Satisfaction'!$B$27)</f>
        <v>159988.29859607</v>
      </c>
      <c r="K373" s="118">
        <f>E373/1000*(1000*9.81*Pumps!$B$14+'Parameters and Satisfaction'!$B$27)</f>
        <v>1140029.7648479557</v>
      </c>
      <c r="L373" s="118">
        <f>F373/1000*(1000*9.81*Pumps!$B$14+'Parameters and Satisfaction'!$B$27)</f>
        <v>567293.31090461544</v>
      </c>
      <c r="M373" s="118"/>
      <c r="N373" s="118">
        <f>H373/IF('Parameters and Satisfaction'!$C$13="Pump A", 0.7, IF('Parameters and Satisfaction'!$C$13 = "Pump B", 0.72, 0.65))</f>
        <v>670132.9481377406</v>
      </c>
      <c r="O373" s="118">
        <f>I373/IF('Parameters and Satisfaction'!$C$13="Pump A", 0.7, IF('Parameters and Satisfaction'!$C$13 = "Pump B", 0.72, 0.65))</f>
        <v>2635856.262675113</v>
      </c>
      <c r="P373" s="118">
        <f>J373/IF('Parameters and Satisfaction'!$C$13="Pump A", 0.7, IF('Parameters and Satisfaction'!$C$13 = "Pump B", 0.72, 0.65))</f>
        <v>222205.97027231945</v>
      </c>
      <c r="Q373" s="118">
        <f>K373/IF('Parameters and Satisfaction'!$C$13="Pump A", 0.7, IF('Parameters and Satisfaction'!$C$13 = "Pump B", 0.72, 0.65))</f>
        <v>1583374.6733999385</v>
      </c>
      <c r="R373" s="118">
        <f>L373/IF('Parameters and Satisfaction'!$C$13="Pump A", 0.7, IF('Parameters and Satisfaction'!$C$13 = "Pump B", 0.72, 0.65))</f>
        <v>787907.37625641038</v>
      </c>
      <c r="S373" s="118"/>
      <c r="T373" s="118">
        <f>N373+$F$47+IF('Parameters and Satisfaction'!$C$19="Ozone", 'Filtration System'!AA337*1000000, 0)</f>
        <v>5357632.9481377406</v>
      </c>
      <c r="U373" s="118">
        <f>O373+$F$47+IF('Parameters and Satisfaction'!$C$19="Ozone", 'Filtration System'!AB337*1000000, 0)</f>
        <v>7323356.262675113</v>
      </c>
      <c r="V373" s="118">
        <f>P373+$F$47+IF('Parameters and Satisfaction'!$C$19="Ozone", 'Filtration System'!AC337*1000000, 0)</f>
        <v>4909705.9702723194</v>
      </c>
      <c r="W373" s="118">
        <f>Q373+$F$47+IF('Parameters and Satisfaction'!$C$19="Ozone", 'Filtration System'!AD337*1000000, 0)</f>
        <v>6270874.6733999383</v>
      </c>
      <c r="X373" s="118">
        <f>R373+$F$47+IF('Parameters and Satisfaction'!$C$19="Ozone", 'Filtration System'!AE337*1000000, 0)</f>
        <v>5475407.37625641</v>
      </c>
      <c r="Y373" s="118"/>
      <c r="Z373" s="118">
        <f t="shared" si="47"/>
        <v>0.38268806772412434</v>
      </c>
      <c r="AA373" s="118">
        <f t="shared" si="48"/>
        <v>0.52309687590536524</v>
      </c>
      <c r="AB373" s="118">
        <f t="shared" si="49"/>
        <v>0.35069328359087998</v>
      </c>
      <c r="AC373" s="118">
        <f t="shared" si="50"/>
        <v>0.44791961952856701</v>
      </c>
      <c r="AD373" s="118">
        <f t="shared" si="51"/>
        <v>0.39110052687545788</v>
      </c>
      <c r="AE373" s="118"/>
      <c r="AF373" s="118"/>
      <c r="AG373" s="118"/>
      <c r="AK373">
        <f t="shared" si="55"/>
        <v>15079680.000000002</v>
      </c>
      <c r="AL373">
        <f t="shared" si="55"/>
        <v>15079680.000000002</v>
      </c>
      <c r="AM373">
        <f t="shared" si="55"/>
        <v>15079680.000000002</v>
      </c>
      <c r="AN373">
        <f t="shared" si="55"/>
        <v>15079680.000000002</v>
      </c>
      <c r="AO373">
        <f t="shared" si="55"/>
        <v>15079680.000000002</v>
      </c>
    </row>
    <row r="374" spans="1:41">
      <c r="A374" s="185">
        <f>'Water Stuff'!F308</f>
        <v>44865</v>
      </c>
      <c r="B374" s="118">
        <f>'Filtration System'!B338</f>
        <v>3000</v>
      </c>
      <c r="C374" s="118">
        <f>'Filtration System'!C338</f>
        <v>4240</v>
      </c>
      <c r="D374" s="118">
        <f>'Filtration System'!D338</f>
        <v>3029.5898744798278</v>
      </c>
      <c r="E374" s="118">
        <f>'Filtration System'!E338</f>
        <v>5226.6106012313476</v>
      </c>
      <c r="F374" s="118">
        <f>'Filtration System'!F338</f>
        <v>4154.576608993706</v>
      </c>
      <c r="G374" s="118"/>
      <c r="H374" s="118">
        <f>B374/1000*(1000*9.81*Pumps!$B$14+'Parameters and Satisfaction'!$B$27)</f>
        <v>804159.53776528873</v>
      </c>
      <c r="I374" s="118">
        <f>C374/1000*(1000*9.81*Pumps!$B$14+'Parameters and Satisfaction'!$B$27)</f>
        <v>1136545.4800416082</v>
      </c>
      <c r="J374" s="118">
        <f>D374/1000*(1000*9.81*Pumps!$B$14+'Parameters and Satisfaction'!$B$27)</f>
        <v>812091.19769336574</v>
      </c>
      <c r="K374" s="118">
        <f>E374/1000*(1000*9.81*Pumps!$B$14+'Parameters and Satisfaction'!$B$27)</f>
        <v>1401009.5883884528</v>
      </c>
      <c r="L374" s="118">
        <f>F374/1000*(1000*9.81*Pumps!$B$14+'Parameters and Satisfaction'!$B$27)</f>
        <v>1113647.4684996197</v>
      </c>
      <c r="M374" s="118"/>
      <c r="N374" s="118">
        <f>H374/IF('Parameters and Satisfaction'!$C$13="Pump A", 0.7, IF('Parameters and Satisfaction'!$C$13 = "Pump B", 0.72, 0.65))</f>
        <v>1116888.2468962343</v>
      </c>
      <c r="O374" s="118">
        <f>I374/IF('Parameters and Satisfaction'!$C$13="Pump A", 0.7, IF('Parameters and Satisfaction'!$C$13 = "Pump B", 0.72, 0.65))</f>
        <v>1578535.388946678</v>
      </c>
      <c r="P374" s="118">
        <f>J374/IF('Parameters and Satisfaction'!$C$13="Pump A", 0.7, IF('Parameters and Satisfaction'!$C$13 = "Pump B", 0.72, 0.65))</f>
        <v>1127904.4412407859</v>
      </c>
      <c r="Q374" s="118">
        <f>K374/IF('Parameters and Satisfaction'!$C$13="Pump A", 0.7, IF('Parameters and Satisfaction'!$C$13 = "Pump B", 0.72, 0.65))</f>
        <v>1945846.6505395179</v>
      </c>
      <c r="R374" s="118">
        <f>L374/IF('Parameters and Satisfaction'!$C$13="Pump A", 0.7, IF('Parameters and Satisfaction'!$C$13 = "Pump B", 0.72, 0.65))</f>
        <v>1546732.5951383607</v>
      </c>
      <c r="S374" s="118"/>
      <c r="T374" s="118">
        <f>N374+$F$47+IF('Parameters and Satisfaction'!$C$19="Ozone", 'Filtration System'!AA338*1000000, 0)</f>
        <v>5804388.2468962343</v>
      </c>
      <c r="U374" s="118">
        <f>O374+$F$47+IF('Parameters and Satisfaction'!$C$19="Ozone", 'Filtration System'!AB338*1000000, 0)</f>
        <v>6266035.3889466785</v>
      </c>
      <c r="V374" s="118">
        <f>P374+$F$47+IF('Parameters and Satisfaction'!$C$19="Ozone", 'Filtration System'!AC338*1000000, 0)</f>
        <v>5815404.4412407856</v>
      </c>
      <c r="W374" s="118">
        <f>Q374+$F$47+IF('Parameters and Satisfaction'!$C$19="Ozone", 'Filtration System'!AD338*1000000, 0)</f>
        <v>6633346.6505395174</v>
      </c>
      <c r="X374" s="118">
        <f>R374+$F$47+IF('Parameters and Satisfaction'!$C$19="Ozone", 'Filtration System'!AE338*1000000, 0)</f>
        <v>6234232.5951383607</v>
      </c>
      <c r="Y374" s="118"/>
      <c r="Z374" s="118">
        <f t="shared" si="47"/>
        <v>0.41459916049258816</v>
      </c>
      <c r="AA374" s="118">
        <f t="shared" si="48"/>
        <v>0.44757395635333419</v>
      </c>
      <c r="AB374" s="118">
        <f t="shared" si="49"/>
        <v>0.41538603151719899</v>
      </c>
      <c r="AC374" s="118">
        <f t="shared" si="50"/>
        <v>0.47381047503853696</v>
      </c>
      <c r="AD374" s="118">
        <f t="shared" si="51"/>
        <v>0.4453023282241686</v>
      </c>
      <c r="AE374" s="118"/>
      <c r="AF374" s="118"/>
      <c r="AG374" s="118"/>
      <c r="AK374">
        <f t="shared" si="55"/>
        <v>15079680.000000002</v>
      </c>
      <c r="AL374">
        <f t="shared" si="55"/>
        <v>15079680.000000002</v>
      </c>
      <c r="AM374">
        <f t="shared" si="55"/>
        <v>15079680.000000002</v>
      </c>
      <c r="AN374">
        <f t="shared" si="55"/>
        <v>15079680.000000002</v>
      </c>
      <c r="AO374">
        <f t="shared" si="55"/>
        <v>15079680.000000002</v>
      </c>
    </row>
    <row r="375" spans="1:41">
      <c r="A375" s="185">
        <f>'Water Stuff'!F309</f>
        <v>44866</v>
      </c>
      <c r="B375" s="118">
        <f>'Filtration System'!B339</f>
        <v>1280</v>
      </c>
      <c r="C375" s="118">
        <f>'Filtration System'!C339</f>
        <v>240</v>
      </c>
      <c r="D375" s="118">
        <f>'Filtration System'!D339</f>
        <v>0</v>
      </c>
      <c r="E375" s="118">
        <f>'Filtration System'!E339</f>
        <v>1218.606110780303</v>
      </c>
      <c r="F375" s="118">
        <f>'Filtration System'!F339</f>
        <v>404.79570060402318</v>
      </c>
      <c r="G375" s="118"/>
      <c r="H375" s="118">
        <f>B375/1000*(1000*9.81*Pumps!$B$14+'Parameters and Satisfaction'!$B$27)</f>
        <v>343108.06944652321</v>
      </c>
      <c r="I375" s="118">
        <f>C375/1000*(1000*9.81*Pumps!$B$14+'Parameters and Satisfaction'!$B$27)</f>
        <v>64332.763021223094</v>
      </c>
      <c r="J375" s="118">
        <f>D375/1000*(1000*9.81*Pumps!$B$14+'Parameters and Satisfaction'!$B$27)</f>
        <v>0</v>
      </c>
      <c r="K375" s="118">
        <f>E375/1000*(1000*9.81*Pumps!$B$14+'Parameters and Satisfaction'!$B$27)</f>
        <v>326651.24225434824</v>
      </c>
      <c r="L375" s="118">
        <f>F375/1000*(1000*9.81*Pumps!$B$14+'Parameters and Satisfaction'!$B$27)</f>
        <v>108506.7744957025</v>
      </c>
      <c r="M375" s="118"/>
      <c r="N375" s="118">
        <f>H375/IF('Parameters and Satisfaction'!$C$13="Pump A", 0.7, IF('Parameters and Satisfaction'!$C$13 = "Pump B", 0.72, 0.65))</f>
        <v>476538.98534239334</v>
      </c>
      <c r="O375" s="118">
        <f>I375/IF('Parameters and Satisfaction'!$C$13="Pump A", 0.7, IF('Parameters and Satisfaction'!$C$13 = "Pump B", 0.72, 0.65))</f>
        <v>89351.059751698747</v>
      </c>
      <c r="P375" s="118">
        <f>J375/IF('Parameters and Satisfaction'!$C$13="Pump A", 0.7, IF('Parameters and Satisfaction'!$C$13 = "Pump B", 0.72, 0.65))</f>
        <v>0</v>
      </c>
      <c r="Q375" s="118">
        <f>K375/IF('Parameters and Satisfaction'!$C$13="Pump A", 0.7, IF('Parameters and Satisfaction'!$C$13 = "Pump B", 0.72, 0.65))</f>
        <v>453682.28090881702</v>
      </c>
      <c r="R375" s="118">
        <f>L375/IF('Parameters and Satisfaction'!$C$13="Pump A", 0.7, IF('Parameters and Satisfaction'!$C$13 = "Pump B", 0.72, 0.65))</f>
        <v>150703.85346625347</v>
      </c>
      <c r="S375" s="118"/>
      <c r="T375" s="118">
        <f>N375+$F$47+IF('Parameters and Satisfaction'!$C$19="Ozone", 'Filtration System'!AA339*1000000, 0)</f>
        <v>5164038.9853423936</v>
      </c>
      <c r="U375" s="118">
        <f>O375+$F$47+IF('Parameters and Satisfaction'!$C$19="Ozone", 'Filtration System'!AB339*1000000, 0)</f>
        <v>4776851.0597516987</v>
      </c>
      <c r="V375" s="118">
        <f>P375+$F$47+IF('Parameters and Satisfaction'!$C$19="Ozone", 'Filtration System'!AC339*1000000, 0)</f>
        <v>4687500</v>
      </c>
      <c r="W375" s="118">
        <f>Q375+$F$47+IF('Parameters and Satisfaction'!$C$19="Ozone", 'Filtration System'!AD339*1000000, 0)</f>
        <v>5141182.2809088174</v>
      </c>
      <c r="X375" s="118">
        <f>R375+$F$47+IF('Parameters and Satisfaction'!$C$19="Ozone", 'Filtration System'!AE339*1000000, 0)</f>
        <v>4838203.8534662537</v>
      </c>
      <c r="Y375" s="118"/>
      <c r="Z375" s="118">
        <f t="shared" si="47"/>
        <v>0.36885992752445668</v>
      </c>
      <c r="AA375" s="118">
        <f t="shared" si="48"/>
        <v>0.34120364712512136</v>
      </c>
      <c r="AB375" s="118">
        <f t="shared" si="49"/>
        <v>0.33482142857142855</v>
      </c>
      <c r="AC375" s="118">
        <f t="shared" si="50"/>
        <v>0.36722730577920126</v>
      </c>
      <c r="AD375" s="118">
        <f t="shared" si="51"/>
        <v>0.34558598953330383</v>
      </c>
      <c r="AE375" s="118"/>
      <c r="AF375" s="118"/>
      <c r="AG375" s="118"/>
      <c r="AK375">
        <f t="shared" ref="AK375:AO384" si="56">$D$65</f>
        <v>12337920</v>
      </c>
      <c r="AL375">
        <f t="shared" si="56"/>
        <v>12337920</v>
      </c>
      <c r="AM375">
        <f t="shared" si="56"/>
        <v>12337920</v>
      </c>
      <c r="AN375">
        <f t="shared" si="56"/>
        <v>12337920</v>
      </c>
      <c r="AO375">
        <f t="shared" si="56"/>
        <v>12337920</v>
      </c>
    </row>
    <row r="376" spans="1:41">
      <c r="A376" s="185">
        <f>'Water Stuff'!F310</f>
        <v>44867</v>
      </c>
      <c r="B376" s="118">
        <f>'Filtration System'!B340</f>
        <v>7520</v>
      </c>
      <c r="C376" s="118">
        <f>'Filtration System'!C340</f>
        <v>0</v>
      </c>
      <c r="D376" s="118">
        <f>'Filtration System'!D340</f>
        <v>5709.6155637353022</v>
      </c>
      <c r="E376" s="118">
        <f>'Filtration System'!E340</f>
        <v>0</v>
      </c>
      <c r="F376" s="118">
        <f>'Filtration System'!F340</f>
        <v>6834.6915852120601</v>
      </c>
      <c r="G376" s="118"/>
      <c r="H376" s="118">
        <f>B376/1000*(1000*9.81*Pumps!$B$14+'Parameters and Satisfaction'!$B$27)</f>
        <v>2015759.9079983237</v>
      </c>
      <c r="I376" s="118">
        <f>C376/1000*(1000*9.81*Pumps!$B$14+'Parameters and Satisfaction'!$B$27)</f>
        <v>0</v>
      </c>
      <c r="J376" s="118">
        <f>D376/1000*(1000*9.81*Pumps!$B$14+'Parameters and Satisfaction'!$B$27)</f>
        <v>1530480.6041836264</v>
      </c>
      <c r="K376" s="118">
        <f>E376/1000*(1000*9.81*Pumps!$B$14+'Parameters and Satisfaction'!$B$27)</f>
        <v>0</v>
      </c>
      <c r="L376" s="118">
        <f>F376/1000*(1000*9.81*Pumps!$B$14+'Parameters and Satisfaction'!$B$27)</f>
        <v>1832060.8086441464</v>
      </c>
      <c r="M376" s="118"/>
      <c r="N376" s="118">
        <f>H376/IF('Parameters and Satisfaction'!$C$13="Pump A", 0.7, IF('Parameters and Satisfaction'!$C$13 = "Pump B", 0.72, 0.65))</f>
        <v>2799666.5388865606</v>
      </c>
      <c r="O376" s="118">
        <f>I376/IF('Parameters and Satisfaction'!$C$13="Pump A", 0.7, IF('Parameters and Satisfaction'!$C$13 = "Pump B", 0.72, 0.65))</f>
        <v>0</v>
      </c>
      <c r="P376" s="118">
        <f>J376/IF('Parameters and Satisfaction'!$C$13="Pump A", 0.7, IF('Parameters and Satisfaction'!$C$13 = "Pump B", 0.72, 0.65))</f>
        <v>2125667.5058105923</v>
      </c>
      <c r="Q376" s="118">
        <f>K376/IF('Parameters and Satisfaction'!$C$13="Pump A", 0.7, IF('Parameters and Satisfaction'!$C$13 = "Pump B", 0.72, 0.65))</f>
        <v>0</v>
      </c>
      <c r="R376" s="118">
        <f>L376/IF('Parameters and Satisfaction'!$C$13="Pump A", 0.7, IF('Parameters and Satisfaction'!$C$13 = "Pump B", 0.72, 0.65))</f>
        <v>2544528.9008946479</v>
      </c>
      <c r="S376" s="118"/>
      <c r="T376" s="118">
        <f>N376+$F$47+IF('Parameters and Satisfaction'!$C$19="Ozone", 'Filtration System'!AA340*1000000, 0)</f>
        <v>7487166.5388865601</v>
      </c>
      <c r="U376" s="118">
        <f>O376+$F$47+IF('Parameters and Satisfaction'!$C$19="Ozone", 'Filtration System'!AB340*1000000, 0)</f>
        <v>4687500</v>
      </c>
      <c r="V376" s="118">
        <f>P376+$F$47+IF('Parameters and Satisfaction'!$C$19="Ozone", 'Filtration System'!AC340*1000000, 0)</f>
        <v>6813167.5058105923</v>
      </c>
      <c r="W376" s="118">
        <f>Q376+$F$47+IF('Parameters and Satisfaction'!$C$19="Ozone", 'Filtration System'!AD340*1000000, 0)</f>
        <v>4687500</v>
      </c>
      <c r="X376" s="118">
        <f>R376+$F$47+IF('Parameters and Satisfaction'!$C$19="Ozone", 'Filtration System'!AE340*1000000, 0)</f>
        <v>7232028.9008946475</v>
      </c>
      <c r="Y376" s="118"/>
      <c r="Z376" s="118">
        <f t="shared" si="47"/>
        <v>0.53479760992046854</v>
      </c>
      <c r="AA376" s="118">
        <f t="shared" si="48"/>
        <v>0.33482142857142855</v>
      </c>
      <c r="AB376" s="118">
        <f t="shared" si="49"/>
        <v>0.48665482184361375</v>
      </c>
      <c r="AC376" s="118">
        <f t="shared" si="50"/>
        <v>0.33482142857142855</v>
      </c>
      <c r="AD376" s="118">
        <f t="shared" si="51"/>
        <v>0.51657349292104626</v>
      </c>
      <c r="AE376" s="118"/>
      <c r="AF376" s="118"/>
      <c r="AG376" s="118"/>
      <c r="AK376">
        <f t="shared" si="56"/>
        <v>12337920</v>
      </c>
      <c r="AL376">
        <f t="shared" si="56"/>
        <v>12337920</v>
      </c>
      <c r="AM376">
        <f t="shared" si="56"/>
        <v>12337920</v>
      </c>
      <c r="AN376">
        <f t="shared" si="56"/>
        <v>12337920</v>
      </c>
      <c r="AO376">
        <f t="shared" si="56"/>
        <v>12337920</v>
      </c>
    </row>
    <row r="377" spans="1:41">
      <c r="A377" s="185">
        <f>'Water Stuff'!F311</f>
        <v>44868</v>
      </c>
      <c r="B377" s="118">
        <f>'Filtration System'!B341</f>
        <v>7040.0000000000009</v>
      </c>
      <c r="C377" s="118">
        <f>'Filtration System'!C341</f>
        <v>0</v>
      </c>
      <c r="D377" s="118">
        <f>'Filtration System'!D341</f>
        <v>4758.0266844214666</v>
      </c>
      <c r="E377" s="118">
        <f>'Filtration System'!E341</f>
        <v>0</v>
      </c>
      <c r="F377" s="118">
        <f>'Filtration System'!F341</f>
        <v>4121.8545763354859</v>
      </c>
      <c r="G377" s="118"/>
      <c r="H377" s="118">
        <f>B377/1000*(1000*9.81*Pumps!$B$14+'Parameters and Satisfaction'!$B$27)</f>
        <v>1887094.3819558779</v>
      </c>
      <c r="I377" s="118">
        <f>C377/1000*(1000*9.81*Pumps!$B$14+'Parameters and Satisfaction'!$B$27)</f>
        <v>0</v>
      </c>
      <c r="J377" s="118">
        <f>D377/1000*(1000*9.81*Pumps!$B$14+'Parameters and Satisfaction'!$B$27)</f>
        <v>1275404.1797397586</v>
      </c>
      <c r="K377" s="118">
        <f>E377/1000*(1000*9.81*Pumps!$B$14+'Parameters and Satisfaction'!$B$27)</f>
        <v>0</v>
      </c>
      <c r="L377" s="118">
        <f>F377/1000*(1000*9.81*Pumps!$B$14+'Parameters and Satisfaction'!$B$27)</f>
        <v>1104876.2236138948</v>
      </c>
      <c r="M377" s="118"/>
      <c r="N377" s="118">
        <f>H377/IF('Parameters and Satisfaction'!$C$13="Pump A", 0.7, IF('Parameters and Satisfaction'!$C$13 = "Pump B", 0.72, 0.65))</f>
        <v>2620964.419383164</v>
      </c>
      <c r="O377" s="118">
        <f>I377/IF('Parameters and Satisfaction'!$C$13="Pump A", 0.7, IF('Parameters and Satisfaction'!$C$13 = "Pump B", 0.72, 0.65))</f>
        <v>0</v>
      </c>
      <c r="P377" s="118">
        <f>J377/IF('Parameters and Satisfaction'!$C$13="Pump A", 0.7, IF('Parameters and Satisfaction'!$C$13 = "Pump B", 0.72, 0.65))</f>
        <v>1771394.6940829982</v>
      </c>
      <c r="Q377" s="118">
        <f>K377/IF('Parameters and Satisfaction'!$C$13="Pump A", 0.7, IF('Parameters and Satisfaction'!$C$13 = "Pump B", 0.72, 0.65))</f>
        <v>0</v>
      </c>
      <c r="R377" s="118">
        <f>L377/IF('Parameters and Satisfaction'!$C$13="Pump A", 0.7, IF('Parameters and Satisfaction'!$C$13 = "Pump B", 0.72, 0.65))</f>
        <v>1534550.310574854</v>
      </c>
      <c r="S377" s="118"/>
      <c r="T377" s="118">
        <f>N377+$F$47+IF('Parameters and Satisfaction'!$C$19="Ozone", 'Filtration System'!AA341*1000000, 0)</f>
        <v>7308464.4193831645</v>
      </c>
      <c r="U377" s="118">
        <f>O377+$F$47+IF('Parameters and Satisfaction'!$C$19="Ozone", 'Filtration System'!AB341*1000000, 0)</f>
        <v>4687500</v>
      </c>
      <c r="V377" s="118">
        <f>P377+$F$47+IF('Parameters and Satisfaction'!$C$19="Ozone", 'Filtration System'!AC341*1000000, 0)</f>
        <v>6458894.6940829977</v>
      </c>
      <c r="W377" s="118">
        <f>Q377+$F$47+IF('Parameters and Satisfaction'!$C$19="Ozone", 'Filtration System'!AD341*1000000, 0)</f>
        <v>4687500</v>
      </c>
      <c r="X377" s="118">
        <f>R377+$F$47+IF('Parameters and Satisfaction'!$C$19="Ozone", 'Filtration System'!AE341*1000000, 0)</f>
        <v>6222050.3105748538</v>
      </c>
      <c r="Y377" s="118"/>
      <c r="Z377" s="118">
        <f t="shared" si="47"/>
        <v>0.52203317281308315</v>
      </c>
      <c r="AA377" s="118">
        <f t="shared" si="48"/>
        <v>0.33482142857142855</v>
      </c>
      <c r="AB377" s="118">
        <f t="shared" si="49"/>
        <v>0.46134962100592841</v>
      </c>
      <c r="AC377" s="118">
        <f t="shared" si="50"/>
        <v>0.33482142857142855</v>
      </c>
      <c r="AD377" s="118">
        <f t="shared" si="51"/>
        <v>0.44443216504106098</v>
      </c>
      <c r="AE377" s="118"/>
      <c r="AF377" s="118"/>
      <c r="AG377" s="118"/>
      <c r="AK377">
        <f t="shared" si="56"/>
        <v>12337920</v>
      </c>
      <c r="AL377">
        <f t="shared" si="56"/>
        <v>12337920</v>
      </c>
      <c r="AM377">
        <f t="shared" si="56"/>
        <v>12337920</v>
      </c>
      <c r="AN377">
        <f t="shared" si="56"/>
        <v>12337920</v>
      </c>
      <c r="AO377">
        <f t="shared" si="56"/>
        <v>12337920</v>
      </c>
    </row>
    <row r="378" spans="1:41">
      <c r="A378" s="185">
        <f>'Water Stuff'!F312</f>
        <v>44869</v>
      </c>
      <c r="B378" s="118">
        <f>'Filtration System'!B342</f>
        <v>1800</v>
      </c>
      <c r="C378" s="118">
        <f>'Filtration System'!C342</f>
        <v>680</v>
      </c>
      <c r="D378" s="118">
        <f>'Filtration System'!D342</f>
        <v>2880.9073117610224</v>
      </c>
      <c r="E378" s="118">
        <f>'Filtration System'!E342</f>
        <v>0</v>
      </c>
      <c r="F378" s="118">
        <f>'Filtration System'!F342</f>
        <v>855.29975635710809</v>
      </c>
      <c r="G378" s="118"/>
      <c r="H378" s="118">
        <f>B378/1000*(1000*9.81*Pumps!$B$14+'Parameters and Satisfaction'!$B$27)</f>
        <v>482495.72265917325</v>
      </c>
      <c r="I378" s="118">
        <f>C378/1000*(1000*9.81*Pumps!$B$14+'Parameters and Satisfaction'!$B$27)</f>
        <v>182276.16189346547</v>
      </c>
      <c r="J378" s="118">
        <f>D378/1000*(1000*9.81*Pumps!$B$14+'Parameters and Satisfaction'!$B$27)</f>
        <v>772236.36405679479</v>
      </c>
      <c r="K378" s="118">
        <f>E378/1000*(1000*9.81*Pumps!$B$14+'Parameters and Satisfaction'!$B$27)</f>
        <v>0</v>
      </c>
      <c r="L378" s="118">
        <f>F378/1000*(1000*9.81*Pumps!$B$14+'Parameters and Satisfaction'!$B$27)</f>
        <v>229265.81890763203</v>
      </c>
      <c r="M378" s="118"/>
      <c r="N378" s="118">
        <f>H378/IF('Parameters and Satisfaction'!$C$13="Pump A", 0.7, IF('Parameters and Satisfaction'!$C$13 = "Pump B", 0.72, 0.65))</f>
        <v>670132.9481377406</v>
      </c>
      <c r="O378" s="118">
        <f>I378/IF('Parameters and Satisfaction'!$C$13="Pump A", 0.7, IF('Parameters and Satisfaction'!$C$13 = "Pump B", 0.72, 0.65))</f>
        <v>253161.3359631465</v>
      </c>
      <c r="P378" s="118">
        <f>J378/IF('Parameters and Satisfaction'!$C$13="Pump A", 0.7, IF('Parameters and Satisfaction'!$C$13 = "Pump B", 0.72, 0.65))</f>
        <v>1072550.5056344373</v>
      </c>
      <c r="Q378" s="118">
        <f>K378/IF('Parameters and Satisfaction'!$C$13="Pump A", 0.7, IF('Parameters and Satisfaction'!$C$13 = "Pump B", 0.72, 0.65))</f>
        <v>0</v>
      </c>
      <c r="R378" s="118">
        <f>L378/IF('Parameters and Satisfaction'!$C$13="Pump A", 0.7, IF('Parameters and Satisfaction'!$C$13 = "Pump B", 0.72, 0.65))</f>
        <v>318424.74848282227</v>
      </c>
      <c r="S378" s="118"/>
      <c r="T378" s="118">
        <f>N378+$F$47+IF('Parameters and Satisfaction'!$C$19="Ozone", 'Filtration System'!AA342*1000000, 0)</f>
        <v>5357632.9481377406</v>
      </c>
      <c r="U378" s="118">
        <f>O378+$F$47+IF('Parameters and Satisfaction'!$C$19="Ozone", 'Filtration System'!AB342*1000000, 0)</f>
        <v>4940661.3359631468</v>
      </c>
      <c r="V378" s="118">
        <f>P378+$F$47+IF('Parameters and Satisfaction'!$C$19="Ozone", 'Filtration System'!AC342*1000000, 0)</f>
        <v>5760050.5056344373</v>
      </c>
      <c r="W378" s="118">
        <f>Q378+$F$47+IF('Parameters and Satisfaction'!$C$19="Ozone", 'Filtration System'!AD342*1000000, 0)</f>
        <v>4687500</v>
      </c>
      <c r="X378" s="118">
        <f>R378+$F$47+IF('Parameters and Satisfaction'!$C$19="Ozone", 'Filtration System'!AE342*1000000, 0)</f>
        <v>5005924.7484828224</v>
      </c>
      <c r="Y378" s="118"/>
      <c r="Z378" s="118">
        <f t="shared" si="47"/>
        <v>0.38268806772412434</v>
      </c>
      <c r="AA378" s="118">
        <f t="shared" si="48"/>
        <v>0.35290438114022477</v>
      </c>
      <c r="AB378" s="118">
        <f t="shared" si="49"/>
        <v>0.4114321789738884</v>
      </c>
      <c r="AC378" s="118">
        <f t="shared" si="50"/>
        <v>0.33482142857142855</v>
      </c>
      <c r="AD378" s="118">
        <f t="shared" si="51"/>
        <v>0.35756605346305875</v>
      </c>
      <c r="AE378" s="118"/>
      <c r="AF378" s="118"/>
      <c r="AG378" s="118"/>
      <c r="AK378">
        <f t="shared" si="56"/>
        <v>12337920</v>
      </c>
      <c r="AL378">
        <f t="shared" si="56"/>
        <v>12337920</v>
      </c>
      <c r="AM378">
        <f t="shared" si="56"/>
        <v>12337920</v>
      </c>
      <c r="AN378">
        <f t="shared" si="56"/>
        <v>12337920</v>
      </c>
      <c r="AO378">
        <f t="shared" si="56"/>
        <v>12337920</v>
      </c>
    </row>
    <row r="379" spans="1:41">
      <c r="A379" s="185">
        <f>'Water Stuff'!F313</f>
        <v>44870</v>
      </c>
      <c r="B379" s="118">
        <f>'Filtration System'!B343</f>
        <v>880.00000000000011</v>
      </c>
      <c r="C379" s="118">
        <f>'Filtration System'!C343</f>
        <v>1200</v>
      </c>
      <c r="D379" s="118">
        <f>'Filtration System'!D343</f>
        <v>0</v>
      </c>
      <c r="E379" s="118">
        <f>'Filtration System'!E343</f>
        <v>2385.0721101758259</v>
      </c>
      <c r="F379" s="118">
        <f>'Filtration System'!F343</f>
        <v>402.50619967824701</v>
      </c>
      <c r="G379" s="118"/>
      <c r="H379" s="118">
        <f>B379/1000*(1000*9.81*Pumps!$B$14+'Parameters and Satisfaction'!$B$27)</f>
        <v>235886.79774448473</v>
      </c>
      <c r="I379" s="118">
        <f>C379/1000*(1000*9.81*Pumps!$B$14+'Parameters and Satisfaction'!$B$27)</f>
        <v>321663.81510611548</v>
      </c>
      <c r="J379" s="118">
        <f>D379/1000*(1000*9.81*Pumps!$B$14+'Parameters and Satisfaction'!$B$27)</f>
        <v>0</v>
      </c>
      <c r="K379" s="118">
        <f>E379/1000*(1000*9.81*Pumps!$B$14+'Parameters and Satisfaction'!$B$27)</f>
        <v>639326.16188529134</v>
      </c>
      <c r="L379" s="118">
        <f>F379/1000*(1000*9.81*Pumps!$B$14+'Parameters and Satisfaction'!$B$27)</f>
        <v>107893.06649364071</v>
      </c>
      <c r="M379" s="118"/>
      <c r="N379" s="118">
        <f>H379/IF('Parameters and Satisfaction'!$C$13="Pump A", 0.7, IF('Parameters and Satisfaction'!$C$13 = "Pump B", 0.72, 0.65))</f>
        <v>327620.5524228955</v>
      </c>
      <c r="O379" s="118">
        <f>I379/IF('Parameters and Satisfaction'!$C$13="Pump A", 0.7, IF('Parameters and Satisfaction'!$C$13 = "Pump B", 0.72, 0.65))</f>
        <v>446755.29875849374</v>
      </c>
      <c r="P379" s="118">
        <f>J379/IF('Parameters and Satisfaction'!$C$13="Pump A", 0.7, IF('Parameters and Satisfaction'!$C$13 = "Pump B", 0.72, 0.65))</f>
        <v>0</v>
      </c>
      <c r="Q379" s="118">
        <f>K379/IF('Parameters and Satisfaction'!$C$13="Pump A", 0.7, IF('Parameters and Satisfaction'!$C$13 = "Pump B", 0.72, 0.65))</f>
        <v>887953.00261846022</v>
      </c>
      <c r="R379" s="118">
        <f>L379/IF('Parameters and Satisfaction'!$C$13="Pump A", 0.7, IF('Parameters and Satisfaction'!$C$13 = "Pump B", 0.72, 0.65))</f>
        <v>149851.48124116767</v>
      </c>
      <c r="S379" s="118"/>
      <c r="T379" s="118">
        <f>N379+$F$47+IF('Parameters and Satisfaction'!$C$19="Ozone", 'Filtration System'!AA343*1000000, 0)</f>
        <v>5015120.5524228951</v>
      </c>
      <c r="U379" s="118">
        <f>O379+$F$47+IF('Parameters and Satisfaction'!$C$19="Ozone", 'Filtration System'!AB343*1000000, 0)</f>
        <v>5134255.2987584937</v>
      </c>
      <c r="V379" s="118">
        <f>P379+$F$47+IF('Parameters and Satisfaction'!$C$19="Ozone", 'Filtration System'!AC343*1000000, 0)</f>
        <v>4687500</v>
      </c>
      <c r="W379" s="118">
        <f>Q379+$F$47+IF('Parameters and Satisfaction'!$C$19="Ozone", 'Filtration System'!AD343*1000000, 0)</f>
        <v>5575453.00261846</v>
      </c>
      <c r="X379" s="118">
        <f>R379+$F$47+IF('Parameters and Satisfaction'!$C$19="Ozone", 'Filtration System'!AE343*1000000, 0)</f>
        <v>4837351.4812411675</v>
      </c>
      <c r="Y379" s="118"/>
      <c r="Z379" s="118">
        <f t="shared" si="47"/>
        <v>0.35822289660163537</v>
      </c>
      <c r="AA379" s="118">
        <f t="shared" si="48"/>
        <v>0.36673252133989243</v>
      </c>
      <c r="AB379" s="118">
        <f t="shared" si="49"/>
        <v>0.33482142857142855</v>
      </c>
      <c r="AC379" s="118">
        <f t="shared" si="50"/>
        <v>0.39824664304417573</v>
      </c>
      <c r="AD379" s="118">
        <f t="shared" si="51"/>
        <v>0.34552510580294055</v>
      </c>
      <c r="AE379" s="118"/>
      <c r="AF379" s="118"/>
      <c r="AG379" s="118"/>
      <c r="AK379">
        <f t="shared" si="56"/>
        <v>12337920</v>
      </c>
      <c r="AL379">
        <f t="shared" si="56"/>
        <v>12337920</v>
      </c>
      <c r="AM379">
        <f t="shared" si="56"/>
        <v>12337920</v>
      </c>
      <c r="AN379">
        <f t="shared" si="56"/>
        <v>12337920</v>
      </c>
      <c r="AO379">
        <f t="shared" si="56"/>
        <v>12337920</v>
      </c>
    </row>
    <row r="380" spans="1:41">
      <c r="A380" s="185">
        <f>'Water Stuff'!F314</f>
        <v>44871</v>
      </c>
      <c r="B380" s="118">
        <f>'Filtration System'!B344</f>
        <v>4040</v>
      </c>
      <c r="C380" s="118">
        <f>'Filtration System'!C344</f>
        <v>8840</v>
      </c>
      <c r="D380" s="118">
        <f>'Filtration System'!D344</f>
        <v>4844.2852821844017</v>
      </c>
      <c r="E380" s="118">
        <f>'Filtration System'!E344</f>
        <v>7099.4177721933002</v>
      </c>
      <c r="F380" s="118">
        <f>'Filtration System'!F344</f>
        <v>4732.4229864163499</v>
      </c>
      <c r="G380" s="118"/>
      <c r="H380" s="118">
        <f>B380/1000*(1000*9.81*Pumps!$B$14+'Parameters and Satisfaction'!$B$27)</f>
        <v>1082934.8441905889</v>
      </c>
      <c r="I380" s="118">
        <f>C380/1000*(1000*9.81*Pumps!$B$14+'Parameters and Satisfaction'!$B$27)</f>
        <v>2369590.1046150508</v>
      </c>
      <c r="J380" s="118">
        <f>D380/1000*(1000*9.81*Pumps!$B$14+'Parameters and Satisfaction'!$B$27)</f>
        <v>1298526.0711081999</v>
      </c>
      <c r="K380" s="118">
        <f>E380/1000*(1000*9.81*Pumps!$B$14+'Parameters and Satisfaction'!$B$27)</f>
        <v>1903021.5046965468</v>
      </c>
      <c r="L380" s="118">
        <f>F380/1000*(1000*9.81*Pumps!$B$14+'Parameters and Satisfaction'!$B$27)</f>
        <v>1268541.0270887997</v>
      </c>
      <c r="M380" s="118"/>
      <c r="N380" s="118">
        <f>H380/IF('Parameters and Satisfaction'!$C$13="Pump A", 0.7, IF('Parameters and Satisfaction'!$C$13 = "Pump B", 0.72, 0.65))</f>
        <v>1504076.1724869292</v>
      </c>
      <c r="O380" s="118">
        <f>I380/IF('Parameters and Satisfaction'!$C$13="Pump A", 0.7, IF('Parameters and Satisfaction'!$C$13 = "Pump B", 0.72, 0.65))</f>
        <v>3291097.3675209042</v>
      </c>
      <c r="P380" s="118">
        <f>J380/IF('Parameters and Satisfaction'!$C$13="Pump A", 0.7, IF('Parameters and Satisfaction'!$C$13 = "Pump B", 0.72, 0.65))</f>
        <v>1803508.4320947221</v>
      </c>
      <c r="Q380" s="118">
        <f>K380/IF('Parameters and Satisfaction'!$C$13="Pump A", 0.7, IF('Parameters and Satisfaction'!$C$13 = "Pump B", 0.72, 0.65))</f>
        <v>2643085.4231896484</v>
      </c>
      <c r="R380" s="118">
        <f>L380/IF('Parameters and Satisfaction'!$C$13="Pump A", 0.7, IF('Parameters and Satisfaction'!$C$13 = "Pump B", 0.72, 0.65))</f>
        <v>1761862.537623333</v>
      </c>
      <c r="S380" s="118"/>
      <c r="T380" s="118">
        <f>N380+$F$47+IF('Parameters and Satisfaction'!$C$19="Ozone", 'Filtration System'!AA344*1000000, 0)</f>
        <v>6191576.1724869292</v>
      </c>
      <c r="U380" s="118">
        <f>O380+$F$47+IF('Parameters and Satisfaction'!$C$19="Ozone", 'Filtration System'!AB344*1000000, 0)</f>
        <v>7978597.3675209042</v>
      </c>
      <c r="V380" s="118">
        <f>P380+$F$47+IF('Parameters and Satisfaction'!$C$19="Ozone", 'Filtration System'!AC344*1000000, 0)</f>
        <v>6491008.4320947221</v>
      </c>
      <c r="W380" s="118">
        <f>Q380+$F$47+IF('Parameters and Satisfaction'!$C$19="Ozone", 'Filtration System'!AD344*1000000, 0)</f>
        <v>7330585.4231896484</v>
      </c>
      <c r="X380" s="118">
        <f>R380+$F$47+IF('Parameters and Satisfaction'!$C$19="Ozone", 'Filtration System'!AE344*1000000, 0)</f>
        <v>6449362.5376233328</v>
      </c>
      <c r="Y380" s="118"/>
      <c r="Z380" s="118">
        <f t="shared" si="47"/>
        <v>0.44225544089192353</v>
      </c>
      <c r="AA380" s="118">
        <f t="shared" si="48"/>
        <v>0.56989981196577888</v>
      </c>
      <c r="AB380" s="118">
        <f t="shared" si="49"/>
        <v>0.4636434594353373</v>
      </c>
      <c r="AC380" s="118">
        <f t="shared" si="50"/>
        <v>0.52361324451354629</v>
      </c>
      <c r="AD380" s="118">
        <f t="shared" si="51"/>
        <v>0.46066875268738089</v>
      </c>
      <c r="AE380" s="118"/>
      <c r="AF380" s="118"/>
      <c r="AG380" s="118"/>
      <c r="AK380">
        <f t="shared" si="56"/>
        <v>12337920</v>
      </c>
      <c r="AL380">
        <f t="shared" si="56"/>
        <v>12337920</v>
      </c>
      <c r="AM380">
        <f t="shared" si="56"/>
        <v>12337920</v>
      </c>
      <c r="AN380">
        <f t="shared" si="56"/>
        <v>12337920</v>
      </c>
      <c r="AO380">
        <f t="shared" si="56"/>
        <v>12337920</v>
      </c>
    </row>
    <row r="381" spans="1:41">
      <c r="A381" s="185">
        <f>'Water Stuff'!F315</f>
        <v>44872</v>
      </c>
      <c r="B381" s="118">
        <f>'Filtration System'!B345</f>
        <v>280</v>
      </c>
      <c r="C381" s="118">
        <f>'Filtration System'!C345</f>
        <v>440.00000000000006</v>
      </c>
      <c r="D381" s="118">
        <f>'Filtration System'!D345</f>
        <v>0</v>
      </c>
      <c r="E381" s="118">
        <f>'Filtration System'!E345</f>
        <v>23.872670996949619</v>
      </c>
      <c r="F381" s="118">
        <f>'Filtration System'!F345</f>
        <v>0</v>
      </c>
      <c r="G381" s="118"/>
      <c r="H381" s="118">
        <f>B381/1000*(1000*9.81*Pumps!$B$14+'Parameters and Satisfaction'!$B$27)</f>
        <v>75054.890191426952</v>
      </c>
      <c r="I381" s="118">
        <f>C381/1000*(1000*9.81*Pumps!$B$14+'Parameters and Satisfaction'!$B$27)</f>
        <v>117943.39887224237</v>
      </c>
      <c r="J381" s="118">
        <f>D381/1000*(1000*9.81*Pumps!$B$14+'Parameters and Satisfaction'!$B$27)</f>
        <v>0</v>
      </c>
      <c r="K381" s="118">
        <f>E381/1000*(1000*9.81*Pumps!$B$14+'Parameters and Satisfaction'!$B$27)</f>
        <v>6399.1453580432735</v>
      </c>
      <c r="L381" s="118">
        <f>F381/1000*(1000*9.81*Pumps!$B$14+'Parameters and Satisfaction'!$B$27)</f>
        <v>0</v>
      </c>
      <c r="M381" s="118"/>
      <c r="N381" s="118">
        <f>H381/IF('Parameters and Satisfaction'!$C$13="Pump A", 0.7, IF('Parameters and Satisfaction'!$C$13 = "Pump B", 0.72, 0.65))</f>
        <v>104242.90304364855</v>
      </c>
      <c r="O381" s="118">
        <f>I381/IF('Parameters and Satisfaction'!$C$13="Pump A", 0.7, IF('Parameters and Satisfaction'!$C$13 = "Pump B", 0.72, 0.65))</f>
        <v>163810.27621144775</v>
      </c>
      <c r="P381" s="118">
        <f>J381/IF('Parameters and Satisfaction'!$C$13="Pump A", 0.7, IF('Parameters and Satisfaction'!$C$13 = "Pump B", 0.72, 0.65))</f>
        <v>0</v>
      </c>
      <c r="Q381" s="118">
        <f>K381/IF('Parameters and Satisfaction'!$C$13="Pump A", 0.7, IF('Parameters and Satisfaction'!$C$13 = "Pump B", 0.72, 0.65))</f>
        <v>8887.7018861712131</v>
      </c>
      <c r="R381" s="118">
        <f>L381/IF('Parameters and Satisfaction'!$C$13="Pump A", 0.7, IF('Parameters and Satisfaction'!$C$13 = "Pump B", 0.72, 0.65))</f>
        <v>0</v>
      </c>
      <c r="S381" s="118"/>
      <c r="T381" s="118">
        <f>N381+$F$47+IF('Parameters and Satisfaction'!$C$19="Ozone", 'Filtration System'!AA345*1000000, 0)</f>
        <v>4791742.9030436482</v>
      </c>
      <c r="U381" s="118">
        <f>O381+$F$47+IF('Parameters and Satisfaction'!$C$19="Ozone", 'Filtration System'!AB345*1000000, 0)</f>
        <v>4851310.276211448</v>
      </c>
      <c r="V381" s="118">
        <f>P381+$F$47+IF('Parameters and Satisfaction'!$C$19="Ozone", 'Filtration System'!AC345*1000000, 0)</f>
        <v>4687500</v>
      </c>
      <c r="W381" s="118">
        <f>Q381+$F$47+IF('Parameters and Satisfaction'!$C$19="Ozone", 'Filtration System'!AD345*1000000, 0)</f>
        <v>4696387.7018861715</v>
      </c>
      <c r="X381" s="118">
        <f>R381+$F$47+IF('Parameters and Satisfaction'!$C$19="Ozone", 'Filtration System'!AE345*1000000, 0)</f>
        <v>4687500</v>
      </c>
      <c r="Y381" s="118"/>
      <c r="Z381" s="118">
        <f t="shared" si="47"/>
        <v>0.34226735021740345</v>
      </c>
      <c r="AA381" s="118">
        <f t="shared" si="48"/>
        <v>0.34652216258653201</v>
      </c>
      <c r="AB381" s="118">
        <f t="shared" si="49"/>
        <v>0.33482142857142855</v>
      </c>
      <c r="AC381" s="118">
        <f t="shared" si="50"/>
        <v>0.3354562644204408</v>
      </c>
      <c r="AD381" s="118">
        <f t="shared" si="51"/>
        <v>0.33482142857142855</v>
      </c>
      <c r="AE381" s="118"/>
      <c r="AF381" s="118"/>
      <c r="AG381" s="118"/>
      <c r="AK381">
        <f t="shared" si="56"/>
        <v>12337920</v>
      </c>
      <c r="AL381">
        <f t="shared" si="56"/>
        <v>12337920</v>
      </c>
      <c r="AM381">
        <f t="shared" si="56"/>
        <v>12337920</v>
      </c>
      <c r="AN381">
        <f t="shared" si="56"/>
        <v>12337920</v>
      </c>
      <c r="AO381">
        <f t="shared" si="56"/>
        <v>12337920</v>
      </c>
    </row>
    <row r="382" spans="1:41">
      <c r="A382" s="185">
        <f>'Water Stuff'!F316</f>
        <v>44873</v>
      </c>
      <c r="B382" s="118">
        <f>'Filtration System'!B346</f>
        <v>6800</v>
      </c>
      <c r="C382" s="118">
        <f>'Filtration System'!C346</f>
        <v>320</v>
      </c>
      <c r="D382" s="118">
        <f>'Filtration System'!D346</f>
        <v>7417.6413113410645</v>
      </c>
      <c r="E382" s="118">
        <f>'Filtration System'!E346</f>
        <v>0</v>
      </c>
      <c r="F382" s="118">
        <f>'Filtration System'!F346</f>
        <v>5032.5944894646218</v>
      </c>
      <c r="G382" s="118"/>
      <c r="H382" s="118">
        <f>B382/1000*(1000*9.81*Pumps!$B$14+'Parameters and Satisfaction'!$B$27)</f>
        <v>1822761.6189346544</v>
      </c>
      <c r="I382" s="118">
        <f>C382/1000*(1000*9.81*Pumps!$B$14+'Parameters and Satisfaction'!$B$27)</f>
        <v>85777.017361630802</v>
      </c>
      <c r="J382" s="118">
        <f>D382/1000*(1000*9.81*Pumps!$B$14+'Parameters and Satisfaction'!$B$27)</f>
        <v>1988322.3360789136</v>
      </c>
      <c r="K382" s="118">
        <f>E382/1000*(1000*9.81*Pumps!$B$14+'Parameters and Satisfaction'!$B$27)</f>
        <v>0</v>
      </c>
      <c r="L382" s="118">
        <f>F382/1000*(1000*9.81*Pumps!$B$14+'Parameters and Satisfaction'!$B$27)</f>
        <v>1349002.95280267</v>
      </c>
      <c r="M382" s="118"/>
      <c r="N382" s="118">
        <f>H382/IF('Parameters and Satisfaction'!$C$13="Pump A", 0.7, IF('Parameters and Satisfaction'!$C$13 = "Pump B", 0.72, 0.65))</f>
        <v>2531613.3596314644</v>
      </c>
      <c r="O382" s="118">
        <f>I382/IF('Parameters and Satisfaction'!$C$13="Pump A", 0.7, IF('Parameters and Satisfaction'!$C$13 = "Pump B", 0.72, 0.65))</f>
        <v>119134.74633559833</v>
      </c>
      <c r="P382" s="118">
        <f>J382/IF('Parameters and Satisfaction'!$C$13="Pump A", 0.7, IF('Parameters and Satisfaction'!$C$13 = "Pump B", 0.72, 0.65))</f>
        <v>2761558.8001096025</v>
      </c>
      <c r="Q382" s="118">
        <f>K382/IF('Parameters and Satisfaction'!$C$13="Pump A", 0.7, IF('Parameters and Satisfaction'!$C$13 = "Pump B", 0.72, 0.65))</f>
        <v>0</v>
      </c>
      <c r="R382" s="118">
        <f>L382/IF('Parameters and Satisfaction'!$C$13="Pump A", 0.7, IF('Parameters and Satisfaction'!$C$13 = "Pump B", 0.72, 0.65))</f>
        <v>1873615.2122259305</v>
      </c>
      <c r="S382" s="118"/>
      <c r="T382" s="118">
        <f>N382+$F$47+IF('Parameters and Satisfaction'!$C$19="Ozone", 'Filtration System'!AA346*1000000, 0)</f>
        <v>7219113.3596314639</v>
      </c>
      <c r="U382" s="118">
        <f>O382+$F$47+IF('Parameters and Satisfaction'!$C$19="Ozone", 'Filtration System'!AB346*1000000, 0)</f>
        <v>4806634.7463355986</v>
      </c>
      <c r="V382" s="118">
        <f>P382+$F$47+IF('Parameters and Satisfaction'!$C$19="Ozone", 'Filtration System'!AC346*1000000, 0)</f>
        <v>7449058.8001096025</v>
      </c>
      <c r="W382" s="118">
        <f>Q382+$F$47+IF('Parameters and Satisfaction'!$C$19="Ozone", 'Filtration System'!AD346*1000000, 0)</f>
        <v>4687500</v>
      </c>
      <c r="X382" s="118">
        <f>R382+$F$47+IF('Parameters and Satisfaction'!$C$19="Ozone", 'Filtration System'!AE346*1000000, 0)</f>
        <v>6561115.2122259308</v>
      </c>
      <c r="Y382" s="118"/>
      <c r="Z382" s="118">
        <f t="shared" si="47"/>
        <v>0.51565095425939023</v>
      </c>
      <c r="AA382" s="118">
        <f t="shared" si="48"/>
        <v>0.34333105330968561</v>
      </c>
      <c r="AB382" s="118">
        <f t="shared" si="49"/>
        <v>0.53207562857925728</v>
      </c>
      <c r="AC382" s="118">
        <f t="shared" si="50"/>
        <v>0.33482142857142855</v>
      </c>
      <c r="AD382" s="118">
        <f t="shared" si="51"/>
        <v>0.46865108658756649</v>
      </c>
      <c r="AE382" s="118"/>
      <c r="AF382" s="118"/>
      <c r="AG382" s="118"/>
      <c r="AK382">
        <f t="shared" si="56"/>
        <v>12337920</v>
      </c>
      <c r="AL382">
        <f t="shared" si="56"/>
        <v>12337920</v>
      </c>
      <c r="AM382">
        <f t="shared" si="56"/>
        <v>12337920</v>
      </c>
      <c r="AN382">
        <f t="shared" si="56"/>
        <v>12337920</v>
      </c>
      <c r="AO382">
        <f t="shared" si="56"/>
        <v>12337920</v>
      </c>
    </row>
    <row r="383" spans="1:41">
      <c r="A383" s="185">
        <f>'Water Stuff'!F317</f>
        <v>44874</v>
      </c>
      <c r="B383" s="118">
        <f>'Filtration System'!B347</f>
        <v>0</v>
      </c>
      <c r="C383" s="118">
        <f>'Filtration System'!C347</f>
        <v>0</v>
      </c>
      <c r="D383" s="118">
        <f>'Filtration System'!D347</f>
        <v>0</v>
      </c>
      <c r="E383" s="118">
        <f>'Filtration System'!E347</f>
        <v>369.40233978439261</v>
      </c>
      <c r="F383" s="118">
        <f>'Filtration System'!F347</f>
        <v>0</v>
      </c>
      <c r="G383" s="118"/>
      <c r="H383" s="118">
        <f>B383/1000*(1000*9.81*Pumps!$B$14+'Parameters and Satisfaction'!$B$27)</f>
        <v>0</v>
      </c>
      <c r="I383" s="118">
        <f>C383/1000*(1000*9.81*Pumps!$B$14+'Parameters and Satisfaction'!$B$27)</f>
        <v>0</v>
      </c>
      <c r="J383" s="118">
        <f>D383/1000*(1000*9.81*Pumps!$B$14+'Parameters and Satisfaction'!$B$27)</f>
        <v>0</v>
      </c>
      <c r="K383" s="118">
        <f>E383/1000*(1000*9.81*Pumps!$B$14+'Parameters and Satisfaction'!$B$27)</f>
        <v>99019.471603477767</v>
      </c>
      <c r="L383" s="118">
        <f>F383/1000*(1000*9.81*Pumps!$B$14+'Parameters and Satisfaction'!$B$27)</f>
        <v>0</v>
      </c>
      <c r="M383" s="118"/>
      <c r="N383" s="118">
        <f>H383/IF('Parameters and Satisfaction'!$C$13="Pump A", 0.7, IF('Parameters and Satisfaction'!$C$13 = "Pump B", 0.72, 0.65))</f>
        <v>0</v>
      </c>
      <c r="O383" s="118">
        <f>I383/IF('Parameters and Satisfaction'!$C$13="Pump A", 0.7, IF('Parameters and Satisfaction'!$C$13 = "Pump B", 0.72, 0.65))</f>
        <v>0</v>
      </c>
      <c r="P383" s="118">
        <f>J383/IF('Parameters and Satisfaction'!$C$13="Pump A", 0.7, IF('Parameters and Satisfaction'!$C$13 = "Pump B", 0.72, 0.65))</f>
        <v>0</v>
      </c>
      <c r="Q383" s="118">
        <f>K383/IF('Parameters and Satisfaction'!$C$13="Pump A", 0.7, IF('Parameters and Satisfaction'!$C$13 = "Pump B", 0.72, 0.65))</f>
        <v>137527.04389371912</v>
      </c>
      <c r="R383" s="118">
        <f>L383/IF('Parameters and Satisfaction'!$C$13="Pump A", 0.7, IF('Parameters and Satisfaction'!$C$13 = "Pump B", 0.72, 0.65))</f>
        <v>0</v>
      </c>
      <c r="S383" s="118"/>
      <c r="T383" s="118">
        <f>N383+$F$47+IF('Parameters and Satisfaction'!$C$19="Ozone", 'Filtration System'!AA347*1000000, 0)</f>
        <v>4687500</v>
      </c>
      <c r="U383" s="118">
        <f>O383+$F$47+IF('Parameters and Satisfaction'!$C$19="Ozone", 'Filtration System'!AB347*1000000, 0)</f>
        <v>4687500</v>
      </c>
      <c r="V383" s="118">
        <f>P383+$F$47+IF('Parameters and Satisfaction'!$C$19="Ozone", 'Filtration System'!AC347*1000000, 0)</f>
        <v>4687500</v>
      </c>
      <c r="W383" s="118">
        <f>Q383+$F$47+IF('Parameters and Satisfaction'!$C$19="Ozone", 'Filtration System'!AD347*1000000, 0)</f>
        <v>4825027.0438937191</v>
      </c>
      <c r="X383" s="118">
        <f>R383+$F$47+IF('Parameters and Satisfaction'!$C$19="Ozone", 'Filtration System'!AE347*1000000, 0)</f>
        <v>4687500</v>
      </c>
      <c r="Y383" s="118"/>
      <c r="Z383" s="118">
        <f t="shared" si="47"/>
        <v>0.33482142857142855</v>
      </c>
      <c r="AA383" s="118">
        <f t="shared" si="48"/>
        <v>0.33482142857142855</v>
      </c>
      <c r="AB383" s="118">
        <f t="shared" si="49"/>
        <v>0.33482142857142855</v>
      </c>
      <c r="AC383" s="118">
        <f t="shared" si="50"/>
        <v>0.34464478884955135</v>
      </c>
      <c r="AD383" s="118">
        <f t="shared" si="51"/>
        <v>0.33482142857142855</v>
      </c>
      <c r="AE383" s="118"/>
      <c r="AF383" s="118"/>
      <c r="AG383" s="118"/>
      <c r="AK383">
        <f t="shared" si="56"/>
        <v>12337920</v>
      </c>
      <c r="AL383">
        <f t="shared" si="56"/>
        <v>12337920</v>
      </c>
      <c r="AM383">
        <f t="shared" si="56"/>
        <v>12337920</v>
      </c>
      <c r="AN383">
        <f t="shared" si="56"/>
        <v>12337920</v>
      </c>
      <c r="AO383">
        <f t="shared" si="56"/>
        <v>12337920</v>
      </c>
    </row>
    <row r="384" spans="1:41">
      <c r="A384" s="185">
        <f>'Water Stuff'!F318</f>
        <v>44875</v>
      </c>
      <c r="B384" s="118">
        <f>'Filtration System'!B348</f>
        <v>0</v>
      </c>
      <c r="C384" s="118">
        <f>'Filtration System'!C348</f>
        <v>4100</v>
      </c>
      <c r="D384" s="118">
        <f>'Filtration System'!D348</f>
        <v>0</v>
      </c>
      <c r="E384" s="118">
        <f>'Filtration System'!E348</f>
        <v>1049.6674393578623</v>
      </c>
      <c r="F384" s="118">
        <f>'Filtration System'!F348</f>
        <v>263.22083430227582</v>
      </c>
      <c r="G384" s="118"/>
      <c r="H384" s="118">
        <f>B384/1000*(1000*9.81*Pumps!$B$14+'Parameters and Satisfaction'!$B$27)</f>
        <v>0</v>
      </c>
      <c r="I384" s="118">
        <f>C384/1000*(1000*9.81*Pumps!$B$14+'Parameters and Satisfaction'!$B$27)</f>
        <v>1099018.0349458945</v>
      </c>
      <c r="J384" s="118">
        <f>D384/1000*(1000*9.81*Pumps!$B$14+'Parameters and Satisfaction'!$B$27)</f>
        <v>0</v>
      </c>
      <c r="K384" s="118">
        <f>E384/1000*(1000*9.81*Pumps!$B$14+'Parameters and Satisfaction'!$B$27)</f>
        <v>281366.69428043097</v>
      </c>
      <c r="L384" s="118">
        <f>F384/1000*(1000*9.81*Pumps!$B$14+'Parameters and Satisfaction'!$B$27)</f>
        <v>70557.181480903935</v>
      </c>
      <c r="M384" s="118"/>
      <c r="N384" s="118">
        <f>H384/IF('Parameters and Satisfaction'!$C$13="Pump A", 0.7, IF('Parameters and Satisfaction'!$C$13 = "Pump B", 0.72, 0.65))</f>
        <v>0</v>
      </c>
      <c r="O384" s="118">
        <f>I384/IF('Parameters and Satisfaction'!$C$13="Pump A", 0.7, IF('Parameters and Satisfaction'!$C$13 = "Pump B", 0.72, 0.65))</f>
        <v>1526413.9374248534</v>
      </c>
      <c r="P384" s="118">
        <f>J384/IF('Parameters and Satisfaction'!$C$13="Pump A", 0.7, IF('Parameters and Satisfaction'!$C$13 = "Pump B", 0.72, 0.65))</f>
        <v>0</v>
      </c>
      <c r="Q384" s="118">
        <f>K384/IF('Parameters and Satisfaction'!$C$13="Pump A", 0.7, IF('Parameters and Satisfaction'!$C$13 = "Pump B", 0.72, 0.65))</f>
        <v>390787.07538948749</v>
      </c>
      <c r="R384" s="118">
        <f>L384/IF('Parameters and Satisfaction'!$C$13="Pump A", 0.7, IF('Parameters and Satisfaction'!$C$13 = "Pump B", 0.72, 0.65))</f>
        <v>97996.085390144362</v>
      </c>
      <c r="S384" s="118"/>
      <c r="T384" s="118">
        <f>N384+$F$47+IF('Parameters and Satisfaction'!$C$19="Ozone", 'Filtration System'!AA348*1000000, 0)</f>
        <v>4687500</v>
      </c>
      <c r="U384" s="118">
        <f>O384+$F$47+IF('Parameters and Satisfaction'!$C$19="Ozone", 'Filtration System'!AB348*1000000, 0)</f>
        <v>6213913.9374248534</v>
      </c>
      <c r="V384" s="118">
        <f>P384+$F$47+IF('Parameters and Satisfaction'!$C$19="Ozone", 'Filtration System'!AC348*1000000, 0)</f>
        <v>4687500</v>
      </c>
      <c r="W384" s="118">
        <f>Q384+$F$47+IF('Parameters and Satisfaction'!$C$19="Ozone", 'Filtration System'!AD348*1000000, 0)</f>
        <v>5078287.0753894877</v>
      </c>
      <c r="X384" s="118">
        <f>R384+$F$47+IF('Parameters and Satisfaction'!$C$19="Ozone", 'Filtration System'!AE348*1000000, 0)</f>
        <v>4785496.085390144</v>
      </c>
      <c r="Y384" s="118"/>
      <c r="Z384" s="118">
        <f t="shared" si="47"/>
        <v>0.33482142857142855</v>
      </c>
      <c r="AA384" s="118">
        <f t="shared" si="48"/>
        <v>0.44385099553034668</v>
      </c>
      <c r="AB384" s="118">
        <f t="shared" si="49"/>
        <v>0.33482142857142855</v>
      </c>
      <c r="AC384" s="118">
        <f t="shared" si="50"/>
        <v>0.36273479109924911</v>
      </c>
      <c r="AD384" s="118">
        <f t="shared" si="51"/>
        <v>0.34182114895643884</v>
      </c>
      <c r="AE384" s="118"/>
      <c r="AF384" s="118"/>
      <c r="AG384" s="118"/>
      <c r="AK384">
        <f t="shared" si="56"/>
        <v>12337920</v>
      </c>
      <c r="AL384">
        <f t="shared" si="56"/>
        <v>12337920</v>
      </c>
      <c r="AM384">
        <f t="shared" si="56"/>
        <v>12337920</v>
      </c>
      <c r="AN384">
        <f t="shared" si="56"/>
        <v>12337920</v>
      </c>
      <c r="AO384">
        <f t="shared" si="56"/>
        <v>12337920</v>
      </c>
    </row>
    <row r="385" spans="1:41">
      <c r="A385" s="185">
        <f>'Water Stuff'!F319</f>
        <v>44876</v>
      </c>
      <c r="B385" s="118">
        <f>'Filtration System'!B349</f>
        <v>0</v>
      </c>
      <c r="C385" s="118">
        <f>'Filtration System'!C349</f>
        <v>3760</v>
      </c>
      <c r="D385" s="118">
        <f>'Filtration System'!D349</f>
        <v>0</v>
      </c>
      <c r="E385" s="118">
        <f>'Filtration System'!E349</f>
        <v>4943.8717440210139</v>
      </c>
      <c r="F385" s="118">
        <f>'Filtration System'!F349</f>
        <v>0</v>
      </c>
      <c r="G385" s="118"/>
      <c r="H385" s="118">
        <f>B385/1000*(1000*9.81*Pumps!$B$14+'Parameters and Satisfaction'!$B$27)</f>
        <v>0</v>
      </c>
      <c r="I385" s="118">
        <f>C385/1000*(1000*9.81*Pumps!$B$14+'Parameters and Satisfaction'!$B$27)</f>
        <v>1007879.9539991618</v>
      </c>
      <c r="J385" s="118">
        <f>D385/1000*(1000*9.81*Pumps!$B$14+'Parameters and Satisfaction'!$B$27)</f>
        <v>0</v>
      </c>
      <c r="K385" s="118">
        <f>E385/1000*(1000*9.81*Pumps!$B$14+'Parameters and Satisfaction'!$B$27)</f>
        <v>1325220.5388142702</v>
      </c>
      <c r="L385" s="118">
        <f>F385/1000*(1000*9.81*Pumps!$B$14+'Parameters and Satisfaction'!$B$27)</f>
        <v>0</v>
      </c>
      <c r="M385" s="118"/>
      <c r="N385" s="118">
        <f>H385/IF('Parameters and Satisfaction'!$C$13="Pump A", 0.7, IF('Parameters and Satisfaction'!$C$13 = "Pump B", 0.72, 0.65))</f>
        <v>0</v>
      </c>
      <c r="O385" s="118">
        <f>I385/IF('Parameters and Satisfaction'!$C$13="Pump A", 0.7, IF('Parameters and Satisfaction'!$C$13 = "Pump B", 0.72, 0.65))</f>
        <v>1399833.2694432803</v>
      </c>
      <c r="P385" s="118">
        <f>J385/IF('Parameters and Satisfaction'!$C$13="Pump A", 0.7, IF('Parameters and Satisfaction'!$C$13 = "Pump B", 0.72, 0.65))</f>
        <v>0</v>
      </c>
      <c r="Q385" s="118">
        <f>K385/IF('Parameters and Satisfaction'!$C$13="Pump A", 0.7, IF('Parameters and Satisfaction'!$C$13 = "Pump B", 0.72, 0.65))</f>
        <v>1840584.0816864865</v>
      </c>
      <c r="R385" s="118">
        <f>L385/IF('Parameters and Satisfaction'!$C$13="Pump A", 0.7, IF('Parameters and Satisfaction'!$C$13 = "Pump B", 0.72, 0.65))</f>
        <v>0</v>
      </c>
      <c r="S385" s="118"/>
      <c r="T385" s="118">
        <f>N385+$F$47+IF('Parameters and Satisfaction'!$C$19="Ozone", 'Filtration System'!AA349*1000000, 0)</f>
        <v>4687500</v>
      </c>
      <c r="U385" s="118">
        <f>O385+$F$47+IF('Parameters and Satisfaction'!$C$19="Ozone", 'Filtration System'!AB349*1000000, 0)</f>
        <v>6087333.2694432801</v>
      </c>
      <c r="V385" s="118">
        <f>P385+$F$47+IF('Parameters and Satisfaction'!$C$19="Ozone", 'Filtration System'!AC349*1000000, 0)</f>
        <v>4687500</v>
      </c>
      <c r="W385" s="118">
        <f>Q385+$F$47+IF('Parameters and Satisfaction'!$C$19="Ozone", 'Filtration System'!AD349*1000000, 0)</f>
        <v>6528084.0816864865</v>
      </c>
      <c r="X385" s="118">
        <f>R385+$F$47+IF('Parameters and Satisfaction'!$C$19="Ozone", 'Filtration System'!AE349*1000000, 0)</f>
        <v>4687500</v>
      </c>
      <c r="Y385" s="118"/>
      <c r="Z385" s="118">
        <f t="shared" si="47"/>
        <v>0.33482142857142855</v>
      </c>
      <c r="AA385" s="118">
        <f t="shared" si="48"/>
        <v>0.43480951924594857</v>
      </c>
      <c r="AB385" s="118">
        <f t="shared" si="49"/>
        <v>0.33482142857142855</v>
      </c>
      <c r="AC385" s="118">
        <f t="shared" si="50"/>
        <v>0.46629172012046333</v>
      </c>
      <c r="AD385" s="118">
        <f t="shared" si="51"/>
        <v>0.33482142857142855</v>
      </c>
      <c r="AE385" s="118"/>
      <c r="AF385" s="118"/>
      <c r="AG385" s="118"/>
      <c r="AK385">
        <f t="shared" ref="AK385:AO394" si="57">$D$65</f>
        <v>12337920</v>
      </c>
      <c r="AL385">
        <f t="shared" si="57"/>
        <v>12337920</v>
      </c>
      <c r="AM385">
        <f t="shared" si="57"/>
        <v>12337920</v>
      </c>
      <c r="AN385">
        <f t="shared" si="57"/>
        <v>12337920</v>
      </c>
      <c r="AO385">
        <f t="shared" si="57"/>
        <v>12337920</v>
      </c>
    </row>
    <row r="386" spans="1:41">
      <c r="A386" s="185">
        <f>'Water Stuff'!F320</f>
        <v>44877</v>
      </c>
      <c r="B386" s="118">
        <f>'Filtration System'!B350</f>
        <v>0</v>
      </c>
      <c r="C386" s="118">
        <f>'Filtration System'!C350</f>
        <v>10000</v>
      </c>
      <c r="D386" s="118">
        <f>'Filtration System'!D350</f>
        <v>0</v>
      </c>
      <c r="E386" s="118">
        <f>'Filtration System'!E350</f>
        <v>10000</v>
      </c>
      <c r="F386" s="118">
        <f>'Filtration System'!F350</f>
        <v>1414.0307354369775</v>
      </c>
      <c r="G386" s="118"/>
      <c r="H386" s="118">
        <f>B386/1000*(1000*9.81*Pumps!$B$14+'Parameters and Satisfaction'!$B$27)</f>
        <v>0</v>
      </c>
      <c r="I386" s="118">
        <f>C386/1000*(1000*9.81*Pumps!$B$14+'Parameters and Satisfaction'!$B$27)</f>
        <v>2680531.7925509624</v>
      </c>
      <c r="J386" s="118">
        <f>D386/1000*(1000*9.81*Pumps!$B$14+'Parameters and Satisfaction'!$B$27)</f>
        <v>0</v>
      </c>
      <c r="K386" s="118">
        <f>E386/1000*(1000*9.81*Pumps!$B$14+'Parameters and Satisfaction'!$B$27)</f>
        <v>2680531.7925509624</v>
      </c>
      <c r="L386" s="118">
        <f>F386/1000*(1000*9.81*Pumps!$B$14+'Parameters and Satisfaction'!$B$27)</f>
        <v>379035.43419830367</v>
      </c>
      <c r="M386" s="118"/>
      <c r="N386" s="118">
        <f>H386/IF('Parameters and Satisfaction'!$C$13="Pump A", 0.7, IF('Parameters and Satisfaction'!$C$13 = "Pump B", 0.72, 0.65))</f>
        <v>0</v>
      </c>
      <c r="O386" s="118">
        <f>I386/IF('Parameters and Satisfaction'!$C$13="Pump A", 0.7, IF('Parameters and Satisfaction'!$C$13 = "Pump B", 0.72, 0.65))</f>
        <v>3722960.822987448</v>
      </c>
      <c r="P386" s="118">
        <f>J386/IF('Parameters and Satisfaction'!$C$13="Pump A", 0.7, IF('Parameters and Satisfaction'!$C$13 = "Pump B", 0.72, 0.65))</f>
        <v>0</v>
      </c>
      <c r="Q386" s="118">
        <f>K386/IF('Parameters and Satisfaction'!$C$13="Pump A", 0.7, IF('Parameters and Satisfaction'!$C$13 = "Pump B", 0.72, 0.65))</f>
        <v>3722960.822987448</v>
      </c>
      <c r="R386" s="118">
        <f>L386/IF('Parameters and Satisfaction'!$C$13="Pump A", 0.7, IF('Parameters and Satisfaction'!$C$13 = "Pump B", 0.72, 0.65))</f>
        <v>526438.10305319959</v>
      </c>
      <c r="S386" s="118"/>
      <c r="T386" s="118">
        <f>N386+$F$47+IF('Parameters and Satisfaction'!$C$19="Ozone", 'Filtration System'!AA350*1000000, 0)</f>
        <v>4687500</v>
      </c>
      <c r="U386" s="118">
        <f>O386+$F$47+IF('Parameters and Satisfaction'!$C$19="Ozone", 'Filtration System'!AB350*1000000, 0)</f>
        <v>8410460.8229874484</v>
      </c>
      <c r="V386" s="118">
        <f>P386+$F$47+IF('Parameters and Satisfaction'!$C$19="Ozone", 'Filtration System'!AC350*1000000, 0)</f>
        <v>4687500</v>
      </c>
      <c r="W386" s="118">
        <f>Q386+$F$47+IF('Parameters and Satisfaction'!$C$19="Ozone", 'Filtration System'!AD350*1000000, 0)</f>
        <v>8410460.8229874484</v>
      </c>
      <c r="X386" s="118">
        <f>R386+$F$47+IF('Parameters and Satisfaction'!$C$19="Ozone", 'Filtration System'!AE350*1000000, 0)</f>
        <v>5213938.1030531991</v>
      </c>
      <c r="Y386" s="118"/>
      <c r="Z386" s="118">
        <f t="shared" si="47"/>
        <v>0.33482142857142855</v>
      </c>
      <c r="AA386" s="118">
        <f t="shared" si="48"/>
        <v>0.6007472016419606</v>
      </c>
      <c r="AB386" s="118">
        <f t="shared" si="49"/>
        <v>0.33482142857142855</v>
      </c>
      <c r="AC386" s="118">
        <f t="shared" si="50"/>
        <v>0.6007472016419606</v>
      </c>
      <c r="AD386" s="118">
        <f t="shared" si="51"/>
        <v>0.37242415021808567</v>
      </c>
      <c r="AE386" s="118"/>
      <c r="AF386" s="118"/>
      <c r="AG386" s="118"/>
      <c r="AK386">
        <f t="shared" si="57"/>
        <v>12337920</v>
      </c>
      <c r="AL386">
        <f t="shared" si="57"/>
        <v>12337920</v>
      </c>
      <c r="AM386">
        <f t="shared" si="57"/>
        <v>12337920</v>
      </c>
      <c r="AN386">
        <f t="shared" si="57"/>
        <v>12337920</v>
      </c>
      <c r="AO386">
        <f t="shared" si="57"/>
        <v>12337920</v>
      </c>
    </row>
    <row r="387" spans="1:41">
      <c r="A387" s="185">
        <f>'Water Stuff'!F321</f>
        <v>44878</v>
      </c>
      <c r="B387" s="118">
        <f>'Filtration System'!B351</f>
        <v>0</v>
      </c>
      <c r="C387" s="118">
        <f>'Filtration System'!C351</f>
        <v>2280</v>
      </c>
      <c r="D387" s="118">
        <f>'Filtration System'!D351</f>
        <v>1330.0747798453272</v>
      </c>
      <c r="E387" s="118">
        <f>'Filtration System'!E351</f>
        <v>0</v>
      </c>
      <c r="F387" s="118">
        <f>'Filtration System'!F351</f>
        <v>1260.9311443534928</v>
      </c>
      <c r="G387" s="118"/>
      <c r="H387" s="118">
        <f>B387/1000*(1000*9.81*Pumps!$B$14+'Parameters and Satisfaction'!$B$27)</f>
        <v>0</v>
      </c>
      <c r="I387" s="118">
        <f>C387/1000*(1000*9.81*Pumps!$B$14+'Parameters and Satisfaction'!$B$27)</f>
        <v>611161.24870161933</v>
      </c>
      <c r="J387" s="118">
        <f>D387/1000*(1000*9.81*Pumps!$B$14+'Parameters and Satisfaction'!$B$27)</f>
        <v>356530.77338456217</v>
      </c>
      <c r="K387" s="118">
        <f>E387/1000*(1000*9.81*Pumps!$B$14+'Parameters and Satisfaction'!$B$27)</f>
        <v>0</v>
      </c>
      <c r="L387" s="118">
        <f>F387/1000*(1000*9.81*Pumps!$B$14+'Parameters and Satisfaction'!$B$27)</f>
        <v>337996.60206572042</v>
      </c>
      <c r="M387" s="118"/>
      <c r="N387" s="118">
        <f>H387/IF('Parameters and Satisfaction'!$C$13="Pump A", 0.7, IF('Parameters and Satisfaction'!$C$13 = "Pump B", 0.72, 0.65))</f>
        <v>0</v>
      </c>
      <c r="O387" s="118">
        <f>I387/IF('Parameters and Satisfaction'!$C$13="Pump A", 0.7, IF('Parameters and Satisfaction'!$C$13 = "Pump B", 0.72, 0.65))</f>
        <v>848835.06764113798</v>
      </c>
      <c r="P387" s="118">
        <f>J387/IF('Parameters and Satisfaction'!$C$13="Pump A", 0.7, IF('Parameters and Satisfaction'!$C$13 = "Pump B", 0.72, 0.65))</f>
        <v>495181.62970078079</v>
      </c>
      <c r="Q387" s="118">
        <f>K387/IF('Parameters and Satisfaction'!$C$13="Pump A", 0.7, IF('Parameters and Satisfaction'!$C$13 = "Pump B", 0.72, 0.65))</f>
        <v>0</v>
      </c>
      <c r="R387" s="118">
        <f>L387/IF('Parameters and Satisfaction'!$C$13="Pump A", 0.7, IF('Parameters and Satisfaction'!$C$13 = "Pump B", 0.72, 0.65))</f>
        <v>469439.72509127838</v>
      </c>
      <c r="S387" s="118"/>
      <c r="T387" s="118">
        <f>N387+$F$47+IF('Parameters and Satisfaction'!$C$19="Ozone", 'Filtration System'!AA351*1000000, 0)</f>
        <v>4687500</v>
      </c>
      <c r="U387" s="118">
        <f>O387+$F$47+IF('Parameters and Satisfaction'!$C$19="Ozone", 'Filtration System'!AB351*1000000, 0)</f>
        <v>5536335.0676411381</v>
      </c>
      <c r="V387" s="118">
        <f>P387+$F$47+IF('Parameters and Satisfaction'!$C$19="Ozone", 'Filtration System'!AC351*1000000, 0)</f>
        <v>5182681.6297007808</v>
      </c>
      <c r="W387" s="118">
        <f>Q387+$F$47+IF('Parameters and Satisfaction'!$C$19="Ozone", 'Filtration System'!AD351*1000000, 0)</f>
        <v>4687500</v>
      </c>
      <c r="X387" s="118">
        <f>R387+$F$47+IF('Parameters and Satisfaction'!$C$19="Ozone", 'Filtration System'!AE351*1000000, 0)</f>
        <v>5156939.7250912786</v>
      </c>
      <c r="Y387" s="118"/>
      <c r="Z387" s="118">
        <f t="shared" si="47"/>
        <v>0.33482142857142855</v>
      </c>
      <c r="AA387" s="118">
        <f t="shared" si="48"/>
        <v>0.39545250483150984</v>
      </c>
      <c r="AB387" s="118">
        <f t="shared" si="49"/>
        <v>0.37019154497862722</v>
      </c>
      <c r="AC387" s="118">
        <f t="shared" si="50"/>
        <v>0.33482142857142855</v>
      </c>
      <c r="AD387" s="118">
        <f t="shared" si="51"/>
        <v>0.36835283750651987</v>
      </c>
      <c r="AE387" s="118"/>
      <c r="AF387" s="118"/>
      <c r="AG387" s="118"/>
      <c r="AK387">
        <f t="shared" si="57"/>
        <v>12337920</v>
      </c>
      <c r="AL387">
        <f t="shared" si="57"/>
        <v>12337920</v>
      </c>
      <c r="AM387">
        <f t="shared" si="57"/>
        <v>12337920</v>
      </c>
      <c r="AN387">
        <f t="shared" si="57"/>
        <v>12337920</v>
      </c>
      <c r="AO387">
        <f t="shared" si="57"/>
        <v>12337920</v>
      </c>
    </row>
    <row r="388" spans="1:41">
      <c r="A388" s="185">
        <f>'Water Stuff'!F322</f>
        <v>44879</v>
      </c>
      <c r="B388" s="118">
        <f>'Filtration System'!B352</f>
        <v>0</v>
      </c>
      <c r="C388" s="118">
        <f>'Filtration System'!C352</f>
        <v>120</v>
      </c>
      <c r="D388" s="118">
        <f>'Filtration System'!D352</f>
        <v>0</v>
      </c>
      <c r="E388" s="118">
        <f>'Filtration System'!E352</f>
        <v>0</v>
      </c>
      <c r="F388" s="118">
        <f>'Filtration System'!F352</f>
        <v>0</v>
      </c>
      <c r="G388" s="118"/>
      <c r="H388" s="118">
        <f>B388/1000*(1000*9.81*Pumps!$B$14+'Parameters and Satisfaction'!$B$27)</f>
        <v>0</v>
      </c>
      <c r="I388" s="118">
        <f>C388/1000*(1000*9.81*Pumps!$B$14+'Parameters and Satisfaction'!$B$27)</f>
        <v>32166.381510611547</v>
      </c>
      <c r="J388" s="118">
        <f>D388/1000*(1000*9.81*Pumps!$B$14+'Parameters and Satisfaction'!$B$27)</f>
        <v>0</v>
      </c>
      <c r="K388" s="118">
        <f>E388/1000*(1000*9.81*Pumps!$B$14+'Parameters and Satisfaction'!$B$27)</f>
        <v>0</v>
      </c>
      <c r="L388" s="118">
        <f>F388/1000*(1000*9.81*Pumps!$B$14+'Parameters and Satisfaction'!$B$27)</f>
        <v>0</v>
      </c>
      <c r="M388" s="118"/>
      <c r="N388" s="118">
        <f>H388/IF('Parameters and Satisfaction'!$C$13="Pump A", 0.7, IF('Parameters and Satisfaction'!$C$13 = "Pump B", 0.72, 0.65))</f>
        <v>0</v>
      </c>
      <c r="O388" s="118">
        <f>I388/IF('Parameters and Satisfaction'!$C$13="Pump A", 0.7, IF('Parameters and Satisfaction'!$C$13 = "Pump B", 0.72, 0.65))</f>
        <v>44675.529875849374</v>
      </c>
      <c r="P388" s="118">
        <f>J388/IF('Parameters and Satisfaction'!$C$13="Pump A", 0.7, IF('Parameters and Satisfaction'!$C$13 = "Pump B", 0.72, 0.65))</f>
        <v>0</v>
      </c>
      <c r="Q388" s="118">
        <f>K388/IF('Parameters and Satisfaction'!$C$13="Pump A", 0.7, IF('Parameters and Satisfaction'!$C$13 = "Pump B", 0.72, 0.65))</f>
        <v>0</v>
      </c>
      <c r="R388" s="118">
        <f>L388/IF('Parameters and Satisfaction'!$C$13="Pump A", 0.7, IF('Parameters and Satisfaction'!$C$13 = "Pump B", 0.72, 0.65))</f>
        <v>0</v>
      </c>
      <c r="S388" s="118"/>
      <c r="T388" s="118">
        <f>N388+$F$47+IF('Parameters and Satisfaction'!$C$19="Ozone", 'Filtration System'!AA352*1000000, 0)</f>
        <v>4687500</v>
      </c>
      <c r="U388" s="118">
        <f>O388+$F$47+IF('Parameters and Satisfaction'!$C$19="Ozone", 'Filtration System'!AB352*1000000, 0)</f>
        <v>4732175.5298758494</v>
      </c>
      <c r="V388" s="118">
        <f>P388+$F$47+IF('Parameters and Satisfaction'!$C$19="Ozone", 'Filtration System'!AC352*1000000, 0)</f>
        <v>4687500</v>
      </c>
      <c r="W388" s="118">
        <f>Q388+$F$47+IF('Parameters and Satisfaction'!$C$19="Ozone", 'Filtration System'!AD352*1000000, 0)</f>
        <v>4687500</v>
      </c>
      <c r="X388" s="118">
        <f>R388+$F$47+IF('Parameters and Satisfaction'!$C$19="Ozone", 'Filtration System'!AE352*1000000, 0)</f>
        <v>4687500</v>
      </c>
      <c r="Y388" s="118"/>
      <c r="Z388" s="118">
        <f t="shared" si="47"/>
        <v>0.33482142857142855</v>
      </c>
      <c r="AA388" s="118">
        <f t="shared" si="48"/>
        <v>0.33801253784827495</v>
      </c>
      <c r="AB388" s="118">
        <f t="shared" si="49"/>
        <v>0.33482142857142855</v>
      </c>
      <c r="AC388" s="118">
        <f t="shared" si="50"/>
        <v>0.33482142857142855</v>
      </c>
      <c r="AD388" s="118">
        <f t="shared" si="51"/>
        <v>0.33482142857142855</v>
      </c>
      <c r="AE388" s="118"/>
      <c r="AF388" s="118"/>
      <c r="AG388" s="118"/>
      <c r="AK388">
        <f t="shared" si="57"/>
        <v>12337920</v>
      </c>
      <c r="AL388">
        <f t="shared" si="57"/>
        <v>12337920</v>
      </c>
      <c r="AM388">
        <f t="shared" si="57"/>
        <v>12337920</v>
      </c>
      <c r="AN388">
        <f t="shared" si="57"/>
        <v>12337920</v>
      </c>
      <c r="AO388">
        <f t="shared" si="57"/>
        <v>12337920</v>
      </c>
    </row>
    <row r="389" spans="1:41">
      <c r="A389" s="185">
        <f>'Water Stuff'!F323</f>
        <v>44880</v>
      </c>
      <c r="B389" s="118">
        <f>'Filtration System'!B353</f>
        <v>0</v>
      </c>
      <c r="C389" s="118">
        <f>'Filtration System'!C353</f>
        <v>1200</v>
      </c>
      <c r="D389" s="118">
        <f>'Filtration System'!D353</f>
        <v>0</v>
      </c>
      <c r="E389" s="118">
        <f>'Filtration System'!E353</f>
        <v>2102.480950502978</v>
      </c>
      <c r="F389" s="118">
        <f>'Filtration System'!F353</f>
        <v>1189.398957413254</v>
      </c>
      <c r="G389" s="118"/>
      <c r="H389" s="118">
        <f>B389/1000*(1000*9.81*Pumps!$B$14+'Parameters and Satisfaction'!$B$27)</f>
        <v>0</v>
      </c>
      <c r="I389" s="118">
        <f>C389/1000*(1000*9.81*Pumps!$B$14+'Parameters and Satisfaction'!$B$27)</f>
        <v>321663.81510611548</v>
      </c>
      <c r="J389" s="118">
        <f>D389/1000*(1000*9.81*Pumps!$B$14+'Parameters and Satisfaction'!$B$27)</f>
        <v>0</v>
      </c>
      <c r="K389" s="118">
        <f>E389/1000*(1000*9.81*Pumps!$B$14+'Parameters and Satisfaction'!$B$27)</f>
        <v>563576.70310559985</v>
      </c>
      <c r="L389" s="118">
        <f>F389/1000*(1000*9.81*Pumps!$B$14+'Parameters and Satisfaction'!$B$27)</f>
        <v>318822.17193731957</v>
      </c>
      <c r="M389" s="118"/>
      <c r="N389" s="118">
        <f>H389/IF('Parameters and Satisfaction'!$C$13="Pump A", 0.7, IF('Parameters and Satisfaction'!$C$13 = "Pump B", 0.72, 0.65))</f>
        <v>0</v>
      </c>
      <c r="O389" s="118">
        <f>I389/IF('Parameters and Satisfaction'!$C$13="Pump A", 0.7, IF('Parameters and Satisfaction'!$C$13 = "Pump B", 0.72, 0.65))</f>
        <v>446755.29875849374</v>
      </c>
      <c r="P389" s="118">
        <f>J389/IF('Parameters and Satisfaction'!$C$13="Pump A", 0.7, IF('Parameters and Satisfaction'!$C$13 = "Pump B", 0.72, 0.65))</f>
        <v>0</v>
      </c>
      <c r="Q389" s="118">
        <f>K389/IF('Parameters and Satisfaction'!$C$13="Pump A", 0.7, IF('Parameters and Satisfaction'!$C$13 = "Pump B", 0.72, 0.65))</f>
        <v>782745.42097999982</v>
      </c>
      <c r="R389" s="118">
        <f>L389/IF('Parameters and Satisfaction'!$C$13="Pump A", 0.7, IF('Parameters and Satisfaction'!$C$13 = "Pump B", 0.72, 0.65))</f>
        <v>442808.57213516609</v>
      </c>
      <c r="S389" s="118"/>
      <c r="T389" s="118">
        <f>N389+$F$47+IF('Parameters and Satisfaction'!$C$19="Ozone", 'Filtration System'!AA353*1000000, 0)</f>
        <v>4687500</v>
      </c>
      <c r="U389" s="118">
        <f>O389+$F$47+IF('Parameters and Satisfaction'!$C$19="Ozone", 'Filtration System'!AB353*1000000, 0)</f>
        <v>5134255.2987584937</v>
      </c>
      <c r="V389" s="118">
        <f>P389+$F$47+IF('Parameters and Satisfaction'!$C$19="Ozone", 'Filtration System'!AC353*1000000, 0)</f>
        <v>4687500</v>
      </c>
      <c r="W389" s="118">
        <f>Q389+$F$47+IF('Parameters and Satisfaction'!$C$19="Ozone", 'Filtration System'!AD353*1000000, 0)</f>
        <v>5470245.4209799999</v>
      </c>
      <c r="X389" s="118">
        <f>R389+$F$47+IF('Parameters and Satisfaction'!$C$19="Ozone", 'Filtration System'!AE353*1000000, 0)</f>
        <v>5130308.5721351663</v>
      </c>
      <c r="Y389" s="118"/>
      <c r="Z389" s="118">
        <f t="shared" si="47"/>
        <v>0.33482142857142855</v>
      </c>
      <c r="AA389" s="118">
        <f t="shared" si="48"/>
        <v>0.36673252133989243</v>
      </c>
      <c r="AB389" s="118">
        <f t="shared" si="49"/>
        <v>0.33482142857142855</v>
      </c>
      <c r="AC389" s="118">
        <f t="shared" si="50"/>
        <v>0.39073181578428573</v>
      </c>
      <c r="AD389" s="118">
        <f t="shared" si="51"/>
        <v>0.36645061229536902</v>
      </c>
      <c r="AE389" s="118"/>
      <c r="AF389" s="118"/>
      <c r="AG389" s="118"/>
      <c r="AK389">
        <f t="shared" si="57"/>
        <v>12337920</v>
      </c>
      <c r="AL389">
        <f t="shared" si="57"/>
        <v>12337920</v>
      </c>
      <c r="AM389">
        <f t="shared" si="57"/>
        <v>12337920</v>
      </c>
      <c r="AN389">
        <f t="shared" si="57"/>
        <v>12337920</v>
      </c>
      <c r="AO389">
        <f t="shared" si="57"/>
        <v>12337920</v>
      </c>
    </row>
    <row r="390" spans="1:41">
      <c r="A390" s="185">
        <f>'Water Stuff'!F324</f>
        <v>44881</v>
      </c>
      <c r="B390" s="118">
        <f>'Filtration System'!B354</f>
        <v>0</v>
      </c>
      <c r="C390" s="118">
        <f>'Filtration System'!C354</f>
        <v>10000</v>
      </c>
      <c r="D390" s="118">
        <f>'Filtration System'!D354</f>
        <v>0</v>
      </c>
      <c r="E390" s="118">
        <f>'Filtration System'!E354</f>
        <v>10000</v>
      </c>
      <c r="F390" s="118">
        <f>'Filtration System'!F354</f>
        <v>62.058358236917179</v>
      </c>
      <c r="G390" s="118"/>
      <c r="H390" s="118">
        <f>B390/1000*(1000*9.81*Pumps!$B$14+'Parameters and Satisfaction'!$B$27)</f>
        <v>0</v>
      </c>
      <c r="I390" s="118">
        <f>C390/1000*(1000*9.81*Pumps!$B$14+'Parameters and Satisfaction'!$B$27)</f>
        <v>2680531.7925509624</v>
      </c>
      <c r="J390" s="118">
        <f>D390/1000*(1000*9.81*Pumps!$B$14+'Parameters and Satisfaction'!$B$27)</f>
        <v>0</v>
      </c>
      <c r="K390" s="118">
        <f>E390/1000*(1000*9.81*Pumps!$B$14+'Parameters and Satisfaction'!$B$27)</f>
        <v>2680531.7925509624</v>
      </c>
      <c r="L390" s="118">
        <f>F390/1000*(1000*9.81*Pumps!$B$14+'Parameters and Satisfaction'!$B$27)</f>
        <v>16634.940224757338</v>
      </c>
      <c r="M390" s="118"/>
      <c r="N390" s="118">
        <f>H390/IF('Parameters and Satisfaction'!$C$13="Pump A", 0.7, IF('Parameters and Satisfaction'!$C$13 = "Pump B", 0.72, 0.65))</f>
        <v>0</v>
      </c>
      <c r="O390" s="118">
        <f>I390/IF('Parameters and Satisfaction'!$C$13="Pump A", 0.7, IF('Parameters and Satisfaction'!$C$13 = "Pump B", 0.72, 0.65))</f>
        <v>3722960.822987448</v>
      </c>
      <c r="P390" s="118">
        <f>J390/IF('Parameters and Satisfaction'!$C$13="Pump A", 0.7, IF('Parameters and Satisfaction'!$C$13 = "Pump B", 0.72, 0.65))</f>
        <v>0</v>
      </c>
      <c r="Q390" s="118">
        <f>K390/IF('Parameters and Satisfaction'!$C$13="Pump A", 0.7, IF('Parameters and Satisfaction'!$C$13 = "Pump B", 0.72, 0.65))</f>
        <v>3722960.822987448</v>
      </c>
      <c r="R390" s="118">
        <f>L390/IF('Parameters and Satisfaction'!$C$13="Pump A", 0.7, IF('Parameters and Satisfaction'!$C$13 = "Pump B", 0.72, 0.65))</f>
        <v>23104.083645496303</v>
      </c>
      <c r="S390" s="118"/>
      <c r="T390" s="118">
        <f>N390+$F$47+IF('Parameters and Satisfaction'!$C$19="Ozone", 'Filtration System'!AA354*1000000, 0)</f>
        <v>4687500</v>
      </c>
      <c r="U390" s="118">
        <f>O390+$F$47+IF('Parameters and Satisfaction'!$C$19="Ozone", 'Filtration System'!AB354*1000000, 0)</f>
        <v>8410460.8229874484</v>
      </c>
      <c r="V390" s="118">
        <f>P390+$F$47+IF('Parameters and Satisfaction'!$C$19="Ozone", 'Filtration System'!AC354*1000000, 0)</f>
        <v>4687500</v>
      </c>
      <c r="W390" s="118">
        <f>Q390+$F$47+IF('Parameters and Satisfaction'!$C$19="Ozone", 'Filtration System'!AD354*1000000, 0)</f>
        <v>8410460.8229874484</v>
      </c>
      <c r="X390" s="118">
        <f>R390+$F$47+IF('Parameters and Satisfaction'!$C$19="Ozone", 'Filtration System'!AE354*1000000, 0)</f>
        <v>4710604.0836454965</v>
      </c>
      <c r="Y390" s="118"/>
      <c r="Z390" s="118">
        <f t="shared" si="47"/>
        <v>0.33482142857142855</v>
      </c>
      <c r="AA390" s="118">
        <f t="shared" si="48"/>
        <v>0.6007472016419606</v>
      </c>
      <c r="AB390" s="118">
        <f t="shared" si="49"/>
        <v>0.33482142857142855</v>
      </c>
      <c r="AC390" s="118">
        <f t="shared" si="50"/>
        <v>0.6007472016419606</v>
      </c>
      <c r="AD390" s="118">
        <f t="shared" si="51"/>
        <v>0.33647172026039263</v>
      </c>
      <c r="AE390" s="118"/>
      <c r="AF390" s="118"/>
      <c r="AG390" s="118"/>
      <c r="AK390">
        <f t="shared" si="57"/>
        <v>12337920</v>
      </c>
      <c r="AL390">
        <f t="shared" si="57"/>
        <v>12337920</v>
      </c>
      <c r="AM390">
        <f t="shared" si="57"/>
        <v>12337920</v>
      </c>
      <c r="AN390">
        <f t="shared" si="57"/>
        <v>12337920</v>
      </c>
      <c r="AO390">
        <f t="shared" si="57"/>
        <v>12337920</v>
      </c>
    </row>
    <row r="391" spans="1:41">
      <c r="A391" s="185">
        <f>'Water Stuff'!F325</f>
        <v>44882</v>
      </c>
      <c r="B391" s="118">
        <f>'Filtration System'!B355</f>
        <v>0</v>
      </c>
      <c r="C391" s="118">
        <f>'Filtration System'!C355</f>
        <v>1240</v>
      </c>
      <c r="D391" s="118">
        <f>'Filtration System'!D355</f>
        <v>0</v>
      </c>
      <c r="E391" s="118">
        <f>'Filtration System'!E355</f>
        <v>1360.1043338017571</v>
      </c>
      <c r="F391" s="118">
        <f>'Filtration System'!F355</f>
        <v>0</v>
      </c>
      <c r="G391" s="118"/>
      <c r="H391" s="118">
        <f>B391/1000*(1000*9.81*Pumps!$B$14+'Parameters and Satisfaction'!$B$27)</f>
        <v>0</v>
      </c>
      <c r="I391" s="118">
        <f>C391/1000*(1000*9.81*Pumps!$B$14+'Parameters and Satisfaction'!$B$27)</f>
        <v>332385.94227631931</v>
      </c>
      <c r="J391" s="118">
        <f>D391/1000*(1000*9.81*Pumps!$B$14+'Parameters and Satisfaction'!$B$27)</f>
        <v>0</v>
      </c>
      <c r="K391" s="118">
        <f>E391/1000*(1000*9.81*Pumps!$B$14+'Parameters and Satisfaction'!$B$27)</f>
        <v>364580.29079419567</v>
      </c>
      <c r="L391" s="118">
        <f>F391/1000*(1000*9.81*Pumps!$B$14+'Parameters and Satisfaction'!$B$27)</f>
        <v>0</v>
      </c>
      <c r="M391" s="118"/>
      <c r="N391" s="118">
        <f>H391/IF('Parameters and Satisfaction'!$C$13="Pump A", 0.7, IF('Parameters and Satisfaction'!$C$13 = "Pump B", 0.72, 0.65))</f>
        <v>0</v>
      </c>
      <c r="O391" s="118">
        <f>I391/IF('Parameters and Satisfaction'!$C$13="Pump A", 0.7, IF('Parameters and Satisfaction'!$C$13 = "Pump B", 0.72, 0.65))</f>
        <v>461647.14205044351</v>
      </c>
      <c r="P391" s="118">
        <f>J391/IF('Parameters and Satisfaction'!$C$13="Pump A", 0.7, IF('Parameters and Satisfaction'!$C$13 = "Pump B", 0.72, 0.65))</f>
        <v>0</v>
      </c>
      <c r="Q391" s="118">
        <f>K391/IF('Parameters and Satisfaction'!$C$13="Pump A", 0.7, IF('Parameters and Satisfaction'!$C$13 = "Pump B", 0.72, 0.65))</f>
        <v>506361.51499193843</v>
      </c>
      <c r="R391" s="118">
        <f>L391/IF('Parameters and Satisfaction'!$C$13="Pump A", 0.7, IF('Parameters and Satisfaction'!$C$13 = "Pump B", 0.72, 0.65))</f>
        <v>0</v>
      </c>
      <c r="S391" s="118"/>
      <c r="T391" s="118">
        <f>N391+$F$47+IF('Parameters and Satisfaction'!$C$19="Ozone", 'Filtration System'!AA355*1000000, 0)</f>
        <v>4687500</v>
      </c>
      <c r="U391" s="118">
        <f>O391+$F$47+IF('Parameters and Satisfaction'!$C$19="Ozone", 'Filtration System'!AB355*1000000, 0)</f>
        <v>5149147.1420504432</v>
      </c>
      <c r="V391" s="118">
        <f>P391+$F$47+IF('Parameters and Satisfaction'!$C$19="Ozone", 'Filtration System'!AC355*1000000, 0)</f>
        <v>4687500</v>
      </c>
      <c r="W391" s="118">
        <f>Q391+$F$47+IF('Parameters and Satisfaction'!$C$19="Ozone", 'Filtration System'!AD355*1000000, 0)</f>
        <v>5193861.5149919381</v>
      </c>
      <c r="X391" s="118">
        <f>R391+$F$47+IF('Parameters and Satisfaction'!$C$19="Ozone", 'Filtration System'!AE355*1000000, 0)</f>
        <v>4687500</v>
      </c>
      <c r="Y391" s="118"/>
      <c r="Z391" s="118">
        <f t="shared" ref="Z391:Z435" si="58">T391/(40000000*0.35)</f>
        <v>0.33482142857142855</v>
      </c>
      <c r="AA391" s="118">
        <f t="shared" ref="AA391:AA435" si="59">U391/(40000000*0.35)</f>
        <v>0.36779622443217452</v>
      </c>
      <c r="AB391" s="118">
        <f t="shared" ref="AB391:AB435" si="60">V391/(40000000*0.35)</f>
        <v>0.33482142857142855</v>
      </c>
      <c r="AC391" s="118">
        <f t="shared" ref="AC391:AC435" si="61">W391/(40000000*0.35)</f>
        <v>0.37099010821370987</v>
      </c>
      <c r="AD391" s="118">
        <f t="shared" ref="AD391:AD435" si="62">X391/(40000000*0.35)</f>
        <v>0.33482142857142855</v>
      </c>
      <c r="AE391" s="118"/>
      <c r="AF391" s="118"/>
      <c r="AG391" s="118"/>
      <c r="AK391">
        <f t="shared" si="57"/>
        <v>12337920</v>
      </c>
      <c r="AL391">
        <f t="shared" si="57"/>
        <v>12337920</v>
      </c>
      <c r="AM391">
        <f t="shared" si="57"/>
        <v>12337920</v>
      </c>
      <c r="AN391">
        <f t="shared" si="57"/>
        <v>12337920</v>
      </c>
      <c r="AO391">
        <f t="shared" si="57"/>
        <v>12337920</v>
      </c>
    </row>
    <row r="392" spans="1:41">
      <c r="A392" s="185">
        <f>'Water Stuff'!F326</f>
        <v>44883</v>
      </c>
      <c r="B392" s="118">
        <f>'Filtration System'!B356</f>
        <v>0</v>
      </c>
      <c r="C392" s="118">
        <f>'Filtration System'!C356</f>
        <v>0</v>
      </c>
      <c r="D392" s="118">
        <f>'Filtration System'!D356</f>
        <v>0</v>
      </c>
      <c r="E392" s="118">
        <f>'Filtration System'!E356</f>
        <v>0</v>
      </c>
      <c r="F392" s="118">
        <f>'Filtration System'!F356</f>
        <v>0</v>
      </c>
      <c r="G392" s="118"/>
      <c r="H392" s="118">
        <f>B392/1000*(1000*9.81*Pumps!$B$14+'Parameters and Satisfaction'!$B$27)</f>
        <v>0</v>
      </c>
      <c r="I392" s="118">
        <f>C392/1000*(1000*9.81*Pumps!$B$14+'Parameters and Satisfaction'!$B$27)</f>
        <v>0</v>
      </c>
      <c r="J392" s="118">
        <f>D392/1000*(1000*9.81*Pumps!$B$14+'Parameters and Satisfaction'!$B$27)</f>
        <v>0</v>
      </c>
      <c r="K392" s="118">
        <f>E392/1000*(1000*9.81*Pumps!$B$14+'Parameters and Satisfaction'!$B$27)</f>
        <v>0</v>
      </c>
      <c r="L392" s="118">
        <f>F392/1000*(1000*9.81*Pumps!$B$14+'Parameters and Satisfaction'!$B$27)</f>
        <v>0</v>
      </c>
      <c r="M392" s="118"/>
      <c r="N392" s="118">
        <f>H392/IF('Parameters and Satisfaction'!$C$13="Pump A", 0.7, IF('Parameters and Satisfaction'!$C$13 = "Pump B", 0.72, 0.65))</f>
        <v>0</v>
      </c>
      <c r="O392" s="118">
        <f>I392/IF('Parameters and Satisfaction'!$C$13="Pump A", 0.7, IF('Parameters and Satisfaction'!$C$13 = "Pump B", 0.72, 0.65))</f>
        <v>0</v>
      </c>
      <c r="P392" s="118">
        <f>J392/IF('Parameters and Satisfaction'!$C$13="Pump A", 0.7, IF('Parameters and Satisfaction'!$C$13 = "Pump B", 0.72, 0.65))</f>
        <v>0</v>
      </c>
      <c r="Q392" s="118">
        <f>K392/IF('Parameters and Satisfaction'!$C$13="Pump A", 0.7, IF('Parameters and Satisfaction'!$C$13 = "Pump B", 0.72, 0.65))</f>
        <v>0</v>
      </c>
      <c r="R392" s="118">
        <f>L392/IF('Parameters and Satisfaction'!$C$13="Pump A", 0.7, IF('Parameters and Satisfaction'!$C$13 = "Pump B", 0.72, 0.65))</f>
        <v>0</v>
      </c>
      <c r="S392" s="118"/>
      <c r="T392" s="118">
        <f>N392+$F$47+IF('Parameters and Satisfaction'!$C$19="Ozone", 'Filtration System'!AA356*1000000, 0)</f>
        <v>4687500</v>
      </c>
      <c r="U392" s="118">
        <f>O392+$F$47+IF('Parameters and Satisfaction'!$C$19="Ozone", 'Filtration System'!AB356*1000000, 0)</f>
        <v>4687500</v>
      </c>
      <c r="V392" s="118">
        <f>P392+$F$47+IF('Parameters and Satisfaction'!$C$19="Ozone", 'Filtration System'!AC356*1000000, 0)</f>
        <v>4687500</v>
      </c>
      <c r="W392" s="118">
        <f>Q392+$F$47+IF('Parameters and Satisfaction'!$C$19="Ozone", 'Filtration System'!AD356*1000000, 0)</f>
        <v>4687500</v>
      </c>
      <c r="X392" s="118">
        <f>R392+$F$47+IF('Parameters and Satisfaction'!$C$19="Ozone", 'Filtration System'!AE356*1000000, 0)</f>
        <v>4687500</v>
      </c>
      <c r="Y392" s="118"/>
      <c r="Z392" s="118">
        <f t="shared" si="58"/>
        <v>0.33482142857142855</v>
      </c>
      <c r="AA392" s="118">
        <f t="shared" si="59"/>
        <v>0.33482142857142855</v>
      </c>
      <c r="AB392" s="118">
        <f t="shared" si="60"/>
        <v>0.33482142857142855</v>
      </c>
      <c r="AC392" s="118">
        <f t="shared" si="61"/>
        <v>0.33482142857142855</v>
      </c>
      <c r="AD392" s="118">
        <f t="shared" si="62"/>
        <v>0.33482142857142855</v>
      </c>
      <c r="AE392" s="118"/>
      <c r="AF392" s="118"/>
      <c r="AG392" s="118"/>
      <c r="AK392">
        <f t="shared" si="57"/>
        <v>12337920</v>
      </c>
      <c r="AL392">
        <f t="shared" si="57"/>
        <v>12337920</v>
      </c>
      <c r="AM392">
        <f t="shared" si="57"/>
        <v>12337920</v>
      </c>
      <c r="AN392">
        <f t="shared" si="57"/>
        <v>12337920</v>
      </c>
      <c r="AO392">
        <f t="shared" si="57"/>
        <v>12337920</v>
      </c>
    </row>
    <row r="393" spans="1:41">
      <c r="A393" s="185">
        <f>'Water Stuff'!F327</f>
        <v>44884</v>
      </c>
      <c r="B393" s="118">
        <f>'Filtration System'!B357</f>
        <v>680</v>
      </c>
      <c r="C393" s="118">
        <f>'Filtration System'!C357</f>
        <v>0</v>
      </c>
      <c r="D393" s="118">
        <f>'Filtration System'!D357</f>
        <v>615.03093194578014</v>
      </c>
      <c r="E393" s="118">
        <f>'Filtration System'!E357</f>
        <v>218.22556412764641</v>
      </c>
      <c r="F393" s="118">
        <f>'Filtration System'!F357</f>
        <v>0</v>
      </c>
      <c r="G393" s="118"/>
      <c r="H393" s="118">
        <f>B393/1000*(1000*9.81*Pumps!$B$14+'Parameters and Satisfaction'!$B$27)</f>
        <v>182276.16189346547</v>
      </c>
      <c r="I393" s="118">
        <f>C393/1000*(1000*9.81*Pumps!$B$14+'Parameters and Satisfaction'!$B$27)</f>
        <v>0</v>
      </c>
      <c r="J393" s="118">
        <f>D393/1000*(1000*9.81*Pumps!$B$14+'Parameters and Satisfaction'!$B$27)</f>
        <v>164860.99664829113</v>
      </c>
      <c r="K393" s="118">
        <f>E393/1000*(1000*9.81*Pumps!$B$14+'Parameters and Satisfaction'!$B$27)</f>
        <v>58496.056259152501</v>
      </c>
      <c r="L393" s="118">
        <f>F393/1000*(1000*9.81*Pumps!$B$14+'Parameters and Satisfaction'!$B$27)</f>
        <v>0</v>
      </c>
      <c r="M393" s="118"/>
      <c r="N393" s="118">
        <f>H393/IF('Parameters and Satisfaction'!$C$13="Pump A", 0.7, IF('Parameters and Satisfaction'!$C$13 = "Pump B", 0.72, 0.65))</f>
        <v>253161.3359631465</v>
      </c>
      <c r="O393" s="118">
        <f>I393/IF('Parameters and Satisfaction'!$C$13="Pump A", 0.7, IF('Parameters and Satisfaction'!$C$13 = "Pump B", 0.72, 0.65))</f>
        <v>0</v>
      </c>
      <c r="P393" s="118">
        <f>J393/IF('Parameters and Satisfaction'!$C$13="Pump A", 0.7, IF('Parameters and Satisfaction'!$C$13 = "Pump B", 0.72, 0.65))</f>
        <v>228973.6064559599</v>
      </c>
      <c r="Q393" s="118">
        <f>K393/IF('Parameters and Satisfaction'!$C$13="Pump A", 0.7, IF('Parameters and Satisfaction'!$C$13 = "Pump B", 0.72, 0.65))</f>
        <v>81244.522582156249</v>
      </c>
      <c r="R393" s="118">
        <f>L393/IF('Parameters and Satisfaction'!$C$13="Pump A", 0.7, IF('Parameters and Satisfaction'!$C$13 = "Pump B", 0.72, 0.65))</f>
        <v>0</v>
      </c>
      <c r="S393" s="118"/>
      <c r="T393" s="118">
        <f>N393+$F$47+IF('Parameters and Satisfaction'!$C$19="Ozone", 'Filtration System'!AA357*1000000, 0)</f>
        <v>4940661.3359631468</v>
      </c>
      <c r="U393" s="118">
        <f>O393+$F$47+IF('Parameters and Satisfaction'!$C$19="Ozone", 'Filtration System'!AB357*1000000, 0)</f>
        <v>4687500</v>
      </c>
      <c r="V393" s="118">
        <f>P393+$F$47+IF('Parameters and Satisfaction'!$C$19="Ozone", 'Filtration System'!AC357*1000000, 0)</f>
        <v>4916473.6064559603</v>
      </c>
      <c r="W393" s="118">
        <f>Q393+$F$47+IF('Parameters and Satisfaction'!$C$19="Ozone", 'Filtration System'!AD357*1000000, 0)</f>
        <v>4768744.5225821566</v>
      </c>
      <c r="X393" s="118">
        <f>R393+$F$47+IF('Parameters and Satisfaction'!$C$19="Ozone", 'Filtration System'!AE357*1000000, 0)</f>
        <v>4687500</v>
      </c>
      <c r="Y393" s="118"/>
      <c r="Z393" s="118">
        <f t="shared" si="58"/>
        <v>0.35290438114022477</v>
      </c>
      <c r="AA393" s="118">
        <f t="shared" si="59"/>
        <v>0.33482142857142855</v>
      </c>
      <c r="AB393" s="118">
        <f t="shared" si="60"/>
        <v>0.35117668617542575</v>
      </c>
      <c r="AC393" s="118">
        <f t="shared" si="61"/>
        <v>0.34062460875586831</v>
      </c>
      <c r="AD393" s="118">
        <f t="shared" si="62"/>
        <v>0.33482142857142855</v>
      </c>
      <c r="AE393" s="118"/>
      <c r="AF393" s="118"/>
      <c r="AG393" s="118"/>
      <c r="AK393">
        <f t="shared" si="57"/>
        <v>12337920</v>
      </c>
      <c r="AL393">
        <f t="shared" si="57"/>
        <v>12337920</v>
      </c>
      <c r="AM393">
        <f t="shared" si="57"/>
        <v>12337920</v>
      </c>
      <c r="AN393">
        <f t="shared" si="57"/>
        <v>12337920</v>
      </c>
      <c r="AO393">
        <f t="shared" si="57"/>
        <v>12337920</v>
      </c>
    </row>
    <row r="394" spans="1:41">
      <c r="A394" s="185">
        <f>'Water Stuff'!F328</f>
        <v>44885</v>
      </c>
      <c r="B394" s="118">
        <f>'Filtration System'!B358</f>
        <v>5880</v>
      </c>
      <c r="C394" s="118">
        <f>'Filtration System'!C358</f>
        <v>0</v>
      </c>
      <c r="D394" s="118">
        <f>'Filtration System'!D358</f>
        <v>7562.6774462466146</v>
      </c>
      <c r="E394" s="118">
        <f>'Filtration System'!E358</f>
        <v>1367.0884902370267</v>
      </c>
      <c r="F394" s="118">
        <f>'Filtration System'!F358</f>
        <v>4952.6917356021404</v>
      </c>
      <c r="G394" s="118"/>
      <c r="H394" s="118">
        <f>B394/1000*(1000*9.81*Pumps!$B$14+'Parameters and Satisfaction'!$B$27)</f>
        <v>1576152.6940199658</v>
      </c>
      <c r="I394" s="118">
        <f>C394/1000*(1000*9.81*Pumps!$B$14+'Parameters and Satisfaction'!$B$27)</f>
        <v>0</v>
      </c>
      <c r="J394" s="118">
        <f>D394/1000*(1000*9.81*Pumps!$B$14+'Parameters and Satisfaction'!$B$27)</f>
        <v>2027199.7331472172</v>
      </c>
      <c r="K394" s="118">
        <f>E394/1000*(1000*9.81*Pumps!$B$14+'Parameters and Satisfaction'!$B$27)</f>
        <v>366452.41613108461</v>
      </c>
      <c r="L394" s="118">
        <f>F394/1000*(1000*9.81*Pumps!$B$14+'Parameters and Satisfaction'!$B$27)</f>
        <v>1327584.7655985944</v>
      </c>
      <c r="M394" s="118"/>
      <c r="N394" s="118">
        <f>H394/IF('Parameters and Satisfaction'!$C$13="Pump A", 0.7, IF('Parameters and Satisfaction'!$C$13 = "Pump B", 0.72, 0.65))</f>
        <v>2189100.9639166193</v>
      </c>
      <c r="O394" s="118">
        <f>I394/IF('Parameters and Satisfaction'!$C$13="Pump A", 0.7, IF('Parameters and Satisfaction'!$C$13 = "Pump B", 0.72, 0.65))</f>
        <v>0</v>
      </c>
      <c r="P394" s="118">
        <f>J394/IF('Parameters and Satisfaction'!$C$13="Pump A", 0.7, IF('Parameters and Satisfaction'!$C$13 = "Pump B", 0.72, 0.65))</f>
        <v>2815555.1849266905</v>
      </c>
      <c r="Q394" s="118">
        <f>K394/IF('Parameters and Satisfaction'!$C$13="Pump A", 0.7, IF('Parameters and Satisfaction'!$C$13 = "Pump B", 0.72, 0.65))</f>
        <v>508961.68907095084</v>
      </c>
      <c r="R394" s="118">
        <f>L394/IF('Parameters and Satisfaction'!$C$13="Pump A", 0.7, IF('Parameters and Satisfaction'!$C$13 = "Pump B", 0.72, 0.65))</f>
        <v>1843867.7299980479</v>
      </c>
      <c r="S394" s="118"/>
      <c r="T394" s="118">
        <f>N394+$F$47+IF('Parameters and Satisfaction'!$C$19="Ozone", 'Filtration System'!AA358*1000000, 0)</f>
        <v>6876600.9639166193</v>
      </c>
      <c r="U394" s="118">
        <f>O394+$F$47+IF('Parameters and Satisfaction'!$C$19="Ozone", 'Filtration System'!AB358*1000000, 0)</f>
        <v>4687500</v>
      </c>
      <c r="V394" s="118">
        <f>P394+$F$47+IF('Parameters and Satisfaction'!$C$19="Ozone", 'Filtration System'!AC358*1000000, 0)</f>
        <v>7503055.1849266905</v>
      </c>
      <c r="W394" s="118">
        <f>Q394+$F$47+IF('Parameters and Satisfaction'!$C$19="Ozone", 'Filtration System'!AD358*1000000, 0)</f>
        <v>5196461.6890709512</v>
      </c>
      <c r="X394" s="118">
        <f>R394+$F$47+IF('Parameters and Satisfaction'!$C$19="Ozone", 'Filtration System'!AE358*1000000, 0)</f>
        <v>6531367.7299980484</v>
      </c>
      <c r="Y394" s="118"/>
      <c r="Z394" s="118">
        <f t="shared" si="58"/>
        <v>0.49118578313690137</v>
      </c>
      <c r="AA394" s="118">
        <f t="shared" si="59"/>
        <v>0.33482142857142855</v>
      </c>
      <c r="AB394" s="118">
        <f t="shared" si="60"/>
        <v>0.53593251320904933</v>
      </c>
      <c r="AC394" s="118">
        <f t="shared" si="61"/>
        <v>0.37117583493363937</v>
      </c>
      <c r="AD394" s="118">
        <f t="shared" si="62"/>
        <v>0.46652626642843203</v>
      </c>
      <c r="AE394" s="118"/>
      <c r="AF394" s="118"/>
      <c r="AG394" s="118"/>
      <c r="AK394">
        <f t="shared" si="57"/>
        <v>12337920</v>
      </c>
      <c r="AL394">
        <f t="shared" si="57"/>
        <v>12337920</v>
      </c>
      <c r="AM394">
        <f t="shared" si="57"/>
        <v>12337920</v>
      </c>
      <c r="AN394">
        <f t="shared" si="57"/>
        <v>12337920</v>
      </c>
      <c r="AO394">
        <f t="shared" si="57"/>
        <v>12337920</v>
      </c>
    </row>
    <row r="395" spans="1:41">
      <c r="A395" s="185">
        <f>'Water Stuff'!F329</f>
        <v>44886</v>
      </c>
      <c r="B395" s="118">
        <f>'Filtration System'!B359</f>
        <v>6559.9999999999991</v>
      </c>
      <c r="C395" s="118">
        <f>'Filtration System'!C359</f>
        <v>0</v>
      </c>
      <c r="D395" s="118">
        <f>'Filtration System'!D359</f>
        <v>4309.3882455479143</v>
      </c>
      <c r="E395" s="118">
        <f>'Filtration System'!E359</f>
        <v>1172.6358464839325</v>
      </c>
      <c r="F395" s="118">
        <f>'Filtration System'!F359</f>
        <v>3334.5090613194743</v>
      </c>
      <c r="G395" s="118"/>
      <c r="H395" s="118">
        <f>B395/1000*(1000*9.81*Pumps!$B$14+'Parameters and Satisfaction'!$B$27)</f>
        <v>1758428.8559134309</v>
      </c>
      <c r="I395" s="118">
        <f>C395/1000*(1000*9.81*Pumps!$B$14+'Parameters and Satisfaction'!$B$27)</f>
        <v>0</v>
      </c>
      <c r="J395" s="118">
        <f>D395/1000*(1000*9.81*Pumps!$B$14+'Parameters and Satisfaction'!$B$27)</f>
        <v>1155145.2198636599</v>
      </c>
      <c r="K395" s="118">
        <f>E395/1000*(1000*9.81*Pumps!$B$14+'Parameters and Satisfaction'!$B$27)</f>
        <v>314328.76675850904</v>
      </c>
      <c r="L395" s="118">
        <f>F395/1000*(1000*9.81*Pumps!$B$14+'Parameters and Satisfaction'!$B$27)</f>
        <v>893825.75514161168</v>
      </c>
      <c r="M395" s="118"/>
      <c r="N395" s="118">
        <f>H395/IF('Parameters and Satisfaction'!$C$13="Pump A", 0.7, IF('Parameters and Satisfaction'!$C$13 = "Pump B", 0.72, 0.65))</f>
        <v>2442262.2998797651</v>
      </c>
      <c r="O395" s="118">
        <f>I395/IF('Parameters and Satisfaction'!$C$13="Pump A", 0.7, IF('Parameters and Satisfaction'!$C$13 = "Pump B", 0.72, 0.65))</f>
        <v>0</v>
      </c>
      <c r="P395" s="118">
        <f>J395/IF('Parameters and Satisfaction'!$C$13="Pump A", 0.7, IF('Parameters and Satisfaction'!$C$13 = "Pump B", 0.72, 0.65))</f>
        <v>1604368.3609217501</v>
      </c>
      <c r="Q395" s="118">
        <f>K395/IF('Parameters and Satisfaction'!$C$13="Pump A", 0.7, IF('Parameters and Satisfaction'!$C$13 = "Pump B", 0.72, 0.65))</f>
        <v>436567.73160904035</v>
      </c>
      <c r="R395" s="118">
        <f>L395/IF('Parameters and Satisfaction'!$C$13="Pump A", 0.7, IF('Parameters and Satisfaction'!$C$13 = "Pump B", 0.72, 0.65))</f>
        <v>1241424.6599189052</v>
      </c>
      <c r="S395" s="118"/>
      <c r="T395" s="118">
        <f>N395+$F$47+IF('Parameters and Satisfaction'!$C$19="Ozone", 'Filtration System'!AA359*1000000, 0)</f>
        <v>7129762.2998797651</v>
      </c>
      <c r="U395" s="118">
        <f>O395+$F$47+IF('Parameters and Satisfaction'!$C$19="Ozone", 'Filtration System'!AB359*1000000, 0)</f>
        <v>4687500</v>
      </c>
      <c r="V395" s="118">
        <f>P395+$F$47+IF('Parameters and Satisfaction'!$C$19="Ozone", 'Filtration System'!AC359*1000000, 0)</f>
        <v>6291868.3609217498</v>
      </c>
      <c r="W395" s="118">
        <f>Q395+$F$47+IF('Parameters and Satisfaction'!$C$19="Ozone", 'Filtration System'!AD359*1000000, 0)</f>
        <v>5124067.7316090399</v>
      </c>
      <c r="X395" s="118">
        <f>R395+$F$47+IF('Parameters and Satisfaction'!$C$19="Ozone", 'Filtration System'!AE359*1000000, 0)</f>
        <v>5928924.6599189052</v>
      </c>
      <c r="Y395" s="118"/>
      <c r="Z395" s="118">
        <f t="shared" si="58"/>
        <v>0.50926873570569753</v>
      </c>
      <c r="AA395" s="118">
        <f t="shared" si="59"/>
        <v>0.33482142857142855</v>
      </c>
      <c r="AB395" s="118">
        <f t="shared" si="60"/>
        <v>0.44941916863726783</v>
      </c>
      <c r="AC395" s="118">
        <f t="shared" si="61"/>
        <v>0.36600483797207428</v>
      </c>
      <c r="AD395" s="118">
        <f t="shared" si="62"/>
        <v>0.42349461856563608</v>
      </c>
      <c r="AE395" s="118"/>
      <c r="AF395" s="118"/>
      <c r="AG395" s="118"/>
      <c r="AK395">
        <f t="shared" ref="AK395:AO404" si="63">$D$65</f>
        <v>12337920</v>
      </c>
      <c r="AL395">
        <f t="shared" si="63"/>
        <v>12337920</v>
      </c>
      <c r="AM395">
        <f t="shared" si="63"/>
        <v>12337920</v>
      </c>
      <c r="AN395">
        <f t="shared" si="63"/>
        <v>12337920</v>
      </c>
      <c r="AO395">
        <f t="shared" si="63"/>
        <v>12337920</v>
      </c>
    </row>
    <row r="396" spans="1:41">
      <c r="A396" s="185">
        <f>'Water Stuff'!F330</f>
        <v>44887</v>
      </c>
      <c r="B396" s="118">
        <f>'Filtration System'!B360</f>
        <v>5120</v>
      </c>
      <c r="C396" s="118">
        <f>'Filtration System'!C360</f>
        <v>0</v>
      </c>
      <c r="D396" s="118">
        <f>'Filtration System'!D360</f>
        <v>6434.618126536805</v>
      </c>
      <c r="E396" s="118">
        <f>'Filtration System'!E360</f>
        <v>0</v>
      </c>
      <c r="F396" s="118">
        <f>'Filtration System'!F360</f>
        <v>7239.9919384619052</v>
      </c>
      <c r="G396" s="118"/>
      <c r="H396" s="118">
        <f>B396/1000*(1000*9.81*Pumps!$B$14+'Parameters and Satisfaction'!$B$27)</f>
        <v>1372432.2777860928</v>
      </c>
      <c r="I396" s="118">
        <f>C396/1000*(1000*9.81*Pumps!$B$14+'Parameters and Satisfaction'!$B$27)</f>
        <v>0</v>
      </c>
      <c r="J396" s="118">
        <f>D396/1000*(1000*9.81*Pumps!$B$14+'Parameters and Satisfaction'!$B$27)</f>
        <v>1724819.8461106617</v>
      </c>
      <c r="K396" s="118">
        <f>E396/1000*(1000*9.81*Pumps!$B$14+'Parameters and Satisfaction'!$B$27)</f>
        <v>0</v>
      </c>
      <c r="L396" s="118">
        <f>F396/1000*(1000*9.81*Pumps!$B$14+'Parameters and Satisfaction'!$B$27)</f>
        <v>1940702.8568859808</v>
      </c>
      <c r="M396" s="118"/>
      <c r="N396" s="118">
        <f>H396/IF('Parameters and Satisfaction'!$C$13="Pump A", 0.7, IF('Parameters and Satisfaction'!$C$13 = "Pump B", 0.72, 0.65))</f>
        <v>1906155.9413695734</v>
      </c>
      <c r="O396" s="118">
        <f>I396/IF('Parameters and Satisfaction'!$C$13="Pump A", 0.7, IF('Parameters and Satisfaction'!$C$13 = "Pump B", 0.72, 0.65))</f>
        <v>0</v>
      </c>
      <c r="P396" s="118">
        <f>J396/IF('Parameters and Satisfaction'!$C$13="Pump A", 0.7, IF('Parameters and Satisfaction'!$C$13 = "Pump B", 0.72, 0.65))</f>
        <v>2395583.1195981414</v>
      </c>
      <c r="Q396" s="118">
        <f>K396/IF('Parameters and Satisfaction'!$C$13="Pump A", 0.7, IF('Parameters and Satisfaction'!$C$13 = "Pump B", 0.72, 0.65))</f>
        <v>0</v>
      </c>
      <c r="R396" s="118">
        <f>L396/IF('Parameters and Satisfaction'!$C$13="Pump A", 0.7, IF('Parameters and Satisfaction'!$C$13 = "Pump B", 0.72, 0.65))</f>
        <v>2695420.6345638623</v>
      </c>
      <c r="S396" s="118"/>
      <c r="T396" s="118">
        <f>N396+$F$47+IF('Parameters and Satisfaction'!$C$19="Ozone", 'Filtration System'!AA360*1000000, 0)</f>
        <v>6593655.9413695736</v>
      </c>
      <c r="U396" s="118">
        <f>O396+$F$47+IF('Parameters and Satisfaction'!$C$19="Ozone", 'Filtration System'!AB360*1000000, 0)</f>
        <v>4687500</v>
      </c>
      <c r="V396" s="118">
        <f>P396+$F$47+IF('Parameters and Satisfaction'!$C$19="Ozone", 'Filtration System'!AC360*1000000, 0)</f>
        <v>7083083.1195981409</v>
      </c>
      <c r="W396" s="118">
        <f>Q396+$F$47+IF('Parameters and Satisfaction'!$C$19="Ozone", 'Filtration System'!AD360*1000000, 0)</f>
        <v>4687500</v>
      </c>
      <c r="X396" s="118">
        <f>R396+$F$47+IF('Parameters and Satisfaction'!$C$19="Ozone", 'Filtration System'!AE360*1000000, 0)</f>
        <v>7382920.6345638623</v>
      </c>
      <c r="Y396" s="118"/>
      <c r="Z396" s="118">
        <f t="shared" si="58"/>
        <v>0.47097542438354095</v>
      </c>
      <c r="AA396" s="118">
        <f t="shared" si="59"/>
        <v>0.33482142857142855</v>
      </c>
      <c r="AB396" s="118">
        <f t="shared" si="60"/>
        <v>0.50593450854272437</v>
      </c>
      <c r="AC396" s="118">
        <f t="shared" si="61"/>
        <v>0.33482142857142855</v>
      </c>
      <c r="AD396" s="118">
        <f t="shared" si="62"/>
        <v>0.52735147389741877</v>
      </c>
      <c r="AE396" s="118"/>
      <c r="AF396" s="118"/>
      <c r="AG396" s="118"/>
      <c r="AK396">
        <f t="shared" si="63"/>
        <v>12337920</v>
      </c>
      <c r="AL396">
        <f t="shared" si="63"/>
        <v>12337920</v>
      </c>
      <c r="AM396">
        <f t="shared" si="63"/>
        <v>12337920</v>
      </c>
      <c r="AN396">
        <f t="shared" si="63"/>
        <v>12337920</v>
      </c>
      <c r="AO396">
        <f t="shared" si="63"/>
        <v>12337920</v>
      </c>
    </row>
    <row r="397" spans="1:41">
      <c r="A397" s="185">
        <f>'Water Stuff'!F331</f>
        <v>44888</v>
      </c>
      <c r="B397" s="118">
        <f>'Filtration System'!B361</f>
        <v>3040</v>
      </c>
      <c r="C397" s="118">
        <f>'Filtration System'!C361</f>
        <v>0</v>
      </c>
      <c r="D397" s="118">
        <f>'Filtration System'!D361</f>
        <v>4194.6376578804902</v>
      </c>
      <c r="E397" s="118">
        <f>'Filtration System'!E361</f>
        <v>0</v>
      </c>
      <c r="F397" s="118">
        <f>'Filtration System'!F361</f>
        <v>2053.1028237119622</v>
      </c>
      <c r="G397" s="118"/>
      <c r="H397" s="118">
        <f>B397/1000*(1000*9.81*Pumps!$B$14+'Parameters and Satisfaction'!$B$27)</f>
        <v>814881.66493549256</v>
      </c>
      <c r="I397" s="118">
        <f>C397/1000*(1000*9.81*Pumps!$B$14+'Parameters and Satisfaction'!$B$27)</f>
        <v>0</v>
      </c>
      <c r="J397" s="118">
        <f>D397/1000*(1000*9.81*Pumps!$B$14+'Parameters and Satisfaction'!$B$27)</f>
        <v>1124385.9600180159</v>
      </c>
      <c r="K397" s="118">
        <f>E397/1000*(1000*9.81*Pumps!$B$14+'Parameters and Satisfaction'!$B$27)</f>
        <v>0</v>
      </c>
      <c r="L397" s="118">
        <f>F397/1000*(1000*9.81*Pumps!$B$14+'Parameters and Satisfaction'!$B$27)</f>
        <v>550340.73923360684</v>
      </c>
      <c r="M397" s="118"/>
      <c r="N397" s="118">
        <f>H397/IF('Parameters and Satisfaction'!$C$13="Pump A", 0.7, IF('Parameters and Satisfaction'!$C$13 = "Pump B", 0.72, 0.65))</f>
        <v>1131780.0901881841</v>
      </c>
      <c r="O397" s="118">
        <f>I397/IF('Parameters and Satisfaction'!$C$13="Pump A", 0.7, IF('Parameters and Satisfaction'!$C$13 = "Pump B", 0.72, 0.65))</f>
        <v>0</v>
      </c>
      <c r="P397" s="118">
        <f>J397/IF('Parameters and Satisfaction'!$C$13="Pump A", 0.7, IF('Parameters and Satisfaction'!$C$13 = "Pump B", 0.72, 0.65))</f>
        <v>1561647.1666916888</v>
      </c>
      <c r="Q397" s="118">
        <f>K397/IF('Parameters and Satisfaction'!$C$13="Pump A", 0.7, IF('Parameters and Satisfaction'!$C$13 = "Pump B", 0.72, 0.65))</f>
        <v>0</v>
      </c>
      <c r="R397" s="118">
        <f>L397/IF('Parameters and Satisfaction'!$C$13="Pump A", 0.7, IF('Parameters and Satisfaction'!$C$13 = "Pump B", 0.72, 0.65))</f>
        <v>764362.137824454</v>
      </c>
      <c r="S397" s="118"/>
      <c r="T397" s="118">
        <f>N397+$F$47+IF('Parameters and Satisfaction'!$C$19="Ozone", 'Filtration System'!AA361*1000000, 0)</f>
        <v>5819280.0901881838</v>
      </c>
      <c r="U397" s="118">
        <f>O397+$F$47+IF('Parameters and Satisfaction'!$C$19="Ozone", 'Filtration System'!AB361*1000000, 0)</f>
        <v>4687500</v>
      </c>
      <c r="V397" s="118">
        <f>P397+$F$47+IF('Parameters and Satisfaction'!$C$19="Ozone", 'Filtration System'!AC361*1000000, 0)</f>
        <v>6249147.1666916888</v>
      </c>
      <c r="W397" s="118">
        <f>Q397+$F$47+IF('Parameters and Satisfaction'!$C$19="Ozone", 'Filtration System'!AD361*1000000, 0)</f>
        <v>4687500</v>
      </c>
      <c r="X397" s="118">
        <f>R397+$F$47+IF('Parameters and Satisfaction'!$C$19="Ozone", 'Filtration System'!AE361*1000000, 0)</f>
        <v>5451862.1378244543</v>
      </c>
      <c r="Y397" s="118"/>
      <c r="Z397" s="118">
        <f t="shared" si="58"/>
        <v>0.41566286358487026</v>
      </c>
      <c r="AA397" s="118">
        <f t="shared" si="59"/>
        <v>0.33482142857142855</v>
      </c>
      <c r="AB397" s="118">
        <f t="shared" si="60"/>
        <v>0.44636765476369206</v>
      </c>
      <c r="AC397" s="118">
        <f t="shared" si="61"/>
        <v>0.33482142857142855</v>
      </c>
      <c r="AD397" s="118">
        <f t="shared" si="62"/>
        <v>0.38941872413031819</v>
      </c>
      <c r="AE397" s="118"/>
      <c r="AF397" s="118"/>
      <c r="AG397" s="118"/>
      <c r="AK397">
        <f t="shared" si="63"/>
        <v>12337920</v>
      </c>
      <c r="AL397">
        <f t="shared" si="63"/>
        <v>12337920</v>
      </c>
      <c r="AM397">
        <f t="shared" si="63"/>
        <v>12337920</v>
      </c>
      <c r="AN397">
        <f t="shared" si="63"/>
        <v>12337920</v>
      </c>
      <c r="AO397">
        <f t="shared" si="63"/>
        <v>12337920</v>
      </c>
    </row>
    <row r="398" spans="1:41">
      <c r="A398" s="185">
        <f>'Water Stuff'!F332</f>
        <v>44889</v>
      </c>
      <c r="B398" s="118">
        <f>'Filtration System'!B362</f>
        <v>10000</v>
      </c>
      <c r="C398" s="118">
        <f>'Filtration System'!C362</f>
        <v>0</v>
      </c>
      <c r="D398" s="118">
        <f>'Filtration System'!D362</f>
        <v>10000</v>
      </c>
      <c r="E398" s="118">
        <f>'Filtration System'!E362</f>
        <v>0</v>
      </c>
      <c r="F398" s="118">
        <f>'Filtration System'!F362</f>
        <v>10000</v>
      </c>
      <c r="G398" s="118"/>
      <c r="H398" s="118">
        <f>B398/1000*(1000*9.81*Pumps!$B$14+'Parameters and Satisfaction'!$B$27)</f>
        <v>2680531.7925509624</v>
      </c>
      <c r="I398" s="118">
        <f>C398/1000*(1000*9.81*Pumps!$B$14+'Parameters and Satisfaction'!$B$27)</f>
        <v>0</v>
      </c>
      <c r="J398" s="118">
        <f>D398/1000*(1000*9.81*Pumps!$B$14+'Parameters and Satisfaction'!$B$27)</f>
        <v>2680531.7925509624</v>
      </c>
      <c r="K398" s="118">
        <f>E398/1000*(1000*9.81*Pumps!$B$14+'Parameters and Satisfaction'!$B$27)</f>
        <v>0</v>
      </c>
      <c r="L398" s="118">
        <f>F398/1000*(1000*9.81*Pumps!$B$14+'Parameters and Satisfaction'!$B$27)</f>
        <v>2680531.7925509624</v>
      </c>
      <c r="M398" s="118"/>
      <c r="N398" s="118">
        <f>H398/IF('Parameters and Satisfaction'!$C$13="Pump A", 0.7, IF('Parameters and Satisfaction'!$C$13 = "Pump B", 0.72, 0.65))</f>
        <v>3722960.822987448</v>
      </c>
      <c r="O398" s="118">
        <f>I398/IF('Parameters and Satisfaction'!$C$13="Pump A", 0.7, IF('Parameters and Satisfaction'!$C$13 = "Pump B", 0.72, 0.65))</f>
        <v>0</v>
      </c>
      <c r="P398" s="118">
        <f>J398/IF('Parameters and Satisfaction'!$C$13="Pump A", 0.7, IF('Parameters and Satisfaction'!$C$13 = "Pump B", 0.72, 0.65))</f>
        <v>3722960.822987448</v>
      </c>
      <c r="Q398" s="118">
        <f>K398/IF('Parameters and Satisfaction'!$C$13="Pump A", 0.7, IF('Parameters and Satisfaction'!$C$13 = "Pump B", 0.72, 0.65))</f>
        <v>0</v>
      </c>
      <c r="R398" s="118">
        <f>L398/IF('Parameters and Satisfaction'!$C$13="Pump A", 0.7, IF('Parameters and Satisfaction'!$C$13 = "Pump B", 0.72, 0.65))</f>
        <v>3722960.822987448</v>
      </c>
      <c r="S398" s="118"/>
      <c r="T398" s="118">
        <f>N398+$F$47+IF('Parameters and Satisfaction'!$C$19="Ozone", 'Filtration System'!AA362*1000000, 0)</f>
        <v>8410460.8229874484</v>
      </c>
      <c r="U398" s="118">
        <f>O398+$F$47+IF('Parameters and Satisfaction'!$C$19="Ozone", 'Filtration System'!AB362*1000000, 0)</f>
        <v>4687500</v>
      </c>
      <c r="V398" s="118">
        <f>P398+$F$47+IF('Parameters and Satisfaction'!$C$19="Ozone", 'Filtration System'!AC362*1000000, 0)</f>
        <v>8410460.8229874484</v>
      </c>
      <c r="W398" s="118">
        <f>Q398+$F$47+IF('Parameters and Satisfaction'!$C$19="Ozone", 'Filtration System'!AD362*1000000, 0)</f>
        <v>4687500</v>
      </c>
      <c r="X398" s="118">
        <f>R398+$F$47+IF('Parameters and Satisfaction'!$C$19="Ozone", 'Filtration System'!AE362*1000000, 0)</f>
        <v>8410460.8229874484</v>
      </c>
      <c r="Y398" s="118"/>
      <c r="Z398" s="118">
        <f t="shared" si="58"/>
        <v>0.6007472016419606</v>
      </c>
      <c r="AA398" s="118">
        <f t="shared" si="59"/>
        <v>0.33482142857142855</v>
      </c>
      <c r="AB398" s="118">
        <f t="shared" si="60"/>
        <v>0.6007472016419606</v>
      </c>
      <c r="AC398" s="118">
        <f t="shared" si="61"/>
        <v>0.33482142857142855</v>
      </c>
      <c r="AD398" s="118">
        <f t="shared" si="62"/>
        <v>0.6007472016419606</v>
      </c>
      <c r="AE398" s="118"/>
      <c r="AF398" s="118"/>
      <c r="AG398" s="118"/>
      <c r="AK398">
        <f t="shared" si="63"/>
        <v>12337920</v>
      </c>
      <c r="AL398">
        <f t="shared" si="63"/>
        <v>12337920</v>
      </c>
      <c r="AM398">
        <f t="shared" si="63"/>
        <v>12337920</v>
      </c>
      <c r="AN398">
        <f t="shared" si="63"/>
        <v>12337920</v>
      </c>
      <c r="AO398">
        <f t="shared" si="63"/>
        <v>12337920</v>
      </c>
    </row>
    <row r="399" spans="1:41">
      <c r="A399" s="185">
        <f>'Water Stuff'!F333</f>
        <v>44890</v>
      </c>
      <c r="B399" s="118">
        <f>'Filtration System'!B363</f>
        <v>3000</v>
      </c>
      <c r="C399" s="118">
        <f>'Filtration System'!C363</f>
        <v>0</v>
      </c>
      <c r="D399" s="118">
        <f>'Filtration System'!D363</f>
        <v>3095.5363320030701</v>
      </c>
      <c r="E399" s="118">
        <f>'Filtration System'!E363</f>
        <v>0</v>
      </c>
      <c r="F399" s="118">
        <f>'Filtration System'!F363</f>
        <v>2036.7880232537598</v>
      </c>
      <c r="G399" s="118"/>
      <c r="H399" s="118">
        <f>B399/1000*(1000*9.81*Pumps!$B$14+'Parameters and Satisfaction'!$B$27)</f>
        <v>804159.53776528873</v>
      </c>
      <c r="I399" s="118">
        <f>C399/1000*(1000*9.81*Pumps!$B$14+'Parameters and Satisfaction'!$B$27)</f>
        <v>0</v>
      </c>
      <c r="J399" s="118">
        <f>D399/1000*(1000*9.81*Pumps!$B$14+'Parameters and Satisfaction'!$B$27)</f>
        <v>829768.35529308207</v>
      </c>
      <c r="K399" s="118">
        <f>E399/1000*(1000*9.81*Pumps!$B$14+'Parameters and Satisfaction'!$B$27)</f>
        <v>0</v>
      </c>
      <c r="L399" s="118">
        <f>F399/1000*(1000*9.81*Pumps!$B$14+'Parameters and Satisfaction'!$B$27)</f>
        <v>545967.50510187319</v>
      </c>
      <c r="M399" s="118"/>
      <c r="N399" s="118">
        <f>H399/IF('Parameters and Satisfaction'!$C$13="Pump A", 0.7, IF('Parameters and Satisfaction'!$C$13 = "Pump B", 0.72, 0.65))</f>
        <v>1116888.2468962343</v>
      </c>
      <c r="O399" s="118">
        <f>I399/IF('Parameters and Satisfaction'!$C$13="Pump A", 0.7, IF('Parameters and Satisfaction'!$C$13 = "Pump B", 0.72, 0.65))</f>
        <v>0</v>
      </c>
      <c r="P399" s="118">
        <f>J399/IF('Parameters and Satisfaction'!$C$13="Pump A", 0.7, IF('Parameters and Satisfaction'!$C$13 = "Pump B", 0.72, 0.65))</f>
        <v>1152456.0490181695</v>
      </c>
      <c r="Q399" s="118">
        <f>K399/IF('Parameters and Satisfaction'!$C$13="Pump A", 0.7, IF('Parameters and Satisfaction'!$C$13 = "Pump B", 0.72, 0.65))</f>
        <v>0</v>
      </c>
      <c r="R399" s="118">
        <f>L399/IF('Parameters and Satisfaction'!$C$13="Pump A", 0.7, IF('Parameters and Satisfaction'!$C$13 = "Pump B", 0.72, 0.65))</f>
        <v>758288.20153037948</v>
      </c>
      <c r="S399" s="118"/>
      <c r="T399" s="118">
        <f>N399+$F$47+IF('Parameters and Satisfaction'!$C$19="Ozone", 'Filtration System'!AA363*1000000, 0)</f>
        <v>5804388.2468962343</v>
      </c>
      <c r="U399" s="118">
        <f>O399+$F$47+IF('Parameters and Satisfaction'!$C$19="Ozone", 'Filtration System'!AB363*1000000, 0)</f>
        <v>4687500</v>
      </c>
      <c r="V399" s="118">
        <f>P399+$F$47+IF('Parameters and Satisfaction'!$C$19="Ozone", 'Filtration System'!AC363*1000000, 0)</f>
        <v>5839956.0490181698</v>
      </c>
      <c r="W399" s="118">
        <f>Q399+$F$47+IF('Parameters and Satisfaction'!$C$19="Ozone", 'Filtration System'!AD363*1000000, 0)</f>
        <v>4687500</v>
      </c>
      <c r="X399" s="118">
        <f>R399+$F$47+IF('Parameters and Satisfaction'!$C$19="Ozone", 'Filtration System'!AE363*1000000, 0)</f>
        <v>5445788.2015303792</v>
      </c>
      <c r="Y399" s="118"/>
      <c r="Z399" s="118">
        <f t="shared" si="58"/>
        <v>0.41459916049258816</v>
      </c>
      <c r="AA399" s="118">
        <f t="shared" si="59"/>
        <v>0.33482142857142855</v>
      </c>
      <c r="AB399" s="118">
        <f t="shared" si="60"/>
        <v>0.41713971778701214</v>
      </c>
      <c r="AC399" s="118">
        <f t="shared" si="61"/>
        <v>0.33482142857142855</v>
      </c>
      <c r="AD399" s="118">
        <f t="shared" si="62"/>
        <v>0.38898487153788425</v>
      </c>
      <c r="AE399" s="118"/>
      <c r="AF399" s="118"/>
      <c r="AG399" s="118"/>
      <c r="AK399">
        <f t="shared" si="63"/>
        <v>12337920</v>
      </c>
      <c r="AL399">
        <f t="shared" si="63"/>
        <v>12337920</v>
      </c>
      <c r="AM399">
        <f t="shared" si="63"/>
        <v>12337920</v>
      </c>
      <c r="AN399">
        <f t="shared" si="63"/>
        <v>12337920</v>
      </c>
      <c r="AO399">
        <f t="shared" si="63"/>
        <v>12337920</v>
      </c>
    </row>
    <row r="400" spans="1:41">
      <c r="A400" s="185">
        <f>'Water Stuff'!F334</f>
        <v>44891</v>
      </c>
      <c r="B400" s="118">
        <f>'Filtration System'!B364</f>
        <v>8600</v>
      </c>
      <c r="C400" s="118">
        <f>'Filtration System'!C364</f>
        <v>0</v>
      </c>
      <c r="D400" s="118">
        <f>'Filtration System'!D364</f>
        <v>7813.975868771261</v>
      </c>
      <c r="E400" s="118">
        <f>'Filtration System'!E364</f>
        <v>0</v>
      </c>
      <c r="F400" s="118">
        <f>'Filtration System'!F364</f>
        <v>8241.1634196309442</v>
      </c>
      <c r="G400" s="118"/>
      <c r="H400" s="118">
        <f>B400/1000*(1000*9.81*Pumps!$B$14+'Parameters and Satisfaction'!$B$27)</f>
        <v>2305257.3415938276</v>
      </c>
      <c r="I400" s="118">
        <f>C400/1000*(1000*9.81*Pumps!$B$14+'Parameters and Satisfaction'!$B$27)</f>
        <v>0</v>
      </c>
      <c r="J400" s="118">
        <f>D400/1000*(1000*9.81*Pumps!$B$14+'Parameters and Satisfaction'!$B$27)</f>
        <v>2094561.0742467393</v>
      </c>
      <c r="K400" s="118">
        <f>E400/1000*(1000*9.81*Pumps!$B$14+'Parameters and Satisfaction'!$B$27)</f>
        <v>0</v>
      </c>
      <c r="L400" s="118">
        <f>F400/1000*(1000*9.81*Pumps!$B$14+'Parameters and Satisfaction'!$B$27)</f>
        <v>2209070.0553928753</v>
      </c>
      <c r="M400" s="118"/>
      <c r="N400" s="118">
        <f>H400/IF('Parameters and Satisfaction'!$C$13="Pump A", 0.7, IF('Parameters and Satisfaction'!$C$13 = "Pump B", 0.72, 0.65))</f>
        <v>3201746.307769205</v>
      </c>
      <c r="O400" s="118">
        <f>I400/IF('Parameters and Satisfaction'!$C$13="Pump A", 0.7, IF('Parameters and Satisfaction'!$C$13 = "Pump B", 0.72, 0.65))</f>
        <v>0</v>
      </c>
      <c r="P400" s="118">
        <f>J400/IF('Parameters and Satisfaction'!$C$13="Pump A", 0.7, IF('Parameters and Satisfaction'!$C$13 = "Pump B", 0.72, 0.65))</f>
        <v>2909112.6031204714</v>
      </c>
      <c r="Q400" s="118">
        <f>K400/IF('Parameters and Satisfaction'!$C$13="Pump A", 0.7, IF('Parameters and Satisfaction'!$C$13 = "Pump B", 0.72, 0.65))</f>
        <v>0</v>
      </c>
      <c r="R400" s="118">
        <f>L400/IF('Parameters and Satisfaction'!$C$13="Pump A", 0.7, IF('Parameters and Satisfaction'!$C$13 = "Pump B", 0.72, 0.65))</f>
        <v>3068152.854712327</v>
      </c>
      <c r="S400" s="118"/>
      <c r="T400" s="118">
        <f>N400+$F$47+IF('Parameters and Satisfaction'!$C$19="Ozone", 'Filtration System'!AA364*1000000, 0)</f>
        <v>7889246.3077692054</v>
      </c>
      <c r="U400" s="118">
        <f>O400+$F$47+IF('Parameters and Satisfaction'!$C$19="Ozone", 'Filtration System'!AB364*1000000, 0)</f>
        <v>4687500</v>
      </c>
      <c r="V400" s="118">
        <f>P400+$F$47+IF('Parameters and Satisfaction'!$C$19="Ozone", 'Filtration System'!AC364*1000000, 0)</f>
        <v>7596612.6031204714</v>
      </c>
      <c r="W400" s="118">
        <f>Q400+$F$47+IF('Parameters and Satisfaction'!$C$19="Ozone", 'Filtration System'!AD364*1000000, 0)</f>
        <v>4687500</v>
      </c>
      <c r="X400" s="118">
        <f>R400+$F$47+IF('Parameters and Satisfaction'!$C$19="Ozone", 'Filtration System'!AE364*1000000, 0)</f>
        <v>7755652.854712327</v>
      </c>
      <c r="Y400" s="118"/>
      <c r="Z400" s="118">
        <f t="shared" si="58"/>
        <v>0.56351759341208607</v>
      </c>
      <c r="AA400" s="118">
        <f t="shared" si="59"/>
        <v>0.33482142857142855</v>
      </c>
      <c r="AB400" s="118">
        <f t="shared" si="60"/>
        <v>0.5426151859371765</v>
      </c>
      <c r="AC400" s="118">
        <f t="shared" si="61"/>
        <v>0.33482142857142855</v>
      </c>
      <c r="AD400" s="118">
        <f t="shared" si="62"/>
        <v>0.55397520390802335</v>
      </c>
      <c r="AE400" s="118"/>
      <c r="AF400" s="118"/>
      <c r="AG400" s="118"/>
      <c r="AK400">
        <f t="shared" si="63"/>
        <v>12337920</v>
      </c>
      <c r="AL400">
        <f t="shared" si="63"/>
        <v>12337920</v>
      </c>
      <c r="AM400">
        <f t="shared" si="63"/>
        <v>12337920</v>
      </c>
      <c r="AN400">
        <f t="shared" si="63"/>
        <v>12337920</v>
      </c>
      <c r="AO400">
        <f t="shared" si="63"/>
        <v>12337920</v>
      </c>
    </row>
    <row r="401" spans="1:41">
      <c r="A401" s="185">
        <f>'Water Stuff'!F335</f>
        <v>44892</v>
      </c>
      <c r="B401" s="118">
        <f>'Filtration System'!B365</f>
        <v>3000</v>
      </c>
      <c r="C401" s="118">
        <f>'Filtration System'!C365</f>
        <v>0</v>
      </c>
      <c r="D401" s="118">
        <f>'Filtration System'!D365</f>
        <v>1108.7380644397158</v>
      </c>
      <c r="E401" s="118">
        <f>'Filtration System'!E365</f>
        <v>11.686491294593539</v>
      </c>
      <c r="F401" s="118">
        <f>'Filtration System'!F365</f>
        <v>0</v>
      </c>
      <c r="G401" s="118"/>
      <c r="H401" s="118">
        <f>B401/1000*(1000*9.81*Pumps!$B$14+'Parameters and Satisfaction'!$B$27)</f>
        <v>804159.53776528873</v>
      </c>
      <c r="I401" s="118">
        <f>C401/1000*(1000*9.81*Pumps!$B$14+'Parameters and Satisfaction'!$B$27)</f>
        <v>0</v>
      </c>
      <c r="J401" s="118">
        <f>D401/1000*(1000*9.81*Pumps!$B$14+'Parameters and Satisfaction'!$B$27)</f>
        <v>297200.76313420758</v>
      </c>
      <c r="K401" s="118">
        <f>E401/1000*(1000*9.81*Pumps!$B$14+'Parameters and Satisfaction'!$B$27)</f>
        <v>3132.6011458528037</v>
      </c>
      <c r="L401" s="118">
        <f>F401/1000*(1000*9.81*Pumps!$B$14+'Parameters and Satisfaction'!$B$27)</f>
        <v>0</v>
      </c>
      <c r="M401" s="118"/>
      <c r="N401" s="118">
        <f>H401/IF('Parameters and Satisfaction'!$C$13="Pump A", 0.7, IF('Parameters and Satisfaction'!$C$13 = "Pump B", 0.72, 0.65))</f>
        <v>1116888.2468962343</v>
      </c>
      <c r="O401" s="118">
        <f>I401/IF('Parameters and Satisfaction'!$C$13="Pump A", 0.7, IF('Parameters and Satisfaction'!$C$13 = "Pump B", 0.72, 0.65))</f>
        <v>0</v>
      </c>
      <c r="P401" s="118">
        <f>J401/IF('Parameters and Satisfaction'!$C$13="Pump A", 0.7, IF('Parameters and Satisfaction'!$C$13 = "Pump B", 0.72, 0.65))</f>
        <v>412778.83768639941</v>
      </c>
      <c r="Q401" s="118">
        <f>K401/IF('Parameters and Satisfaction'!$C$13="Pump A", 0.7, IF('Parameters and Satisfaction'!$C$13 = "Pump B", 0.72, 0.65))</f>
        <v>4350.8349247955612</v>
      </c>
      <c r="R401" s="118">
        <f>L401/IF('Parameters and Satisfaction'!$C$13="Pump A", 0.7, IF('Parameters and Satisfaction'!$C$13 = "Pump B", 0.72, 0.65))</f>
        <v>0</v>
      </c>
      <c r="S401" s="118"/>
      <c r="T401" s="118">
        <f>N401+$F$47+IF('Parameters and Satisfaction'!$C$19="Ozone", 'Filtration System'!AA365*1000000, 0)</f>
        <v>5804388.2468962343</v>
      </c>
      <c r="U401" s="118">
        <f>O401+$F$47+IF('Parameters and Satisfaction'!$C$19="Ozone", 'Filtration System'!AB365*1000000, 0)</f>
        <v>4687500</v>
      </c>
      <c r="V401" s="118">
        <f>P401+$F$47+IF('Parameters and Satisfaction'!$C$19="Ozone", 'Filtration System'!AC365*1000000, 0)</f>
        <v>5100278.837686399</v>
      </c>
      <c r="W401" s="118">
        <f>Q401+$F$47+IF('Parameters and Satisfaction'!$C$19="Ozone", 'Filtration System'!AD365*1000000, 0)</f>
        <v>4691850.8349247957</v>
      </c>
      <c r="X401" s="118">
        <f>R401+$F$47+IF('Parameters and Satisfaction'!$C$19="Ozone", 'Filtration System'!AE365*1000000, 0)</f>
        <v>4687500</v>
      </c>
      <c r="Y401" s="118"/>
      <c r="Z401" s="118">
        <f t="shared" si="58"/>
        <v>0.41459916049258816</v>
      </c>
      <c r="AA401" s="118">
        <f t="shared" si="59"/>
        <v>0.33482142857142855</v>
      </c>
      <c r="AB401" s="118">
        <f t="shared" si="60"/>
        <v>0.36430563126331422</v>
      </c>
      <c r="AC401" s="118">
        <f t="shared" si="61"/>
        <v>0.33513220249462827</v>
      </c>
      <c r="AD401" s="118">
        <f t="shared" si="62"/>
        <v>0.33482142857142855</v>
      </c>
      <c r="AE401" s="118"/>
      <c r="AF401" s="118"/>
      <c r="AG401" s="118"/>
      <c r="AK401">
        <f t="shared" si="63"/>
        <v>12337920</v>
      </c>
      <c r="AL401">
        <f t="shared" si="63"/>
        <v>12337920</v>
      </c>
      <c r="AM401">
        <f t="shared" si="63"/>
        <v>12337920</v>
      </c>
      <c r="AN401">
        <f t="shared" si="63"/>
        <v>12337920</v>
      </c>
      <c r="AO401">
        <f t="shared" si="63"/>
        <v>12337920</v>
      </c>
    </row>
    <row r="402" spans="1:41">
      <c r="A402" s="185">
        <f>'Water Stuff'!F336</f>
        <v>44893</v>
      </c>
      <c r="B402" s="118">
        <f>'Filtration System'!B366</f>
        <v>0</v>
      </c>
      <c r="C402" s="118">
        <f>'Filtration System'!C366</f>
        <v>0</v>
      </c>
      <c r="D402" s="118">
        <f>'Filtration System'!D366</f>
        <v>0</v>
      </c>
      <c r="E402" s="118">
        <f>'Filtration System'!E366</f>
        <v>0</v>
      </c>
      <c r="F402" s="118">
        <f>'Filtration System'!F366</f>
        <v>1617.1034891879067</v>
      </c>
      <c r="G402" s="118"/>
      <c r="H402" s="118">
        <f>B402/1000*(1000*9.81*Pumps!$B$14+'Parameters and Satisfaction'!$B$27)</f>
        <v>0</v>
      </c>
      <c r="I402" s="118">
        <f>C402/1000*(1000*9.81*Pumps!$B$14+'Parameters and Satisfaction'!$B$27)</f>
        <v>0</v>
      </c>
      <c r="J402" s="118">
        <f>D402/1000*(1000*9.81*Pumps!$B$14+'Parameters and Satisfaction'!$B$27)</f>
        <v>0</v>
      </c>
      <c r="K402" s="118">
        <f>E402/1000*(1000*9.81*Pumps!$B$14+'Parameters and Satisfaction'!$B$27)</f>
        <v>0</v>
      </c>
      <c r="L402" s="118">
        <f>F402/1000*(1000*9.81*Pumps!$B$14+'Parameters and Satisfaction'!$B$27)</f>
        <v>433469.73146132752</v>
      </c>
      <c r="M402" s="118"/>
      <c r="N402" s="118">
        <f>H402/IF('Parameters and Satisfaction'!$C$13="Pump A", 0.7, IF('Parameters and Satisfaction'!$C$13 = "Pump B", 0.72, 0.65))</f>
        <v>0</v>
      </c>
      <c r="O402" s="118">
        <f>I402/IF('Parameters and Satisfaction'!$C$13="Pump A", 0.7, IF('Parameters and Satisfaction'!$C$13 = "Pump B", 0.72, 0.65))</f>
        <v>0</v>
      </c>
      <c r="P402" s="118">
        <f>J402/IF('Parameters and Satisfaction'!$C$13="Pump A", 0.7, IF('Parameters and Satisfaction'!$C$13 = "Pump B", 0.72, 0.65))</f>
        <v>0</v>
      </c>
      <c r="Q402" s="118">
        <f>K402/IF('Parameters and Satisfaction'!$C$13="Pump A", 0.7, IF('Parameters and Satisfaction'!$C$13 = "Pump B", 0.72, 0.65))</f>
        <v>0</v>
      </c>
      <c r="R402" s="118">
        <f>L402/IF('Parameters and Satisfaction'!$C$13="Pump A", 0.7, IF('Parameters and Satisfaction'!$C$13 = "Pump B", 0.72, 0.65))</f>
        <v>602041.29369628825</v>
      </c>
      <c r="S402" s="118"/>
      <c r="T402" s="118">
        <f>N402+$F$47+IF('Parameters and Satisfaction'!$C$19="Ozone", 'Filtration System'!AA366*1000000, 0)</f>
        <v>4687500</v>
      </c>
      <c r="U402" s="118">
        <f>O402+$F$47+IF('Parameters and Satisfaction'!$C$19="Ozone", 'Filtration System'!AB366*1000000, 0)</f>
        <v>4687500</v>
      </c>
      <c r="V402" s="118">
        <f>P402+$F$47+IF('Parameters and Satisfaction'!$C$19="Ozone", 'Filtration System'!AC366*1000000, 0)</f>
        <v>4687500</v>
      </c>
      <c r="W402" s="118">
        <f>Q402+$F$47+IF('Parameters and Satisfaction'!$C$19="Ozone", 'Filtration System'!AD366*1000000, 0)</f>
        <v>4687500</v>
      </c>
      <c r="X402" s="118">
        <f>R402+$F$47+IF('Parameters and Satisfaction'!$C$19="Ozone", 'Filtration System'!AE366*1000000, 0)</f>
        <v>5289541.293696288</v>
      </c>
      <c r="Y402" s="118"/>
      <c r="Z402" s="118">
        <f t="shared" si="58"/>
        <v>0.33482142857142855</v>
      </c>
      <c r="AA402" s="118">
        <f t="shared" si="59"/>
        <v>0.33482142857142855</v>
      </c>
      <c r="AB402" s="118">
        <f t="shared" si="60"/>
        <v>0.33482142857142855</v>
      </c>
      <c r="AC402" s="118">
        <f t="shared" si="61"/>
        <v>0.33482142857142855</v>
      </c>
      <c r="AD402" s="118">
        <f t="shared" si="62"/>
        <v>0.37782437812116343</v>
      </c>
      <c r="AE402" s="118"/>
      <c r="AF402" s="118"/>
      <c r="AG402" s="118"/>
      <c r="AK402">
        <f t="shared" si="63"/>
        <v>12337920</v>
      </c>
      <c r="AL402">
        <f t="shared" si="63"/>
        <v>12337920</v>
      </c>
      <c r="AM402">
        <f t="shared" si="63"/>
        <v>12337920</v>
      </c>
      <c r="AN402">
        <f t="shared" si="63"/>
        <v>12337920</v>
      </c>
      <c r="AO402">
        <f t="shared" si="63"/>
        <v>12337920</v>
      </c>
    </row>
    <row r="403" spans="1:41">
      <c r="A403" s="185">
        <f>'Water Stuff'!F337</f>
        <v>44894</v>
      </c>
      <c r="B403" s="118">
        <f>'Filtration System'!B367</f>
        <v>0</v>
      </c>
      <c r="C403" s="118">
        <f>'Filtration System'!C367</f>
        <v>0</v>
      </c>
      <c r="D403" s="118">
        <f>'Filtration System'!D367</f>
        <v>529.76251379505459</v>
      </c>
      <c r="E403" s="118">
        <f>'Filtration System'!E367</f>
        <v>606.67495474476766</v>
      </c>
      <c r="F403" s="118">
        <f>'Filtration System'!F367</f>
        <v>347.90564436923461</v>
      </c>
      <c r="G403" s="118"/>
      <c r="H403" s="118">
        <f>B403/1000*(1000*9.81*Pumps!$B$14+'Parameters and Satisfaction'!$B$27)</f>
        <v>0</v>
      </c>
      <c r="I403" s="118">
        <f>C403/1000*(1000*9.81*Pumps!$B$14+'Parameters and Satisfaction'!$B$27)</f>
        <v>0</v>
      </c>
      <c r="J403" s="118">
        <f>D403/1000*(1000*9.81*Pumps!$B$14+'Parameters and Satisfaction'!$B$27)</f>
        <v>142004.52607293616</v>
      </c>
      <c r="K403" s="118">
        <f>E403/1000*(1000*9.81*Pumps!$B$14+'Parameters and Satisfaction'!$B$27)</f>
        <v>162621.1503937766</v>
      </c>
      <c r="L403" s="118">
        <f>F403/1000*(1000*9.81*Pumps!$B$14+'Parameters and Satisfaction'!$B$27)</f>
        <v>93257.214053966207</v>
      </c>
      <c r="M403" s="118"/>
      <c r="N403" s="118">
        <f>H403/IF('Parameters and Satisfaction'!$C$13="Pump A", 0.7, IF('Parameters and Satisfaction'!$C$13 = "Pump B", 0.72, 0.65))</f>
        <v>0</v>
      </c>
      <c r="O403" s="118">
        <f>I403/IF('Parameters and Satisfaction'!$C$13="Pump A", 0.7, IF('Parameters and Satisfaction'!$C$13 = "Pump B", 0.72, 0.65))</f>
        <v>0</v>
      </c>
      <c r="P403" s="118">
        <f>J403/IF('Parameters and Satisfaction'!$C$13="Pump A", 0.7, IF('Parameters and Satisfaction'!$C$13 = "Pump B", 0.72, 0.65))</f>
        <v>197228.50843463358</v>
      </c>
      <c r="Q403" s="118">
        <f>K403/IF('Parameters and Satisfaction'!$C$13="Pump A", 0.7, IF('Parameters and Satisfaction'!$C$13 = "Pump B", 0.72, 0.65))</f>
        <v>225862.70888024528</v>
      </c>
      <c r="R403" s="118">
        <f>L403/IF('Parameters and Satisfaction'!$C$13="Pump A", 0.7, IF('Parameters and Satisfaction'!$C$13 = "Pump B", 0.72, 0.65))</f>
        <v>129523.9084082864</v>
      </c>
      <c r="S403" s="118"/>
      <c r="T403" s="118">
        <f>N403+$F$47+IF('Parameters and Satisfaction'!$C$19="Ozone", 'Filtration System'!AA367*1000000, 0)</f>
        <v>4687500</v>
      </c>
      <c r="U403" s="118">
        <f>O403+$F$47+IF('Parameters and Satisfaction'!$C$19="Ozone", 'Filtration System'!AB367*1000000, 0)</f>
        <v>4687500</v>
      </c>
      <c r="V403" s="118">
        <f>P403+$F$47+IF('Parameters and Satisfaction'!$C$19="Ozone", 'Filtration System'!AC367*1000000, 0)</f>
        <v>4884728.5084346337</v>
      </c>
      <c r="W403" s="118">
        <f>Q403+$F$47+IF('Parameters and Satisfaction'!$C$19="Ozone", 'Filtration System'!AD367*1000000, 0)</f>
        <v>4913362.7088802457</v>
      </c>
      <c r="X403" s="118">
        <f>R403+$F$47+IF('Parameters and Satisfaction'!$C$19="Ozone", 'Filtration System'!AE367*1000000, 0)</f>
        <v>4817023.908408286</v>
      </c>
      <c r="Y403" s="118"/>
      <c r="Z403" s="118">
        <f t="shared" si="58"/>
        <v>0.33482142857142855</v>
      </c>
      <c r="AA403" s="118">
        <f t="shared" si="59"/>
        <v>0.33482142857142855</v>
      </c>
      <c r="AB403" s="118">
        <f t="shared" si="60"/>
        <v>0.34890917917390241</v>
      </c>
      <c r="AC403" s="118">
        <f t="shared" si="61"/>
        <v>0.35095447920573186</v>
      </c>
      <c r="AD403" s="118">
        <f t="shared" si="62"/>
        <v>0.34407313631487757</v>
      </c>
      <c r="AE403" s="118"/>
      <c r="AF403" s="118"/>
      <c r="AG403" s="118"/>
      <c r="AK403">
        <f t="shared" si="63"/>
        <v>12337920</v>
      </c>
      <c r="AL403">
        <f t="shared" si="63"/>
        <v>12337920</v>
      </c>
      <c r="AM403">
        <f t="shared" si="63"/>
        <v>12337920</v>
      </c>
      <c r="AN403">
        <f t="shared" si="63"/>
        <v>12337920</v>
      </c>
      <c r="AO403">
        <f t="shared" si="63"/>
        <v>12337920</v>
      </c>
    </row>
    <row r="404" spans="1:41">
      <c r="A404" s="185">
        <f>'Water Stuff'!F338</f>
        <v>44895</v>
      </c>
      <c r="B404" s="118">
        <f>'Filtration System'!B368</f>
        <v>0</v>
      </c>
      <c r="C404" s="118">
        <f>'Filtration System'!C368</f>
        <v>2600</v>
      </c>
      <c r="D404" s="118">
        <f>'Filtration System'!D368</f>
        <v>0</v>
      </c>
      <c r="E404" s="118">
        <f>'Filtration System'!E368</f>
        <v>2551.9625536557282</v>
      </c>
      <c r="F404" s="118">
        <f>'Filtration System'!F368</f>
        <v>0</v>
      </c>
      <c r="G404" s="118"/>
      <c r="H404" s="118">
        <f>B404/1000*(1000*9.81*Pumps!$B$14+'Parameters and Satisfaction'!$B$27)</f>
        <v>0</v>
      </c>
      <c r="I404" s="118">
        <f>C404/1000*(1000*9.81*Pumps!$B$14+'Parameters and Satisfaction'!$B$27)</f>
        <v>696938.26606325025</v>
      </c>
      <c r="J404" s="118">
        <f>D404/1000*(1000*9.81*Pumps!$B$14+'Parameters and Satisfaction'!$B$27)</f>
        <v>0</v>
      </c>
      <c r="K404" s="118">
        <f>E404/1000*(1000*9.81*Pumps!$B$14+'Parameters and Satisfaction'!$B$27)</f>
        <v>684061.67584737216</v>
      </c>
      <c r="L404" s="118">
        <f>F404/1000*(1000*9.81*Pumps!$B$14+'Parameters and Satisfaction'!$B$27)</f>
        <v>0</v>
      </c>
      <c r="M404" s="118"/>
      <c r="N404" s="118">
        <f>H404/IF('Parameters and Satisfaction'!$C$13="Pump A", 0.7, IF('Parameters and Satisfaction'!$C$13 = "Pump B", 0.72, 0.65))</f>
        <v>0</v>
      </c>
      <c r="O404" s="118">
        <f>I404/IF('Parameters and Satisfaction'!$C$13="Pump A", 0.7, IF('Parameters and Satisfaction'!$C$13 = "Pump B", 0.72, 0.65))</f>
        <v>967969.81397673651</v>
      </c>
      <c r="P404" s="118">
        <f>J404/IF('Parameters and Satisfaction'!$C$13="Pump A", 0.7, IF('Parameters and Satisfaction'!$C$13 = "Pump B", 0.72, 0.65))</f>
        <v>0</v>
      </c>
      <c r="Q404" s="118">
        <f>K404/IF('Parameters and Satisfaction'!$C$13="Pump A", 0.7, IF('Parameters and Satisfaction'!$C$13 = "Pump B", 0.72, 0.65))</f>
        <v>950085.66089912807</v>
      </c>
      <c r="R404" s="118">
        <f>L404/IF('Parameters and Satisfaction'!$C$13="Pump A", 0.7, IF('Parameters and Satisfaction'!$C$13 = "Pump B", 0.72, 0.65))</f>
        <v>0</v>
      </c>
      <c r="S404" s="118"/>
      <c r="T404" s="118">
        <f>N404+$F$47+IF('Parameters and Satisfaction'!$C$19="Ozone", 'Filtration System'!AA368*1000000, 0)</f>
        <v>4687500</v>
      </c>
      <c r="U404" s="118">
        <f>O404+$F$47+IF('Parameters and Satisfaction'!$C$19="Ozone", 'Filtration System'!AB368*1000000, 0)</f>
        <v>5655469.8139767367</v>
      </c>
      <c r="V404" s="118">
        <f>P404+$F$47+IF('Parameters and Satisfaction'!$C$19="Ozone", 'Filtration System'!AC368*1000000, 0)</f>
        <v>4687500</v>
      </c>
      <c r="W404" s="118">
        <f>Q404+$F$47+IF('Parameters and Satisfaction'!$C$19="Ozone", 'Filtration System'!AD368*1000000, 0)</f>
        <v>5637585.6608991278</v>
      </c>
      <c r="X404" s="118">
        <f>R404+$F$47+IF('Parameters and Satisfaction'!$C$19="Ozone", 'Filtration System'!AE368*1000000, 0)</f>
        <v>4687500</v>
      </c>
      <c r="Y404" s="118"/>
      <c r="Z404" s="118">
        <f t="shared" si="58"/>
        <v>0.33482142857142855</v>
      </c>
      <c r="AA404" s="118">
        <f t="shared" si="59"/>
        <v>0.4039621295697669</v>
      </c>
      <c r="AB404" s="118">
        <f t="shared" si="60"/>
        <v>0.33482142857142855</v>
      </c>
      <c r="AC404" s="118">
        <f t="shared" si="61"/>
        <v>0.40268469006422342</v>
      </c>
      <c r="AD404" s="118">
        <f t="shared" si="62"/>
        <v>0.33482142857142855</v>
      </c>
      <c r="AE404" s="118"/>
      <c r="AF404" s="118"/>
      <c r="AG404" s="118"/>
      <c r="AK404">
        <f t="shared" si="63"/>
        <v>12337920</v>
      </c>
      <c r="AL404">
        <f t="shared" si="63"/>
        <v>12337920</v>
      </c>
      <c r="AM404">
        <f t="shared" si="63"/>
        <v>12337920</v>
      </c>
      <c r="AN404">
        <f t="shared" si="63"/>
        <v>12337920</v>
      </c>
      <c r="AO404">
        <f t="shared" si="63"/>
        <v>12337920</v>
      </c>
    </row>
    <row r="405" spans="1:41">
      <c r="A405" s="185">
        <f>'Water Stuff'!F339</f>
        <v>44896</v>
      </c>
      <c r="B405" s="118">
        <f>'Filtration System'!B369</f>
        <v>0</v>
      </c>
      <c r="C405" s="118">
        <f>'Filtration System'!C369</f>
        <v>6920</v>
      </c>
      <c r="D405" s="118">
        <f>'Filtration System'!D369</f>
        <v>0</v>
      </c>
      <c r="E405" s="118">
        <f>'Filtration System'!E369</f>
        <v>7937.8501272263666</v>
      </c>
      <c r="F405" s="118">
        <f>'Filtration System'!F369</f>
        <v>0</v>
      </c>
      <c r="G405" s="118"/>
      <c r="H405" s="118">
        <f>B405/1000*(1000*9.81*Pumps!$B$14+'Parameters and Satisfaction'!$B$27)</f>
        <v>0</v>
      </c>
      <c r="I405" s="118">
        <f>C405/1000*(1000*9.81*Pumps!$B$14+'Parameters and Satisfaction'!$B$27)</f>
        <v>1854928.000445266</v>
      </c>
      <c r="J405" s="118">
        <f>D405/1000*(1000*9.81*Pumps!$B$14+'Parameters and Satisfaction'!$B$27)</f>
        <v>0</v>
      </c>
      <c r="K405" s="118">
        <f>E405/1000*(1000*9.81*Pumps!$B$14+'Parameters and Satisfaction'!$B$27)</f>
        <v>2127765.9630534975</v>
      </c>
      <c r="L405" s="118">
        <f>F405/1000*(1000*9.81*Pumps!$B$14+'Parameters and Satisfaction'!$B$27)</f>
        <v>0</v>
      </c>
      <c r="M405" s="118"/>
      <c r="N405" s="118">
        <f>H405/IF('Parameters and Satisfaction'!$C$13="Pump A", 0.7, IF('Parameters and Satisfaction'!$C$13 = "Pump B", 0.72, 0.65))</f>
        <v>0</v>
      </c>
      <c r="O405" s="118">
        <f>I405/IF('Parameters and Satisfaction'!$C$13="Pump A", 0.7, IF('Parameters and Satisfaction'!$C$13 = "Pump B", 0.72, 0.65))</f>
        <v>2576288.8895073142</v>
      </c>
      <c r="P405" s="118">
        <f>J405/IF('Parameters and Satisfaction'!$C$13="Pump A", 0.7, IF('Parameters and Satisfaction'!$C$13 = "Pump B", 0.72, 0.65))</f>
        <v>0</v>
      </c>
      <c r="Q405" s="118">
        <f>K405/IF('Parameters and Satisfaction'!$C$13="Pump A", 0.7, IF('Parameters and Satisfaction'!$C$13 = "Pump B", 0.72, 0.65))</f>
        <v>2955230.5042409687</v>
      </c>
      <c r="R405" s="118">
        <f>L405/IF('Parameters and Satisfaction'!$C$13="Pump A", 0.7, IF('Parameters and Satisfaction'!$C$13 = "Pump B", 0.72, 0.65))</f>
        <v>0</v>
      </c>
      <c r="S405" s="118"/>
      <c r="T405" s="118">
        <f>N405+$F$47+IF('Parameters and Satisfaction'!$C$19="Ozone", 'Filtration System'!AA369*1000000, 0)</f>
        <v>4687500</v>
      </c>
      <c r="U405" s="118">
        <f>O405+$F$47+IF('Parameters and Satisfaction'!$C$19="Ozone", 'Filtration System'!AB369*1000000, 0)</f>
        <v>7263788.8895073142</v>
      </c>
      <c r="V405" s="118">
        <f>P405+$F$47+IF('Parameters and Satisfaction'!$C$19="Ozone", 'Filtration System'!AC369*1000000, 0)</f>
        <v>4687500</v>
      </c>
      <c r="W405" s="118">
        <f>Q405+$F$47+IF('Parameters and Satisfaction'!$C$19="Ozone", 'Filtration System'!AD369*1000000, 0)</f>
        <v>7642730.5042409692</v>
      </c>
      <c r="X405" s="118">
        <f>R405+$F$47+IF('Parameters and Satisfaction'!$C$19="Ozone", 'Filtration System'!AE369*1000000, 0)</f>
        <v>4687500</v>
      </c>
      <c r="Y405" s="118"/>
      <c r="Z405" s="118">
        <f t="shared" si="58"/>
        <v>0.33482142857142855</v>
      </c>
      <c r="AA405" s="118">
        <f t="shared" si="59"/>
        <v>0.51884206353623674</v>
      </c>
      <c r="AB405" s="118">
        <f t="shared" si="60"/>
        <v>0.33482142857142855</v>
      </c>
      <c r="AC405" s="118">
        <f t="shared" si="61"/>
        <v>0.54590932173149775</v>
      </c>
      <c r="AD405" s="118">
        <f t="shared" si="62"/>
        <v>0.33482142857142855</v>
      </c>
      <c r="AE405" s="118"/>
      <c r="AF405" s="118"/>
      <c r="AG405" s="118"/>
      <c r="AK405">
        <f t="shared" ref="AK405:AO414" si="64">$D$66</f>
        <v>10281600</v>
      </c>
      <c r="AL405">
        <f t="shared" si="64"/>
        <v>10281600</v>
      </c>
      <c r="AM405">
        <f t="shared" si="64"/>
        <v>10281600</v>
      </c>
      <c r="AN405">
        <f t="shared" si="64"/>
        <v>10281600</v>
      </c>
      <c r="AO405">
        <f t="shared" si="64"/>
        <v>10281600</v>
      </c>
    </row>
    <row r="406" spans="1:41">
      <c r="A406" s="185">
        <f>'Water Stuff'!F340</f>
        <v>44897</v>
      </c>
      <c r="B406" s="118">
        <f>'Filtration System'!B370</f>
        <v>0</v>
      </c>
      <c r="C406" s="118">
        <f>'Filtration System'!C370</f>
        <v>5480</v>
      </c>
      <c r="D406" s="118">
        <f>'Filtration System'!D370</f>
        <v>326.67805249882565</v>
      </c>
      <c r="E406" s="118">
        <f>'Filtration System'!E370</f>
        <v>5749.8374384115177</v>
      </c>
      <c r="F406" s="118">
        <f>'Filtration System'!F370</f>
        <v>1135.2090963360261</v>
      </c>
      <c r="G406" s="118"/>
      <c r="H406" s="118">
        <f>B406/1000*(1000*9.81*Pumps!$B$14+'Parameters and Satisfaction'!$B$27)</f>
        <v>0</v>
      </c>
      <c r="I406" s="118">
        <f>C406/1000*(1000*9.81*Pumps!$B$14+'Parameters and Satisfaction'!$B$27)</f>
        <v>1468931.4223179275</v>
      </c>
      <c r="J406" s="118">
        <f>D406/1000*(1000*9.81*Pumps!$B$14+'Parameters and Satisfaction'!$B$27)</f>
        <v>87567.09056517345</v>
      </c>
      <c r="K406" s="118">
        <f>E406/1000*(1000*9.81*Pumps!$B$14+'Parameters and Satisfaction'!$B$27)</f>
        <v>1541262.205566186</v>
      </c>
      <c r="L406" s="118">
        <f>F406/1000*(1000*9.81*Pumps!$B$14+'Parameters and Satisfaction'!$B$27)</f>
        <v>304296.40739217657</v>
      </c>
      <c r="M406" s="118"/>
      <c r="N406" s="118">
        <f>H406/IF('Parameters and Satisfaction'!$C$13="Pump A", 0.7, IF('Parameters and Satisfaction'!$C$13 = "Pump B", 0.72, 0.65))</f>
        <v>0</v>
      </c>
      <c r="O406" s="118">
        <f>I406/IF('Parameters and Satisfaction'!$C$13="Pump A", 0.7, IF('Parameters and Satisfaction'!$C$13 = "Pump B", 0.72, 0.65))</f>
        <v>2040182.5309971215</v>
      </c>
      <c r="P406" s="118">
        <f>J406/IF('Parameters and Satisfaction'!$C$13="Pump A", 0.7, IF('Parameters and Satisfaction'!$C$13 = "Pump B", 0.72, 0.65))</f>
        <v>121620.95911829647</v>
      </c>
      <c r="Q406" s="118">
        <f>K406/IF('Parameters and Satisfaction'!$C$13="Pump A", 0.7, IF('Parameters and Satisfaction'!$C$13 = "Pump B", 0.72, 0.65))</f>
        <v>2140641.9521752582</v>
      </c>
      <c r="R406" s="118">
        <f>L406/IF('Parameters and Satisfaction'!$C$13="Pump A", 0.7, IF('Parameters and Satisfaction'!$C$13 = "Pump B", 0.72, 0.65))</f>
        <v>422633.89915580081</v>
      </c>
      <c r="S406" s="118"/>
      <c r="T406" s="118">
        <f>N406+$F$47+IF('Parameters and Satisfaction'!$C$19="Ozone", 'Filtration System'!AA370*1000000, 0)</f>
        <v>4687500</v>
      </c>
      <c r="U406" s="118">
        <f>O406+$F$47+IF('Parameters and Satisfaction'!$C$19="Ozone", 'Filtration System'!AB370*1000000, 0)</f>
        <v>6727682.5309971217</v>
      </c>
      <c r="V406" s="118">
        <f>P406+$F$47+IF('Parameters and Satisfaction'!$C$19="Ozone", 'Filtration System'!AC370*1000000, 0)</f>
        <v>4809120.9591182964</v>
      </c>
      <c r="W406" s="118">
        <f>Q406+$F$47+IF('Parameters and Satisfaction'!$C$19="Ozone", 'Filtration System'!AD370*1000000, 0)</f>
        <v>6828141.9521752577</v>
      </c>
      <c r="X406" s="118">
        <f>R406+$F$47+IF('Parameters and Satisfaction'!$C$19="Ozone", 'Filtration System'!AE370*1000000, 0)</f>
        <v>5110133.8991558012</v>
      </c>
      <c r="Y406" s="118"/>
      <c r="Z406" s="118">
        <f t="shared" si="58"/>
        <v>0.33482142857142855</v>
      </c>
      <c r="AA406" s="118">
        <f t="shared" si="59"/>
        <v>0.48054875221408011</v>
      </c>
      <c r="AB406" s="118">
        <f t="shared" si="60"/>
        <v>0.34350863993702119</v>
      </c>
      <c r="AC406" s="118">
        <f t="shared" si="61"/>
        <v>0.48772442515537556</v>
      </c>
      <c r="AD406" s="118">
        <f t="shared" si="62"/>
        <v>0.36500956422541436</v>
      </c>
      <c r="AE406" s="118"/>
      <c r="AF406" s="118"/>
      <c r="AG406" s="118"/>
      <c r="AK406">
        <f t="shared" si="64"/>
        <v>10281600</v>
      </c>
      <c r="AL406">
        <f t="shared" si="64"/>
        <v>10281600</v>
      </c>
      <c r="AM406">
        <f t="shared" si="64"/>
        <v>10281600</v>
      </c>
      <c r="AN406">
        <f t="shared" si="64"/>
        <v>10281600</v>
      </c>
      <c r="AO406">
        <f t="shared" si="64"/>
        <v>10281600</v>
      </c>
    </row>
    <row r="407" spans="1:41">
      <c r="A407" s="185">
        <f>'Water Stuff'!F341</f>
        <v>44898</v>
      </c>
      <c r="B407" s="118">
        <f>'Filtration System'!B371</f>
        <v>0</v>
      </c>
      <c r="C407" s="118">
        <f>'Filtration System'!C371</f>
        <v>6520</v>
      </c>
      <c r="D407" s="118">
        <f>'Filtration System'!D371</f>
        <v>0</v>
      </c>
      <c r="E407" s="118">
        <f>'Filtration System'!E371</f>
        <v>3816.975442673428</v>
      </c>
      <c r="F407" s="118">
        <f>'Filtration System'!F371</f>
        <v>0</v>
      </c>
      <c r="G407" s="118"/>
      <c r="H407" s="118">
        <f>B407/1000*(1000*9.81*Pumps!$B$14+'Parameters and Satisfaction'!$B$27)</f>
        <v>0</v>
      </c>
      <c r="I407" s="118">
        <f>C407/1000*(1000*9.81*Pumps!$B$14+'Parameters and Satisfaction'!$B$27)</f>
        <v>1747706.7287432274</v>
      </c>
      <c r="J407" s="118">
        <f>D407/1000*(1000*9.81*Pumps!$B$14+'Parameters and Satisfaction'!$B$27)</f>
        <v>0</v>
      </c>
      <c r="K407" s="118">
        <f>E407/1000*(1000*9.81*Pumps!$B$14+'Parameters and Satisfaction'!$B$27)</f>
        <v>1023152.4025472407</v>
      </c>
      <c r="L407" s="118">
        <f>F407/1000*(1000*9.81*Pumps!$B$14+'Parameters and Satisfaction'!$B$27)</f>
        <v>0</v>
      </c>
      <c r="M407" s="118"/>
      <c r="N407" s="118">
        <f>H407/IF('Parameters and Satisfaction'!$C$13="Pump A", 0.7, IF('Parameters and Satisfaction'!$C$13 = "Pump B", 0.72, 0.65))</f>
        <v>0</v>
      </c>
      <c r="O407" s="118">
        <f>I407/IF('Parameters and Satisfaction'!$C$13="Pump A", 0.7, IF('Parameters and Satisfaction'!$C$13 = "Pump B", 0.72, 0.65))</f>
        <v>2427370.4565878161</v>
      </c>
      <c r="P407" s="118">
        <f>J407/IF('Parameters and Satisfaction'!$C$13="Pump A", 0.7, IF('Parameters and Satisfaction'!$C$13 = "Pump B", 0.72, 0.65))</f>
        <v>0</v>
      </c>
      <c r="Q407" s="118">
        <f>K407/IF('Parameters and Satisfaction'!$C$13="Pump A", 0.7, IF('Parameters and Satisfaction'!$C$13 = "Pump B", 0.72, 0.65))</f>
        <v>1421045.0035378344</v>
      </c>
      <c r="R407" s="118">
        <f>L407/IF('Parameters and Satisfaction'!$C$13="Pump A", 0.7, IF('Parameters and Satisfaction'!$C$13 = "Pump B", 0.72, 0.65))</f>
        <v>0</v>
      </c>
      <c r="S407" s="118"/>
      <c r="T407" s="118">
        <f>N407+$F$47+IF('Parameters and Satisfaction'!$C$19="Ozone", 'Filtration System'!AA371*1000000, 0)</f>
        <v>4687500</v>
      </c>
      <c r="U407" s="118">
        <f>O407+$F$47+IF('Parameters and Satisfaction'!$C$19="Ozone", 'Filtration System'!AB371*1000000, 0)</f>
        <v>7114870.4565878157</v>
      </c>
      <c r="V407" s="118">
        <f>P407+$F$47+IF('Parameters and Satisfaction'!$C$19="Ozone", 'Filtration System'!AC371*1000000, 0)</f>
        <v>4687500</v>
      </c>
      <c r="W407" s="118">
        <f>Q407+$F$47+IF('Parameters and Satisfaction'!$C$19="Ozone", 'Filtration System'!AD371*1000000, 0)</f>
        <v>6108545.0035378346</v>
      </c>
      <c r="X407" s="118">
        <f>R407+$F$47+IF('Parameters and Satisfaction'!$C$19="Ozone", 'Filtration System'!AE371*1000000, 0)</f>
        <v>4687500</v>
      </c>
      <c r="Y407" s="118"/>
      <c r="Z407" s="118">
        <f t="shared" si="58"/>
        <v>0.33482142857142855</v>
      </c>
      <c r="AA407" s="118">
        <f t="shared" si="59"/>
        <v>0.50820503261341543</v>
      </c>
      <c r="AB407" s="118">
        <f t="shared" si="60"/>
        <v>0.33482142857142855</v>
      </c>
      <c r="AC407" s="118">
        <f t="shared" si="61"/>
        <v>0.43632464310984531</v>
      </c>
      <c r="AD407" s="118">
        <f t="shared" si="62"/>
        <v>0.33482142857142855</v>
      </c>
      <c r="AE407" s="118"/>
      <c r="AF407" s="118"/>
      <c r="AG407" s="118"/>
      <c r="AK407">
        <f t="shared" si="64"/>
        <v>10281600</v>
      </c>
      <c r="AL407">
        <f t="shared" si="64"/>
        <v>10281600</v>
      </c>
      <c r="AM407">
        <f t="shared" si="64"/>
        <v>10281600</v>
      </c>
      <c r="AN407">
        <f t="shared" si="64"/>
        <v>10281600</v>
      </c>
      <c r="AO407">
        <f t="shared" si="64"/>
        <v>10281600</v>
      </c>
    </row>
    <row r="408" spans="1:41">
      <c r="A408" s="185">
        <f>'Water Stuff'!F342</f>
        <v>44899</v>
      </c>
      <c r="B408" s="118">
        <f>'Filtration System'!B372</f>
        <v>240</v>
      </c>
      <c r="C408" s="118">
        <f>'Filtration System'!C372</f>
        <v>5440</v>
      </c>
      <c r="D408" s="118">
        <f>'Filtration System'!D372</f>
        <v>0</v>
      </c>
      <c r="E408" s="118">
        <f>'Filtration System'!E372</f>
        <v>5822.2655053686776</v>
      </c>
      <c r="F408" s="118">
        <f>'Filtration System'!F372</f>
        <v>0</v>
      </c>
      <c r="G408" s="118"/>
      <c r="H408" s="118">
        <f>B408/1000*(1000*9.81*Pumps!$B$14+'Parameters and Satisfaction'!$B$27)</f>
        <v>64332.763021223094</v>
      </c>
      <c r="I408" s="118">
        <f>C408/1000*(1000*9.81*Pumps!$B$14+'Parameters and Satisfaction'!$B$27)</f>
        <v>1458209.2951477238</v>
      </c>
      <c r="J408" s="118">
        <f>D408/1000*(1000*9.81*Pumps!$B$14+'Parameters and Satisfaction'!$B$27)</f>
        <v>0</v>
      </c>
      <c r="K408" s="118">
        <f>E408/1000*(1000*9.81*Pumps!$B$14+'Parameters and Satisfaction'!$B$27)</f>
        <v>1560676.7791813535</v>
      </c>
      <c r="L408" s="118">
        <f>F408/1000*(1000*9.81*Pumps!$B$14+'Parameters and Satisfaction'!$B$27)</f>
        <v>0</v>
      </c>
      <c r="M408" s="118"/>
      <c r="N408" s="118">
        <f>H408/IF('Parameters and Satisfaction'!$C$13="Pump A", 0.7, IF('Parameters and Satisfaction'!$C$13 = "Pump B", 0.72, 0.65))</f>
        <v>89351.059751698747</v>
      </c>
      <c r="O408" s="118">
        <f>I408/IF('Parameters and Satisfaction'!$C$13="Pump A", 0.7, IF('Parameters and Satisfaction'!$C$13 = "Pump B", 0.72, 0.65))</f>
        <v>2025290.687705172</v>
      </c>
      <c r="P408" s="118">
        <f>J408/IF('Parameters and Satisfaction'!$C$13="Pump A", 0.7, IF('Parameters and Satisfaction'!$C$13 = "Pump B", 0.72, 0.65))</f>
        <v>0</v>
      </c>
      <c r="Q408" s="118">
        <f>K408/IF('Parameters and Satisfaction'!$C$13="Pump A", 0.7, IF('Parameters and Satisfaction'!$C$13 = "Pump B", 0.72, 0.65))</f>
        <v>2167606.6377518801</v>
      </c>
      <c r="R408" s="118">
        <f>L408/IF('Parameters and Satisfaction'!$C$13="Pump A", 0.7, IF('Parameters and Satisfaction'!$C$13 = "Pump B", 0.72, 0.65))</f>
        <v>0</v>
      </c>
      <c r="S408" s="118"/>
      <c r="T408" s="118">
        <f>N408+$F$47+IF('Parameters and Satisfaction'!$C$19="Ozone", 'Filtration System'!AA372*1000000, 0)</f>
        <v>4776851.0597516987</v>
      </c>
      <c r="U408" s="118">
        <f>O408+$F$47+IF('Parameters and Satisfaction'!$C$19="Ozone", 'Filtration System'!AB372*1000000, 0)</f>
        <v>6712790.6877051722</v>
      </c>
      <c r="V408" s="118">
        <f>P408+$F$47+IF('Parameters and Satisfaction'!$C$19="Ozone", 'Filtration System'!AC372*1000000, 0)</f>
        <v>4687500</v>
      </c>
      <c r="W408" s="118">
        <f>Q408+$F$47+IF('Parameters and Satisfaction'!$C$19="Ozone", 'Filtration System'!AD372*1000000, 0)</f>
        <v>6855106.6377518801</v>
      </c>
      <c r="X408" s="118">
        <f>R408+$F$47+IF('Parameters and Satisfaction'!$C$19="Ozone", 'Filtration System'!AE372*1000000, 0)</f>
        <v>4687500</v>
      </c>
      <c r="Y408" s="118"/>
      <c r="Z408" s="118">
        <f t="shared" si="58"/>
        <v>0.34120364712512136</v>
      </c>
      <c r="AA408" s="118">
        <f t="shared" si="59"/>
        <v>0.47948504912179801</v>
      </c>
      <c r="AB408" s="118">
        <f t="shared" si="60"/>
        <v>0.33482142857142855</v>
      </c>
      <c r="AC408" s="118">
        <f t="shared" si="61"/>
        <v>0.48965047412513429</v>
      </c>
      <c r="AD408" s="118">
        <f t="shared" si="62"/>
        <v>0.33482142857142855</v>
      </c>
      <c r="AE408" s="118"/>
      <c r="AF408" s="118"/>
      <c r="AG408" s="118"/>
      <c r="AK408">
        <f t="shared" si="64"/>
        <v>10281600</v>
      </c>
      <c r="AL408">
        <f t="shared" si="64"/>
        <v>10281600</v>
      </c>
      <c r="AM408">
        <f t="shared" si="64"/>
        <v>10281600</v>
      </c>
      <c r="AN408">
        <f t="shared" si="64"/>
        <v>10281600</v>
      </c>
      <c r="AO408">
        <f t="shared" si="64"/>
        <v>10281600</v>
      </c>
    </row>
    <row r="409" spans="1:41">
      <c r="A409" s="185">
        <f>'Water Stuff'!F343</f>
        <v>44900</v>
      </c>
      <c r="B409" s="118">
        <f>'Filtration System'!B373</f>
        <v>9080</v>
      </c>
      <c r="C409" s="118">
        <f>'Filtration System'!C373</f>
        <v>6759.9999999999991</v>
      </c>
      <c r="D409" s="118">
        <f>'Filtration System'!D373</f>
        <v>9644.9900657568742</v>
      </c>
      <c r="E409" s="118">
        <f>'Filtration System'!E373</f>
        <v>7362.3844442145109</v>
      </c>
      <c r="F409" s="118">
        <f>'Filtration System'!F373</f>
        <v>6843.0356621340807</v>
      </c>
      <c r="G409" s="118"/>
      <c r="H409" s="118">
        <f>B409/1000*(1000*9.81*Pumps!$B$14+'Parameters and Satisfaction'!$B$27)</f>
        <v>2433922.8676362741</v>
      </c>
      <c r="I409" s="118">
        <f>C409/1000*(1000*9.81*Pumps!$B$14+'Parameters and Satisfaction'!$B$27)</f>
        <v>1812039.4917644502</v>
      </c>
      <c r="J409" s="118">
        <f>D409/1000*(1000*9.81*Pumps!$B$14+'Parameters and Satisfaction'!$B$27)</f>
        <v>2585370.2510099499</v>
      </c>
      <c r="K409" s="118">
        <f>E409/1000*(1000*9.81*Pumps!$B$14+'Parameters and Satisfaction'!$B$27)</f>
        <v>1973510.5571699645</v>
      </c>
      <c r="L409" s="118">
        <f>F409/1000*(1000*9.81*Pumps!$B$14+'Parameters and Satisfaction'!$B$27)</f>
        <v>1834297.4649910429</v>
      </c>
      <c r="M409" s="118"/>
      <c r="N409" s="118">
        <f>H409/IF('Parameters and Satisfaction'!$C$13="Pump A", 0.7, IF('Parameters and Satisfaction'!$C$13 = "Pump B", 0.72, 0.65))</f>
        <v>3380448.4272726029</v>
      </c>
      <c r="O409" s="118">
        <f>I409/IF('Parameters and Satisfaction'!$C$13="Pump A", 0.7, IF('Parameters and Satisfaction'!$C$13 = "Pump B", 0.72, 0.65))</f>
        <v>2516721.5163395144</v>
      </c>
      <c r="P409" s="118">
        <f>J409/IF('Parameters and Satisfaction'!$C$13="Pump A", 0.7, IF('Parameters and Satisfaction'!$C$13 = "Pump B", 0.72, 0.65))</f>
        <v>3590792.0152915972</v>
      </c>
      <c r="Q409" s="118">
        <f>K409/IF('Parameters and Satisfaction'!$C$13="Pump A", 0.7, IF('Parameters and Satisfaction'!$C$13 = "Pump B", 0.72, 0.65))</f>
        <v>2740986.884958284</v>
      </c>
      <c r="R409" s="118">
        <f>L409/IF('Parameters and Satisfaction'!$C$13="Pump A", 0.7, IF('Parameters and Satisfaction'!$C$13 = "Pump B", 0.72, 0.65))</f>
        <v>2547635.3680431154</v>
      </c>
      <c r="S409" s="118"/>
      <c r="T409" s="118">
        <f>N409+$F$47+IF('Parameters and Satisfaction'!$C$19="Ozone", 'Filtration System'!AA373*1000000, 0)</f>
        <v>8067948.4272726029</v>
      </c>
      <c r="U409" s="118">
        <f>O409+$F$47+IF('Parameters and Satisfaction'!$C$19="Ozone", 'Filtration System'!AB373*1000000, 0)</f>
        <v>7204221.5163395144</v>
      </c>
      <c r="V409" s="118">
        <f>P409+$F$47+IF('Parameters and Satisfaction'!$C$19="Ozone", 'Filtration System'!AC373*1000000, 0)</f>
        <v>8278292.0152915977</v>
      </c>
      <c r="W409" s="118">
        <f>Q409+$F$47+IF('Parameters and Satisfaction'!$C$19="Ozone", 'Filtration System'!AD373*1000000, 0)</f>
        <v>7428486.884958284</v>
      </c>
      <c r="X409" s="118">
        <f>R409+$F$47+IF('Parameters and Satisfaction'!$C$19="Ozone", 'Filtration System'!AE373*1000000, 0)</f>
        <v>7235135.3680431154</v>
      </c>
      <c r="Y409" s="118"/>
      <c r="Z409" s="118">
        <f t="shared" si="58"/>
        <v>0.57628203051947169</v>
      </c>
      <c r="AA409" s="118">
        <f t="shared" si="59"/>
        <v>0.51458725116710813</v>
      </c>
      <c r="AB409" s="118">
        <f t="shared" si="60"/>
        <v>0.59130657252082841</v>
      </c>
      <c r="AC409" s="118">
        <f t="shared" si="61"/>
        <v>0.53060620606844888</v>
      </c>
      <c r="AD409" s="118">
        <f t="shared" si="62"/>
        <v>0.5167953834316511</v>
      </c>
      <c r="AE409" s="118"/>
      <c r="AF409" s="118"/>
      <c r="AG409" s="118"/>
      <c r="AK409">
        <f t="shared" si="64"/>
        <v>10281600</v>
      </c>
      <c r="AL409">
        <f t="shared" si="64"/>
        <v>10281600</v>
      </c>
      <c r="AM409">
        <f t="shared" si="64"/>
        <v>10281600</v>
      </c>
      <c r="AN409">
        <f t="shared" si="64"/>
        <v>10281600</v>
      </c>
      <c r="AO409">
        <f t="shared" si="64"/>
        <v>10281600</v>
      </c>
    </row>
    <row r="410" spans="1:41">
      <c r="A410" s="185">
        <f>'Water Stuff'!F344</f>
        <v>44901</v>
      </c>
      <c r="B410" s="118">
        <f>'Filtration System'!B374</f>
        <v>160</v>
      </c>
      <c r="C410" s="118">
        <f>'Filtration System'!C374</f>
        <v>4480</v>
      </c>
      <c r="D410" s="118">
        <f>'Filtration System'!D374</f>
        <v>0</v>
      </c>
      <c r="E410" s="118">
        <f>'Filtration System'!E374</f>
        <v>3402.1921135507177</v>
      </c>
      <c r="F410" s="118">
        <f>'Filtration System'!F374</f>
        <v>0</v>
      </c>
      <c r="G410" s="118"/>
      <c r="H410" s="118">
        <f>B410/1000*(1000*9.81*Pumps!$B$14+'Parameters and Satisfaction'!$B$27)</f>
        <v>42888.508680815401</v>
      </c>
      <c r="I410" s="118">
        <f>C410/1000*(1000*9.81*Pumps!$B$14+'Parameters and Satisfaction'!$B$27)</f>
        <v>1200878.2430628312</v>
      </c>
      <c r="J410" s="118">
        <f>D410/1000*(1000*9.81*Pumps!$B$14+'Parameters and Satisfaction'!$B$27)</f>
        <v>0</v>
      </c>
      <c r="K410" s="118">
        <f>E410/1000*(1000*9.81*Pumps!$B$14+'Parameters and Satisfaction'!$B$27)</f>
        <v>911968.41247388523</v>
      </c>
      <c r="L410" s="118">
        <f>F410/1000*(1000*9.81*Pumps!$B$14+'Parameters and Satisfaction'!$B$27)</f>
        <v>0</v>
      </c>
      <c r="M410" s="118"/>
      <c r="N410" s="118">
        <f>H410/IF('Parameters and Satisfaction'!$C$13="Pump A", 0.7, IF('Parameters and Satisfaction'!$C$13 = "Pump B", 0.72, 0.65))</f>
        <v>59567.373167799167</v>
      </c>
      <c r="O410" s="118">
        <f>I410/IF('Parameters and Satisfaction'!$C$13="Pump A", 0.7, IF('Parameters and Satisfaction'!$C$13 = "Pump B", 0.72, 0.65))</f>
        <v>1667886.4486983768</v>
      </c>
      <c r="P410" s="118">
        <f>J410/IF('Parameters and Satisfaction'!$C$13="Pump A", 0.7, IF('Parameters and Satisfaction'!$C$13 = "Pump B", 0.72, 0.65))</f>
        <v>0</v>
      </c>
      <c r="Q410" s="118">
        <f>K410/IF('Parameters and Satisfaction'!$C$13="Pump A", 0.7, IF('Parameters and Satisfaction'!$C$13 = "Pump B", 0.72, 0.65))</f>
        <v>1266622.7951026184</v>
      </c>
      <c r="R410" s="118">
        <f>L410/IF('Parameters and Satisfaction'!$C$13="Pump A", 0.7, IF('Parameters and Satisfaction'!$C$13 = "Pump B", 0.72, 0.65))</f>
        <v>0</v>
      </c>
      <c r="S410" s="118"/>
      <c r="T410" s="118">
        <f>N410+$F$47+IF('Parameters and Satisfaction'!$C$19="Ozone", 'Filtration System'!AA374*1000000, 0)</f>
        <v>4747067.3731677989</v>
      </c>
      <c r="U410" s="118">
        <f>O410+$F$47+IF('Parameters and Satisfaction'!$C$19="Ozone", 'Filtration System'!AB374*1000000, 0)</f>
        <v>6355386.4486983772</v>
      </c>
      <c r="V410" s="118">
        <f>P410+$F$47+IF('Parameters and Satisfaction'!$C$19="Ozone", 'Filtration System'!AC374*1000000, 0)</f>
        <v>4687500</v>
      </c>
      <c r="W410" s="118">
        <f>Q410+$F$47+IF('Parameters and Satisfaction'!$C$19="Ozone", 'Filtration System'!AD374*1000000, 0)</f>
        <v>5954122.7951026186</v>
      </c>
      <c r="X410" s="118">
        <f>R410+$F$47+IF('Parameters and Satisfaction'!$C$19="Ozone", 'Filtration System'!AE374*1000000, 0)</f>
        <v>4687500</v>
      </c>
      <c r="Y410" s="118"/>
      <c r="Z410" s="118">
        <f t="shared" si="58"/>
        <v>0.33907624094055705</v>
      </c>
      <c r="AA410" s="118">
        <f t="shared" si="59"/>
        <v>0.45395617490702694</v>
      </c>
      <c r="AB410" s="118">
        <f t="shared" si="60"/>
        <v>0.33482142857142855</v>
      </c>
      <c r="AC410" s="118">
        <f t="shared" si="61"/>
        <v>0.42529448536447279</v>
      </c>
      <c r="AD410" s="118">
        <f t="shared" si="62"/>
        <v>0.33482142857142855</v>
      </c>
      <c r="AE410" s="118"/>
      <c r="AF410" s="118"/>
      <c r="AG410" s="118"/>
      <c r="AK410">
        <f t="shared" si="64"/>
        <v>10281600</v>
      </c>
      <c r="AL410">
        <f t="shared" si="64"/>
        <v>10281600</v>
      </c>
      <c r="AM410">
        <f t="shared" si="64"/>
        <v>10281600</v>
      </c>
      <c r="AN410">
        <f t="shared" si="64"/>
        <v>10281600</v>
      </c>
      <c r="AO410">
        <f t="shared" si="64"/>
        <v>10281600</v>
      </c>
    </row>
    <row r="411" spans="1:41">
      <c r="A411" s="185">
        <f>'Water Stuff'!F345</f>
        <v>44902</v>
      </c>
      <c r="B411" s="118">
        <f>'Filtration System'!B375</f>
        <v>3040</v>
      </c>
      <c r="C411" s="118">
        <f>'Filtration System'!C375</f>
        <v>7440.0000000000009</v>
      </c>
      <c r="D411" s="118">
        <f>'Filtration System'!D375</f>
        <v>3466.5283116355922</v>
      </c>
      <c r="E411" s="118">
        <f>'Filtration System'!E375</f>
        <v>8867.1033804985163</v>
      </c>
      <c r="F411" s="118">
        <f>'Filtration System'!F375</f>
        <v>2412.2646104340638</v>
      </c>
      <c r="G411" s="118"/>
      <c r="H411" s="118">
        <f>B411/1000*(1000*9.81*Pumps!$B$14+'Parameters and Satisfaction'!$B$27)</f>
        <v>814881.66493549256</v>
      </c>
      <c r="I411" s="118">
        <f>C411/1000*(1000*9.81*Pumps!$B$14+'Parameters and Satisfaction'!$B$27)</f>
        <v>1994315.6536579165</v>
      </c>
      <c r="J411" s="118">
        <f>D411/1000*(1000*9.81*Pumps!$B$14+'Parameters and Satisfaction'!$B$27)</f>
        <v>929213.9349117215</v>
      </c>
      <c r="K411" s="118">
        <f>E411/1000*(1000*9.81*Pumps!$B$14+'Parameters and Satisfaction'!$B$27)</f>
        <v>2376855.2519262386</v>
      </c>
      <c r="L411" s="118">
        <f>F411/1000*(1000*9.81*Pumps!$B$14+'Parameters and Satisfaction'!$B$27)</f>
        <v>646615.19803140697</v>
      </c>
      <c r="M411" s="118"/>
      <c r="N411" s="118">
        <f>H411/IF('Parameters and Satisfaction'!$C$13="Pump A", 0.7, IF('Parameters and Satisfaction'!$C$13 = "Pump B", 0.72, 0.65))</f>
        <v>1131780.0901881841</v>
      </c>
      <c r="O411" s="118">
        <f>I411/IF('Parameters and Satisfaction'!$C$13="Pump A", 0.7, IF('Parameters and Satisfaction'!$C$13 = "Pump B", 0.72, 0.65))</f>
        <v>2769882.8523026616</v>
      </c>
      <c r="P411" s="118">
        <f>J411/IF('Parameters and Satisfaction'!$C$13="Pump A", 0.7, IF('Parameters and Satisfaction'!$C$13 = "Pump B", 0.72, 0.65))</f>
        <v>1290574.9095996132</v>
      </c>
      <c r="Q411" s="118">
        <f>K411/IF('Parameters and Satisfaction'!$C$13="Pump A", 0.7, IF('Parameters and Satisfaction'!$C$13 = "Pump B", 0.72, 0.65))</f>
        <v>3301187.8498975537</v>
      </c>
      <c r="R411" s="118">
        <f>L411/IF('Parameters and Satisfaction'!$C$13="Pump A", 0.7, IF('Parameters and Satisfaction'!$C$13 = "Pump B", 0.72, 0.65))</f>
        <v>898076.66393250972</v>
      </c>
      <c r="S411" s="118"/>
      <c r="T411" s="118">
        <f>N411+$F$47+IF('Parameters and Satisfaction'!$C$19="Ozone", 'Filtration System'!AA375*1000000, 0)</f>
        <v>5819280.0901881838</v>
      </c>
      <c r="U411" s="118">
        <f>O411+$F$47+IF('Parameters and Satisfaction'!$C$19="Ozone", 'Filtration System'!AB375*1000000, 0)</f>
        <v>7457382.8523026612</v>
      </c>
      <c r="V411" s="118">
        <f>P411+$F$47+IF('Parameters and Satisfaction'!$C$19="Ozone", 'Filtration System'!AC375*1000000, 0)</f>
        <v>5978074.9095996134</v>
      </c>
      <c r="W411" s="118">
        <f>Q411+$F$47+IF('Parameters and Satisfaction'!$C$19="Ozone", 'Filtration System'!AD375*1000000, 0)</f>
        <v>7988687.8498975541</v>
      </c>
      <c r="X411" s="118">
        <f>R411+$F$47+IF('Parameters and Satisfaction'!$C$19="Ozone", 'Filtration System'!AE375*1000000, 0)</f>
        <v>5585576.6639325097</v>
      </c>
      <c r="Y411" s="118"/>
      <c r="Z411" s="118">
        <f t="shared" si="58"/>
        <v>0.41566286358487026</v>
      </c>
      <c r="AA411" s="118">
        <f t="shared" si="59"/>
        <v>0.53267020373590435</v>
      </c>
      <c r="AB411" s="118">
        <f t="shared" si="60"/>
        <v>0.42700535068568668</v>
      </c>
      <c r="AC411" s="118">
        <f t="shared" si="61"/>
        <v>0.57062056070696821</v>
      </c>
      <c r="AD411" s="118">
        <f t="shared" si="62"/>
        <v>0.39896976170946497</v>
      </c>
      <c r="AE411" s="118"/>
      <c r="AF411" s="118"/>
      <c r="AG411" s="118"/>
      <c r="AK411">
        <f t="shared" si="64"/>
        <v>10281600</v>
      </c>
      <c r="AL411">
        <f t="shared" si="64"/>
        <v>10281600</v>
      </c>
      <c r="AM411">
        <f t="shared" si="64"/>
        <v>10281600</v>
      </c>
      <c r="AN411">
        <f t="shared" si="64"/>
        <v>10281600</v>
      </c>
      <c r="AO411">
        <f t="shared" si="64"/>
        <v>10281600</v>
      </c>
    </row>
    <row r="412" spans="1:41">
      <c r="A412" s="185">
        <f>'Water Stuff'!F346</f>
        <v>44903</v>
      </c>
      <c r="B412" s="118">
        <f>'Filtration System'!B376</f>
        <v>9720</v>
      </c>
      <c r="C412" s="118">
        <f>'Filtration System'!C376</f>
        <v>5400</v>
      </c>
      <c r="D412" s="118">
        <f>'Filtration System'!D376</f>
        <v>9366.1665327894007</v>
      </c>
      <c r="E412" s="118">
        <f>'Filtration System'!E376</f>
        <v>6267.1094660539256</v>
      </c>
      <c r="F412" s="118">
        <f>'Filtration System'!F376</f>
        <v>6348.9521357738686</v>
      </c>
      <c r="G412" s="118"/>
      <c r="H412" s="118">
        <f>B412/1000*(1000*9.81*Pumps!$B$14+'Parameters and Satisfaction'!$B$27)</f>
        <v>2605476.9023595355</v>
      </c>
      <c r="I412" s="118">
        <f>C412/1000*(1000*9.81*Pumps!$B$14+'Parameters and Satisfaction'!$B$27)</f>
        <v>1447487.1679775198</v>
      </c>
      <c r="J412" s="118">
        <f>D412/1000*(1000*9.81*Pumps!$B$14+'Parameters and Satisfaction'!$B$27)</f>
        <v>2510630.7165468801</v>
      </c>
      <c r="K412" s="118">
        <f>E412/1000*(1000*9.81*Pumps!$B$14+'Parameters and Satisfaction'!$B$27)</f>
        <v>1679918.6171154634</v>
      </c>
      <c r="L412" s="118">
        <f>F412/1000*(1000*9.81*Pumps!$B$14+'Parameters and Satisfaction'!$B$27)</f>
        <v>1701856.8049326187</v>
      </c>
      <c r="M412" s="118"/>
      <c r="N412" s="118">
        <f>H412/IF('Parameters and Satisfaction'!$C$13="Pump A", 0.7, IF('Parameters and Satisfaction'!$C$13 = "Pump B", 0.72, 0.65))</f>
        <v>3618717.9199437993</v>
      </c>
      <c r="O412" s="118">
        <f>I412/IF('Parameters and Satisfaction'!$C$13="Pump A", 0.7, IF('Parameters and Satisfaction'!$C$13 = "Pump B", 0.72, 0.65))</f>
        <v>2010398.844413222</v>
      </c>
      <c r="P412" s="118">
        <f>J412/IF('Parameters and Satisfaction'!$C$13="Pump A", 0.7, IF('Parameters and Satisfaction'!$C$13 = "Pump B", 0.72, 0.65))</f>
        <v>3486987.1063151113</v>
      </c>
      <c r="Q412" s="118">
        <f>K412/IF('Parameters and Satisfaction'!$C$13="Pump A", 0.7, IF('Parameters and Satisfaction'!$C$13 = "Pump B", 0.72, 0.65))</f>
        <v>2333220.3015492549</v>
      </c>
      <c r="R412" s="118">
        <f>L412/IF('Parameters and Satisfaction'!$C$13="Pump A", 0.7, IF('Parameters and Satisfaction'!$C$13 = "Pump B", 0.72, 0.65))</f>
        <v>2363690.0068508596</v>
      </c>
      <c r="S412" s="118"/>
      <c r="T412" s="118">
        <f>N412+$F$47+IF('Parameters and Satisfaction'!$C$19="Ozone", 'Filtration System'!AA376*1000000, 0)</f>
        <v>8306217.9199437993</v>
      </c>
      <c r="U412" s="118">
        <f>O412+$F$47+IF('Parameters and Satisfaction'!$C$19="Ozone", 'Filtration System'!AB376*1000000, 0)</f>
        <v>6697898.8444132218</v>
      </c>
      <c r="V412" s="118">
        <f>P412+$F$47+IF('Parameters and Satisfaction'!$C$19="Ozone", 'Filtration System'!AC376*1000000, 0)</f>
        <v>8174487.1063151117</v>
      </c>
      <c r="W412" s="118">
        <f>Q412+$F$47+IF('Parameters and Satisfaction'!$C$19="Ozone", 'Filtration System'!AD376*1000000, 0)</f>
        <v>7020720.3015492549</v>
      </c>
      <c r="X412" s="118">
        <f>R412+$F$47+IF('Parameters and Satisfaction'!$C$19="Ozone", 'Filtration System'!AE376*1000000, 0)</f>
        <v>7051190.0068508592</v>
      </c>
      <c r="Y412" s="118"/>
      <c r="Z412" s="118">
        <f t="shared" si="58"/>
        <v>0.5933012799959857</v>
      </c>
      <c r="AA412" s="118">
        <f t="shared" si="59"/>
        <v>0.47842134602951586</v>
      </c>
      <c r="AB412" s="118">
        <f t="shared" si="60"/>
        <v>0.58389193616536517</v>
      </c>
      <c r="AC412" s="118">
        <f t="shared" si="61"/>
        <v>0.50148002153923255</v>
      </c>
      <c r="AD412" s="118">
        <f t="shared" si="62"/>
        <v>0.50365642906077568</v>
      </c>
      <c r="AE412" s="118"/>
      <c r="AF412" s="118"/>
      <c r="AG412" s="118"/>
      <c r="AK412">
        <f t="shared" si="64"/>
        <v>10281600</v>
      </c>
      <c r="AL412">
        <f t="shared" si="64"/>
        <v>10281600</v>
      </c>
      <c r="AM412">
        <f t="shared" si="64"/>
        <v>10281600</v>
      </c>
      <c r="AN412">
        <f t="shared" si="64"/>
        <v>10281600</v>
      </c>
      <c r="AO412">
        <f t="shared" si="64"/>
        <v>10281600</v>
      </c>
    </row>
    <row r="413" spans="1:41">
      <c r="A413" s="185">
        <f>'Water Stuff'!F347</f>
        <v>44904</v>
      </c>
      <c r="B413" s="118">
        <f>'Filtration System'!B377</f>
        <v>6840.0000000000009</v>
      </c>
      <c r="C413" s="118">
        <f>'Filtration System'!C377</f>
        <v>960</v>
      </c>
      <c r="D413" s="118">
        <f>'Filtration System'!D377</f>
        <v>4458.6591419122842</v>
      </c>
      <c r="E413" s="118">
        <f>'Filtration System'!E377</f>
        <v>1663.7764348694438</v>
      </c>
      <c r="F413" s="118">
        <f>'Filtration System'!F377</f>
        <v>2901.4842561264122</v>
      </c>
      <c r="G413" s="118"/>
      <c r="H413" s="118">
        <f>B413/1000*(1000*9.81*Pumps!$B$14+'Parameters and Satisfaction'!$B$27)</f>
        <v>1833483.7461048586</v>
      </c>
      <c r="I413" s="118">
        <f>C413/1000*(1000*9.81*Pumps!$B$14+'Parameters and Satisfaction'!$B$27)</f>
        <v>257331.05208489238</v>
      </c>
      <c r="J413" s="118">
        <f>D413/1000*(1000*9.81*Pumps!$B$14+'Parameters and Satisfaction'!$B$27)</f>
        <v>1195157.7582043873</v>
      </c>
      <c r="K413" s="118">
        <f>E413/1000*(1000*9.81*Pumps!$B$14+'Parameters and Satisfaction'!$B$27)</f>
        <v>445980.56293646403</v>
      </c>
      <c r="L413" s="118">
        <f>F413/1000*(1000*9.81*Pumps!$B$14+'Parameters and Satisfaction'!$B$27)</f>
        <v>777752.0794132927</v>
      </c>
      <c r="M413" s="118"/>
      <c r="N413" s="118">
        <f>H413/IF('Parameters and Satisfaction'!$C$13="Pump A", 0.7, IF('Parameters and Satisfaction'!$C$13 = "Pump B", 0.72, 0.65))</f>
        <v>2546505.2029234148</v>
      </c>
      <c r="O413" s="118">
        <f>I413/IF('Parameters and Satisfaction'!$C$13="Pump A", 0.7, IF('Parameters and Satisfaction'!$C$13 = "Pump B", 0.72, 0.65))</f>
        <v>357404.23900679499</v>
      </c>
      <c r="P413" s="118">
        <f>J413/IF('Parameters and Satisfaction'!$C$13="Pump A", 0.7, IF('Parameters and Satisfaction'!$C$13 = "Pump B", 0.72, 0.65))</f>
        <v>1659941.3308394267</v>
      </c>
      <c r="Q413" s="118">
        <f>K413/IF('Parameters and Satisfaction'!$C$13="Pump A", 0.7, IF('Parameters and Satisfaction'!$C$13 = "Pump B", 0.72, 0.65))</f>
        <v>619417.4485228667</v>
      </c>
      <c r="R413" s="118">
        <f>L413/IF('Parameters and Satisfaction'!$C$13="Pump A", 0.7, IF('Parameters and Satisfaction'!$C$13 = "Pump B", 0.72, 0.65))</f>
        <v>1080211.2214073511</v>
      </c>
      <c r="S413" s="118"/>
      <c r="T413" s="118">
        <f>N413+$F$47+IF('Parameters and Satisfaction'!$C$19="Ozone", 'Filtration System'!AA377*1000000, 0)</f>
        <v>7234005.2029234152</v>
      </c>
      <c r="U413" s="118">
        <f>O413+$F$47+IF('Parameters and Satisfaction'!$C$19="Ozone", 'Filtration System'!AB377*1000000, 0)</f>
        <v>5044904.239006795</v>
      </c>
      <c r="V413" s="118">
        <f>P413+$F$47+IF('Parameters and Satisfaction'!$C$19="Ozone", 'Filtration System'!AC377*1000000, 0)</f>
        <v>6347441.3308394272</v>
      </c>
      <c r="W413" s="118">
        <f>Q413+$F$47+IF('Parameters and Satisfaction'!$C$19="Ozone", 'Filtration System'!AD377*1000000, 0)</f>
        <v>5306917.4485228667</v>
      </c>
      <c r="X413" s="118">
        <f>R413+$F$47+IF('Parameters and Satisfaction'!$C$19="Ozone", 'Filtration System'!AE377*1000000, 0)</f>
        <v>5767711.2214073511</v>
      </c>
      <c r="Y413" s="118"/>
      <c r="Z413" s="118">
        <f t="shared" si="58"/>
        <v>0.51671465735167255</v>
      </c>
      <c r="AA413" s="118">
        <f t="shared" si="59"/>
        <v>0.36035030278619962</v>
      </c>
      <c r="AB413" s="118">
        <f t="shared" si="60"/>
        <v>0.45338866648853049</v>
      </c>
      <c r="AC413" s="118">
        <f t="shared" si="61"/>
        <v>0.37906553203734761</v>
      </c>
      <c r="AD413" s="118">
        <f t="shared" si="62"/>
        <v>0.41197937295766796</v>
      </c>
      <c r="AE413" s="118"/>
      <c r="AF413" s="118"/>
      <c r="AG413" s="118"/>
      <c r="AK413">
        <f t="shared" si="64"/>
        <v>10281600</v>
      </c>
      <c r="AL413">
        <f t="shared" si="64"/>
        <v>10281600</v>
      </c>
      <c r="AM413">
        <f t="shared" si="64"/>
        <v>10281600</v>
      </c>
      <c r="AN413">
        <f t="shared" si="64"/>
        <v>10281600</v>
      </c>
      <c r="AO413">
        <f t="shared" si="64"/>
        <v>10281600</v>
      </c>
    </row>
    <row r="414" spans="1:41">
      <c r="A414" s="185">
        <f>'Water Stuff'!F348</f>
        <v>44905</v>
      </c>
      <c r="B414" s="118">
        <f>'Filtration System'!B378</f>
        <v>880.00000000000011</v>
      </c>
      <c r="C414" s="118">
        <f>'Filtration System'!C378</f>
        <v>2440</v>
      </c>
      <c r="D414" s="118">
        <f>'Filtration System'!D378</f>
        <v>703.70037605096343</v>
      </c>
      <c r="E414" s="118">
        <f>'Filtration System'!E378</f>
        <v>2021.551379054102</v>
      </c>
      <c r="F414" s="118">
        <f>'Filtration System'!F378</f>
        <v>0</v>
      </c>
      <c r="G414" s="118"/>
      <c r="H414" s="118">
        <f>B414/1000*(1000*9.81*Pumps!$B$14+'Parameters and Satisfaction'!$B$27)</f>
        <v>235886.79774448473</v>
      </c>
      <c r="I414" s="118">
        <f>C414/1000*(1000*9.81*Pumps!$B$14+'Parameters and Satisfaction'!$B$27)</f>
        <v>654049.75738243479</v>
      </c>
      <c r="J414" s="118">
        <f>D414/1000*(1000*9.81*Pumps!$B$14+'Parameters and Satisfaction'!$B$27)</f>
        <v>188629.12304346755</v>
      </c>
      <c r="K414" s="118">
        <f>E414/1000*(1000*9.81*Pumps!$B$14+'Parameters and Satisfaction'!$B$27)</f>
        <v>541883.27418297622</v>
      </c>
      <c r="L414" s="118">
        <f>F414/1000*(1000*9.81*Pumps!$B$14+'Parameters and Satisfaction'!$B$27)</f>
        <v>0</v>
      </c>
      <c r="M414" s="118"/>
      <c r="N414" s="118">
        <f>H414/IF('Parameters and Satisfaction'!$C$13="Pump A", 0.7, IF('Parameters and Satisfaction'!$C$13 = "Pump B", 0.72, 0.65))</f>
        <v>327620.5524228955</v>
      </c>
      <c r="O414" s="118">
        <f>I414/IF('Parameters and Satisfaction'!$C$13="Pump A", 0.7, IF('Parameters and Satisfaction'!$C$13 = "Pump B", 0.72, 0.65))</f>
        <v>908402.4408089373</v>
      </c>
      <c r="P414" s="118">
        <f>J414/IF('Parameters and Satisfaction'!$C$13="Pump A", 0.7, IF('Parameters and Satisfaction'!$C$13 = "Pump B", 0.72, 0.65))</f>
        <v>261984.89311592717</v>
      </c>
      <c r="Q414" s="118">
        <f>K414/IF('Parameters and Satisfaction'!$C$13="Pump A", 0.7, IF('Parameters and Satisfaction'!$C$13 = "Pump B", 0.72, 0.65))</f>
        <v>752615.65858746704</v>
      </c>
      <c r="R414" s="118">
        <f>L414/IF('Parameters and Satisfaction'!$C$13="Pump A", 0.7, IF('Parameters and Satisfaction'!$C$13 = "Pump B", 0.72, 0.65))</f>
        <v>0</v>
      </c>
      <c r="S414" s="118"/>
      <c r="T414" s="118">
        <f>N414+$F$47+IF('Parameters and Satisfaction'!$C$19="Ozone", 'Filtration System'!AA378*1000000, 0)</f>
        <v>5015120.5524228951</v>
      </c>
      <c r="U414" s="118">
        <f>O414+$F$47+IF('Parameters and Satisfaction'!$C$19="Ozone", 'Filtration System'!AB378*1000000, 0)</f>
        <v>5595902.440808937</v>
      </c>
      <c r="V414" s="118">
        <f>P414+$F$47+IF('Parameters and Satisfaction'!$C$19="Ozone", 'Filtration System'!AC378*1000000, 0)</f>
        <v>4949484.8931159275</v>
      </c>
      <c r="W414" s="118">
        <f>Q414+$F$47+IF('Parameters and Satisfaction'!$C$19="Ozone", 'Filtration System'!AD378*1000000, 0)</f>
        <v>5440115.6585874669</v>
      </c>
      <c r="X414" s="118">
        <f>R414+$F$47+IF('Parameters and Satisfaction'!$C$19="Ozone", 'Filtration System'!AE378*1000000, 0)</f>
        <v>4687500</v>
      </c>
      <c r="Y414" s="118"/>
      <c r="Z414" s="118">
        <f t="shared" si="58"/>
        <v>0.35822289660163537</v>
      </c>
      <c r="AA414" s="118">
        <f t="shared" si="59"/>
        <v>0.39970731720063835</v>
      </c>
      <c r="AB414" s="118">
        <f t="shared" si="60"/>
        <v>0.35353463522256623</v>
      </c>
      <c r="AC414" s="118">
        <f t="shared" si="61"/>
        <v>0.3885796898991048</v>
      </c>
      <c r="AD414" s="118">
        <f t="shared" si="62"/>
        <v>0.33482142857142855</v>
      </c>
      <c r="AE414" s="118"/>
      <c r="AF414" s="118"/>
      <c r="AG414" s="118"/>
      <c r="AK414">
        <f t="shared" si="64"/>
        <v>10281600</v>
      </c>
      <c r="AL414">
        <f t="shared" si="64"/>
        <v>10281600</v>
      </c>
      <c r="AM414">
        <f t="shared" si="64"/>
        <v>10281600</v>
      </c>
      <c r="AN414">
        <f t="shared" si="64"/>
        <v>10281600</v>
      </c>
      <c r="AO414">
        <f t="shared" si="64"/>
        <v>10281600</v>
      </c>
    </row>
    <row r="415" spans="1:41">
      <c r="A415" s="185">
        <f>'Water Stuff'!F349</f>
        <v>44906</v>
      </c>
      <c r="B415" s="118">
        <f>'Filtration System'!B379</f>
        <v>3560</v>
      </c>
      <c r="C415" s="118">
        <f>'Filtration System'!C379</f>
        <v>680</v>
      </c>
      <c r="D415" s="118">
        <f>'Filtration System'!D379</f>
        <v>352.0906699424466</v>
      </c>
      <c r="E415" s="118">
        <f>'Filtration System'!E379</f>
        <v>1028.8678214771101</v>
      </c>
      <c r="F415" s="118">
        <f>'Filtration System'!F379</f>
        <v>102.34145592210098</v>
      </c>
      <c r="G415" s="118"/>
      <c r="H415" s="118">
        <f>B415/1000*(1000*9.81*Pumps!$B$14+'Parameters and Satisfaction'!$B$27)</f>
        <v>954269.31814814266</v>
      </c>
      <c r="I415" s="118">
        <f>C415/1000*(1000*9.81*Pumps!$B$14+'Parameters and Satisfaction'!$B$27)</f>
        <v>182276.16189346547</v>
      </c>
      <c r="J415" s="118">
        <f>D415/1000*(1000*9.81*Pumps!$B$14+'Parameters and Satisfaction'!$B$27)</f>
        <v>94379.023464129568</v>
      </c>
      <c r="K415" s="118">
        <f>E415/1000*(1000*9.81*Pumps!$B$14+'Parameters and Satisfaction'!$B$27)</f>
        <v>275791.29058020416</v>
      </c>
      <c r="L415" s="118">
        <f>F415/1000*(1000*9.81*Pumps!$B$14+'Parameters and Satisfaction'!$B$27)</f>
        <v>27432.952629514464</v>
      </c>
      <c r="M415" s="118"/>
      <c r="N415" s="118">
        <f>H415/IF('Parameters and Satisfaction'!$C$13="Pump A", 0.7, IF('Parameters and Satisfaction'!$C$13 = "Pump B", 0.72, 0.65))</f>
        <v>1325374.0529835315</v>
      </c>
      <c r="O415" s="118">
        <f>I415/IF('Parameters and Satisfaction'!$C$13="Pump A", 0.7, IF('Parameters and Satisfaction'!$C$13 = "Pump B", 0.72, 0.65))</f>
        <v>253161.3359631465</v>
      </c>
      <c r="P415" s="118">
        <f>J415/IF('Parameters and Satisfaction'!$C$13="Pump A", 0.7, IF('Parameters and Satisfaction'!$C$13 = "Pump B", 0.72, 0.65))</f>
        <v>131081.97703351331</v>
      </c>
      <c r="Q415" s="118">
        <f>K415/IF('Parameters and Satisfaction'!$C$13="Pump A", 0.7, IF('Parameters and Satisfaction'!$C$13 = "Pump B", 0.72, 0.65))</f>
        <v>383043.45913917245</v>
      </c>
      <c r="R415" s="118">
        <f>L415/IF('Parameters and Satisfaction'!$C$13="Pump A", 0.7, IF('Parameters and Satisfaction'!$C$13 = "Pump B", 0.72, 0.65))</f>
        <v>38101.323096547865</v>
      </c>
      <c r="S415" s="118"/>
      <c r="T415" s="118">
        <f>N415+$F$47+IF('Parameters and Satisfaction'!$C$19="Ozone", 'Filtration System'!AA379*1000000, 0)</f>
        <v>6012874.0529835317</v>
      </c>
      <c r="U415" s="118">
        <f>O415+$F$47+IF('Parameters and Satisfaction'!$C$19="Ozone", 'Filtration System'!AB379*1000000, 0)</f>
        <v>4940661.3359631468</v>
      </c>
      <c r="V415" s="118">
        <f>P415+$F$47+IF('Parameters and Satisfaction'!$C$19="Ozone", 'Filtration System'!AC379*1000000, 0)</f>
        <v>4818581.9770335136</v>
      </c>
      <c r="W415" s="118">
        <f>Q415+$F$47+IF('Parameters and Satisfaction'!$C$19="Ozone", 'Filtration System'!AD379*1000000, 0)</f>
        <v>5070543.459139172</v>
      </c>
      <c r="X415" s="118">
        <f>R415+$F$47+IF('Parameters and Satisfaction'!$C$19="Ozone", 'Filtration System'!AE379*1000000, 0)</f>
        <v>4725601.3230965482</v>
      </c>
      <c r="Y415" s="118"/>
      <c r="Z415" s="118">
        <f t="shared" si="58"/>
        <v>0.42949100378453797</v>
      </c>
      <c r="AA415" s="118">
        <f t="shared" si="59"/>
        <v>0.35290438114022477</v>
      </c>
      <c r="AB415" s="118">
        <f t="shared" si="60"/>
        <v>0.34418442693096524</v>
      </c>
      <c r="AC415" s="118">
        <f t="shared" si="61"/>
        <v>0.36218167565279802</v>
      </c>
      <c r="AD415" s="118">
        <f t="shared" si="62"/>
        <v>0.33754295164975345</v>
      </c>
      <c r="AE415" s="118"/>
      <c r="AF415" s="118"/>
      <c r="AG415" s="118"/>
      <c r="AK415">
        <f t="shared" ref="AK415:AO424" si="65">$D$66</f>
        <v>10281600</v>
      </c>
      <c r="AL415">
        <f t="shared" si="65"/>
        <v>10281600</v>
      </c>
      <c r="AM415">
        <f t="shared" si="65"/>
        <v>10281600</v>
      </c>
      <c r="AN415">
        <f t="shared" si="65"/>
        <v>10281600</v>
      </c>
      <c r="AO415">
        <f t="shared" si="65"/>
        <v>10281600</v>
      </c>
    </row>
    <row r="416" spans="1:41">
      <c r="A416" s="185">
        <f>'Water Stuff'!F350</f>
        <v>44907</v>
      </c>
      <c r="B416" s="118">
        <f>'Filtration System'!B380</f>
        <v>280</v>
      </c>
      <c r="C416" s="118">
        <f>'Filtration System'!C380</f>
        <v>4760</v>
      </c>
      <c r="D416" s="118">
        <f>'Filtration System'!D380</f>
        <v>0</v>
      </c>
      <c r="E416" s="118">
        <f>'Filtration System'!E380</f>
        <v>1951.3244621909805</v>
      </c>
      <c r="F416" s="118">
        <f>'Filtration System'!F380</f>
        <v>802.71814173323185</v>
      </c>
      <c r="G416" s="118"/>
      <c r="H416" s="118">
        <f>B416/1000*(1000*9.81*Pumps!$B$14+'Parameters and Satisfaction'!$B$27)</f>
        <v>75054.890191426952</v>
      </c>
      <c r="I416" s="118">
        <f>C416/1000*(1000*9.81*Pumps!$B$14+'Parameters and Satisfaction'!$B$27)</f>
        <v>1275933.133254258</v>
      </c>
      <c r="J416" s="118">
        <f>D416/1000*(1000*9.81*Pumps!$B$14+'Parameters and Satisfaction'!$B$27)</f>
        <v>0</v>
      </c>
      <c r="K416" s="118">
        <f>E416/1000*(1000*9.81*Pumps!$B$14+'Parameters and Satisfaction'!$B$27)</f>
        <v>523058.72584853315</v>
      </c>
      <c r="L416" s="118">
        <f>F416/1000*(1000*9.81*Pumps!$B$14+'Parameters and Satisfaction'!$B$27)</f>
        <v>215171.14993733575</v>
      </c>
      <c r="M416" s="118"/>
      <c r="N416" s="118">
        <f>H416/IF('Parameters and Satisfaction'!$C$13="Pump A", 0.7, IF('Parameters and Satisfaction'!$C$13 = "Pump B", 0.72, 0.65))</f>
        <v>104242.90304364855</v>
      </c>
      <c r="O416" s="118">
        <f>I416/IF('Parameters and Satisfaction'!$C$13="Pump A", 0.7, IF('Parameters and Satisfaction'!$C$13 = "Pump B", 0.72, 0.65))</f>
        <v>1772129.351742025</v>
      </c>
      <c r="P416" s="118">
        <f>J416/IF('Parameters and Satisfaction'!$C$13="Pump A", 0.7, IF('Parameters and Satisfaction'!$C$13 = "Pump B", 0.72, 0.65))</f>
        <v>0</v>
      </c>
      <c r="Q416" s="118">
        <f>K416/IF('Parameters and Satisfaction'!$C$13="Pump A", 0.7, IF('Parameters and Satisfaction'!$C$13 = "Pump B", 0.72, 0.65))</f>
        <v>726470.45256740716</v>
      </c>
      <c r="R416" s="118">
        <f>L416/IF('Parameters and Satisfaction'!$C$13="Pump A", 0.7, IF('Parameters and Satisfaction'!$C$13 = "Pump B", 0.72, 0.65))</f>
        <v>298848.81935741077</v>
      </c>
      <c r="S416" s="118"/>
      <c r="T416" s="118">
        <f>N416+$F$47+IF('Parameters and Satisfaction'!$C$19="Ozone", 'Filtration System'!AA380*1000000, 0)</f>
        <v>4791742.9030436482</v>
      </c>
      <c r="U416" s="118">
        <f>O416+$F$47+IF('Parameters and Satisfaction'!$C$19="Ozone", 'Filtration System'!AB380*1000000, 0)</f>
        <v>6459629.3517420255</v>
      </c>
      <c r="V416" s="118">
        <f>P416+$F$47+IF('Parameters and Satisfaction'!$C$19="Ozone", 'Filtration System'!AC380*1000000, 0)</f>
        <v>4687500</v>
      </c>
      <c r="W416" s="118">
        <f>Q416+$F$47+IF('Parameters and Satisfaction'!$C$19="Ozone", 'Filtration System'!AD380*1000000, 0)</f>
        <v>5413970.4525674069</v>
      </c>
      <c r="X416" s="118">
        <f>R416+$F$47+IF('Parameters and Satisfaction'!$C$19="Ozone", 'Filtration System'!AE380*1000000, 0)</f>
        <v>4986348.819357411</v>
      </c>
      <c r="Y416" s="118"/>
      <c r="Z416" s="118">
        <f t="shared" si="58"/>
        <v>0.34226735021740345</v>
      </c>
      <c r="AA416" s="118">
        <f t="shared" si="59"/>
        <v>0.46140209655300179</v>
      </c>
      <c r="AB416" s="118">
        <f t="shared" si="60"/>
        <v>0.33482142857142855</v>
      </c>
      <c r="AC416" s="118">
        <f t="shared" si="61"/>
        <v>0.38671217518338619</v>
      </c>
      <c r="AD416" s="118">
        <f t="shared" si="62"/>
        <v>0.35616777281124362</v>
      </c>
      <c r="AE416" s="118"/>
      <c r="AF416" s="118"/>
      <c r="AG416" s="118"/>
      <c r="AK416">
        <f t="shared" si="65"/>
        <v>10281600</v>
      </c>
      <c r="AL416">
        <f t="shared" si="65"/>
        <v>10281600</v>
      </c>
      <c r="AM416">
        <f t="shared" si="65"/>
        <v>10281600</v>
      </c>
      <c r="AN416">
        <f t="shared" si="65"/>
        <v>10281600</v>
      </c>
      <c r="AO416">
        <f t="shared" si="65"/>
        <v>10281600</v>
      </c>
    </row>
    <row r="417" spans="1:41">
      <c r="A417" s="185">
        <f>'Water Stuff'!F351</f>
        <v>44908</v>
      </c>
      <c r="B417" s="118">
        <f>'Filtration System'!B381</f>
        <v>200</v>
      </c>
      <c r="C417" s="118">
        <f>'Filtration System'!C381</f>
        <v>0</v>
      </c>
      <c r="D417" s="118">
        <f>'Filtration System'!D381</f>
        <v>0</v>
      </c>
      <c r="E417" s="118">
        <f>'Filtration System'!E381</f>
        <v>0</v>
      </c>
      <c r="F417" s="118">
        <f>'Filtration System'!F381</f>
        <v>0</v>
      </c>
      <c r="G417" s="118"/>
      <c r="H417" s="118">
        <f>B417/1000*(1000*9.81*Pumps!$B$14+'Parameters and Satisfaction'!$B$27)</f>
        <v>53610.635851019251</v>
      </c>
      <c r="I417" s="118">
        <f>C417/1000*(1000*9.81*Pumps!$B$14+'Parameters and Satisfaction'!$B$27)</f>
        <v>0</v>
      </c>
      <c r="J417" s="118">
        <f>D417/1000*(1000*9.81*Pumps!$B$14+'Parameters and Satisfaction'!$B$27)</f>
        <v>0</v>
      </c>
      <c r="K417" s="118">
        <f>E417/1000*(1000*9.81*Pumps!$B$14+'Parameters and Satisfaction'!$B$27)</f>
        <v>0</v>
      </c>
      <c r="L417" s="118">
        <f>F417/1000*(1000*9.81*Pumps!$B$14+'Parameters and Satisfaction'!$B$27)</f>
        <v>0</v>
      </c>
      <c r="M417" s="118"/>
      <c r="N417" s="118">
        <f>H417/IF('Parameters and Satisfaction'!$C$13="Pump A", 0.7, IF('Parameters and Satisfaction'!$C$13 = "Pump B", 0.72, 0.65))</f>
        <v>74459.216459748961</v>
      </c>
      <c r="O417" s="118">
        <f>I417/IF('Parameters and Satisfaction'!$C$13="Pump A", 0.7, IF('Parameters and Satisfaction'!$C$13 = "Pump B", 0.72, 0.65))</f>
        <v>0</v>
      </c>
      <c r="P417" s="118">
        <f>J417/IF('Parameters and Satisfaction'!$C$13="Pump A", 0.7, IF('Parameters and Satisfaction'!$C$13 = "Pump B", 0.72, 0.65))</f>
        <v>0</v>
      </c>
      <c r="Q417" s="118">
        <f>K417/IF('Parameters and Satisfaction'!$C$13="Pump A", 0.7, IF('Parameters and Satisfaction'!$C$13 = "Pump B", 0.72, 0.65))</f>
        <v>0</v>
      </c>
      <c r="R417" s="118">
        <f>L417/IF('Parameters and Satisfaction'!$C$13="Pump A", 0.7, IF('Parameters and Satisfaction'!$C$13 = "Pump B", 0.72, 0.65))</f>
        <v>0</v>
      </c>
      <c r="S417" s="118"/>
      <c r="T417" s="118">
        <f>N417+$F$47+IF('Parameters and Satisfaction'!$C$19="Ozone", 'Filtration System'!AA381*1000000, 0)</f>
        <v>4761959.2164597493</v>
      </c>
      <c r="U417" s="118">
        <f>O417+$F$47+IF('Parameters and Satisfaction'!$C$19="Ozone", 'Filtration System'!AB381*1000000, 0)</f>
        <v>4687500</v>
      </c>
      <c r="V417" s="118">
        <f>P417+$F$47+IF('Parameters and Satisfaction'!$C$19="Ozone", 'Filtration System'!AC381*1000000, 0)</f>
        <v>4687500</v>
      </c>
      <c r="W417" s="118">
        <f>Q417+$F$47+IF('Parameters and Satisfaction'!$C$19="Ozone", 'Filtration System'!AD381*1000000, 0)</f>
        <v>4687500</v>
      </c>
      <c r="X417" s="118">
        <f>R417+$F$47+IF('Parameters and Satisfaction'!$C$19="Ozone", 'Filtration System'!AE381*1000000, 0)</f>
        <v>4687500</v>
      </c>
      <c r="Y417" s="118"/>
      <c r="Z417" s="118">
        <f t="shared" si="58"/>
        <v>0.34013994403283926</v>
      </c>
      <c r="AA417" s="118">
        <f t="shared" si="59"/>
        <v>0.33482142857142855</v>
      </c>
      <c r="AB417" s="118">
        <f t="shared" si="60"/>
        <v>0.33482142857142855</v>
      </c>
      <c r="AC417" s="118">
        <f t="shared" si="61"/>
        <v>0.33482142857142855</v>
      </c>
      <c r="AD417" s="118">
        <f t="shared" si="62"/>
        <v>0.33482142857142855</v>
      </c>
      <c r="AE417" s="118"/>
      <c r="AF417" s="118"/>
      <c r="AG417" s="118"/>
      <c r="AK417">
        <f t="shared" si="65"/>
        <v>10281600</v>
      </c>
      <c r="AL417">
        <f t="shared" si="65"/>
        <v>10281600</v>
      </c>
      <c r="AM417">
        <f t="shared" si="65"/>
        <v>10281600</v>
      </c>
      <c r="AN417">
        <f t="shared" si="65"/>
        <v>10281600</v>
      </c>
      <c r="AO417">
        <f t="shared" si="65"/>
        <v>10281600</v>
      </c>
    </row>
    <row r="418" spans="1:41">
      <c r="A418" s="185">
        <f>'Water Stuff'!F352</f>
        <v>44909</v>
      </c>
      <c r="B418" s="118">
        <f>'Filtration System'!B382</f>
        <v>0</v>
      </c>
      <c r="C418" s="118">
        <f>'Filtration System'!C382</f>
        <v>480</v>
      </c>
      <c r="D418" s="118">
        <f>'Filtration System'!D382</f>
        <v>0</v>
      </c>
      <c r="E418" s="118">
        <f>'Filtration System'!E382</f>
        <v>722.16710459144701</v>
      </c>
      <c r="F418" s="118">
        <f>'Filtration System'!F382</f>
        <v>0</v>
      </c>
      <c r="G418" s="118"/>
      <c r="H418" s="118">
        <f>B418/1000*(1000*9.81*Pumps!$B$14+'Parameters and Satisfaction'!$B$27)</f>
        <v>0</v>
      </c>
      <c r="I418" s="118">
        <f>C418/1000*(1000*9.81*Pumps!$B$14+'Parameters and Satisfaction'!$B$27)</f>
        <v>128665.52604244619</v>
      </c>
      <c r="J418" s="118">
        <f>D418/1000*(1000*9.81*Pumps!$B$14+'Parameters and Satisfaction'!$B$27)</f>
        <v>0</v>
      </c>
      <c r="K418" s="118">
        <f>E418/1000*(1000*9.81*Pumps!$B$14+'Parameters and Satisfaction'!$B$27)</f>
        <v>193579.188339185</v>
      </c>
      <c r="L418" s="118">
        <f>F418/1000*(1000*9.81*Pumps!$B$14+'Parameters and Satisfaction'!$B$27)</f>
        <v>0</v>
      </c>
      <c r="M418" s="118"/>
      <c r="N418" s="118">
        <f>H418/IF('Parameters and Satisfaction'!$C$13="Pump A", 0.7, IF('Parameters and Satisfaction'!$C$13 = "Pump B", 0.72, 0.65))</f>
        <v>0</v>
      </c>
      <c r="O418" s="118">
        <f>I418/IF('Parameters and Satisfaction'!$C$13="Pump A", 0.7, IF('Parameters and Satisfaction'!$C$13 = "Pump B", 0.72, 0.65))</f>
        <v>178702.11950339749</v>
      </c>
      <c r="P418" s="118">
        <f>J418/IF('Parameters and Satisfaction'!$C$13="Pump A", 0.7, IF('Parameters and Satisfaction'!$C$13 = "Pump B", 0.72, 0.65))</f>
        <v>0</v>
      </c>
      <c r="Q418" s="118">
        <f>K418/IF('Parameters and Satisfaction'!$C$13="Pump A", 0.7, IF('Parameters and Satisfaction'!$C$13 = "Pump B", 0.72, 0.65))</f>
        <v>268859.98380442359</v>
      </c>
      <c r="R418" s="118">
        <f>L418/IF('Parameters and Satisfaction'!$C$13="Pump A", 0.7, IF('Parameters and Satisfaction'!$C$13 = "Pump B", 0.72, 0.65))</f>
        <v>0</v>
      </c>
      <c r="S418" s="118"/>
      <c r="T418" s="118">
        <f>N418+$F$47+IF('Parameters and Satisfaction'!$C$19="Ozone", 'Filtration System'!AA382*1000000, 0)</f>
        <v>4687500</v>
      </c>
      <c r="U418" s="118">
        <f>O418+$F$47+IF('Parameters and Satisfaction'!$C$19="Ozone", 'Filtration System'!AB382*1000000, 0)</f>
        <v>4866202.1195033975</v>
      </c>
      <c r="V418" s="118">
        <f>P418+$F$47+IF('Parameters and Satisfaction'!$C$19="Ozone", 'Filtration System'!AC382*1000000, 0)</f>
        <v>4687500</v>
      </c>
      <c r="W418" s="118">
        <f>Q418+$F$47+IF('Parameters and Satisfaction'!$C$19="Ozone", 'Filtration System'!AD382*1000000, 0)</f>
        <v>4956359.9838044234</v>
      </c>
      <c r="X418" s="118">
        <f>R418+$F$47+IF('Parameters and Satisfaction'!$C$19="Ozone", 'Filtration System'!AE382*1000000, 0)</f>
        <v>4687500</v>
      </c>
      <c r="Y418" s="118"/>
      <c r="Z418" s="118">
        <f t="shared" si="58"/>
        <v>0.33482142857142855</v>
      </c>
      <c r="AA418" s="118">
        <f t="shared" si="59"/>
        <v>0.34758586567881411</v>
      </c>
      <c r="AB418" s="118">
        <f t="shared" si="60"/>
        <v>0.33482142857142855</v>
      </c>
      <c r="AC418" s="118">
        <f t="shared" si="61"/>
        <v>0.35402571312888736</v>
      </c>
      <c r="AD418" s="118">
        <f t="shared" si="62"/>
        <v>0.33482142857142855</v>
      </c>
      <c r="AE418" s="118"/>
      <c r="AF418" s="118"/>
      <c r="AG418" s="118"/>
      <c r="AK418">
        <f t="shared" si="65"/>
        <v>10281600</v>
      </c>
      <c r="AL418">
        <f t="shared" si="65"/>
        <v>10281600</v>
      </c>
      <c r="AM418">
        <f t="shared" si="65"/>
        <v>10281600</v>
      </c>
      <c r="AN418">
        <f t="shared" si="65"/>
        <v>10281600</v>
      </c>
      <c r="AO418">
        <f t="shared" si="65"/>
        <v>10281600</v>
      </c>
    </row>
    <row r="419" spans="1:41">
      <c r="A419" s="185">
        <f>'Water Stuff'!F353</f>
        <v>44910</v>
      </c>
      <c r="B419" s="118">
        <f>'Filtration System'!B383</f>
        <v>1800</v>
      </c>
      <c r="C419" s="118">
        <f>'Filtration System'!C383</f>
        <v>600</v>
      </c>
      <c r="D419" s="118">
        <f>'Filtration System'!D383</f>
        <v>2405.3369293003998</v>
      </c>
      <c r="E419" s="118">
        <f>'Filtration System'!E383</f>
        <v>0</v>
      </c>
      <c r="F419" s="118">
        <f>'Filtration System'!F383</f>
        <v>985.34718353564813</v>
      </c>
      <c r="G419" s="118"/>
      <c r="H419" s="118">
        <f>B419/1000*(1000*9.81*Pumps!$B$14+'Parameters and Satisfaction'!$B$27)</f>
        <v>482495.72265917325</v>
      </c>
      <c r="I419" s="118">
        <f>C419/1000*(1000*9.81*Pumps!$B$14+'Parameters and Satisfaction'!$B$27)</f>
        <v>160831.90755305774</v>
      </c>
      <c r="J419" s="118">
        <f>D419/1000*(1000*9.81*Pumps!$B$14+'Parameters and Satisfaction'!$B$27)</f>
        <v>644758.21107866289</v>
      </c>
      <c r="K419" s="118">
        <f>E419/1000*(1000*9.81*Pumps!$B$14+'Parameters and Satisfaction'!$B$27)</f>
        <v>0</v>
      </c>
      <c r="L419" s="118">
        <f>F419/1000*(1000*9.81*Pumps!$B$14+'Parameters and Satisfaction'!$B$27)</f>
        <v>264125.4452167853</v>
      </c>
      <c r="M419" s="118"/>
      <c r="N419" s="118">
        <f>H419/IF('Parameters and Satisfaction'!$C$13="Pump A", 0.7, IF('Parameters and Satisfaction'!$C$13 = "Pump B", 0.72, 0.65))</f>
        <v>670132.9481377406</v>
      </c>
      <c r="O419" s="118">
        <f>I419/IF('Parameters and Satisfaction'!$C$13="Pump A", 0.7, IF('Parameters and Satisfaction'!$C$13 = "Pump B", 0.72, 0.65))</f>
        <v>223377.64937924687</v>
      </c>
      <c r="P419" s="118">
        <f>J419/IF('Parameters and Satisfaction'!$C$13="Pump A", 0.7, IF('Parameters and Satisfaction'!$C$13 = "Pump B", 0.72, 0.65))</f>
        <v>895497.51538703183</v>
      </c>
      <c r="Q419" s="118">
        <f>K419/IF('Parameters and Satisfaction'!$C$13="Pump A", 0.7, IF('Parameters and Satisfaction'!$C$13 = "Pump B", 0.72, 0.65))</f>
        <v>0</v>
      </c>
      <c r="R419" s="118">
        <f>L419/IF('Parameters and Satisfaction'!$C$13="Pump A", 0.7, IF('Parameters and Satisfaction'!$C$13 = "Pump B", 0.72, 0.65))</f>
        <v>366840.89613442402</v>
      </c>
      <c r="S419" s="118"/>
      <c r="T419" s="118">
        <f>N419+$F$47+IF('Parameters and Satisfaction'!$C$19="Ozone", 'Filtration System'!AA383*1000000, 0)</f>
        <v>5357632.9481377406</v>
      </c>
      <c r="U419" s="118">
        <f>O419+$F$47+IF('Parameters and Satisfaction'!$C$19="Ozone", 'Filtration System'!AB383*1000000, 0)</f>
        <v>4910877.6493792469</v>
      </c>
      <c r="V419" s="118">
        <f>P419+$F$47+IF('Parameters and Satisfaction'!$C$19="Ozone", 'Filtration System'!AC383*1000000, 0)</f>
        <v>5582997.5153870322</v>
      </c>
      <c r="W419" s="118">
        <f>Q419+$F$47+IF('Parameters and Satisfaction'!$C$19="Ozone", 'Filtration System'!AD383*1000000, 0)</f>
        <v>4687500</v>
      </c>
      <c r="X419" s="118">
        <f>R419+$F$47+IF('Parameters and Satisfaction'!$C$19="Ozone", 'Filtration System'!AE383*1000000, 0)</f>
        <v>5054340.896134424</v>
      </c>
      <c r="Y419" s="118"/>
      <c r="Z419" s="118">
        <f t="shared" si="58"/>
        <v>0.38268806772412434</v>
      </c>
      <c r="AA419" s="118">
        <f t="shared" si="59"/>
        <v>0.35077697495566051</v>
      </c>
      <c r="AB419" s="118">
        <f t="shared" si="60"/>
        <v>0.39878553681335943</v>
      </c>
      <c r="AC419" s="118">
        <f t="shared" si="61"/>
        <v>0.33482142857142855</v>
      </c>
      <c r="AD419" s="118">
        <f t="shared" si="62"/>
        <v>0.36102434972388742</v>
      </c>
      <c r="AE419" s="118"/>
      <c r="AF419" s="118"/>
      <c r="AG419" s="118"/>
      <c r="AK419">
        <f t="shared" si="65"/>
        <v>10281600</v>
      </c>
      <c r="AL419">
        <f t="shared" si="65"/>
        <v>10281600</v>
      </c>
      <c r="AM419">
        <f t="shared" si="65"/>
        <v>10281600</v>
      </c>
      <c r="AN419">
        <f t="shared" si="65"/>
        <v>10281600</v>
      </c>
      <c r="AO419">
        <f t="shared" si="65"/>
        <v>10281600</v>
      </c>
    </row>
    <row r="420" spans="1:41">
      <c r="A420" s="185">
        <f>'Water Stuff'!F354</f>
        <v>44911</v>
      </c>
      <c r="B420" s="118">
        <f>'Filtration System'!B384</f>
        <v>4040</v>
      </c>
      <c r="C420" s="118">
        <f>'Filtration System'!C384</f>
        <v>440.00000000000006</v>
      </c>
      <c r="D420" s="118">
        <f>'Filtration System'!D384</f>
        <v>5289.9013736801917</v>
      </c>
      <c r="E420" s="118">
        <f>'Filtration System'!E384</f>
        <v>0</v>
      </c>
      <c r="F420" s="118">
        <f>'Filtration System'!F384</f>
        <v>2595.4495227106863</v>
      </c>
      <c r="G420" s="118"/>
      <c r="H420" s="118">
        <f>B420/1000*(1000*9.81*Pumps!$B$14+'Parameters and Satisfaction'!$B$27)</f>
        <v>1082934.8441905889</v>
      </c>
      <c r="I420" s="118">
        <f>C420/1000*(1000*9.81*Pumps!$B$14+'Parameters and Satisfaction'!$B$27)</f>
        <v>117943.39887224237</v>
      </c>
      <c r="J420" s="118">
        <f>D420/1000*(1000*9.81*Pumps!$B$14+'Parameters and Satisfaction'!$B$27)</f>
        <v>1417974.8811608765</v>
      </c>
      <c r="K420" s="118">
        <f>E420/1000*(1000*9.81*Pumps!$B$14+'Parameters and Satisfaction'!$B$27)</f>
        <v>0</v>
      </c>
      <c r="L420" s="118">
        <f>F420/1000*(1000*9.81*Pumps!$B$14+'Parameters and Satisfaction'!$B$27)</f>
        <v>695718.49615872151</v>
      </c>
      <c r="M420" s="118"/>
      <c r="N420" s="118">
        <f>H420/IF('Parameters and Satisfaction'!$C$13="Pump A", 0.7, IF('Parameters and Satisfaction'!$C$13 = "Pump B", 0.72, 0.65))</f>
        <v>1504076.1724869292</v>
      </c>
      <c r="O420" s="118">
        <f>I420/IF('Parameters and Satisfaction'!$C$13="Pump A", 0.7, IF('Parameters and Satisfaction'!$C$13 = "Pump B", 0.72, 0.65))</f>
        <v>163810.27621144775</v>
      </c>
      <c r="P420" s="118">
        <f>J420/IF('Parameters and Satisfaction'!$C$13="Pump A", 0.7, IF('Parameters and Satisfaction'!$C$13 = "Pump B", 0.72, 0.65))</f>
        <v>1969409.557167884</v>
      </c>
      <c r="Q420" s="118">
        <f>K420/IF('Parameters and Satisfaction'!$C$13="Pump A", 0.7, IF('Parameters and Satisfaction'!$C$13 = "Pump B", 0.72, 0.65))</f>
        <v>0</v>
      </c>
      <c r="R420" s="118">
        <f>L420/IF('Parameters and Satisfaction'!$C$13="Pump A", 0.7, IF('Parameters and Satisfaction'!$C$13 = "Pump B", 0.72, 0.65))</f>
        <v>966275.68910933542</v>
      </c>
      <c r="S420" s="118"/>
      <c r="T420" s="118">
        <f>N420+$F$47+IF('Parameters and Satisfaction'!$C$19="Ozone", 'Filtration System'!AA384*1000000, 0)</f>
        <v>6191576.1724869292</v>
      </c>
      <c r="U420" s="118">
        <f>O420+$F$47+IF('Parameters and Satisfaction'!$C$19="Ozone", 'Filtration System'!AB384*1000000, 0)</f>
        <v>4851310.276211448</v>
      </c>
      <c r="V420" s="118">
        <f>P420+$F$47+IF('Parameters and Satisfaction'!$C$19="Ozone", 'Filtration System'!AC384*1000000, 0)</f>
        <v>6656909.557167884</v>
      </c>
      <c r="W420" s="118">
        <f>Q420+$F$47+IF('Parameters and Satisfaction'!$C$19="Ozone", 'Filtration System'!AD384*1000000, 0)</f>
        <v>4687500</v>
      </c>
      <c r="X420" s="118">
        <f>R420+$F$47+IF('Parameters and Satisfaction'!$C$19="Ozone", 'Filtration System'!AE384*1000000, 0)</f>
        <v>5653775.6891093357</v>
      </c>
      <c r="Y420" s="118"/>
      <c r="Z420" s="118">
        <f t="shared" si="58"/>
        <v>0.44225544089192353</v>
      </c>
      <c r="AA420" s="118">
        <f t="shared" si="59"/>
        <v>0.34652216258653201</v>
      </c>
      <c r="AB420" s="118">
        <f t="shared" si="60"/>
        <v>0.47549353979770598</v>
      </c>
      <c r="AC420" s="118">
        <f t="shared" si="61"/>
        <v>0.33482142857142855</v>
      </c>
      <c r="AD420" s="118">
        <f t="shared" si="62"/>
        <v>0.40384112065066685</v>
      </c>
      <c r="AE420" s="118"/>
      <c r="AF420" s="118"/>
      <c r="AG420" s="118"/>
      <c r="AK420">
        <f t="shared" si="65"/>
        <v>10281600</v>
      </c>
      <c r="AL420">
        <f t="shared" si="65"/>
        <v>10281600</v>
      </c>
      <c r="AM420">
        <f t="shared" si="65"/>
        <v>10281600</v>
      </c>
      <c r="AN420">
        <f t="shared" si="65"/>
        <v>10281600</v>
      </c>
      <c r="AO420">
        <f t="shared" si="65"/>
        <v>10281600</v>
      </c>
    </row>
    <row r="421" spans="1:41">
      <c r="A421" s="185">
        <f>'Water Stuff'!F355</f>
        <v>44912</v>
      </c>
      <c r="B421" s="118">
        <f>'Filtration System'!B385</f>
        <v>160</v>
      </c>
      <c r="C421" s="118">
        <f>'Filtration System'!C385</f>
        <v>4360</v>
      </c>
      <c r="D421" s="118">
        <f>'Filtration System'!D385</f>
        <v>0</v>
      </c>
      <c r="E421" s="118">
        <f>'Filtration System'!E385</f>
        <v>3363.4352711053539</v>
      </c>
      <c r="F421" s="118">
        <f>'Filtration System'!F385</f>
        <v>1142.4888142481038</v>
      </c>
      <c r="G421" s="118"/>
      <c r="H421" s="118">
        <f>B421/1000*(1000*9.81*Pumps!$B$14+'Parameters and Satisfaction'!$B$27)</f>
        <v>42888.508680815401</v>
      </c>
      <c r="I421" s="118">
        <f>C421/1000*(1000*9.81*Pumps!$B$14+'Parameters and Satisfaction'!$B$27)</f>
        <v>1168711.8615522196</v>
      </c>
      <c r="J421" s="118">
        <f>D421/1000*(1000*9.81*Pumps!$B$14+'Parameters and Satisfaction'!$B$27)</f>
        <v>0</v>
      </c>
      <c r="K421" s="118">
        <f>E421/1000*(1000*9.81*Pumps!$B$14+'Parameters and Satisfaction'!$B$27)</f>
        <v>901579.51763851661</v>
      </c>
      <c r="L421" s="118">
        <f>F421/1000*(1000*9.81*Pumps!$B$14+'Parameters and Satisfaction'!$B$27)</f>
        <v>306247.7589225893</v>
      </c>
      <c r="M421" s="118"/>
      <c r="N421" s="118">
        <f>H421/IF('Parameters and Satisfaction'!$C$13="Pump A", 0.7, IF('Parameters and Satisfaction'!$C$13 = "Pump B", 0.72, 0.65))</f>
        <v>59567.373167799167</v>
      </c>
      <c r="O421" s="118">
        <f>I421/IF('Parameters and Satisfaction'!$C$13="Pump A", 0.7, IF('Parameters and Satisfaction'!$C$13 = "Pump B", 0.72, 0.65))</f>
        <v>1623210.9188225274</v>
      </c>
      <c r="P421" s="118">
        <f>J421/IF('Parameters and Satisfaction'!$C$13="Pump A", 0.7, IF('Parameters and Satisfaction'!$C$13 = "Pump B", 0.72, 0.65))</f>
        <v>0</v>
      </c>
      <c r="Q421" s="118">
        <f>K421/IF('Parameters and Satisfaction'!$C$13="Pump A", 0.7, IF('Parameters and Satisfaction'!$C$13 = "Pump B", 0.72, 0.65))</f>
        <v>1252193.7744979397</v>
      </c>
      <c r="R421" s="118">
        <f>L421/IF('Parameters and Satisfaction'!$C$13="Pump A", 0.7, IF('Parameters and Satisfaction'!$C$13 = "Pump B", 0.72, 0.65))</f>
        <v>425344.10961470735</v>
      </c>
      <c r="S421" s="118"/>
      <c r="T421" s="118">
        <f>N421+$F$47+IF('Parameters and Satisfaction'!$C$19="Ozone", 'Filtration System'!AA385*1000000, 0)</f>
        <v>4747067.3731677989</v>
      </c>
      <c r="U421" s="118">
        <f>O421+$F$47+IF('Parameters and Satisfaction'!$C$19="Ozone", 'Filtration System'!AB385*1000000, 0)</f>
        <v>6310710.9188225269</v>
      </c>
      <c r="V421" s="118">
        <f>P421+$F$47+IF('Parameters and Satisfaction'!$C$19="Ozone", 'Filtration System'!AC385*1000000, 0)</f>
        <v>4687500</v>
      </c>
      <c r="W421" s="118">
        <f>Q421+$F$47+IF('Parameters and Satisfaction'!$C$19="Ozone", 'Filtration System'!AD385*1000000, 0)</f>
        <v>5939693.7744979393</v>
      </c>
      <c r="X421" s="118">
        <f>R421+$F$47+IF('Parameters and Satisfaction'!$C$19="Ozone", 'Filtration System'!AE385*1000000, 0)</f>
        <v>5112844.1096147075</v>
      </c>
      <c r="Y421" s="118"/>
      <c r="Z421" s="118">
        <f t="shared" si="58"/>
        <v>0.33907624094055705</v>
      </c>
      <c r="AA421" s="118">
        <f t="shared" si="59"/>
        <v>0.45076506563018048</v>
      </c>
      <c r="AB421" s="118">
        <f t="shared" si="60"/>
        <v>0.33482142857142855</v>
      </c>
      <c r="AC421" s="118">
        <f t="shared" si="61"/>
        <v>0.42426384103556708</v>
      </c>
      <c r="AD421" s="118">
        <f t="shared" si="62"/>
        <v>0.36520315068676484</v>
      </c>
      <c r="AE421" s="118"/>
      <c r="AF421" s="118"/>
      <c r="AG421" s="118"/>
      <c r="AK421">
        <f t="shared" si="65"/>
        <v>10281600</v>
      </c>
      <c r="AL421">
        <f t="shared" si="65"/>
        <v>10281600</v>
      </c>
      <c r="AM421">
        <f t="shared" si="65"/>
        <v>10281600</v>
      </c>
      <c r="AN421">
        <f t="shared" si="65"/>
        <v>10281600</v>
      </c>
      <c r="AO421">
        <f t="shared" si="65"/>
        <v>10281600</v>
      </c>
    </row>
    <row r="422" spans="1:41">
      <c r="A422" s="185">
        <f>'Water Stuff'!F356</f>
        <v>44913</v>
      </c>
      <c r="B422" s="118">
        <f>'Filtration System'!B386</f>
        <v>4920</v>
      </c>
      <c r="C422" s="118">
        <f>'Filtration System'!C386</f>
        <v>5100</v>
      </c>
      <c r="D422" s="118">
        <f>'Filtration System'!D386</f>
        <v>2915.7607591867377</v>
      </c>
      <c r="E422" s="118">
        <f>'Filtration System'!E386</f>
        <v>6009.4761400776661</v>
      </c>
      <c r="F422" s="118">
        <f>'Filtration System'!F386</f>
        <v>4033.2569854992821</v>
      </c>
      <c r="G422" s="118"/>
      <c r="H422" s="118">
        <f>B422/1000*(1000*9.81*Pumps!$B$14+'Parameters and Satisfaction'!$B$27)</f>
        <v>1318821.6419350735</v>
      </c>
      <c r="I422" s="118">
        <f>C422/1000*(1000*9.81*Pumps!$B$14+'Parameters and Satisfaction'!$B$27)</f>
        <v>1367071.2142009907</v>
      </c>
      <c r="J422" s="118">
        <f>D422/1000*(1000*9.81*Pumps!$B$14+'Parameters and Satisfaction'!$B$27)</f>
        <v>781578.94144725811</v>
      </c>
      <c r="K422" s="118">
        <f>E422/1000*(1000*9.81*Pumps!$B$14+'Parameters and Satisfaction'!$B$27)</f>
        <v>1610859.1850054625</v>
      </c>
      <c r="L422" s="118">
        <f>F422/1000*(1000*9.81*Pumps!$B$14+'Parameters and Satisfaction'!$B$27)</f>
        <v>1081127.3577159082</v>
      </c>
      <c r="M422" s="118"/>
      <c r="N422" s="118">
        <f>H422/IF('Parameters and Satisfaction'!$C$13="Pump A", 0.7, IF('Parameters and Satisfaction'!$C$13 = "Pump B", 0.72, 0.65))</f>
        <v>1831696.7249098243</v>
      </c>
      <c r="O422" s="118">
        <f>I422/IF('Parameters and Satisfaction'!$C$13="Pump A", 0.7, IF('Parameters and Satisfaction'!$C$13 = "Pump B", 0.72, 0.65))</f>
        <v>1898710.0197235984</v>
      </c>
      <c r="P422" s="118">
        <f>J422/IF('Parameters and Satisfaction'!$C$13="Pump A", 0.7, IF('Parameters and Satisfaction'!$C$13 = "Pump B", 0.72, 0.65))</f>
        <v>1085526.3075656362</v>
      </c>
      <c r="Q422" s="118">
        <f>K422/IF('Parameters and Satisfaction'!$C$13="Pump A", 0.7, IF('Parameters and Satisfaction'!$C$13 = "Pump B", 0.72, 0.65))</f>
        <v>2237304.423618698</v>
      </c>
      <c r="R422" s="118">
        <f>L422/IF('Parameters and Satisfaction'!$C$13="Pump A", 0.7, IF('Parameters and Satisfaction'!$C$13 = "Pump B", 0.72, 0.65))</f>
        <v>1501565.7746054281</v>
      </c>
      <c r="S422" s="118"/>
      <c r="T422" s="118">
        <f>N422+$F$47+IF('Parameters and Satisfaction'!$C$19="Ozone", 'Filtration System'!AA386*1000000, 0)</f>
        <v>6519196.7249098243</v>
      </c>
      <c r="U422" s="118">
        <f>O422+$F$47+IF('Parameters and Satisfaction'!$C$19="Ozone", 'Filtration System'!AB386*1000000, 0)</f>
        <v>6586210.0197235979</v>
      </c>
      <c r="V422" s="118">
        <f>P422+$F$47+IF('Parameters and Satisfaction'!$C$19="Ozone", 'Filtration System'!AC386*1000000, 0)</f>
        <v>5773026.307565636</v>
      </c>
      <c r="W422" s="118">
        <f>Q422+$F$47+IF('Parameters and Satisfaction'!$C$19="Ozone", 'Filtration System'!AD386*1000000, 0)</f>
        <v>6924804.4236186985</v>
      </c>
      <c r="X422" s="118">
        <f>R422+$F$47+IF('Parameters and Satisfaction'!$C$19="Ozone", 'Filtration System'!AE386*1000000, 0)</f>
        <v>6189065.7746054279</v>
      </c>
      <c r="Y422" s="118"/>
      <c r="Z422" s="118">
        <f t="shared" si="58"/>
        <v>0.4656569089221303</v>
      </c>
      <c r="AA422" s="118">
        <f t="shared" si="59"/>
        <v>0.47044357283739985</v>
      </c>
      <c r="AB422" s="118">
        <f t="shared" si="60"/>
        <v>0.412359021968974</v>
      </c>
      <c r="AC422" s="118">
        <f t="shared" si="61"/>
        <v>0.49462888740133559</v>
      </c>
      <c r="AD422" s="118">
        <f t="shared" si="62"/>
        <v>0.44207612675753055</v>
      </c>
      <c r="AE422" s="118"/>
      <c r="AF422" s="118"/>
      <c r="AG422" s="118"/>
      <c r="AK422">
        <f t="shared" si="65"/>
        <v>10281600</v>
      </c>
      <c r="AL422">
        <f t="shared" si="65"/>
        <v>10281600</v>
      </c>
      <c r="AM422">
        <f t="shared" si="65"/>
        <v>10281600</v>
      </c>
      <c r="AN422">
        <f t="shared" si="65"/>
        <v>10281600</v>
      </c>
      <c r="AO422">
        <f t="shared" si="65"/>
        <v>10281600</v>
      </c>
    </row>
    <row r="423" spans="1:41">
      <c r="A423" s="185">
        <f>'Water Stuff'!F357</f>
        <v>44914</v>
      </c>
      <c r="B423" s="118">
        <f>'Filtration System'!B387</f>
        <v>0</v>
      </c>
      <c r="C423" s="118">
        <f>'Filtration System'!C387</f>
        <v>6360</v>
      </c>
      <c r="D423" s="118">
        <f>'Filtration System'!D387</f>
        <v>0</v>
      </c>
      <c r="E423" s="118">
        <f>'Filtration System'!E387</f>
        <v>8106.7564033981334</v>
      </c>
      <c r="F423" s="118">
        <f>'Filtration System'!F387</f>
        <v>1696.4458802379661</v>
      </c>
      <c r="G423" s="118"/>
      <c r="H423" s="118">
        <f>B423/1000*(1000*9.81*Pumps!$B$14+'Parameters and Satisfaction'!$B$27)</f>
        <v>0</v>
      </c>
      <c r="I423" s="118">
        <f>C423/1000*(1000*9.81*Pumps!$B$14+'Parameters and Satisfaction'!$B$27)</f>
        <v>1704818.2200624121</v>
      </c>
      <c r="J423" s="118">
        <f>D423/1000*(1000*9.81*Pumps!$B$14+'Parameters and Satisfaction'!$B$27)</f>
        <v>0</v>
      </c>
      <c r="K423" s="118">
        <f>E423/1000*(1000*9.81*Pumps!$B$14+'Parameters and Satisfaction'!$B$27)</f>
        <v>2173041.8273774791</v>
      </c>
      <c r="L423" s="118">
        <f>F423/1000*(1000*9.81*Pumps!$B$14+'Parameters and Satisfaction'!$B$27)</f>
        <v>454737.71163199702</v>
      </c>
      <c r="M423" s="118"/>
      <c r="N423" s="118">
        <f>H423/IF('Parameters and Satisfaction'!$C$13="Pump A", 0.7, IF('Parameters and Satisfaction'!$C$13 = "Pump B", 0.72, 0.65))</f>
        <v>0</v>
      </c>
      <c r="O423" s="118">
        <f>I423/IF('Parameters and Satisfaction'!$C$13="Pump A", 0.7, IF('Parameters and Satisfaction'!$C$13 = "Pump B", 0.72, 0.65))</f>
        <v>2367803.0834200168</v>
      </c>
      <c r="P423" s="118">
        <f>J423/IF('Parameters and Satisfaction'!$C$13="Pump A", 0.7, IF('Parameters and Satisfaction'!$C$13 = "Pump B", 0.72, 0.65))</f>
        <v>0</v>
      </c>
      <c r="Q423" s="118">
        <f>K423/IF('Parameters and Satisfaction'!$C$13="Pump A", 0.7, IF('Parameters and Satisfaction'!$C$13 = "Pump B", 0.72, 0.65))</f>
        <v>3018113.6491353875</v>
      </c>
      <c r="R423" s="118">
        <f>L423/IF('Parameters and Satisfaction'!$C$13="Pump A", 0.7, IF('Parameters and Satisfaction'!$C$13 = "Pump B", 0.72, 0.65))</f>
        <v>631580.1550444403</v>
      </c>
      <c r="S423" s="118"/>
      <c r="T423" s="118">
        <f>N423+$F$47+IF('Parameters and Satisfaction'!$C$19="Ozone", 'Filtration System'!AA387*1000000, 0)</f>
        <v>4687500</v>
      </c>
      <c r="U423" s="118">
        <f>O423+$F$47+IF('Parameters and Satisfaction'!$C$19="Ozone", 'Filtration System'!AB387*1000000, 0)</f>
        <v>7055303.0834200168</v>
      </c>
      <c r="V423" s="118">
        <f>P423+$F$47+IF('Parameters and Satisfaction'!$C$19="Ozone", 'Filtration System'!AC387*1000000, 0)</f>
        <v>4687500</v>
      </c>
      <c r="W423" s="118">
        <f>Q423+$F$47+IF('Parameters and Satisfaction'!$C$19="Ozone", 'Filtration System'!AD387*1000000, 0)</f>
        <v>7705613.6491353875</v>
      </c>
      <c r="X423" s="118">
        <f>R423+$F$47+IF('Parameters and Satisfaction'!$C$19="Ozone", 'Filtration System'!AE387*1000000, 0)</f>
        <v>5319080.1550444402</v>
      </c>
      <c r="Y423" s="118"/>
      <c r="Z423" s="118">
        <f t="shared" si="58"/>
        <v>0.33482142857142855</v>
      </c>
      <c r="AA423" s="118">
        <f t="shared" si="59"/>
        <v>0.50395022024428693</v>
      </c>
      <c r="AB423" s="118">
        <f t="shared" si="60"/>
        <v>0.33482142857142855</v>
      </c>
      <c r="AC423" s="118">
        <f t="shared" si="61"/>
        <v>0.55040097493824192</v>
      </c>
      <c r="AD423" s="118">
        <f t="shared" si="62"/>
        <v>0.37993429678888857</v>
      </c>
      <c r="AE423" s="118"/>
      <c r="AF423" s="118"/>
      <c r="AG423" s="118"/>
      <c r="AK423">
        <f t="shared" si="65"/>
        <v>10281600</v>
      </c>
      <c r="AL423">
        <f t="shared" si="65"/>
        <v>10281600</v>
      </c>
      <c r="AM423">
        <f t="shared" si="65"/>
        <v>10281600</v>
      </c>
      <c r="AN423">
        <f t="shared" si="65"/>
        <v>10281600</v>
      </c>
      <c r="AO423">
        <f t="shared" si="65"/>
        <v>10281600</v>
      </c>
    </row>
    <row r="424" spans="1:41">
      <c r="A424" s="185">
        <f>'Water Stuff'!F358</f>
        <v>44915</v>
      </c>
      <c r="B424" s="118">
        <f>'Filtration System'!B388</f>
        <v>0</v>
      </c>
      <c r="C424" s="118">
        <f>'Filtration System'!C388</f>
        <v>4520</v>
      </c>
      <c r="D424" s="118">
        <f>'Filtration System'!D388</f>
        <v>0</v>
      </c>
      <c r="E424" s="118">
        <f>'Filtration System'!E388</f>
        <v>1852.9237070807887</v>
      </c>
      <c r="F424" s="118">
        <f>'Filtration System'!F388</f>
        <v>0</v>
      </c>
      <c r="G424" s="118"/>
      <c r="H424" s="118">
        <f>B424/1000*(1000*9.81*Pumps!$B$14+'Parameters and Satisfaction'!$B$27)</f>
        <v>0</v>
      </c>
      <c r="I424" s="118">
        <f>C424/1000*(1000*9.81*Pumps!$B$14+'Parameters and Satisfaction'!$B$27)</f>
        <v>1211600.3702330349</v>
      </c>
      <c r="J424" s="118">
        <f>D424/1000*(1000*9.81*Pumps!$B$14+'Parameters and Satisfaction'!$B$27)</f>
        <v>0</v>
      </c>
      <c r="K424" s="118">
        <f>E424/1000*(1000*9.81*Pumps!$B$14+'Parameters and Satisfaction'!$B$27)</f>
        <v>496682.09060014412</v>
      </c>
      <c r="L424" s="118">
        <f>F424/1000*(1000*9.81*Pumps!$B$14+'Parameters and Satisfaction'!$B$27)</f>
        <v>0</v>
      </c>
      <c r="M424" s="118"/>
      <c r="N424" s="118">
        <f>H424/IF('Parameters and Satisfaction'!$C$13="Pump A", 0.7, IF('Parameters and Satisfaction'!$C$13 = "Pump B", 0.72, 0.65))</f>
        <v>0</v>
      </c>
      <c r="O424" s="118">
        <f>I424/IF('Parameters and Satisfaction'!$C$13="Pump A", 0.7, IF('Parameters and Satisfaction'!$C$13 = "Pump B", 0.72, 0.65))</f>
        <v>1682778.2919903265</v>
      </c>
      <c r="P424" s="118">
        <f>J424/IF('Parameters and Satisfaction'!$C$13="Pump A", 0.7, IF('Parameters and Satisfaction'!$C$13 = "Pump B", 0.72, 0.65))</f>
        <v>0</v>
      </c>
      <c r="Q424" s="118">
        <f>K424/IF('Parameters and Satisfaction'!$C$13="Pump A", 0.7, IF('Parameters and Satisfaction'!$C$13 = "Pump B", 0.72, 0.65))</f>
        <v>689836.2369446446</v>
      </c>
      <c r="R424" s="118">
        <f>L424/IF('Parameters and Satisfaction'!$C$13="Pump A", 0.7, IF('Parameters and Satisfaction'!$C$13 = "Pump B", 0.72, 0.65))</f>
        <v>0</v>
      </c>
      <c r="S424" s="118"/>
      <c r="T424" s="118">
        <f>N424+$F$47+IF('Parameters and Satisfaction'!$C$19="Ozone", 'Filtration System'!AA388*1000000, 0)</f>
        <v>4687500</v>
      </c>
      <c r="U424" s="118">
        <f>O424+$F$47+IF('Parameters and Satisfaction'!$C$19="Ozone", 'Filtration System'!AB388*1000000, 0)</f>
        <v>6370278.2919903267</v>
      </c>
      <c r="V424" s="118">
        <f>P424+$F$47+IF('Parameters and Satisfaction'!$C$19="Ozone", 'Filtration System'!AC388*1000000, 0)</f>
        <v>4687500</v>
      </c>
      <c r="W424" s="118">
        <f>Q424+$F$47+IF('Parameters and Satisfaction'!$C$19="Ozone", 'Filtration System'!AD388*1000000, 0)</f>
        <v>5377336.2369446447</v>
      </c>
      <c r="X424" s="118">
        <f>R424+$F$47+IF('Parameters and Satisfaction'!$C$19="Ozone", 'Filtration System'!AE388*1000000, 0)</f>
        <v>4687500</v>
      </c>
      <c r="Y424" s="118"/>
      <c r="Z424" s="118">
        <f t="shared" si="58"/>
        <v>0.33482142857142855</v>
      </c>
      <c r="AA424" s="118">
        <f t="shared" si="59"/>
        <v>0.45501987799930904</v>
      </c>
      <c r="AB424" s="118">
        <f t="shared" si="60"/>
        <v>0.33482142857142855</v>
      </c>
      <c r="AC424" s="118">
        <f t="shared" si="61"/>
        <v>0.38409544549604607</v>
      </c>
      <c r="AD424" s="118">
        <f t="shared" si="62"/>
        <v>0.33482142857142855</v>
      </c>
      <c r="AE424" s="118"/>
      <c r="AF424" s="118"/>
      <c r="AG424" s="118"/>
      <c r="AK424">
        <f t="shared" si="65"/>
        <v>10281600</v>
      </c>
      <c r="AL424">
        <f t="shared" si="65"/>
        <v>10281600</v>
      </c>
      <c r="AM424">
        <f t="shared" si="65"/>
        <v>10281600</v>
      </c>
      <c r="AN424">
        <f t="shared" si="65"/>
        <v>10281600</v>
      </c>
      <c r="AO424">
        <f t="shared" si="65"/>
        <v>10281600</v>
      </c>
    </row>
    <row r="425" spans="1:41">
      <c r="A425" s="185">
        <f>'Water Stuff'!F359</f>
        <v>44916</v>
      </c>
      <c r="B425" s="118">
        <f>'Filtration System'!B389</f>
        <v>1760.0000000000002</v>
      </c>
      <c r="C425" s="118">
        <f>'Filtration System'!C389</f>
        <v>1800</v>
      </c>
      <c r="D425" s="118">
        <f>'Filtration System'!D389</f>
        <v>0</v>
      </c>
      <c r="E425" s="118">
        <f>'Filtration System'!E389</f>
        <v>2516.1725723115542</v>
      </c>
      <c r="F425" s="118">
        <f>'Filtration System'!F389</f>
        <v>0</v>
      </c>
      <c r="G425" s="118"/>
      <c r="H425" s="118">
        <f>B425/1000*(1000*9.81*Pumps!$B$14+'Parameters and Satisfaction'!$B$27)</f>
        <v>471773.59548896947</v>
      </c>
      <c r="I425" s="118">
        <f>C425/1000*(1000*9.81*Pumps!$B$14+'Parameters and Satisfaction'!$B$27)</f>
        <v>482495.72265917325</v>
      </c>
      <c r="J425" s="118">
        <f>D425/1000*(1000*9.81*Pumps!$B$14+'Parameters and Satisfaction'!$B$27)</f>
        <v>0</v>
      </c>
      <c r="K425" s="118">
        <f>E425/1000*(1000*9.81*Pumps!$B$14+'Parameters and Satisfaction'!$B$27)</f>
        <v>674468.05756258569</v>
      </c>
      <c r="L425" s="118">
        <f>F425/1000*(1000*9.81*Pumps!$B$14+'Parameters and Satisfaction'!$B$27)</f>
        <v>0</v>
      </c>
      <c r="M425" s="118"/>
      <c r="N425" s="118">
        <f>H425/IF('Parameters and Satisfaction'!$C$13="Pump A", 0.7, IF('Parameters and Satisfaction'!$C$13 = "Pump B", 0.72, 0.65))</f>
        <v>655241.10484579101</v>
      </c>
      <c r="O425" s="118">
        <f>I425/IF('Parameters and Satisfaction'!$C$13="Pump A", 0.7, IF('Parameters and Satisfaction'!$C$13 = "Pump B", 0.72, 0.65))</f>
        <v>670132.9481377406</v>
      </c>
      <c r="P425" s="118">
        <f>J425/IF('Parameters and Satisfaction'!$C$13="Pump A", 0.7, IF('Parameters and Satisfaction'!$C$13 = "Pump B", 0.72, 0.65))</f>
        <v>0</v>
      </c>
      <c r="Q425" s="118">
        <f>K425/IF('Parameters and Satisfaction'!$C$13="Pump A", 0.7, IF('Parameters and Satisfaction'!$C$13 = "Pump B", 0.72, 0.65))</f>
        <v>936761.19105914677</v>
      </c>
      <c r="R425" s="118">
        <f>L425/IF('Parameters and Satisfaction'!$C$13="Pump A", 0.7, IF('Parameters and Satisfaction'!$C$13 = "Pump B", 0.72, 0.65))</f>
        <v>0</v>
      </c>
      <c r="S425" s="118"/>
      <c r="T425" s="118">
        <f>N425+$F$47+IF('Parameters and Satisfaction'!$C$19="Ozone", 'Filtration System'!AA389*1000000, 0)</f>
        <v>5342741.1048457911</v>
      </c>
      <c r="U425" s="118">
        <f>O425+$F$47+IF('Parameters and Satisfaction'!$C$19="Ozone", 'Filtration System'!AB389*1000000, 0)</f>
        <v>5357632.9481377406</v>
      </c>
      <c r="V425" s="118">
        <f>P425+$F$47+IF('Parameters and Satisfaction'!$C$19="Ozone", 'Filtration System'!AC389*1000000, 0)</f>
        <v>4687500</v>
      </c>
      <c r="W425" s="118">
        <f>Q425+$F$47+IF('Parameters and Satisfaction'!$C$19="Ozone", 'Filtration System'!AD389*1000000, 0)</f>
        <v>5624261.191059147</v>
      </c>
      <c r="X425" s="118">
        <f>R425+$F$47+IF('Parameters and Satisfaction'!$C$19="Ozone", 'Filtration System'!AE389*1000000, 0)</f>
        <v>4687500</v>
      </c>
      <c r="Y425" s="118"/>
      <c r="Z425" s="118">
        <f t="shared" si="58"/>
        <v>0.38162436463184224</v>
      </c>
      <c r="AA425" s="118">
        <f t="shared" si="59"/>
        <v>0.38268806772412434</v>
      </c>
      <c r="AB425" s="118">
        <f t="shared" si="60"/>
        <v>0.33482142857142855</v>
      </c>
      <c r="AC425" s="118">
        <f t="shared" si="61"/>
        <v>0.40173294221851052</v>
      </c>
      <c r="AD425" s="118">
        <f t="shared" si="62"/>
        <v>0.33482142857142855</v>
      </c>
      <c r="AE425" s="118"/>
      <c r="AF425" s="118"/>
      <c r="AG425" s="118"/>
      <c r="AK425">
        <f t="shared" ref="AK425:AO435" si="66">$D$66</f>
        <v>10281600</v>
      </c>
      <c r="AL425">
        <f t="shared" si="66"/>
        <v>10281600</v>
      </c>
      <c r="AM425">
        <f t="shared" si="66"/>
        <v>10281600</v>
      </c>
      <c r="AN425">
        <f t="shared" si="66"/>
        <v>10281600</v>
      </c>
      <c r="AO425">
        <f t="shared" si="66"/>
        <v>10281600</v>
      </c>
    </row>
    <row r="426" spans="1:41">
      <c r="A426" s="185">
        <f>'Water Stuff'!F360</f>
        <v>44917</v>
      </c>
      <c r="B426" s="118">
        <f>'Filtration System'!B390</f>
        <v>2320</v>
      </c>
      <c r="C426" s="118">
        <f>'Filtration System'!C390</f>
        <v>7159.9999999999991</v>
      </c>
      <c r="D426" s="118">
        <f>'Filtration System'!D390</f>
        <v>3173.5295555212178</v>
      </c>
      <c r="E426" s="118">
        <f>'Filtration System'!E390</f>
        <v>8487.2839667386052</v>
      </c>
      <c r="F426" s="118">
        <f>'Filtration System'!F390</f>
        <v>1670.433993672382</v>
      </c>
      <c r="G426" s="118"/>
      <c r="H426" s="118">
        <f>B426/1000*(1000*9.81*Pumps!$B$14+'Parameters and Satisfaction'!$B$27)</f>
        <v>621883.37587182329</v>
      </c>
      <c r="I426" s="118">
        <f>C426/1000*(1000*9.81*Pumps!$B$14+'Parameters and Satisfaction'!$B$27)</f>
        <v>1919260.7634664888</v>
      </c>
      <c r="J426" s="118">
        <f>D426/1000*(1000*9.81*Pumps!$B$14+'Parameters and Satisfaction'!$B$27)</f>
        <v>850674.6868174749</v>
      </c>
      <c r="K426" s="118">
        <f>E426/1000*(1000*9.81*Pumps!$B$14+'Parameters and Satisfaction'!$B$27)</f>
        <v>2275043.4505250878</v>
      </c>
      <c r="L426" s="118">
        <f>F426/1000*(1000*9.81*Pumps!$B$14+'Parameters and Satisfaction'!$B$27)</f>
        <v>447765.1427396693</v>
      </c>
      <c r="M426" s="118"/>
      <c r="N426" s="118">
        <f>H426/IF('Parameters and Satisfaction'!$C$13="Pump A", 0.7, IF('Parameters and Satisfaction'!$C$13 = "Pump B", 0.72, 0.65))</f>
        <v>863726.91093308793</v>
      </c>
      <c r="O426" s="118">
        <f>I426/IF('Parameters and Satisfaction'!$C$13="Pump A", 0.7, IF('Parameters and Satisfaction'!$C$13 = "Pump B", 0.72, 0.65))</f>
        <v>2665639.9492590125</v>
      </c>
      <c r="P426" s="118">
        <f>J426/IF('Parameters and Satisfaction'!$C$13="Pump A", 0.7, IF('Parameters and Satisfaction'!$C$13 = "Pump B", 0.72, 0.65))</f>
        <v>1181492.6205798262</v>
      </c>
      <c r="Q426" s="118">
        <f>K426/IF('Parameters and Satisfaction'!$C$13="Pump A", 0.7, IF('Parameters and Satisfaction'!$C$13 = "Pump B", 0.72, 0.65))</f>
        <v>3159782.5701737329</v>
      </c>
      <c r="R426" s="118">
        <f>L426/IF('Parameters and Satisfaction'!$C$13="Pump A", 0.7, IF('Parameters and Satisfaction'!$C$13 = "Pump B", 0.72, 0.65))</f>
        <v>621896.03158287401</v>
      </c>
      <c r="S426" s="118"/>
      <c r="T426" s="118">
        <f>N426+$F$47+IF('Parameters and Satisfaction'!$C$19="Ozone", 'Filtration System'!AA390*1000000, 0)</f>
        <v>5551226.9109330876</v>
      </c>
      <c r="U426" s="118">
        <f>O426+$F$47+IF('Parameters and Satisfaction'!$C$19="Ozone", 'Filtration System'!AB390*1000000, 0)</f>
        <v>7353139.9492590129</v>
      </c>
      <c r="V426" s="118">
        <f>P426+$F$47+IF('Parameters and Satisfaction'!$C$19="Ozone", 'Filtration System'!AC390*1000000, 0)</f>
        <v>5868992.6205798257</v>
      </c>
      <c r="W426" s="118">
        <f>Q426+$F$47+IF('Parameters and Satisfaction'!$C$19="Ozone", 'Filtration System'!AD390*1000000, 0)</f>
        <v>7847282.5701737329</v>
      </c>
      <c r="X426" s="118">
        <f>R426+$F$47+IF('Parameters and Satisfaction'!$C$19="Ozone", 'Filtration System'!AE390*1000000, 0)</f>
        <v>5309396.0315828742</v>
      </c>
      <c r="Y426" s="118"/>
      <c r="Z426" s="118">
        <f t="shared" si="58"/>
        <v>0.396516207923792</v>
      </c>
      <c r="AA426" s="118">
        <f t="shared" si="59"/>
        <v>0.52522428208992955</v>
      </c>
      <c r="AB426" s="118">
        <f t="shared" si="60"/>
        <v>0.41921375861284471</v>
      </c>
      <c r="AC426" s="118">
        <f t="shared" si="61"/>
        <v>0.56052018358383804</v>
      </c>
      <c r="AD426" s="118">
        <f t="shared" si="62"/>
        <v>0.37924257368449099</v>
      </c>
      <c r="AE426" s="118"/>
      <c r="AF426" s="118"/>
      <c r="AG426" s="118"/>
      <c r="AK426">
        <f t="shared" si="66"/>
        <v>10281600</v>
      </c>
      <c r="AL426">
        <f t="shared" si="66"/>
        <v>10281600</v>
      </c>
      <c r="AM426">
        <f t="shared" si="66"/>
        <v>10281600</v>
      </c>
      <c r="AN426">
        <f t="shared" si="66"/>
        <v>10281600</v>
      </c>
      <c r="AO426">
        <f t="shared" si="66"/>
        <v>10281600</v>
      </c>
    </row>
    <row r="427" spans="1:41">
      <c r="A427" s="185">
        <f>'Water Stuff'!F361</f>
        <v>44918</v>
      </c>
      <c r="B427" s="118">
        <f>'Filtration System'!B391</f>
        <v>2000</v>
      </c>
      <c r="C427" s="118">
        <f>'Filtration System'!C391</f>
        <v>1880</v>
      </c>
      <c r="D427" s="118">
        <f>'Filtration System'!D391</f>
        <v>395.445664439437</v>
      </c>
      <c r="E427" s="118">
        <f>'Filtration System'!E391</f>
        <v>0</v>
      </c>
      <c r="F427" s="118">
        <f>'Filtration System'!F391</f>
        <v>0</v>
      </c>
      <c r="G427" s="118"/>
      <c r="H427" s="118">
        <f>B427/1000*(1000*9.81*Pumps!$B$14+'Parameters and Satisfaction'!$B$27)</f>
        <v>536106.35851019248</v>
      </c>
      <c r="I427" s="118">
        <f>C427/1000*(1000*9.81*Pumps!$B$14+'Parameters and Satisfaction'!$B$27)</f>
        <v>503939.97699958092</v>
      </c>
      <c r="J427" s="118">
        <f>D427/1000*(1000*9.81*Pumps!$B$14+'Parameters and Satisfaction'!$B$27)</f>
        <v>106000.46757563505</v>
      </c>
      <c r="K427" s="118">
        <f>E427/1000*(1000*9.81*Pumps!$B$14+'Parameters and Satisfaction'!$B$27)</f>
        <v>0</v>
      </c>
      <c r="L427" s="118">
        <f>F427/1000*(1000*9.81*Pumps!$B$14+'Parameters and Satisfaction'!$B$27)</f>
        <v>0</v>
      </c>
      <c r="M427" s="118"/>
      <c r="N427" s="118">
        <f>H427/IF('Parameters and Satisfaction'!$C$13="Pump A", 0.7, IF('Parameters and Satisfaction'!$C$13 = "Pump B", 0.72, 0.65))</f>
        <v>744592.16459748964</v>
      </c>
      <c r="O427" s="118">
        <f>I427/IF('Parameters and Satisfaction'!$C$13="Pump A", 0.7, IF('Parameters and Satisfaction'!$C$13 = "Pump B", 0.72, 0.65))</f>
        <v>699916.63472164015</v>
      </c>
      <c r="P427" s="118">
        <f>J427/IF('Parameters and Satisfaction'!$C$13="Pump A", 0.7, IF('Parameters and Satisfaction'!$C$13 = "Pump B", 0.72, 0.65))</f>
        <v>147222.87163282646</v>
      </c>
      <c r="Q427" s="118">
        <f>K427/IF('Parameters and Satisfaction'!$C$13="Pump A", 0.7, IF('Parameters and Satisfaction'!$C$13 = "Pump B", 0.72, 0.65))</f>
        <v>0</v>
      </c>
      <c r="R427" s="118">
        <f>L427/IF('Parameters and Satisfaction'!$C$13="Pump A", 0.7, IF('Parameters and Satisfaction'!$C$13 = "Pump B", 0.72, 0.65))</f>
        <v>0</v>
      </c>
      <c r="S427" s="118"/>
      <c r="T427" s="118">
        <f>N427+$F$47+IF('Parameters and Satisfaction'!$C$19="Ozone", 'Filtration System'!AA391*1000000, 0)</f>
        <v>5432092.1645974899</v>
      </c>
      <c r="U427" s="118">
        <f>O427+$F$47+IF('Parameters and Satisfaction'!$C$19="Ozone", 'Filtration System'!AB391*1000000, 0)</f>
        <v>5387416.6347216405</v>
      </c>
      <c r="V427" s="118">
        <f>P427+$F$47+IF('Parameters and Satisfaction'!$C$19="Ozone", 'Filtration System'!AC391*1000000, 0)</f>
        <v>4834722.8716328265</v>
      </c>
      <c r="W427" s="118">
        <f>Q427+$F$47+IF('Parameters and Satisfaction'!$C$19="Ozone", 'Filtration System'!AD391*1000000, 0)</f>
        <v>4687500</v>
      </c>
      <c r="X427" s="118">
        <f>R427+$F$47+IF('Parameters and Satisfaction'!$C$19="Ozone", 'Filtration System'!AE391*1000000, 0)</f>
        <v>4687500</v>
      </c>
      <c r="Y427" s="118"/>
      <c r="Z427" s="118">
        <f t="shared" si="58"/>
        <v>0.38800658318553499</v>
      </c>
      <c r="AA427" s="118">
        <f t="shared" si="59"/>
        <v>0.38481547390868859</v>
      </c>
      <c r="AB427" s="118">
        <f t="shared" si="60"/>
        <v>0.3453373479737733</v>
      </c>
      <c r="AC427" s="118">
        <f t="shared" si="61"/>
        <v>0.33482142857142855</v>
      </c>
      <c r="AD427" s="118">
        <f t="shared" si="62"/>
        <v>0.33482142857142855</v>
      </c>
      <c r="AE427" s="118"/>
      <c r="AF427" s="118"/>
      <c r="AG427" s="118"/>
      <c r="AK427">
        <f t="shared" si="66"/>
        <v>10281600</v>
      </c>
      <c r="AL427">
        <f t="shared" si="66"/>
        <v>10281600</v>
      </c>
      <c r="AM427">
        <f t="shared" si="66"/>
        <v>10281600</v>
      </c>
      <c r="AN427">
        <f t="shared" si="66"/>
        <v>10281600</v>
      </c>
      <c r="AO427">
        <f t="shared" si="66"/>
        <v>10281600</v>
      </c>
    </row>
    <row r="428" spans="1:41">
      <c r="A428" s="185">
        <f>'Water Stuff'!F362</f>
        <v>44919</v>
      </c>
      <c r="B428" s="118">
        <f>'Filtration System'!B392</f>
        <v>440.00000000000006</v>
      </c>
      <c r="C428" s="118">
        <f>'Filtration System'!C392</f>
        <v>0</v>
      </c>
      <c r="D428" s="118">
        <f>'Filtration System'!D392</f>
        <v>887.43915552061094</v>
      </c>
      <c r="E428" s="118">
        <f>'Filtration System'!E392</f>
        <v>698.66267142954962</v>
      </c>
      <c r="F428" s="118">
        <f>'Filtration System'!F392</f>
        <v>1345.8070234268068</v>
      </c>
      <c r="G428" s="118"/>
      <c r="H428" s="118">
        <f>B428/1000*(1000*9.81*Pumps!$B$14+'Parameters and Satisfaction'!$B$27)</f>
        <v>117943.39887224237</v>
      </c>
      <c r="I428" s="118">
        <f>C428/1000*(1000*9.81*Pumps!$B$14+'Parameters and Satisfaction'!$B$27)</f>
        <v>0</v>
      </c>
      <c r="J428" s="118">
        <f>D428/1000*(1000*9.81*Pumps!$B$14+'Parameters and Satisfaction'!$B$27)</f>
        <v>237880.88703275754</v>
      </c>
      <c r="K428" s="118">
        <f>E428/1000*(1000*9.81*Pumps!$B$14+'Parameters and Satisfaction'!$B$27)</f>
        <v>187278.75030354949</v>
      </c>
      <c r="L428" s="118">
        <f>F428/1000*(1000*9.81*Pumps!$B$14+'Parameters and Satisfaction'!$B$27)</f>
        <v>360747.85129339335</v>
      </c>
      <c r="M428" s="118"/>
      <c r="N428" s="118">
        <f>H428/IF('Parameters and Satisfaction'!$C$13="Pump A", 0.7, IF('Parameters and Satisfaction'!$C$13 = "Pump B", 0.72, 0.65))</f>
        <v>163810.27621144775</v>
      </c>
      <c r="O428" s="118">
        <f>I428/IF('Parameters and Satisfaction'!$C$13="Pump A", 0.7, IF('Parameters and Satisfaction'!$C$13 = "Pump B", 0.72, 0.65))</f>
        <v>0</v>
      </c>
      <c r="P428" s="118">
        <f>J428/IF('Parameters and Satisfaction'!$C$13="Pump A", 0.7, IF('Parameters and Satisfaction'!$C$13 = "Pump B", 0.72, 0.65))</f>
        <v>330390.12087882991</v>
      </c>
      <c r="Q428" s="118">
        <f>K428/IF('Parameters and Satisfaction'!$C$13="Pump A", 0.7, IF('Parameters and Satisfaction'!$C$13 = "Pump B", 0.72, 0.65))</f>
        <v>260109.37542159652</v>
      </c>
      <c r="R428" s="118">
        <f>L428/IF('Parameters and Satisfaction'!$C$13="Pump A", 0.7, IF('Parameters and Satisfaction'!$C$13 = "Pump B", 0.72, 0.65))</f>
        <v>501038.68235193525</v>
      </c>
      <c r="S428" s="118"/>
      <c r="T428" s="118">
        <f>N428+$F$47+IF('Parameters and Satisfaction'!$C$19="Ozone", 'Filtration System'!AA392*1000000, 0)</f>
        <v>4851310.276211448</v>
      </c>
      <c r="U428" s="118">
        <f>O428+$F$47+IF('Parameters and Satisfaction'!$C$19="Ozone", 'Filtration System'!AB392*1000000, 0)</f>
        <v>4687500</v>
      </c>
      <c r="V428" s="118">
        <f>P428+$F$47+IF('Parameters and Satisfaction'!$C$19="Ozone", 'Filtration System'!AC392*1000000, 0)</f>
        <v>5017890.1208788296</v>
      </c>
      <c r="W428" s="118">
        <f>Q428+$F$47+IF('Parameters and Satisfaction'!$C$19="Ozone", 'Filtration System'!AD392*1000000, 0)</f>
        <v>4947609.3754215967</v>
      </c>
      <c r="X428" s="118">
        <f>R428+$F$47+IF('Parameters and Satisfaction'!$C$19="Ozone", 'Filtration System'!AE392*1000000, 0)</f>
        <v>5188538.6823519357</v>
      </c>
      <c r="Y428" s="118"/>
      <c r="Z428" s="118">
        <f t="shared" si="58"/>
        <v>0.34652216258653201</v>
      </c>
      <c r="AA428" s="118">
        <f t="shared" si="59"/>
        <v>0.33482142857142855</v>
      </c>
      <c r="AB428" s="118">
        <f t="shared" si="60"/>
        <v>0.35842072291991639</v>
      </c>
      <c r="AC428" s="118">
        <f t="shared" si="61"/>
        <v>0.35340066967297118</v>
      </c>
      <c r="AD428" s="118">
        <f t="shared" si="62"/>
        <v>0.3706099058822811</v>
      </c>
      <c r="AE428" s="118"/>
      <c r="AF428" s="118"/>
      <c r="AG428" s="118"/>
      <c r="AK428">
        <f t="shared" si="66"/>
        <v>10281600</v>
      </c>
      <c r="AL428">
        <f t="shared" si="66"/>
        <v>10281600</v>
      </c>
      <c r="AM428">
        <f t="shared" si="66"/>
        <v>10281600</v>
      </c>
      <c r="AN428">
        <f t="shared" si="66"/>
        <v>10281600</v>
      </c>
      <c r="AO428">
        <f t="shared" si="66"/>
        <v>10281600</v>
      </c>
    </row>
    <row r="429" spans="1:41">
      <c r="A429" s="185">
        <f>'Water Stuff'!F363</f>
        <v>44920</v>
      </c>
      <c r="B429" s="118">
        <f>'Filtration System'!B393</f>
        <v>120</v>
      </c>
      <c r="C429" s="118">
        <f>'Filtration System'!C393</f>
        <v>0</v>
      </c>
      <c r="D429" s="118">
        <f>'Filtration System'!D393</f>
        <v>576.35170666063198</v>
      </c>
      <c r="E429" s="118">
        <f>'Filtration System'!E393</f>
        <v>0</v>
      </c>
      <c r="F429" s="118">
        <f>'Filtration System'!F393</f>
        <v>0</v>
      </c>
      <c r="G429" s="118"/>
      <c r="H429" s="118">
        <f>B429/1000*(1000*9.81*Pumps!$B$14+'Parameters and Satisfaction'!$B$27)</f>
        <v>32166.381510611547</v>
      </c>
      <c r="I429" s="118">
        <f>C429/1000*(1000*9.81*Pumps!$B$14+'Parameters and Satisfaction'!$B$27)</f>
        <v>0</v>
      </c>
      <c r="J429" s="118">
        <f>D429/1000*(1000*9.81*Pumps!$B$14+'Parameters and Satisfaction'!$B$27)</f>
        <v>154492.90733948303</v>
      </c>
      <c r="K429" s="118">
        <f>E429/1000*(1000*9.81*Pumps!$B$14+'Parameters and Satisfaction'!$B$27)</f>
        <v>0</v>
      </c>
      <c r="L429" s="118">
        <f>F429/1000*(1000*9.81*Pumps!$B$14+'Parameters and Satisfaction'!$B$27)</f>
        <v>0</v>
      </c>
      <c r="M429" s="118"/>
      <c r="N429" s="118">
        <f>H429/IF('Parameters and Satisfaction'!$C$13="Pump A", 0.7, IF('Parameters and Satisfaction'!$C$13 = "Pump B", 0.72, 0.65))</f>
        <v>44675.529875849374</v>
      </c>
      <c r="O429" s="118">
        <f>I429/IF('Parameters and Satisfaction'!$C$13="Pump A", 0.7, IF('Parameters and Satisfaction'!$C$13 = "Pump B", 0.72, 0.65))</f>
        <v>0</v>
      </c>
      <c r="P429" s="118">
        <f>J429/IF('Parameters and Satisfaction'!$C$13="Pump A", 0.7, IF('Parameters and Satisfaction'!$C$13 = "Pump B", 0.72, 0.65))</f>
        <v>214573.48241594867</v>
      </c>
      <c r="Q429" s="118">
        <f>K429/IF('Parameters and Satisfaction'!$C$13="Pump A", 0.7, IF('Parameters and Satisfaction'!$C$13 = "Pump B", 0.72, 0.65))</f>
        <v>0</v>
      </c>
      <c r="R429" s="118">
        <f>L429/IF('Parameters and Satisfaction'!$C$13="Pump A", 0.7, IF('Parameters and Satisfaction'!$C$13 = "Pump B", 0.72, 0.65))</f>
        <v>0</v>
      </c>
      <c r="S429" s="118"/>
      <c r="T429" s="118">
        <f>N429+$F$47+IF('Parameters and Satisfaction'!$C$19="Ozone", 'Filtration System'!AA393*1000000, 0)</f>
        <v>4732175.5298758494</v>
      </c>
      <c r="U429" s="118">
        <f>O429+$F$47+IF('Parameters and Satisfaction'!$C$19="Ozone", 'Filtration System'!AB393*1000000, 0)</f>
        <v>4687500</v>
      </c>
      <c r="V429" s="118">
        <f>P429+$F$47+IF('Parameters and Satisfaction'!$C$19="Ozone", 'Filtration System'!AC393*1000000, 0)</f>
        <v>4902073.482415949</v>
      </c>
      <c r="W429" s="118">
        <f>Q429+$F$47+IF('Parameters and Satisfaction'!$C$19="Ozone", 'Filtration System'!AD393*1000000, 0)</f>
        <v>4687500</v>
      </c>
      <c r="X429" s="118">
        <f>R429+$F$47+IF('Parameters and Satisfaction'!$C$19="Ozone", 'Filtration System'!AE393*1000000, 0)</f>
        <v>4687500</v>
      </c>
      <c r="Y429" s="118"/>
      <c r="Z429" s="118">
        <f t="shared" si="58"/>
        <v>0.33801253784827495</v>
      </c>
      <c r="AA429" s="118">
        <f t="shared" si="59"/>
        <v>0.33482142857142855</v>
      </c>
      <c r="AB429" s="118">
        <f t="shared" si="60"/>
        <v>0.35014810588685352</v>
      </c>
      <c r="AC429" s="118">
        <f t="shared" si="61"/>
        <v>0.33482142857142855</v>
      </c>
      <c r="AD429" s="118">
        <f t="shared" si="62"/>
        <v>0.33482142857142855</v>
      </c>
      <c r="AE429" s="118"/>
      <c r="AF429" s="118"/>
      <c r="AG429" s="118"/>
      <c r="AK429">
        <f t="shared" si="66"/>
        <v>10281600</v>
      </c>
      <c r="AL429">
        <f t="shared" si="66"/>
        <v>10281600</v>
      </c>
      <c r="AM429">
        <f t="shared" si="66"/>
        <v>10281600</v>
      </c>
      <c r="AN429">
        <f t="shared" si="66"/>
        <v>10281600</v>
      </c>
      <c r="AO429">
        <f t="shared" si="66"/>
        <v>10281600</v>
      </c>
    </row>
    <row r="430" spans="1:41">
      <c r="A430" s="185">
        <f>'Water Stuff'!F364</f>
        <v>44921</v>
      </c>
      <c r="B430" s="118">
        <f>'Filtration System'!B394</f>
        <v>2039.9999999999995</v>
      </c>
      <c r="C430" s="118">
        <f>'Filtration System'!C394</f>
        <v>5240</v>
      </c>
      <c r="D430" s="118">
        <f>'Filtration System'!D394</f>
        <v>0</v>
      </c>
      <c r="E430" s="118">
        <f>'Filtration System'!E394</f>
        <v>6114.2550600102022</v>
      </c>
      <c r="F430" s="118">
        <f>'Filtration System'!F394</f>
        <v>0</v>
      </c>
      <c r="G430" s="118"/>
      <c r="H430" s="118">
        <f>B430/1000*(1000*9.81*Pumps!$B$14+'Parameters and Satisfaction'!$B$27)</f>
        <v>546828.4856803962</v>
      </c>
      <c r="I430" s="118">
        <f>C430/1000*(1000*9.81*Pumps!$B$14+'Parameters and Satisfaction'!$B$27)</f>
        <v>1404598.6592967045</v>
      </c>
      <c r="J430" s="118">
        <f>D430/1000*(1000*9.81*Pumps!$B$14+'Parameters and Satisfaction'!$B$27)</f>
        <v>0</v>
      </c>
      <c r="K430" s="118">
        <f>E430/1000*(1000*9.81*Pumps!$B$14+'Parameters and Satisfaction'!$B$27)</f>
        <v>1638945.5076122941</v>
      </c>
      <c r="L430" s="118">
        <f>F430/1000*(1000*9.81*Pumps!$B$14+'Parameters and Satisfaction'!$B$27)</f>
        <v>0</v>
      </c>
      <c r="M430" s="118"/>
      <c r="N430" s="118">
        <f>H430/IF('Parameters and Satisfaction'!$C$13="Pump A", 0.7, IF('Parameters and Satisfaction'!$C$13 = "Pump B", 0.72, 0.65))</f>
        <v>759484.00788943924</v>
      </c>
      <c r="O430" s="118">
        <f>I430/IF('Parameters and Satisfaction'!$C$13="Pump A", 0.7, IF('Parameters and Satisfaction'!$C$13 = "Pump B", 0.72, 0.65))</f>
        <v>1950831.471245423</v>
      </c>
      <c r="P430" s="118">
        <f>J430/IF('Parameters and Satisfaction'!$C$13="Pump A", 0.7, IF('Parameters and Satisfaction'!$C$13 = "Pump B", 0.72, 0.65))</f>
        <v>0</v>
      </c>
      <c r="Q430" s="118">
        <f>K430/IF('Parameters and Satisfaction'!$C$13="Pump A", 0.7, IF('Parameters and Satisfaction'!$C$13 = "Pump B", 0.72, 0.65))</f>
        <v>2276313.2050170749</v>
      </c>
      <c r="R430" s="118">
        <f>L430/IF('Parameters and Satisfaction'!$C$13="Pump A", 0.7, IF('Parameters and Satisfaction'!$C$13 = "Pump B", 0.72, 0.65))</f>
        <v>0</v>
      </c>
      <c r="S430" s="118"/>
      <c r="T430" s="118">
        <f>N430+$F$47+IF('Parameters and Satisfaction'!$C$19="Ozone", 'Filtration System'!AA394*1000000, 0)</f>
        <v>5446984.0078894394</v>
      </c>
      <c r="U430" s="118">
        <f>O430+$F$47+IF('Parameters and Satisfaction'!$C$19="Ozone", 'Filtration System'!AB394*1000000, 0)</f>
        <v>6638331.471245423</v>
      </c>
      <c r="V430" s="118">
        <f>P430+$F$47+IF('Parameters and Satisfaction'!$C$19="Ozone", 'Filtration System'!AC394*1000000, 0)</f>
        <v>4687500</v>
      </c>
      <c r="W430" s="118">
        <f>Q430+$F$47+IF('Parameters and Satisfaction'!$C$19="Ozone", 'Filtration System'!AD394*1000000, 0)</f>
        <v>6963813.2050170749</v>
      </c>
      <c r="X430" s="118">
        <f>R430+$F$47+IF('Parameters and Satisfaction'!$C$19="Ozone", 'Filtration System'!AE394*1000000, 0)</f>
        <v>4687500</v>
      </c>
      <c r="Y430" s="118"/>
      <c r="Z430" s="118">
        <f t="shared" si="58"/>
        <v>0.38907028627781709</v>
      </c>
      <c r="AA430" s="118">
        <f t="shared" si="59"/>
        <v>0.47416653366038736</v>
      </c>
      <c r="AB430" s="118">
        <f t="shared" si="60"/>
        <v>0.33482142857142855</v>
      </c>
      <c r="AC430" s="118">
        <f t="shared" si="61"/>
        <v>0.49741522892979106</v>
      </c>
      <c r="AD430" s="118">
        <f t="shared" si="62"/>
        <v>0.33482142857142855</v>
      </c>
      <c r="AE430" s="118"/>
      <c r="AF430" s="118"/>
      <c r="AG430" s="118"/>
      <c r="AK430">
        <f t="shared" si="66"/>
        <v>10281600</v>
      </c>
      <c r="AL430">
        <f t="shared" si="66"/>
        <v>10281600</v>
      </c>
      <c r="AM430">
        <f t="shared" si="66"/>
        <v>10281600</v>
      </c>
      <c r="AN430">
        <f t="shared" si="66"/>
        <v>10281600</v>
      </c>
      <c r="AO430">
        <f t="shared" si="66"/>
        <v>10281600</v>
      </c>
    </row>
    <row r="431" spans="1:41">
      <c r="A431" s="185">
        <f>'Water Stuff'!F365</f>
        <v>44922</v>
      </c>
      <c r="B431" s="118">
        <f>'Filtration System'!B395</f>
        <v>1080</v>
      </c>
      <c r="C431" s="118">
        <f>'Filtration System'!C395</f>
        <v>320</v>
      </c>
      <c r="D431" s="118">
        <f>'Filtration System'!D395</f>
        <v>0</v>
      </c>
      <c r="E431" s="118">
        <f>'Filtration System'!E395</f>
        <v>0</v>
      </c>
      <c r="F431" s="118">
        <f>'Filtration System'!F395</f>
        <v>1625.7670985291422</v>
      </c>
      <c r="G431" s="118"/>
      <c r="H431" s="118">
        <f>B431/1000*(1000*9.81*Pumps!$B$14+'Parameters and Satisfaction'!$B$27)</f>
        <v>289497.43359550397</v>
      </c>
      <c r="I431" s="118">
        <f>C431/1000*(1000*9.81*Pumps!$B$14+'Parameters and Satisfaction'!$B$27)</f>
        <v>85777.017361630802</v>
      </c>
      <c r="J431" s="118">
        <f>D431/1000*(1000*9.81*Pumps!$B$14+'Parameters and Satisfaction'!$B$27)</f>
        <v>0</v>
      </c>
      <c r="K431" s="118">
        <f>E431/1000*(1000*9.81*Pumps!$B$14+'Parameters and Satisfaction'!$B$27)</f>
        <v>0</v>
      </c>
      <c r="L431" s="118">
        <f>F431/1000*(1000*9.81*Pumps!$B$14+'Parameters and Satisfaction'!$B$27)</f>
        <v>435792.03948906984</v>
      </c>
      <c r="M431" s="118"/>
      <c r="N431" s="118">
        <f>H431/IF('Parameters and Satisfaction'!$C$13="Pump A", 0.7, IF('Parameters and Satisfaction'!$C$13 = "Pump B", 0.72, 0.65))</f>
        <v>402079.76888264442</v>
      </c>
      <c r="O431" s="118">
        <f>I431/IF('Parameters and Satisfaction'!$C$13="Pump A", 0.7, IF('Parameters and Satisfaction'!$C$13 = "Pump B", 0.72, 0.65))</f>
        <v>119134.74633559833</v>
      </c>
      <c r="P431" s="118">
        <f>J431/IF('Parameters and Satisfaction'!$C$13="Pump A", 0.7, IF('Parameters and Satisfaction'!$C$13 = "Pump B", 0.72, 0.65))</f>
        <v>0</v>
      </c>
      <c r="Q431" s="118">
        <f>K431/IF('Parameters and Satisfaction'!$C$13="Pump A", 0.7, IF('Parameters and Satisfaction'!$C$13 = "Pump B", 0.72, 0.65))</f>
        <v>0</v>
      </c>
      <c r="R431" s="118">
        <f>L431/IF('Parameters and Satisfaction'!$C$13="Pump A", 0.7, IF('Parameters and Satisfaction'!$C$13 = "Pump B", 0.72, 0.65))</f>
        <v>605266.72151259705</v>
      </c>
      <c r="S431" s="118"/>
      <c r="T431" s="118">
        <f>N431+$F$47+IF('Parameters and Satisfaction'!$C$19="Ozone", 'Filtration System'!AA395*1000000, 0)</f>
        <v>5089579.7688826444</v>
      </c>
      <c r="U431" s="118">
        <f>O431+$F$47+IF('Parameters and Satisfaction'!$C$19="Ozone", 'Filtration System'!AB395*1000000, 0)</f>
        <v>4806634.7463355986</v>
      </c>
      <c r="V431" s="118">
        <f>P431+$F$47+IF('Parameters and Satisfaction'!$C$19="Ozone", 'Filtration System'!AC395*1000000, 0)</f>
        <v>4687500</v>
      </c>
      <c r="W431" s="118">
        <f>Q431+$F$47+IF('Parameters and Satisfaction'!$C$19="Ozone", 'Filtration System'!AD395*1000000, 0)</f>
        <v>4687500</v>
      </c>
      <c r="X431" s="118">
        <f>R431+$F$47+IF('Parameters and Satisfaction'!$C$19="Ozone", 'Filtration System'!AE395*1000000, 0)</f>
        <v>5292766.7215125971</v>
      </c>
      <c r="Y431" s="118"/>
      <c r="Z431" s="118">
        <f t="shared" si="58"/>
        <v>0.36354141206304602</v>
      </c>
      <c r="AA431" s="118">
        <f t="shared" si="59"/>
        <v>0.34333105330968561</v>
      </c>
      <c r="AB431" s="118">
        <f t="shared" si="60"/>
        <v>0.33482142857142855</v>
      </c>
      <c r="AC431" s="118">
        <f t="shared" si="61"/>
        <v>0.33482142857142855</v>
      </c>
      <c r="AD431" s="118">
        <f t="shared" si="62"/>
        <v>0.37805476582232839</v>
      </c>
      <c r="AE431" s="118"/>
      <c r="AF431" s="118"/>
      <c r="AG431" s="118"/>
      <c r="AK431">
        <f t="shared" si="66"/>
        <v>10281600</v>
      </c>
      <c r="AL431">
        <f t="shared" si="66"/>
        <v>10281600</v>
      </c>
      <c r="AM431">
        <f t="shared" si="66"/>
        <v>10281600</v>
      </c>
      <c r="AN431">
        <f t="shared" si="66"/>
        <v>10281600</v>
      </c>
      <c r="AO431">
        <f t="shared" si="66"/>
        <v>10281600</v>
      </c>
    </row>
    <row r="432" spans="1:41">
      <c r="A432" s="185">
        <f>'Water Stuff'!F366</f>
        <v>44923</v>
      </c>
      <c r="B432" s="118">
        <f>'Filtration System'!B396</f>
        <v>0</v>
      </c>
      <c r="C432" s="118">
        <f>'Filtration System'!C396</f>
        <v>40</v>
      </c>
      <c r="D432" s="118">
        <f>'Filtration System'!D396</f>
        <v>0</v>
      </c>
      <c r="E432" s="118">
        <f>'Filtration System'!E396</f>
        <v>0</v>
      </c>
      <c r="F432" s="118">
        <f>'Filtration System'!F396</f>
        <v>0</v>
      </c>
      <c r="G432" s="118"/>
      <c r="H432" s="118">
        <f>B432/1000*(1000*9.81*Pumps!$B$14+'Parameters and Satisfaction'!$B$27)</f>
        <v>0</v>
      </c>
      <c r="I432" s="118">
        <f>C432/1000*(1000*9.81*Pumps!$B$14+'Parameters and Satisfaction'!$B$27)</f>
        <v>10722.12717020385</v>
      </c>
      <c r="J432" s="118">
        <f>D432/1000*(1000*9.81*Pumps!$B$14+'Parameters and Satisfaction'!$B$27)</f>
        <v>0</v>
      </c>
      <c r="K432" s="118">
        <f>E432/1000*(1000*9.81*Pumps!$B$14+'Parameters and Satisfaction'!$B$27)</f>
        <v>0</v>
      </c>
      <c r="L432" s="118">
        <f>F432/1000*(1000*9.81*Pumps!$B$14+'Parameters and Satisfaction'!$B$27)</f>
        <v>0</v>
      </c>
      <c r="M432" s="118"/>
      <c r="N432" s="118">
        <f>H432/IF('Parameters and Satisfaction'!$C$13="Pump A", 0.7, IF('Parameters and Satisfaction'!$C$13 = "Pump B", 0.72, 0.65))</f>
        <v>0</v>
      </c>
      <c r="O432" s="118">
        <f>I432/IF('Parameters and Satisfaction'!$C$13="Pump A", 0.7, IF('Parameters and Satisfaction'!$C$13 = "Pump B", 0.72, 0.65))</f>
        <v>14891.843291949792</v>
      </c>
      <c r="P432" s="118">
        <f>J432/IF('Parameters and Satisfaction'!$C$13="Pump A", 0.7, IF('Parameters and Satisfaction'!$C$13 = "Pump B", 0.72, 0.65))</f>
        <v>0</v>
      </c>
      <c r="Q432" s="118">
        <f>K432/IF('Parameters and Satisfaction'!$C$13="Pump A", 0.7, IF('Parameters and Satisfaction'!$C$13 = "Pump B", 0.72, 0.65))</f>
        <v>0</v>
      </c>
      <c r="R432" s="118">
        <f>L432/IF('Parameters and Satisfaction'!$C$13="Pump A", 0.7, IF('Parameters and Satisfaction'!$C$13 = "Pump B", 0.72, 0.65))</f>
        <v>0</v>
      </c>
      <c r="S432" s="118"/>
      <c r="T432" s="118">
        <f>N432+$F$47+IF('Parameters and Satisfaction'!$C$19="Ozone", 'Filtration System'!AA396*1000000, 0)</f>
        <v>4687500</v>
      </c>
      <c r="U432" s="118">
        <f>O432+$F$47+IF('Parameters and Satisfaction'!$C$19="Ozone", 'Filtration System'!AB396*1000000, 0)</f>
        <v>4702391.8432919495</v>
      </c>
      <c r="V432" s="118">
        <f>P432+$F$47+IF('Parameters and Satisfaction'!$C$19="Ozone", 'Filtration System'!AC396*1000000, 0)</f>
        <v>4687500</v>
      </c>
      <c r="W432" s="118">
        <f>Q432+$F$47+IF('Parameters and Satisfaction'!$C$19="Ozone", 'Filtration System'!AD396*1000000, 0)</f>
        <v>4687500</v>
      </c>
      <c r="X432" s="118">
        <f>R432+$F$47+IF('Parameters and Satisfaction'!$C$19="Ozone", 'Filtration System'!AE396*1000000, 0)</f>
        <v>4687500</v>
      </c>
      <c r="Y432" s="118"/>
      <c r="Z432" s="118">
        <f t="shared" si="58"/>
        <v>0.33482142857142855</v>
      </c>
      <c r="AA432" s="118">
        <f t="shared" si="59"/>
        <v>0.3358851316637107</v>
      </c>
      <c r="AB432" s="118">
        <f t="shared" si="60"/>
        <v>0.33482142857142855</v>
      </c>
      <c r="AC432" s="118">
        <f t="shared" si="61"/>
        <v>0.33482142857142855</v>
      </c>
      <c r="AD432" s="118">
        <f t="shared" si="62"/>
        <v>0.33482142857142855</v>
      </c>
      <c r="AE432" s="118"/>
      <c r="AF432" s="118"/>
      <c r="AG432" s="118"/>
      <c r="AK432">
        <f t="shared" si="66"/>
        <v>10281600</v>
      </c>
      <c r="AL432">
        <f t="shared" si="66"/>
        <v>10281600</v>
      </c>
      <c r="AM432">
        <f t="shared" si="66"/>
        <v>10281600</v>
      </c>
      <c r="AN432">
        <f t="shared" si="66"/>
        <v>10281600</v>
      </c>
      <c r="AO432">
        <f t="shared" si="66"/>
        <v>10281600</v>
      </c>
    </row>
    <row r="433" spans="1:41">
      <c r="A433" s="185">
        <f>'Water Stuff'!F367</f>
        <v>44924</v>
      </c>
      <c r="B433" s="118">
        <f>'Filtration System'!B397</f>
        <v>0</v>
      </c>
      <c r="C433" s="118">
        <f>'Filtration System'!C397</f>
        <v>0</v>
      </c>
      <c r="D433" s="118">
        <f>'Filtration System'!D397</f>
        <v>0</v>
      </c>
      <c r="E433" s="118">
        <f>'Filtration System'!E397</f>
        <v>1595.1500042091095</v>
      </c>
      <c r="F433" s="118">
        <f>'Filtration System'!F397</f>
        <v>1340.9986146577301</v>
      </c>
      <c r="G433" s="118"/>
      <c r="H433" s="118">
        <f>B433/1000*(1000*9.81*Pumps!$B$14+'Parameters and Satisfaction'!$B$27)</f>
        <v>0</v>
      </c>
      <c r="I433" s="118">
        <f>C433/1000*(1000*9.81*Pumps!$B$14+'Parameters and Satisfaction'!$B$27)</f>
        <v>0</v>
      </c>
      <c r="J433" s="118">
        <f>D433/1000*(1000*9.81*Pumps!$B$14+'Parameters and Satisfaction'!$B$27)</f>
        <v>0</v>
      </c>
      <c r="K433" s="118">
        <f>E433/1000*(1000*9.81*Pumps!$B$14+'Parameters and Satisfaction'!$B$27)</f>
        <v>427585.030017032</v>
      </c>
      <c r="L433" s="118">
        <f>F433/1000*(1000*9.81*Pumps!$B$14+'Parameters and Satisfaction'!$B$27)</f>
        <v>359458.94203568425</v>
      </c>
      <c r="M433" s="118"/>
      <c r="N433" s="118">
        <f>H433/IF('Parameters and Satisfaction'!$C$13="Pump A", 0.7, IF('Parameters and Satisfaction'!$C$13 = "Pump B", 0.72, 0.65))</f>
        <v>0</v>
      </c>
      <c r="O433" s="118">
        <f>I433/IF('Parameters and Satisfaction'!$C$13="Pump A", 0.7, IF('Parameters and Satisfaction'!$C$13 = "Pump B", 0.72, 0.65))</f>
        <v>0</v>
      </c>
      <c r="P433" s="118">
        <f>J433/IF('Parameters and Satisfaction'!$C$13="Pump A", 0.7, IF('Parameters and Satisfaction'!$C$13 = "Pump B", 0.72, 0.65))</f>
        <v>0</v>
      </c>
      <c r="Q433" s="118">
        <f>K433/IF('Parameters and Satisfaction'!$C$13="Pump A", 0.7, IF('Parameters and Satisfaction'!$C$13 = "Pump B", 0.72, 0.65))</f>
        <v>593868.09724587784</v>
      </c>
      <c r="R433" s="118">
        <f>L433/IF('Parameters and Satisfaction'!$C$13="Pump A", 0.7, IF('Parameters and Satisfaction'!$C$13 = "Pump B", 0.72, 0.65))</f>
        <v>499248.53060511703</v>
      </c>
      <c r="S433" s="118"/>
      <c r="T433" s="118">
        <f>N433+$F$47+IF('Parameters and Satisfaction'!$C$19="Ozone", 'Filtration System'!AA397*1000000, 0)</f>
        <v>4687500</v>
      </c>
      <c r="U433" s="118">
        <f>O433+$F$47+IF('Parameters and Satisfaction'!$C$19="Ozone", 'Filtration System'!AB397*1000000, 0)</f>
        <v>4687500</v>
      </c>
      <c r="V433" s="118">
        <f>P433+$F$47+IF('Parameters and Satisfaction'!$C$19="Ozone", 'Filtration System'!AC397*1000000, 0)</f>
        <v>4687500</v>
      </c>
      <c r="W433" s="118">
        <f>Q433+$F$47+IF('Parameters and Satisfaction'!$C$19="Ozone", 'Filtration System'!AD397*1000000, 0)</f>
        <v>5281368.0972458776</v>
      </c>
      <c r="X433" s="118">
        <f>R433+$F$47+IF('Parameters and Satisfaction'!$C$19="Ozone", 'Filtration System'!AE397*1000000, 0)</f>
        <v>5186748.5306051169</v>
      </c>
      <c r="Y433" s="118"/>
      <c r="Z433" s="118">
        <f t="shared" si="58"/>
        <v>0.33482142857142855</v>
      </c>
      <c r="AA433" s="118">
        <f t="shared" si="59"/>
        <v>0.33482142857142855</v>
      </c>
      <c r="AB433" s="118">
        <f t="shared" si="60"/>
        <v>0.33482142857142855</v>
      </c>
      <c r="AC433" s="118">
        <f t="shared" si="61"/>
        <v>0.37724057837470554</v>
      </c>
      <c r="AD433" s="118">
        <f t="shared" si="62"/>
        <v>0.37048203790036549</v>
      </c>
      <c r="AE433" s="118"/>
      <c r="AF433" s="118"/>
      <c r="AG433" s="118"/>
      <c r="AK433">
        <f t="shared" si="66"/>
        <v>10281600</v>
      </c>
      <c r="AL433">
        <f t="shared" si="66"/>
        <v>10281600</v>
      </c>
      <c r="AM433">
        <f t="shared" si="66"/>
        <v>10281600</v>
      </c>
      <c r="AN433">
        <f t="shared" si="66"/>
        <v>10281600</v>
      </c>
      <c r="AO433">
        <f t="shared" si="66"/>
        <v>10281600</v>
      </c>
    </row>
    <row r="434" spans="1:41">
      <c r="A434" s="185">
        <f>'Water Stuff'!F368</f>
        <v>44925</v>
      </c>
      <c r="B434" s="118">
        <f>'Filtration System'!B398</f>
        <v>0</v>
      </c>
      <c r="C434" s="118">
        <f>'Filtration System'!C398</f>
        <v>0</v>
      </c>
      <c r="D434" s="118">
        <f>'Filtration System'!D398</f>
        <v>0</v>
      </c>
      <c r="E434" s="118">
        <f>'Filtration System'!E398</f>
        <v>0</v>
      </c>
      <c r="F434" s="118">
        <f>'Filtration System'!F398</f>
        <v>279.48930160133779</v>
      </c>
      <c r="G434" s="118"/>
      <c r="H434" s="118">
        <f>B434/1000*(1000*9.81*Pumps!$B$14+'Parameters and Satisfaction'!$B$27)</f>
        <v>0</v>
      </c>
      <c r="I434" s="118">
        <f>C434/1000*(1000*9.81*Pumps!$B$14+'Parameters and Satisfaction'!$B$27)</f>
        <v>0</v>
      </c>
      <c r="J434" s="118">
        <f>D434/1000*(1000*9.81*Pumps!$B$14+'Parameters and Satisfaction'!$B$27)</f>
        <v>0</v>
      </c>
      <c r="K434" s="118">
        <f>E434/1000*(1000*9.81*Pumps!$B$14+'Parameters and Satisfaction'!$B$27)</f>
        <v>0</v>
      </c>
      <c r="L434" s="118">
        <f>F434/1000*(1000*9.81*Pumps!$B$14+'Parameters and Satisfaction'!$B$27)</f>
        <v>74917.995862025055</v>
      </c>
      <c r="M434" s="118"/>
      <c r="N434" s="118">
        <f>H434/IF('Parameters and Satisfaction'!$C$13="Pump A", 0.7, IF('Parameters and Satisfaction'!$C$13 = "Pump B", 0.72, 0.65))</f>
        <v>0</v>
      </c>
      <c r="O434" s="118">
        <f>I434/IF('Parameters and Satisfaction'!$C$13="Pump A", 0.7, IF('Parameters and Satisfaction'!$C$13 = "Pump B", 0.72, 0.65))</f>
        <v>0</v>
      </c>
      <c r="P434" s="118">
        <f>J434/IF('Parameters and Satisfaction'!$C$13="Pump A", 0.7, IF('Parameters and Satisfaction'!$C$13 = "Pump B", 0.72, 0.65))</f>
        <v>0</v>
      </c>
      <c r="Q434" s="118">
        <f>K434/IF('Parameters and Satisfaction'!$C$13="Pump A", 0.7, IF('Parameters and Satisfaction'!$C$13 = "Pump B", 0.72, 0.65))</f>
        <v>0</v>
      </c>
      <c r="R434" s="118">
        <f>L434/IF('Parameters and Satisfaction'!$C$13="Pump A", 0.7, IF('Parameters and Satisfaction'!$C$13 = "Pump B", 0.72, 0.65))</f>
        <v>104052.77203059036</v>
      </c>
      <c r="S434" s="118"/>
      <c r="T434" s="118">
        <f>N434+$F$47+IF('Parameters and Satisfaction'!$C$19="Ozone", 'Filtration System'!AA398*1000000, 0)</f>
        <v>4687500</v>
      </c>
      <c r="U434" s="118">
        <f>O434+$F$47+IF('Parameters and Satisfaction'!$C$19="Ozone", 'Filtration System'!AB398*1000000, 0)</f>
        <v>4687500</v>
      </c>
      <c r="V434" s="118">
        <f>P434+$F$47+IF('Parameters and Satisfaction'!$C$19="Ozone", 'Filtration System'!AC398*1000000, 0)</f>
        <v>4687500</v>
      </c>
      <c r="W434" s="118">
        <f>Q434+$F$47+IF('Parameters and Satisfaction'!$C$19="Ozone", 'Filtration System'!AD398*1000000, 0)</f>
        <v>4687500</v>
      </c>
      <c r="X434" s="118">
        <f>R434+$F$47+IF('Parameters and Satisfaction'!$C$19="Ozone", 'Filtration System'!AE398*1000000, 0)</f>
        <v>4791552.7720305901</v>
      </c>
      <c r="Y434" s="118"/>
      <c r="Z434" s="118">
        <f t="shared" si="58"/>
        <v>0.33482142857142855</v>
      </c>
      <c r="AA434" s="118">
        <f t="shared" si="59"/>
        <v>0.33482142857142855</v>
      </c>
      <c r="AB434" s="118">
        <f t="shared" si="60"/>
        <v>0.33482142857142855</v>
      </c>
      <c r="AC434" s="118">
        <f t="shared" si="61"/>
        <v>0.33482142857142855</v>
      </c>
      <c r="AD434" s="118">
        <f t="shared" si="62"/>
        <v>0.34225376943075642</v>
      </c>
      <c r="AE434" s="118"/>
      <c r="AF434" s="118"/>
      <c r="AG434" s="118"/>
      <c r="AK434">
        <f t="shared" si="66"/>
        <v>10281600</v>
      </c>
      <c r="AL434">
        <f t="shared" si="66"/>
        <v>10281600</v>
      </c>
      <c r="AM434">
        <f t="shared" si="66"/>
        <v>10281600</v>
      </c>
      <c r="AN434">
        <f t="shared" si="66"/>
        <v>10281600</v>
      </c>
      <c r="AO434">
        <f t="shared" si="66"/>
        <v>10281600</v>
      </c>
    </row>
    <row r="435" spans="1:41">
      <c r="A435" s="185">
        <f>'Water Stuff'!F369</f>
        <v>44926</v>
      </c>
      <c r="B435" s="118">
        <f>'Filtration System'!B399</f>
        <v>0</v>
      </c>
      <c r="C435" s="118">
        <f>'Filtration System'!C399</f>
        <v>0</v>
      </c>
      <c r="D435" s="118">
        <f>'Filtration System'!D399</f>
        <v>0</v>
      </c>
      <c r="E435" s="118">
        <f>'Filtration System'!E399</f>
        <v>994.14783116581486</v>
      </c>
      <c r="F435" s="118">
        <f>'Filtration System'!F399</f>
        <v>0</v>
      </c>
      <c r="G435" s="118"/>
      <c r="H435" s="118">
        <f>B435/1000*(1000*9.81*Pumps!$B$14+'Parameters and Satisfaction'!$B$27)</f>
        <v>0</v>
      </c>
      <c r="I435" s="118">
        <f>C435/1000*(1000*9.81*Pumps!$B$14+'Parameters and Satisfaction'!$B$27)</f>
        <v>0</v>
      </c>
      <c r="J435" s="118">
        <f>D435/1000*(1000*9.81*Pumps!$B$14+'Parameters and Satisfaction'!$B$27)</f>
        <v>0</v>
      </c>
      <c r="K435" s="118">
        <f>E435/1000*(1000*9.81*Pumps!$B$14+'Parameters and Satisfaction'!$B$27)</f>
        <v>266484.48679355532</v>
      </c>
      <c r="L435" s="118">
        <f>F435/1000*(1000*9.81*Pumps!$B$14+'Parameters and Satisfaction'!$B$27)</f>
        <v>0</v>
      </c>
      <c r="M435" s="118"/>
      <c r="N435" s="118">
        <f>H435/IF('Parameters and Satisfaction'!$C$13="Pump A", 0.7, IF('Parameters and Satisfaction'!$C$13 = "Pump B", 0.72, 0.65))</f>
        <v>0</v>
      </c>
      <c r="O435" s="118">
        <f>I435/IF('Parameters and Satisfaction'!$C$13="Pump A", 0.7, IF('Parameters and Satisfaction'!$C$13 = "Pump B", 0.72, 0.65))</f>
        <v>0</v>
      </c>
      <c r="P435" s="118">
        <f>J435/IF('Parameters and Satisfaction'!$C$13="Pump A", 0.7, IF('Parameters and Satisfaction'!$C$13 = "Pump B", 0.72, 0.65))</f>
        <v>0</v>
      </c>
      <c r="Q435" s="118">
        <f>K435/IF('Parameters and Satisfaction'!$C$13="Pump A", 0.7, IF('Parameters and Satisfaction'!$C$13 = "Pump B", 0.72, 0.65))</f>
        <v>370117.34276882687</v>
      </c>
      <c r="R435" s="118">
        <f>L435/IF('Parameters and Satisfaction'!$C$13="Pump A", 0.7, IF('Parameters and Satisfaction'!$C$13 = "Pump B", 0.72, 0.65))</f>
        <v>0</v>
      </c>
      <c r="S435" s="118"/>
      <c r="T435" s="118">
        <f>N435+$F$47+IF('Parameters and Satisfaction'!$C$19="Ozone", 'Filtration System'!AA399*1000000, 0)</f>
        <v>4687500</v>
      </c>
      <c r="U435" s="118">
        <f>O435+$F$47+IF('Parameters and Satisfaction'!$C$19="Ozone", 'Filtration System'!AB399*1000000, 0)</f>
        <v>4687500</v>
      </c>
      <c r="V435" s="118">
        <f>P435+$F$47+IF('Parameters and Satisfaction'!$C$19="Ozone", 'Filtration System'!AC399*1000000, 0)</f>
        <v>4687500</v>
      </c>
      <c r="W435" s="118">
        <f>Q435+$F$47+IF('Parameters and Satisfaction'!$C$19="Ozone", 'Filtration System'!AD399*1000000, 0)</f>
        <v>5057617.3427688265</v>
      </c>
      <c r="X435" s="118">
        <f>R435+$F$47+IF('Parameters and Satisfaction'!$C$19="Ozone", 'Filtration System'!AE399*1000000, 0)</f>
        <v>4687500</v>
      </c>
      <c r="Y435" s="118"/>
      <c r="Z435" s="118">
        <f t="shared" si="58"/>
        <v>0.33482142857142855</v>
      </c>
      <c r="AA435" s="118">
        <f t="shared" si="59"/>
        <v>0.33482142857142855</v>
      </c>
      <c r="AB435" s="118">
        <f t="shared" si="60"/>
        <v>0.33482142857142855</v>
      </c>
      <c r="AC435" s="118">
        <f t="shared" si="61"/>
        <v>0.36125838162634477</v>
      </c>
      <c r="AD435" s="118">
        <f t="shared" si="62"/>
        <v>0.33482142857142855</v>
      </c>
      <c r="AE435" s="118"/>
      <c r="AF435" s="118"/>
      <c r="AG435" s="118"/>
      <c r="AK435">
        <f t="shared" si="66"/>
        <v>10281600</v>
      </c>
      <c r="AL435">
        <f t="shared" si="66"/>
        <v>10281600</v>
      </c>
      <c r="AM435">
        <f t="shared" si="66"/>
        <v>10281600</v>
      </c>
      <c r="AN435">
        <f t="shared" si="66"/>
        <v>10281600</v>
      </c>
      <c r="AO435">
        <f t="shared" si="66"/>
        <v>10281600</v>
      </c>
    </row>
    <row r="436" spans="1:41">
      <c r="A436" s="185"/>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c r="AB436" s="118"/>
      <c r="AC436" s="118"/>
      <c r="AD436" s="118"/>
      <c r="AE436" s="118"/>
      <c r="AF436" s="118"/>
      <c r="AG436" s="118"/>
    </row>
    <row r="437" spans="1:41" ht="28.8" customHeight="1">
      <c r="A437" s="185"/>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t="s">
        <v>260</v>
      </c>
      <c r="Z437" s="118">
        <f>SUM(Z71:Z435)</f>
        <v>126.53552054211163</v>
      </c>
      <c r="AA437" s="118">
        <f>SUM(AA71:AA435)</f>
        <v>137.09528250196777</v>
      </c>
      <c r="AB437" s="118">
        <f>SUM(AB71:AB435)</f>
        <v>136.10697280924146</v>
      </c>
      <c r="AC437" s="118">
        <f>SUM(AC71:AC435)</f>
        <v>137.00416292225049</v>
      </c>
      <c r="AD437" s="118">
        <f>SUM(AD71:AD435)</f>
        <v>135.50533465657344</v>
      </c>
      <c r="AE437" s="118"/>
      <c r="AF437" s="118"/>
      <c r="AG437" s="118"/>
    </row>
    <row r="438" spans="1:41">
      <c r="A438" s="185"/>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c r="AB438" s="118"/>
      <c r="AC438" s="118"/>
      <c r="AD438" s="118"/>
      <c r="AE438" s="118"/>
      <c r="AF438" s="118"/>
      <c r="AG438" s="118"/>
    </row>
    <row r="439" spans="1:41">
      <c r="A439" s="185"/>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c r="AB439" s="118"/>
      <c r="AC439" s="118"/>
      <c r="AD439" s="118"/>
      <c r="AE439" s="118"/>
      <c r="AF439" s="118"/>
      <c r="AG439" s="118"/>
    </row>
    <row r="440" spans="1:41">
      <c r="A440" s="185"/>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c r="AB440" s="118"/>
      <c r="AC440" s="118"/>
      <c r="AD440" s="118"/>
      <c r="AE440" s="118"/>
      <c r="AF440" s="118"/>
      <c r="AG440" s="118"/>
    </row>
    <row r="441" spans="1:41">
      <c r="A441" s="185"/>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c r="AB441" s="118"/>
      <c r="AC441" s="118"/>
      <c r="AD441" s="118"/>
      <c r="AE441" s="118"/>
      <c r="AF441" s="118"/>
      <c r="AG441" s="118"/>
    </row>
    <row r="442" spans="1:41">
      <c r="A442" s="185"/>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c r="AB442" s="118"/>
      <c r="AC442" s="118"/>
      <c r="AD442" s="118"/>
      <c r="AE442" s="118"/>
      <c r="AF442" s="118"/>
      <c r="AG442" s="118"/>
    </row>
    <row r="443" spans="1:41">
      <c r="A443" s="185"/>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c r="AB443" s="118"/>
      <c r="AC443" s="118"/>
      <c r="AD443" s="118"/>
      <c r="AE443" s="118"/>
      <c r="AF443" s="118"/>
      <c r="AG443" s="118"/>
    </row>
    <row r="444" spans="1:41">
      <c r="A444" s="185"/>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c r="AB444" s="118"/>
      <c r="AC444" s="118"/>
      <c r="AD444" s="118"/>
      <c r="AE444" s="118"/>
      <c r="AF444" s="118"/>
      <c r="AG444" s="118"/>
    </row>
    <row r="445" spans="1:41">
      <c r="A445" s="185"/>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c r="AB445" s="118"/>
      <c r="AC445" s="118"/>
      <c r="AD445" s="118"/>
      <c r="AE445" s="118"/>
      <c r="AF445" s="118"/>
      <c r="AG445" s="118"/>
    </row>
    <row r="446" spans="1:41">
      <c r="A446" s="185"/>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c r="AB446" s="118"/>
      <c r="AC446" s="118"/>
      <c r="AD446" s="118"/>
      <c r="AE446" s="118"/>
      <c r="AF446" s="118"/>
      <c r="AG446" s="118"/>
    </row>
    <row r="447" spans="1:41">
      <c r="A447" s="185"/>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c r="AB447" s="118"/>
      <c r="AC447" s="118"/>
      <c r="AD447" s="118"/>
      <c r="AE447" s="118"/>
      <c r="AF447" s="118"/>
      <c r="AG447" s="118"/>
    </row>
    <row r="448" spans="1:41">
      <c r="A448" s="185"/>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c r="AB448" s="118"/>
      <c r="AC448" s="118"/>
      <c r="AD448" s="118"/>
      <c r="AE448" s="118"/>
      <c r="AF448" s="118"/>
      <c r="AG448" s="118"/>
    </row>
    <row r="449" spans="1:33">
      <c r="A449" s="185"/>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c r="AB449" s="118"/>
      <c r="AC449" s="118"/>
      <c r="AD449" s="118"/>
      <c r="AE449" s="118"/>
      <c r="AF449" s="118"/>
      <c r="AG449" s="118"/>
    </row>
    <row r="450" spans="1:33">
      <c r="A450" s="185"/>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c r="AB450" s="118"/>
      <c r="AC450" s="118"/>
      <c r="AD450" s="118"/>
      <c r="AE450" s="118"/>
      <c r="AF450" s="118"/>
      <c r="AG450" s="118"/>
    </row>
    <row r="451" spans="1:33">
      <c r="A451" s="185"/>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c r="AB451" s="118"/>
      <c r="AC451" s="118"/>
      <c r="AD451" s="118"/>
      <c r="AE451" s="118"/>
      <c r="AF451" s="118"/>
      <c r="AG451" s="118"/>
    </row>
    <row r="452" spans="1:33">
      <c r="A452" s="185"/>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c r="AB452" s="118"/>
      <c r="AC452" s="118"/>
      <c r="AD452" s="118"/>
      <c r="AE452" s="118"/>
      <c r="AF452" s="118"/>
      <c r="AG452" s="118"/>
    </row>
    <row r="453" spans="1:33">
      <c r="A453" s="185"/>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c r="AB453" s="118"/>
      <c r="AC453" s="118"/>
      <c r="AD453" s="118"/>
      <c r="AE453" s="118"/>
      <c r="AF453" s="118"/>
      <c r="AG453" s="118"/>
    </row>
    <row r="454" spans="1:33">
      <c r="A454" s="185"/>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c r="AB454" s="118"/>
      <c r="AC454" s="118"/>
      <c r="AD454" s="118"/>
      <c r="AE454" s="118"/>
      <c r="AF454" s="118"/>
      <c r="AG454" s="118"/>
    </row>
    <row r="455" spans="1:33">
      <c r="A455" s="185"/>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c r="AB455" s="118"/>
      <c r="AC455" s="118"/>
      <c r="AD455" s="118"/>
      <c r="AE455" s="118"/>
      <c r="AF455" s="118"/>
      <c r="AG455" s="118"/>
    </row>
    <row r="456" spans="1:33">
      <c r="A456" s="185"/>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c r="AB456" s="118"/>
      <c r="AC456" s="118"/>
      <c r="AD456" s="118"/>
      <c r="AE456" s="118"/>
      <c r="AF456" s="118"/>
      <c r="AG456" s="118"/>
    </row>
    <row r="457" spans="1:33">
      <c r="A457" s="185"/>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8"/>
      <c r="AC457" s="118"/>
      <c r="AD457" s="118"/>
      <c r="AE457" s="118"/>
      <c r="AF457" s="118"/>
      <c r="AG457" s="118"/>
    </row>
    <row r="458" spans="1:33">
      <c r="A458" s="185"/>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c r="AB458" s="118"/>
      <c r="AC458" s="118"/>
      <c r="AD458" s="118"/>
      <c r="AE458" s="118"/>
      <c r="AF458" s="118"/>
      <c r="AG458" s="118"/>
    </row>
    <row r="459" spans="1:33">
      <c r="A459" s="185"/>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c r="AB459" s="118"/>
      <c r="AC459" s="118"/>
      <c r="AD459" s="118"/>
      <c r="AE459" s="118"/>
      <c r="AF459" s="118"/>
      <c r="AG459" s="118"/>
    </row>
    <row r="460" spans="1:33">
      <c r="A460" s="185"/>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c r="AB460" s="118"/>
      <c r="AC460" s="118"/>
      <c r="AD460" s="118"/>
      <c r="AE460" s="118"/>
      <c r="AF460" s="118"/>
      <c r="AG460" s="118"/>
    </row>
    <row r="461" spans="1:33">
      <c r="A461" s="185"/>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c r="AB461" s="118"/>
      <c r="AC461" s="118"/>
      <c r="AD461" s="118"/>
      <c r="AE461" s="118"/>
      <c r="AF461" s="118"/>
      <c r="AG461" s="118"/>
    </row>
    <row r="462" spans="1:33">
      <c r="A462" s="185"/>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c r="AB462" s="118"/>
      <c r="AC462" s="118"/>
      <c r="AD462" s="118"/>
      <c r="AE462" s="118"/>
      <c r="AF462" s="118"/>
      <c r="AG462" s="118"/>
    </row>
    <row r="463" spans="1:33">
      <c r="A463" s="185"/>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c r="AB463" s="118"/>
      <c r="AC463" s="118"/>
      <c r="AD463" s="118"/>
      <c r="AE463" s="118"/>
      <c r="AF463" s="118"/>
      <c r="AG463" s="118"/>
    </row>
    <row r="464" spans="1:33">
      <c r="A464" s="185"/>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c r="AB464" s="118"/>
      <c r="AC464" s="118"/>
      <c r="AD464" s="118"/>
      <c r="AE464" s="118"/>
      <c r="AF464" s="118"/>
      <c r="AG464" s="118"/>
    </row>
    <row r="465" spans="1:33">
      <c r="A465" s="185"/>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c r="AB465" s="118"/>
      <c r="AC465" s="118"/>
      <c r="AD465" s="118"/>
      <c r="AE465" s="118"/>
      <c r="AF465" s="118"/>
      <c r="AG465" s="118"/>
    </row>
    <row r="466" spans="1:33">
      <c r="A466" s="185"/>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c r="AB466" s="118"/>
      <c r="AC466" s="118"/>
      <c r="AD466" s="118"/>
      <c r="AE466" s="118"/>
      <c r="AF466" s="118"/>
      <c r="AG466" s="118"/>
    </row>
    <row r="467" spans="1:33">
      <c r="A467" s="185"/>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c r="AB467" s="118"/>
      <c r="AC467" s="118"/>
      <c r="AD467" s="118"/>
      <c r="AE467" s="118"/>
      <c r="AF467" s="118"/>
      <c r="AG467" s="118"/>
    </row>
    <row r="468" spans="1:33">
      <c r="A468" s="185"/>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c r="AB468" s="118"/>
      <c r="AC468" s="118"/>
      <c r="AD468" s="118"/>
      <c r="AE468" s="118"/>
      <c r="AF468" s="118"/>
      <c r="AG468" s="118"/>
    </row>
    <row r="469" spans="1:33">
      <c r="A469" s="185"/>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c r="AB469" s="118"/>
      <c r="AC469" s="118"/>
      <c r="AD469" s="118"/>
      <c r="AE469" s="118"/>
      <c r="AF469" s="118"/>
      <c r="AG469" s="118"/>
    </row>
    <row r="470" spans="1:33">
      <c r="A470" s="185"/>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c r="AB470" s="118"/>
      <c r="AC470" s="118"/>
      <c r="AD470" s="118"/>
      <c r="AE470" s="118"/>
      <c r="AF470" s="118"/>
      <c r="AG470" s="118"/>
    </row>
    <row r="471" spans="1:33">
      <c r="A471" s="185"/>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c r="AB471" s="118"/>
      <c r="AC471" s="118"/>
      <c r="AD471" s="118"/>
      <c r="AE471" s="118"/>
      <c r="AF471" s="118"/>
      <c r="AG471" s="118"/>
    </row>
    <row r="472" spans="1:33">
      <c r="A472" s="185"/>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c r="AB472" s="118"/>
      <c r="AC472" s="118"/>
      <c r="AD472" s="118"/>
      <c r="AE472" s="118"/>
      <c r="AF472" s="118"/>
      <c r="AG472" s="118"/>
    </row>
    <row r="473" spans="1:33">
      <c r="A473" s="185"/>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c r="AB473" s="118"/>
      <c r="AC473" s="118"/>
      <c r="AD473" s="118"/>
      <c r="AE473" s="118"/>
      <c r="AF473" s="118"/>
      <c r="AG473" s="118"/>
    </row>
    <row r="474" spans="1:33">
      <c r="A474" s="185"/>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c r="AB474" s="118"/>
      <c r="AC474" s="118"/>
      <c r="AD474" s="118"/>
      <c r="AE474" s="118"/>
      <c r="AF474" s="118"/>
      <c r="AG474" s="118"/>
    </row>
    <row r="475" spans="1:33">
      <c r="A475" s="185"/>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c r="AB475" s="118"/>
      <c r="AC475" s="118"/>
      <c r="AD475" s="118"/>
      <c r="AE475" s="118"/>
      <c r="AF475" s="118"/>
      <c r="AG475" s="118"/>
    </row>
    <row r="476" spans="1:33">
      <c r="A476" s="185"/>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c r="AB476" s="118"/>
      <c r="AC476" s="118"/>
      <c r="AD476" s="118"/>
      <c r="AE476" s="118"/>
      <c r="AF476" s="118"/>
      <c r="AG476" s="118"/>
    </row>
    <row r="477" spans="1:33">
      <c r="A477" s="185"/>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c r="AB477" s="118"/>
      <c r="AC477" s="118"/>
      <c r="AD477" s="118"/>
      <c r="AE477" s="118"/>
      <c r="AF477" s="118"/>
      <c r="AG477" s="118"/>
    </row>
    <row r="478" spans="1:33">
      <c r="A478" s="185"/>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c r="AB478" s="118"/>
      <c r="AC478" s="118"/>
      <c r="AD478" s="118"/>
      <c r="AE478" s="118"/>
      <c r="AF478" s="118"/>
      <c r="AG478" s="118"/>
    </row>
    <row r="479" spans="1:33">
      <c r="A479" s="185"/>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c r="AB479" s="118"/>
      <c r="AC479" s="118"/>
      <c r="AD479" s="118"/>
      <c r="AE479" s="118"/>
      <c r="AF479" s="118"/>
      <c r="AG479" s="118"/>
    </row>
    <row r="480" spans="1:33">
      <c r="A480" s="185"/>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c r="AB480" s="118"/>
      <c r="AC480" s="118"/>
      <c r="AD480" s="118"/>
      <c r="AE480" s="118"/>
      <c r="AF480" s="118"/>
      <c r="AG480" s="118"/>
    </row>
    <row r="481" spans="1:33">
      <c r="A481" s="185"/>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c r="AB481" s="118"/>
      <c r="AC481" s="118"/>
      <c r="AD481" s="118"/>
      <c r="AE481" s="118"/>
      <c r="AF481" s="118"/>
      <c r="AG481" s="118"/>
    </row>
    <row r="482" spans="1:33">
      <c r="A482" s="185"/>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8"/>
      <c r="AC482" s="118"/>
      <c r="AD482" s="118"/>
      <c r="AE482" s="118"/>
      <c r="AF482" s="118"/>
      <c r="AG482" s="118"/>
    </row>
    <row r="483" spans="1:33">
      <c r="A483" s="185"/>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c r="AB483" s="118"/>
      <c r="AC483" s="118"/>
      <c r="AD483" s="118"/>
      <c r="AE483" s="118"/>
      <c r="AF483" s="118"/>
      <c r="AG483" s="118"/>
    </row>
    <row r="484" spans="1:33">
      <c r="A484" s="185"/>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c r="AB484" s="118"/>
      <c r="AC484" s="118"/>
      <c r="AD484" s="118"/>
      <c r="AE484" s="118"/>
      <c r="AF484" s="118"/>
      <c r="AG484" s="118"/>
    </row>
    <row r="485" spans="1:33">
      <c r="A485" s="185"/>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c r="AB485" s="118"/>
      <c r="AC485" s="118"/>
      <c r="AD485" s="118"/>
      <c r="AE485" s="118"/>
      <c r="AF485" s="118"/>
      <c r="AG485" s="118"/>
    </row>
    <row r="486" spans="1:33">
      <c r="A486" s="185"/>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c r="AB486" s="118"/>
      <c r="AC486" s="118"/>
      <c r="AD486" s="118"/>
      <c r="AE486" s="118"/>
      <c r="AF486" s="118"/>
      <c r="AG486" s="118"/>
    </row>
    <row r="487" spans="1:33">
      <c r="A487" s="185"/>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c r="AB487" s="118"/>
      <c r="AC487" s="118"/>
      <c r="AD487" s="118"/>
      <c r="AE487" s="118"/>
      <c r="AF487" s="118"/>
      <c r="AG487" s="118"/>
    </row>
    <row r="488" spans="1:33">
      <c r="A488" s="185"/>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c r="AB488" s="118"/>
      <c r="AC488" s="118"/>
      <c r="AD488" s="118"/>
      <c r="AE488" s="118"/>
      <c r="AF488" s="118"/>
      <c r="AG488" s="118"/>
    </row>
    <row r="489" spans="1:33">
      <c r="A489" s="185"/>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c r="AB489" s="118"/>
      <c r="AC489" s="118"/>
      <c r="AD489" s="118"/>
      <c r="AE489" s="118"/>
      <c r="AF489" s="118"/>
      <c r="AG489" s="118"/>
    </row>
    <row r="490" spans="1:33">
      <c r="A490" s="185"/>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c r="AB490" s="118"/>
      <c r="AC490" s="118"/>
      <c r="AD490" s="118"/>
      <c r="AE490" s="118"/>
      <c r="AF490" s="118"/>
      <c r="AG490" s="118"/>
    </row>
    <row r="491" spans="1:33">
      <c r="A491" s="185"/>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c r="AB491" s="118"/>
      <c r="AC491" s="118"/>
      <c r="AD491" s="118"/>
      <c r="AE491" s="118"/>
      <c r="AF491" s="118"/>
      <c r="AG491" s="118"/>
    </row>
    <row r="492" spans="1:33">
      <c r="A492" s="185"/>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c r="AB492" s="118"/>
      <c r="AC492" s="118"/>
      <c r="AD492" s="118"/>
      <c r="AE492" s="118"/>
      <c r="AF492" s="118"/>
      <c r="AG492" s="118"/>
    </row>
    <row r="493" spans="1:33">
      <c r="A493" s="185"/>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c r="AB493" s="118"/>
      <c r="AC493" s="118"/>
      <c r="AD493" s="118"/>
      <c r="AE493" s="118"/>
      <c r="AF493" s="118"/>
      <c r="AG493" s="118"/>
    </row>
    <row r="494" spans="1:33">
      <c r="A494" s="185"/>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c r="AB494" s="118"/>
      <c r="AC494" s="118"/>
      <c r="AD494" s="118"/>
      <c r="AE494" s="118"/>
      <c r="AF494" s="118"/>
      <c r="AG494" s="118"/>
    </row>
    <row r="495" spans="1:33">
      <c r="A495" s="185"/>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c r="AB495" s="118"/>
      <c r="AC495" s="118"/>
      <c r="AD495" s="118"/>
      <c r="AE495" s="118"/>
      <c r="AF495" s="118"/>
      <c r="AG495" s="118"/>
    </row>
    <row r="496" spans="1:33">
      <c r="A496" s="185"/>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c r="AB496" s="118"/>
      <c r="AC496" s="118"/>
      <c r="AD496" s="118"/>
      <c r="AE496" s="118"/>
      <c r="AF496" s="118"/>
      <c r="AG496" s="118"/>
    </row>
    <row r="497" spans="1:33">
      <c r="A497" s="185"/>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c r="AB497" s="118"/>
      <c r="AC497" s="118"/>
      <c r="AD497" s="118"/>
      <c r="AE497" s="118"/>
      <c r="AF497" s="118"/>
      <c r="AG497" s="118"/>
    </row>
    <row r="498" spans="1:33">
      <c r="A498" s="185"/>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c r="AB498" s="118"/>
      <c r="AC498" s="118"/>
      <c r="AD498" s="118"/>
      <c r="AE498" s="118"/>
      <c r="AF498" s="118"/>
      <c r="AG498" s="118"/>
    </row>
    <row r="499" spans="1:33">
      <c r="A499" s="185"/>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c r="AB499" s="118"/>
      <c r="AC499" s="118"/>
      <c r="AD499" s="118"/>
      <c r="AE499" s="118"/>
      <c r="AF499" s="118"/>
      <c r="AG499" s="118"/>
    </row>
    <row r="500" spans="1:33">
      <c r="A500" s="185"/>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c r="AB500" s="118"/>
      <c r="AC500" s="118"/>
      <c r="AD500" s="118"/>
      <c r="AE500" s="118"/>
      <c r="AF500" s="118"/>
      <c r="AG500" s="118"/>
    </row>
    <row r="501" spans="1:33">
      <c r="A501" s="185"/>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c r="AB501" s="118"/>
      <c r="AC501" s="118"/>
      <c r="AD501" s="118"/>
      <c r="AE501" s="118"/>
      <c r="AF501" s="118"/>
      <c r="AG501" s="118"/>
    </row>
    <row r="502" spans="1:33">
      <c r="A502" s="185"/>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c r="AB502" s="118"/>
      <c r="AC502" s="118"/>
      <c r="AD502" s="118"/>
      <c r="AE502" s="118"/>
      <c r="AF502" s="118"/>
      <c r="AG502" s="118"/>
    </row>
    <row r="503" spans="1:33">
      <c r="A503" s="185"/>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c r="AB503" s="118"/>
      <c r="AC503" s="118"/>
      <c r="AD503" s="118"/>
      <c r="AE503" s="118"/>
      <c r="AF503" s="118"/>
      <c r="AG503" s="118"/>
    </row>
    <row r="504" spans="1:33">
      <c r="A504" s="185"/>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c r="AB504" s="118"/>
      <c r="AC504" s="118"/>
      <c r="AD504" s="118"/>
      <c r="AE504" s="118"/>
      <c r="AF504" s="118"/>
      <c r="AG504" s="118"/>
    </row>
    <row r="505" spans="1:33">
      <c r="A505" s="185"/>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c r="AB505" s="118"/>
      <c r="AC505" s="118"/>
      <c r="AD505" s="118"/>
      <c r="AE505" s="118"/>
      <c r="AF505" s="118"/>
      <c r="AG505" s="118"/>
    </row>
    <row r="506" spans="1:33">
      <c r="A506" s="185"/>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c r="AB506" s="118"/>
      <c r="AC506" s="118"/>
      <c r="AD506" s="118"/>
      <c r="AE506" s="118"/>
      <c r="AF506" s="118"/>
      <c r="AG506" s="118"/>
    </row>
    <row r="507" spans="1:33">
      <c r="A507" s="185"/>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c r="AB507" s="118"/>
      <c r="AC507" s="118"/>
      <c r="AD507" s="118"/>
      <c r="AE507" s="118"/>
      <c r="AF507" s="118"/>
      <c r="AG507" s="118"/>
    </row>
    <row r="508" spans="1:33">
      <c r="A508" s="185"/>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c r="AB508" s="118"/>
      <c r="AC508" s="118"/>
      <c r="AD508" s="118"/>
      <c r="AE508" s="118"/>
      <c r="AF508" s="118"/>
      <c r="AG508" s="118"/>
    </row>
    <row r="509" spans="1:33">
      <c r="A509" s="185"/>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c r="AB509" s="118"/>
      <c r="AC509" s="118"/>
      <c r="AD509" s="118"/>
      <c r="AE509" s="118"/>
      <c r="AF509" s="118"/>
      <c r="AG509" s="118"/>
    </row>
    <row r="510" spans="1:33">
      <c r="A510" s="185"/>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c r="AC510" s="118"/>
      <c r="AD510" s="118"/>
      <c r="AE510" s="118"/>
      <c r="AF510" s="118"/>
      <c r="AG510" s="118"/>
    </row>
    <row r="511" spans="1:33">
      <c r="A511" s="185"/>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c r="AD511" s="118"/>
      <c r="AE511" s="118"/>
      <c r="AF511" s="118"/>
      <c r="AG511" s="118"/>
    </row>
    <row r="512" spans="1:33">
      <c r="A512" s="185"/>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c r="AB512" s="118"/>
      <c r="AC512" s="118"/>
      <c r="AD512" s="118"/>
      <c r="AE512" s="118"/>
      <c r="AF512" s="118"/>
      <c r="AG512" s="118"/>
    </row>
    <row r="513" spans="1:33">
      <c r="A513" s="185"/>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c r="AB513" s="118"/>
      <c r="AC513" s="118"/>
      <c r="AD513" s="118"/>
      <c r="AE513" s="118"/>
      <c r="AF513" s="118"/>
      <c r="AG513" s="118"/>
    </row>
    <row r="514" spans="1:33">
      <c r="A514" s="185"/>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c r="AB514" s="118"/>
      <c r="AC514" s="118"/>
      <c r="AD514" s="118"/>
      <c r="AE514" s="118"/>
      <c r="AF514" s="118"/>
      <c r="AG514" s="118"/>
    </row>
    <row r="515" spans="1:33">
      <c r="A515" s="185"/>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c r="AB515" s="118"/>
      <c r="AC515" s="118"/>
      <c r="AD515" s="118"/>
      <c r="AE515" s="118"/>
      <c r="AF515" s="118"/>
      <c r="AG515" s="118"/>
    </row>
    <row r="516" spans="1:33">
      <c r="A516" s="185"/>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c r="AB516" s="118"/>
      <c r="AC516" s="118"/>
      <c r="AD516" s="118"/>
      <c r="AE516" s="118"/>
      <c r="AF516" s="118"/>
      <c r="AG516" s="118"/>
    </row>
    <row r="517" spans="1:33">
      <c r="A517" s="185"/>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c r="AB517" s="118"/>
      <c r="AC517" s="118"/>
      <c r="AD517" s="118"/>
      <c r="AE517" s="118"/>
      <c r="AF517" s="118"/>
      <c r="AG517" s="118"/>
    </row>
    <row r="518" spans="1:33">
      <c r="A518" s="185"/>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c r="AB518" s="118"/>
      <c r="AC518" s="118"/>
      <c r="AD518" s="118"/>
      <c r="AE518" s="118"/>
      <c r="AF518" s="118"/>
      <c r="AG518" s="118"/>
    </row>
    <row r="519" spans="1:33">
      <c r="A519" s="185"/>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c r="AB519" s="118"/>
      <c r="AC519" s="118"/>
      <c r="AD519" s="118"/>
      <c r="AE519" s="118"/>
      <c r="AF519" s="118"/>
      <c r="AG519" s="118"/>
    </row>
    <row r="520" spans="1:33">
      <c r="A520" s="185"/>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c r="AB520" s="118"/>
      <c r="AC520" s="118"/>
      <c r="AD520" s="118"/>
      <c r="AE520" s="118"/>
      <c r="AF520" s="118"/>
      <c r="AG520" s="118"/>
    </row>
    <row r="521" spans="1:33">
      <c r="A521" s="185"/>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c r="AB521" s="118"/>
      <c r="AC521" s="118"/>
      <c r="AD521" s="118"/>
      <c r="AE521" s="118"/>
      <c r="AF521" s="118"/>
      <c r="AG521" s="118"/>
    </row>
    <row r="522" spans="1:33">
      <c r="A522" s="185"/>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c r="AB522" s="118"/>
      <c r="AC522" s="118"/>
      <c r="AD522" s="118"/>
      <c r="AE522" s="118"/>
      <c r="AF522" s="118"/>
      <c r="AG522" s="118"/>
    </row>
    <row r="523" spans="1:33">
      <c r="A523" s="185"/>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c r="AB523" s="118"/>
      <c r="AC523" s="118"/>
      <c r="AD523" s="118"/>
      <c r="AE523" s="118"/>
      <c r="AF523" s="118"/>
      <c r="AG523" s="118"/>
    </row>
    <row r="524" spans="1:33">
      <c r="A524" s="185"/>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c r="AB524" s="118"/>
      <c r="AC524" s="118"/>
      <c r="AD524" s="118"/>
      <c r="AE524" s="118"/>
      <c r="AF524" s="118"/>
      <c r="AG524" s="118"/>
    </row>
    <row r="525" spans="1:33">
      <c r="A525" s="185"/>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c r="AB525" s="118"/>
      <c r="AC525" s="118"/>
      <c r="AD525" s="118"/>
      <c r="AE525" s="118"/>
      <c r="AF525" s="118"/>
      <c r="AG525" s="118"/>
    </row>
    <row r="526" spans="1:33">
      <c r="A526" s="185"/>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c r="AB526" s="118"/>
      <c r="AC526" s="118"/>
      <c r="AD526" s="118"/>
      <c r="AE526" s="118"/>
      <c r="AF526" s="118"/>
      <c r="AG526" s="118"/>
    </row>
    <row r="527" spans="1:33">
      <c r="A527" s="185"/>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c r="AB527" s="118"/>
      <c r="AC527" s="118"/>
      <c r="AD527" s="118"/>
      <c r="AE527" s="118"/>
      <c r="AF527" s="118"/>
      <c r="AG527" s="118"/>
    </row>
    <row r="528" spans="1:33">
      <c r="A528" s="185"/>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c r="AB528" s="118"/>
      <c r="AC528" s="118"/>
      <c r="AD528" s="118"/>
      <c r="AE528" s="118"/>
      <c r="AF528" s="118"/>
      <c r="AG528" s="118"/>
    </row>
    <row r="529" spans="1:33">
      <c r="A529" s="185"/>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c r="AB529" s="118"/>
      <c r="AC529" s="118"/>
      <c r="AD529" s="118"/>
      <c r="AE529" s="118"/>
      <c r="AF529" s="118"/>
      <c r="AG529" s="118"/>
    </row>
    <row r="530" spans="1:33">
      <c r="A530" s="185"/>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c r="AB530" s="118"/>
      <c r="AC530" s="118"/>
      <c r="AD530" s="118"/>
      <c r="AE530" s="118"/>
      <c r="AF530" s="118"/>
      <c r="AG530" s="118"/>
    </row>
    <row r="531" spans="1:33">
      <c r="A531" s="185"/>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c r="AB531" s="118"/>
      <c r="AC531" s="118"/>
      <c r="AD531" s="118"/>
      <c r="AE531" s="118"/>
      <c r="AF531" s="118"/>
      <c r="AG531" s="118"/>
    </row>
    <row r="532" spans="1:33">
      <c r="A532" s="185"/>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c r="AB532" s="118"/>
      <c r="AC532" s="118"/>
      <c r="AD532" s="118"/>
      <c r="AE532" s="118"/>
      <c r="AF532" s="118"/>
      <c r="AG532" s="118"/>
    </row>
    <row r="533" spans="1:33">
      <c r="A533" s="185"/>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c r="AB533" s="118"/>
      <c r="AC533" s="118"/>
      <c r="AD533" s="118"/>
      <c r="AE533" s="118"/>
      <c r="AF533" s="118"/>
      <c r="AG533" s="118"/>
    </row>
    <row r="534" spans="1:33">
      <c r="A534" s="185"/>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c r="AB534" s="118"/>
      <c r="AC534" s="118"/>
      <c r="AD534" s="118"/>
      <c r="AE534" s="118"/>
      <c r="AF534" s="118"/>
      <c r="AG534" s="118"/>
    </row>
    <row r="535" spans="1:33">
      <c r="A535" s="185"/>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c r="AB535" s="118"/>
      <c r="AC535" s="118"/>
      <c r="AD535" s="118"/>
      <c r="AE535" s="118"/>
      <c r="AF535" s="118"/>
      <c r="AG535" s="118"/>
    </row>
    <row r="536" spans="1:33">
      <c r="A536" s="185"/>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c r="AB536" s="118"/>
      <c r="AC536" s="118"/>
      <c r="AD536" s="118"/>
      <c r="AE536" s="118"/>
      <c r="AF536" s="118"/>
      <c r="AG536" s="118"/>
    </row>
    <row r="537" spans="1:33">
      <c r="A537" s="185"/>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c r="AB537" s="118"/>
      <c r="AC537" s="118"/>
      <c r="AD537" s="118"/>
      <c r="AE537" s="118"/>
      <c r="AF537" s="118"/>
      <c r="AG537" s="118"/>
    </row>
    <row r="538" spans="1:33">
      <c r="A538" s="185"/>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c r="AB538" s="118"/>
      <c r="AC538" s="118"/>
      <c r="AD538" s="118"/>
      <c r="AE538" s="118"/>
      <c r="AF538" s="118"/>
      <c r="AG538" s="118"/>
    </row>
    <row r="539" spans="1:33">
      <c r="A539" s="185"/>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c r="AB539" s="118"/>
      <c r="AC539" s="118"/>
      <c r="AD539" s="118"/>
      <c r="AE539" s="118"/>
      <c r="AF539" s="118"/>
      <c r="AG539" s="118"/>
    </row>
    <row r="540" spans="1:33">
      <c r="A540" s="185"/>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c r="AB540" s="118"/>
      <c r="AC540" s="118"/>
      <c r="AD540" s="118"/>
      <c r="AE540" s="118"/>
      <c r="AF540" s="118"/>
      <c r="AG540" s="118"/>
    </row>
    <row r="541" spans="1:33">
      <c r="A541" s="185"/>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c r="AB541" s="118"/>
      <c r="AC541" s="118"/>
      <c r="AD541" s="118"/>
      <c r="AE541" s="118"/>
      <c r="AF541" s="118"/>
      <c r="AG541" s="118"/>
    </row>
    <row r="542" spans="1:33">
      <c r="A542" s="185"/>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c r="AB542" s="118"/>
      <c r="AC542" s="118"/>
      <c r="AD542" s="118"/>
      <c r="AE542" s="118"/>
      <c r="AF542" s="118"/>
      <c r="AG542" s="118"/>
    </row>
    <row r="543" spans="1:33">
      <c r="A543" s="185"/>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c r="AB543" s="118"/>
      <c r="AC543" s="118"/>
      <c r="AD543" s="118"/>
      <c r="AE543" s="118"/>
      <c r="AF543" s="118"/>
      <c r="AG543" s="118"/>
    </row>
    <row r="544" spans="1:33">
      <c r="A544" s="185"/>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c r="AB544" s="118"/>
      <c r="AC544" s="118"/>
      <c r="AD544" s="118"/>
      <c r="AE544" s="118"/>
      <c r="AF544" s="118"/>
      <c r="AG544" s="118"/>
    </row>
    <row r="545" spans="1:33">
      <c r="A545" s="185"/>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c r="AB545" s="118"/>
      <c r="AC545" s="118"/>
      <c r="AD545" s="118"/>
      <c r="AE545" s="118"/>
      <c r="AF545" s="118"/>
      <c r="AG545" s="118"/>
    </row>
    <row r="546" spans="1:33">
      <c r="A546" s="185"/>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c r="AB546" s="118"/>
      <c r="AC546" s="118"/>
      <c r="AD546" s="118"/>
      <c r="AE546" s="118"/>
      <c r="AF546" s="118"/>
      <c r="AG546" s="118"/>
    </row>
    <row r="547" spans="1:33">
      <c r="A547" s="185"/>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c r="AB547" s="118"/>
      <c r="AC547" s="118"/>
      <c r="AD547" s="118"/>
      <c r="AE547" s="118"/>
      <c r="AF547" s="118"/>
      <c r="AG547" s="118"/>
    </row>
    <row r="548" spans="1:33">
      <c r="A548" s="185"/>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c r="AB548" s="118"/>
      <c r="AC548" s="118"/>
      <c r="AD548" s="118"/>
      <c r="AE548" s="118"/>
      <c r="AF548" s="118"/>
      <c r="AG548" s="118"/>
    </row>
    <row r="549" spans="1:33">
      <c r="A549" s="185"/>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c r="AB549" s="118"/>
      <c r="AC549" s="118"/>
      <c r="AD549" s="118"/>
      <c r="AE549" s="118"/>
      <c r="AF549" s="118"/>
      <c r="AG549" s="118"/>
    </row>
    <row r="550" spans="1:33">
      <c r="A550" s="185"/>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c r="AB550" s="118"/>
      <c r="AC550" s="118"/>
      <c r="AD550" s="118"/>
      <c r="AE550" s="118"/>
      <c r="AF550" s="118"/>
      <c r="AG550" s="118"/>
    </row>
    <row r="551" spans="1:33">
      <c r="A551" s="109"/>
    </row>
    <row r="552" spans="1:33">
      <c r="A552" s="109"/>
    </row>
    <row r="553" spans="1:33">
      <c r="A553" s="109"/>
    </row>
    <row r="554" spans="1:33">
      <c r="A554" s="109"/>
    </row>
    <row r="555" spans="1:33">
      <c r="A555" s="109"/>
    </row>
    <row r="556" spans="1:33">
      <c r="A556" s="109"/>
    </row>
    <row r="557" spans="1:33">
      <c r="A557" s="109"/>
    </row>
    <row r="558" spans="1:33">
      <c r="A558" s="109"/>
    </row>
    <row r="559" spans="1:33">
      <c r="A559" s="109"/>
    </row>
    <row r="560" spans="1:33">
      <c r="A560" s="109"/>
    </row>
    <row r="561" spans="1:1">
      <c r="A561" s="109"/>
    </row>
    <row r="562" spans="1:1">
      <c r="A562" s="109"/>
    </row>
    <row r="563" spans="1:1">
      <c r="A563" s="109"/>
    </row>
    <row r="564" spans="1:1">
      <c r="A564" s="109"/>
    </row>
    <row r="565" spans="1:1">
      <c r="A565" s="109"/>
    </row>
    <row r="566" spans="1:1">
      <c r="A566" s="109"/>
    </row>
    <row r="567" spans="1:1">
      <c r="A567" s="109"/>
    </row>
    <row r="568" spans="1:1">
      <c r="A568" s="109"/>
    </row>
    <row r="569" spans="1:1">
      <c r="A569" s="109"/>
    </row>
    <row r="570" spans="1:1">
      <c r="A570" s="109"/>
    </row>
    <row r="571" spans="1:1">
      <c r="A571" s="109"/>
    </row>
    <row r="572" spans="1:1">
      <c r="A572" s="109"/>
    </row>
    <row r="573" spans="1:1">
      <c r="A573" s="109"/>
    </row>
    <row r="574" spans="1:1">
      <c r="A574" s="109"/>
    </row>
    <row r="575" spans="1:1">
      <c r="A575" s="109"/>
    </row>
    <row r="576" spans="1:1">
      <c r="A576" s="109"/>
    </row>
    <row r="577" spans="1:1">
      <c r="A577" s="109"/>
    </row>
    <row r="578" spans="1:1">
      <c r="A578" s="109"/>
    </row>
    <row r="579" spans="1:1">
      <c r="A579" s="109"/>
    </row>
    <row r="580" spans="1:1">
      <c r="A580" s="109"/>
    </row>
    <row r="581" spans="1:1">
      <c r="A581" s="109"/>
    </row>
    <row r="582" spans="1:1">
      <c r="A582" s="109"/>
    </row>
    <row r="583" spans="1:1">
      <c r="A583" s="109"/>
    </row>
    <row r="584" spans="1:1">
      <c r="A584" s="109"/>
    </row>
    <row r="585" spans="1:1">
      <c r="A585" s="109"/>
    </row>
    <row r="586" spans="1:1">
      <c r="A586" s="109"/>
    </row>
    <row r="587" spans="1:1">
      <c r="A587" s="109"/>
    </row>
    <row r="588" spans="1:1">
      <c r="A588" s="109"/>
    </row>
    <row r="589" spans="1:1">
      <c r="A589" s="109"/>
    </row>
    <row r="590" spans="1:1">
      <c r="A590" s="109"/>
    </row>
    <row r="591" spans="1:1">
      <c r="A591" s="109"/>
    </row>
    <row r="592" spans="1:1">
      <c r="A592" s="109"/>
    </row>
    <row r="593" spans="1:1">
      <c r="A593" s="109"/>
    </row>
    <row r="594" spans="1:1">
      <c r="A594" s="109"/>
    </row>
    <row r="595" spans="1:1">
      <c r="A595" s="109"/>
    </row>
    <row r="596" spans="1:1">
      <c r="A596" s="109"/>
    </row>
    <row r="597" spans="1:1">
      <c r="A597" s="109"/>
    </row>
    <row r="598" spans="1:1">
      <c r="A598" s="109"/>
    </row>
    <row r="599" spans="1:1">
      <c r="A599" s="109"/>
    </row>
    <row r="600" spans="1:1">
      <c r="A600" s="109"/>
    </row>
    <row r="601" spans="1:1">
      <c r="A601" s="109"/>
    </row>
    <row r="602" spans="1:1">
      <c r="A602" s="109"/>
    </row>
    <row r="603" spans="1:1">
      <c r="A603" s="109"/>
    </row>
    <row r="604" spans="1:1">
      <c r="A604" s="109"/>
    </row>
    <row r="605" spans="1:1">
      <c r="A605" s="109"/>
    </row>
    <row r="606" spans="1:1">
      <c r="A606" s="109"/>
    </row>
    <row r="607" spans="1:1">
      <c r="A607" s="109"/>
    </row>
    <row r="608" spans="1:1">
      <c r="A608" s="109"/>
    </row>
    <row r="609" spans="1:1">
      <c r="A609" s="109"/>
    </row>
    <row r="610" spans="1:1">
      <c r="A610" s="109"/>
    </row>
    <row r="611" spans="1:1">
      <c r="A611" s="109"/>
    </row>
    <row r="612" spans="1:1">
      <c r="A612" s="109"/>
    </row>
    <row r="613" spans="1:1">
      <c r="A613" s="109"/>
    </row>
    <row r="614" spans="1:1">
      <c r="A614" s="109"/>
    </row>
    <row r="615" spans="1:1">
      <c r="A615" s="109"/>
    </row>
    <row r="616" spans="1:1">
      <c r="A616" s="109"/>
    </row>
    <row r="617" spans="1:1">
      <c r="A617" s="109"/>
    </row>
    <row r="618" spans="1:1">
      <c r="A618" s="109"/>
    </row>
    <row r="619" spans="1:1">
      <c r="A619" s="109"/>
    </row>
    <row r="620" spans="1:1">
      <c r="A620" s="109"/>
    </row>
    <row r="621" spans="1:1">
      <c r="A621" s="109"/>
    </row>
    <row r="622" spans="1:1">
      <c r="A622" s="109"/>
    </row>
    <row r="623" spans="1:1">
      <c r="A623" s="109"/>
    </row>
    <row r="624" spans="1:1">
      <c r="A624" s="109"/>
    </row>
    <row r="625" spans="1:1">
      <c r="A625" s="109"/>
    </row>
    <row r="626" spans="1:1">
      <c r="A626" s="109"/>
    </row>
    <row r="627" spans="1:1">
      <c r="A627" s="109"/>
    </row>
    <row r="628" spans="1:1">
      <c r="A628" s="109"/>
    </row>
    <row r="629" spans="1:1">
      <c r="A629" s="109"/>
    </row>
    <row r="630" spans="1:1">
      <c r="A630" s="109"/>
    </row>
    <row r="631" spans="1:1">
      <c r="A631" s="109"/>
    </row>
    <row r="632" spans="1:1">
      <c r="A632" s="109"/>
    </row>
    <row r="633" spans="1:1">
      <c r="A633" s="109"/>
    </row>
    <row r="634" spans="1:1">
      <c r="A634" s="109"/>
    </row>
    <row r="635" spans="1:1">
      <c r="A635" s="109"/>
    </row>
    <row r="636" spans="1:1">
      <c r="A636" s="109"/>
    </row>
    <row r="637" spans="1:1">
      <c r="A637" s="109"/>
    </row>
    <row r="638" spans="1:1">
      <c r="A638" s="109"/>
    </row>
    <row r="639" spans="1:1">
      <c r="A639" s="109"/>
    </row>
    <row r="640" spans="1:1">
      <c r="A640" s="109"/>
    </row>
    <row r="641" spans="1:1">
      <c r="A641" s="109"/>
    </row>
    <row r="642" spans="1:1">
      <c r="A642" s="109"/>
    </row>
    <row r="643" spans="1:1">
      <c r="A643" s="109"/>
    </row>
    <row r="644" spans="1:1">
      <c r="A644" s="109"/>
    </row>
    <row r="645" spans="1:1">
      <c r="A645" s="109"/>
    </row>
    <row r="646" spans="1:1">
      <c r="A646" s="109"/>
    </row>
    <row r="647" spans="1:1">
      <c r="A647" s="109"/>
    </row>
    <row r="648" spans="1:1">
      <c r="A648" s="109"/>
    </row>
    <row r="649" spans="1:1">
      <c r="A649" s="109"/>
    </row>
    <row r="650" spans="1:1">
      <c r="A650" s="109"/>
    </row>
    <row r="651" spans="1:1">
      <c r="A651" s="109"/>
    </row>
    <row r="652" spans="1:1">
      <c r="A652" s="109"/>
    </row>
    <row r="653" spans="1:1">
      <c r="A653" s="109"/>
    </row>
    <row r="654" spans="1:1">
      <c r="A654" s="109"/>
    </row>
    <row r="655" spans="1:1">
      <c r="A655" s="109"/>
    </row>
    <row r="656" spans="1:1">
      <c r="A656" s="109"/>
    </row>
    <row r="657" spans="1:1">
      <c r="A657" s="109"/>
    </row>
    <row r="658" spans="1:1">
      <c r="A658" s="109"/>
    </row>
    <row r="659" spans="1:1">
      <c r="A659" s="109"/>
    </row>
    <row r="660" spans="1:1">
      <c r="A660" s="109"/>
    </row>
    <row r="661" spans="1:1">
      <c r="A661" s="109"/>
    </row>
    <row r="662" spans="1:1">
      <c r="A662" s="109"/>
    </row>
    <row r="663" spans="1:1">
      <c r="A663" s="109"/>
    </row>
    <row r="664" spans="1:1">
      <c r="A664" s="109"/>
    </row>
    <row r="665" spans="1:1">
      <c r="A665" s="109"/>
    </row>
    <row r="666" spans="1:1">
      <c r="A666" s="109"/>
    </row>
    <row r="667" spans="1:1">
      <c r="A667" s="109"/>
    </row>
    <row r="668" spans="1:1">
      <c r="A668" s="109"/>
    </row>
    <row r="669" spans="1:1">
      <c r="A669" s="109"/>
    </row>
    <row r="670" spans="1:1">
      <c r="A670" s="109"/>
    </row>
    <row r="671" spans="1:1">
      <c r="A671" s="109"/>
    </row>
    <row r="672" spans="1:1">
      <c r="A672" s="109"/>
    </row>
    <row r="673" spans="1:1">
      <c r="A673" s="109"/>
    </row>
    <row r="674" spans="1:1">
      <c r="A674" s="109"/>
    </row>
    <row r="675" spans="1:1">
      <c r="A675" s="109"/>
    </row>
    <row r="676" spans="1:1">
      <c r="A676" s="109"/>
    </row>
    <row r="677" spans="1:1">
      <c r="A677" s="109"/>
    </row>
    <row r="678" spans="1:1">
      <c r="A678" s="109"/>
    </row>
    <row r="679" spans="1:1">
      <c r="A679" s="109"/>
    </row>
    <row r="680" spans="1:1">
      <c r="A680" s="109"/>
    </row>
    <row r="681" spans="1:1">
      <c r="A681" s="109"/>
    </row>
    <row r="682" spans="1:1">
      <c r="A682" s="109"/>
    </row>
    <row r="683" spans="1:1">
      <c r="A683" s="109"/>
    </row>
    <row r="684" spans="1:1">
      <c r="A684" s="109"/>
    </row>
    <row r="685" spans="1:1">
      <c r="A685" s="109"/>
    </row>
    <row r="686" spans="1:1">
      <c r="A686" s="109"/>
    </row>
    <row r="687" spans="1:1">
      <c r="A687" s="109"/>
    </row>
    <row r="688" spans="1:1">
      <c r="A688" s="109"/>
    </row>
    <row r="689" spans="1:1">
      <c r="A689" s="109"/>
    </row>
    <row r="690" spans="1:1">
      <c r="A690" s="109"/>
    </row>
    <row r="691" spans="1:1">
      <c r="A691" s="109"/>
    </row>
    <row r="692" spans="1:1">
      <c r="A692" s="109"/>
    </row>
    <row r="693" spans="1:1">
      <c r="A693" s="109"/>
    </row>
    <row r="694" spans="1:1">
      <c r="A694" s="109"/>
    </row>
    <row r="695" spans="1:1">
      <c r="A695" s="109"/>
    </row>
    <row r="696" spans="1:1">
      <c r="A696" s="109"/>
    </row>
    <row r="697" spans="1:1">
      <c r="A697" s="109"/>
    </row>
    <row r="698" spans="1:1">
      <c r="A698" s="109"/>
    </row>
    <row r="699" spans="1:1">
      <c r="A699" s="109"/>
    </row>
    <row r="700" spans="1:1">
      <c r="A700" s="109"/>
    </row>
    <row r="701" spans="1:1">
      <c r="A701" s="109"/>
    </row>
    <row r="702" spans="1:1">
      <c r="A702" s="109"/>
    </row>
    <row r="703" spans="1:1">
      <c r="A703" s="109"/>
    </row>
    <row r="704" spans="1:1">
      <c r="A704" s="109"/>
    </row>
    <row r="705" spans="1:1">
      <c r="A705" s="109"/>
    </row>
    <row r="706" spans="1:1">
      <c r="A706" s="109"/>
    </row>
    <row r="707" spans="1:1">
      <c r="A707" s="109"/>
    </row>
    <row r="708" spans="1:1">
      <c r="A708" s="109"/>
    </row>
    <row r="709" spans="1:1">
      <c r="A709" s="109"/>
    </row>
    <row r="710" spans="1:1">
      <c r="A710" s="109"/>
    </row>
    <row r="711" spans="1:1">
      <c r="A711" s="109"/>
    </row>
    <row r="712" spans="1:1">
      <c r="A712" s="109"/>
    </row>
    <row r="713" spans="1:1">
      <c r="A713" s="109"/>
    </row>
    <row r="714" spans="1:1">
      <c r="A714" s="109"/>
    </row>
    <row r="715" spans="1:1">
      <c r="A715" s="109"/>
    </row>
    <row r="716" spans="1:1">
      <c r="A716" s="109"/>
    </row>
    <row r="717" spans="1:1">
      <c r="A717" s="109"/>
    </row>
    <row r="718" spans="1:1">
      <c r="A718" s="109"/>
    </row>
    <row r="719" spans="1:1">
      <c r="A719" s="109"/>
    </row>
    <row r="720" spans="1:1">
      <c r="A720" s="109"/>
    </row>
    <row r="721" spans="1:1">
      <c r="A721" s="109"/>
    </row>
    <row r="722" spans="1:1">
      <c r="A722" s="109"/>
    </row>
    <row r="723" spans="1:1">
      <c r="A723" s="109"/>
    </row>
    <row r="724" spans="1:1">
      <c r="A724" s="109"/>
    </row>
    <row r="725" spans="1:1">
      <c r="A725" s="109"/>
    </row>
    <row r="726" spans="1:1">
      <c r="A726" s="109"/>
    </row>
    <row r="727" spans="1:1">
      <c r="A727" s="109"/>
    </row>
    <row r="728" spans="1:1">
      <c r="A728" s="109"/>
    </row>
    <row r="729" spans="1:1">
      <c r="A729" s="109"/>
    </row>
    <row r="730" spans="1:1">
      <c r="A730" s="109"/>
    </row>
    <row r="731" spans="1:1">
      <c r="A731" s="109"/>
    </row>
    <row r="732" spans="1:1">
      <c r="A732" s="109"/>
    </row>
    <row r="733" spans="1:1">
      <c r="A733" s="109"/>
    </row>
    <row r="734" spans="1:1">
      <c r="A734" s="109"/>
    </row>
    <row r="735" spans="1:1">
      <c r="A735" s="109"/>
    </row>
    <row r="736" spans="1:1">
      <c r="A736" s="109"/>
    </row>
    <row r="737" spans="1:1">
      <c r="A737" s="109"/>
    </row>
    <row r="738" spans="1:1">
      <c r="A738" s="109"/>
    </row>
    <row r="739" spans="1:1">
      <c r="A739" s="109"/>
    </row>
    <row r="740" spans="1:1">
      <c r="A740" s="109"/>
    </row>
    <row r="741" spans="1:1">
      <c r="A741" s="109"/>
    </row>
    <row r="742" spans="1:1">
      <c r="A742" s="109"/>
    </row>
    <row r="743" spans="1:1">
      <c r="A743" s="109"/>
    </row>
    <row r="744" spans="1:1">
      <c r="A744" s="109"/>
    </row>
    <row r="745" spans="1:1">
      <c r="A745" s="109"/>
    </row>
    <row r="746" spans="1:1">
      <c r="A746" s="109"/>
    </row>
    <row r="747" spans="1:1">
      <c r="A747" s="109"/>
    </row>
    <row r="748" spans="1:1">
      <c r="A748" s="109"/>
    </row>
    <row r="749" spans="1:1">
      <c r="A749" s="109"/>
    </row>
    <row r="750" spans="1:1">
      <c r="A750" s="109"/>
    </row>
    <row r="751" spans="1:1">
      <c r="A751" s="109"/>
    </row>
    <row r="752" spans="1:1">
      <c r="A752" s="109"/>
    </row>
    <row r="753" spans="1:1">
      <c r="A753" s="109"/>
    </row>
    <row r="754" spans="1:1">
      <c r="A754" s="109"/>
    </row>
    <row r="755" spans="1:1">
      <c r="A755" s="109"/>
    </row>
    <row r="756" spans="1:1">
      <c r="A756" s="109"/>
    </row>
    <row r="757" spans="1:1">
      <c r="A757" s="109"/>
    </row>
    <row r="758" spans="1:1">
      <c r="A758" s="109"/>
    </row>
    <row r="759" spans="1:1">
      <c r="A759" s="109"/>
    </row>
    <row r="760" spans="1:1">
      <c r="A760" s="109"/>
    </row>
    <row r="761" spans="1:1">
      <c r="A761" s="109"/>
    </row>
    <row r="762" spans="1:1">
      <c r="A762" s="109"/>
    </row>
    <row r="763" spans="1:1">
      <c r="A763" s="109"/>
    </row>
    <row r="764" spans="1:1">
      <c r="A764" s="109"/>
    </row>
  </sheetData>
  <mergeCells count="12">
    <mergeCell ref="AK68:AO68"/>
    <mergeCell ref="Z68:AD68"/>
    <mergeCell ref="A52:E52"/>
    <mergeCell ref="J16:L16"/>
    <mergeCell ref="H68:L68"/>
    <mergeCell ref="N68:R68"/>
    <mergeCell ref="B68:F68"/>
    <mergeCell ref="T68:X68"/>
    <mergeCell ref="A47:C47"/>
    <mergeCell ref="A44:C44"/>
    <mergeCell ref="E44:G44"/>
    <mergeCell ref="F16:H16"/>
  </mergeCells>
  <dataValidations count="1">
    <dataValidation type="list" allowBlank="1" showInputMessage="1" showErrorMessage="1" sqref="G4" xr:uid="{00000000-0002-0000-0600-000000000000}">
      <formula1>$B$3:$D$3</formula1>
    </dataValidation>
  </dataValidation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8"/>
  <sheetViews>
    <sheetView workbookViewId="0">
      <selection activeCell="E13" sqref="E13"/>
    </sheetView>
  </sheetViews>
  <sheetFormatPr defaultColWidth="18.6640625" defaultRowHeight="18" customHeight="1"/>
  <sheetData>
    <row r="2" spans="1:7" ht="18" customHeight="1">
      <c r="A2" t="s">
        <v>104</v>
      </c>
    </row>
    <row r="3" spans="1:7" ht="18" customHeight="1">
      <c r="E3" t="s">
        <v>134</v>
      </c>
      <c r="F3">
        <f>($B12*$B15*$B10)/(2*$B16)+($B9*$B10)/2</f>
        <v>47463.219378657581</v>
      </c>
    </row>
    <row r="4" spans="1:7" ht="18" customHeight="1">
      <c r="A4" t="s">
        <v>51</v>
      </c>
      <c r="B4">
        <f>'Parameters and Satisfaction'!B2/1000</f>
        <v>0.62</v>
      </c>
      <c r="C4" t="s">
        <v>114</v>
      </c>
      <c r="E4" t="s">
        <v>135</v>
      </c>
      <c r="F4">
        <f>B13</f>
        <v>3721.3692800000003</v>
      </c>
    </row>
    <row r="5" spans="1:7" ht="18" customHeight="1">
      <c r="A5" t="s">
        <v>120</v>
      </c>
      <c r="B5">
        <f>IF('Parameters and Satisfaction'!C5="Full Roof",100,IF('Parameters and Satisfaction'!C5="Half Roof",50,"Invalid Input"))+'Parameters and Satisfaction'!C6</f>
        <v>200</v>
      </c>
      <c r="C5" t="s">
        <v>121</v>
      </c>
      <c r="E5" t="s">
        <v>136</v>
      </c>
      <c r="F5">
        <f>-1*B10*B11*B14</f>
        <v>-147150</v>
      </c>
    </row>
    <row r="6" spans="1:7" ht="18" customHeight="1">
      <c r="A6" t="s">
        <v>11</v>
      </c>
      <c r="B6">
        <f>'Parameters and Satisfaction'!C7/1000</f>
        <v>10</v>
      </c>
      <c r="C6" t="s">
        <v>114</v>
      </c>
    </row>
    <row r="7" spans="1:7" ht="18" customHeight="1">
      <c r="A7" t="s">
        <v>13</v>
      </c>
      <c r="B7">
        <f>'Parameters and Satisfaction'!C8</f>
        <v>35</v>
      </c>
      <c r="C7" t="s">
        <v>114</v>
      </c>
    </row>
    <row r="8" spans="1:7" ht="18" customHeight="1">
      <c r="A8" t="s">
        <v>123</v>
      </c>
      <c r="B8">
        <f>'Filtration System'!D23</f>
        <v>3721.3692800000003</v>
      </c>
      <c r="E8" t="s">
        <v>139</v>
      </c>
      <c r="F8">
        <f>(-F4+SQRT(F4^2-4*F3*F5))/(2*F3)</f>
        <v>1.7219992648118441</v>
      </c>
      <c r="G8" t="s">
        <v>140</v>
      </c>
    </row>
    <row r="9" spans="1:7" ht="18" customHeight="1">
      <c r="A9" t="s">
        <v>124</v>
      </c>
      <c r="B9">
        <v>10</v>
      </c>
    </row>
    <row r="10" spans="1:7" ht="18" customHeight="1">
      <c r="A10" t="s">
        <v>125</v>
      </c>
      <c r="B10">
        <v>1000</v>
      </c>
      <c r="C10" t="s">
        <v>137</v>
      </c>
      <c r="E10" t="s">
        <v>261</v>
      </c>
      <c r="F10">
        <f>((F8*B17)*1000)*60</f>
        <v>32.458921438919482</v>
      </c>
      <c r="G10" t="s">
        <v>67</v>
      </c>
    </row>
    <row r="11" spans="1:7" ht="18" customHeight="1">
      <c r="A11" t="s">
        <v>126</v>
      </c>
      <c r="B11">
        <v>9.81</v>
      </c>
      <c r="C11" t="s">
        <v>138</v>
      </c>
    </row>
    <row r="12" spans="1:7" ht="18" customHeight="1">
      <c r="A12" t="s">
        <v>141</v>
      </c>
      <c r="B12">
        <v>0.05</v>
      </c>
    </row>
    <row r="13" spans="1:7" ht="18" customHeight="1">
      <c r="A13" t="s">
        <v>262</v>
      </c>
      <c r="B13">
        <f>IF('Parameters and Satisfaction'!C14="Up",0,'Filtration System'!D23)</f>
        <v>3721.3692800000003</v>
      </c>
    </row>
    <row r="14" spans="1:7" ht="18" customHeight="1">
      <c r="A14" t="s">
        <v>127</v>
      </c>
      <c r="B14">
        <f>'Parameters and Satisfaction'!C11+'Parameters and Satisfaction'!C12</f>
        <v>15</v>
      </c>
      <c r="C14" t="s">
        <v>146</v>
      </c>
    </row>
    <row r="15" spans="1:7" ht="18" customHeight="1">
      <c r="A15" t="s">
        <v>128</v>
      </c>
      <c r="B15">
        <f>SQRT('Parameters and Satisfaction'!C9^2+'Parameters and Satisfaction'!C10^2+'Parameters and Satisfaction'!C11^2)</f>
        <v>33.97057550292606</v>
      </c>
      <c r="C15" t="s">
        <v>146</v>
      </c>
    </row>
    <row r="16" spans="1:7" ht="18" customHeight="1">
      <c r="A16" t="s">
        <v>148</v>
      </c>
      <c r="B16">
        <v>0.02</v>
      </c>
      <c r="C16" t="s">
        <v>121</v>
      </c>
    </row>
    <row r="17" spans="1:3" ht="18" customHeight="1">
      <c r="A17" t="s">
        <v>150</v>
      </c>
      <c r="B17">
        <f>PI()*((B16/2)^2)</f>
        <v>3.1415926535897931E-4</v>
      </c>
      <c r="C17" t="s">
        <v>121</v>
      </c>
    </row>
    <row r="18" spans="1:3" ht="18" customHeight="1">
      <c r="A18" t="s">
        <v>152</v>
      </c>
      <c r="B18">
        <f>B17*1000*60</f>
        <v>18.849555921538759</v>
      </c>
      <c r="C18" t="s">
        <v>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C399"/>
  <sheetViews>
    <sheetView topLeftCell="A4" zoomScale="70" zoomScaleNormal="70" workbookViewId="0">
      <selection activeCell="G12" sqref="G12"/>
    </sheetView>
  </sheetViews>
  <sheetFormatPr defaultRowHeight="14.4"/>
  <cols>
    <col min="1" max="1" width="22.109375" style="195" customWidth="1"/>
    <col min="2" max="2" width="21.33203125" style="195" customWidth="1"/>
    <col min="3" max="3" width="21.44140625" style="195" customWidth="1"/>
    <col min="4" max="4" width="20.88671875" style="195" customWidth="1"/>
    <col min="5" max="5" width="20.33203125" style="195" customWidth="1"/>
    <col min="6" max="6" width="24.6640625" style="195" customWidth="1"/>
    <col min="7" max="7" width="19.109375" style="195" customWidth="1"/>
    <col min="8" max="8" width="17.33203125" style="195" customWidth="1"/>
    <col min="9" max="9" width="16.6640625" style="195" customWidth="1"/>
    <col min="10" max="10" width="17.33203125" style="195" customWidth="1"/>
    <col min="11" max="11" width="16.6640625" style="195" customWidth="1"/>
    <col min="12" max="13" width="16.33203125" style="195" customWidth="1"/>
    <col min="14" max="14" width="15.44140625" style="195" customWidth="1"/>
    <col min="15" max="15" width="18" style="195" customWidth="1"/>
    <col min="16" max="16" width="18.44140625" style="195" customWidth="1"/>
    <col min="17" max="17" width="14.33203125" style="195" customWidth="1"/>
    <col min="18" max="18" width="14.44140625" style="195" customWidth="1"/>
    <col min="19" max="19" width="15.109375" style="195" customWidth="1"/>
    <col min="20" max="20" width="15.5546875" style="195" customWidth="1"/>
    <col min="21" max="21" width="16.109375" style="195" customWidth="1"/>
    <col min="22" max="22" width="15" style="195" customWidth="1"/>
    <col min="23" max="23" width="14.6640625" style="195" customWidth="1"/>
    <col min="24" max="24" width="14.5546875" style="195" customWidth="1"/>
    <col min="25" max="25" width="15.44140625" style="195" customWidth="1"/>
    <col min="27" max="27" width="15.44140625" style="195" customWidth="1"/>
    <col min="28" max="28" width="15.109375" style="195" customWidth="1"/>
    <col min="29" max="29" width="16.33203125" style="195" customWidth="1"/>
    <col min="30" max="30" width="15.88671875" style="195" customWidth="1"/>
    <col min="31" max="31" width="16.109375" style="195" customWidth="1"/>
    <col min="32" max="32" width="15.88671875" style="195" customWidth="1"/>
    <col min="33" max="33" width="18.6640625" style="195" customWidth="1"/>
    <col min="34" max="34" width="16.33203125" style="195" customWidth="1"/>
    <col min="35" max="35" width="16.6640625" style="195" customWidth="1"/>
    <col min="36" max="36" width="16.33203125" style="195" customWidth="1"/>
    <col min="37" max="37" width="15.6640625" style="195" customWidth="1"/>
    <col min="38" max="38" width="16.6640625" style="195" customWidth="1"/>
    <col min="16384" max="16384" width="9.109375" style="195" bestFit="1" customWidth="1"/>
  </cols>
  <sheetData>
    <row r="1" spans="1:38">
      <c r="A1" s="118"/>
      <c r="B1" s="118"/>
      <c r="C1" s="118"/>
      <c r="D1" s="118"/>
      <c r="E1" s="118"/>
      <c r="F1" s="118"/>
      <c r="G1" s="118"/>
      <c r="H1" s="118"/>
      <c r="I1" s="118"/>
      <c r="J1" s="118"/>
      <c r="K1" s="118"/>
      <c r="L1" s="118"/>
      <c r="M1" s="118"/>
      <c r="N1" s="118"/>
      <c r="O1" s="118"/>
      <c r="P1" s="118"/>
      <c r="Q1" s="118"/>
      <c r="R1" s="118"/>
      <c r="S1" s="118"/>
      <c r="T1" s="118"/>
      <c r="U1" s="118"/>
      <c r="V1" s="118"/>
      <c r="W1" s="118"/>
      <c r="X1" s="118"/>
    </row>
    <row r="2" spans="1:38">
      <c r="A2" s="214" t="s">
        <v>1</v>
      </c>
      <c r="B2" s="212"/>
      <c r="C2" s="212"/>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212"/>
      <c r="AE2" s="212"/>
      <c r="AF2" s="212"/>
      <c r="AG2" s="212"/>
      <c r="AH2" s="212"/>
      <c r="AI2" s="212"/>
      <c r="AJ2" s="212"/>
      <c r="AK2" s="212"/>
      <c r="AL2" s="212"/>
    </row>
    <row r="3" spans="1:38" ht="28.8" customHeight="1">
      <c r="A3" s="118" t="s">
        <v>263</v>
      </c>
      <c r="B3" s="118" t="s">
        <v>126</v>
      </c>
      <c r="C3" s="118">
        <v>9.81</v>
      </c>
      <c r="D3" s="118" t="s">
        <v>264</v>
      </c>
      <c r="E3" s="118" t="s">
        <v>48</v>
      </c>
      <c r="F3" s="167">
        <v>0.1</v>
      </c>
      <c r="G3" s="118"/>
      <c r="H3" s="118"/>
      <c r="I3" s="118" t="s">
        <v>18</v>
      </c>
      <c r="J3" s="118" t="s">
        <v>265</v>
      </c>
      <c r="K3" s="118"/>
      <c r="L3" s="118"/>
      <c r="M3" s="118"/>
      <c r="N3" s="118"/>
      <c r="O3" s="118"/>
      <c r="P3" s="118"/>
      <c r="Q3" s="118"/>
      <c r="R3" s="118"/>
      <c r="S3" s="118"/>
      <c r="T3" s="118"/>
      <c r="U3" s="118"/>
      <c r="V3" s="118"/>
      <c r="W3" s="118"/>
      <c r="X3" s="118"/>
    </row>
    <row r="4" spans="1:38">
      <c r="A4" s="118" t="s">
        <v>266</v>
      </c>
      <c r="B4" s="118" t="s">
        <v>125</v>
      </c>
      <c r="C4" s="118">
        <v>1000</v>
      </c>
      <c r="D4" s="118" t="s">
        <v>267</v>
      </c>
      <c r="E4" s="118" t="s">
        <v>268</v>
      </c>
      <c r="F4" s="118">
        <v>15</v>
      </c>
      <c r="G4" s="118" t="s">
        <v>203</v>
      </c>
      <c r="H4" s="118"/>
      <c r="I4" s="118" t="s">
        <v>269</v>
      </c>
      <c r="J4" s="118">
        <v>900</v>
      </c>
      <c r="K4" s="118" t="s">
        <v>237</v>
      </c>
      <c r="L4" s="118"/>
      <c r="M4" s="118"/>
      <c r="N4" s="118"/>
      <c r="O4" s="118"/>
      <c r="P4" s="118"/>
      <c r="Q4" s="118"/>
      <c r="R4" s="118"/>
      <c r="S4" s="118"/>
      <c r="T4" s="118"/>
      <c r="U4" s="118"/>
      <c r="V4" s="118"/>
      <c r="W4" s="118"/>
      <c r="X4" s="118"/>
    </row>
    <row r="5" spans="1:38">
      <c r="A5" s="118" t="s">
        <v>270</v>
      </c>
      <c r="B5" s="118" t="s">
        <v>271</v>
      </c>
      <c r="C5" s="118">
        <v>0.02</v>
      </c>
      <c r="D5" s="118" t="s">
        <v>146</v>
      </c>
      <c r="E5" s="118" t="s">
        <v>272</v>
      </c>
      <c r="F5" s="118">
        <v>75</v>
      </c>
      <c r="G5" s="118" t="s">
        <v>203</v>
      </c>
      <c r="H5" s="118"/>
      <c r="I5" s="118" t="s">
        <v>273</v>
      </c>
      <c r="J5" s="118">
        <v>1650</v>
      </c>
      <c r="K5" s="118" t="s">
        <v>237</v>
      </c>
      <c r="L5" s="118"/>
      <c r="M5" s="118"/>
      <c r="N5" s="118"/>
      <c r="O5" s="118"/>
      <c r="P5" s="118"/>
      <c r="Q5" s="118"/>
      <c r="R5" s="118"/>
      <c r="S5" s="118"/>
      <c r="T5" s="118"/>
      <c r="U5" s="118"/>
      <c r="V5" s="118"/>
      <c r="W5" s="118"/>
      <c r="X5" s="118"/>
    </row>
    <row r="6" spans="1:38">
      <c r="A6" s="118" t="s">
        <v>274</v>
      </c>
      <c r="B6" s="118" t="s">
        <v>141</v>
      </c>
      <c r="C6" s="118">
        <v>0.05</v>
      </c>
      <c r="D6" s="118"/>
      <c r="E6" s="118"/>
      <c r="F6" s="118"/>
      <c r="G6" s="118"/>
      <c r="H6" s="118"/>
      <c r="I6" s="118" t="s">
        <v>275</v>
      </c>
      <c r="J6" s="118">
        <v>1800</v>
      </c>
      <c r="K6" s="118" t="s">
        <v>237</v>
      </c>
      <c r="L6" s="118"/>
      <c r="M6" s="118"/>
      <c r="N6" s="118"/>
      <c r="O6" s="118"/>
      <c r="P6" s="118"/>
      <c r="Q6" s="118"/>
      <c r="R6" s="118"/>
      <c r="S6" s="118"/>
      <c r="T6" s="118"/>
      <c r="U6" s="118"/>
      <c r="V6" s="118"/>
      <c r="W6" s="118"/>
      <c r="X6" s="118"/>
    </row>
    <row r="7" spans="1:38" ht="42.75" customHeight="1">
      <c r="A7" s="118" t="s">
        <v>276</v>
      </c>
      <c r="B7" s="118" t="s">
        <v>124</v>
      </c>
      <c r="C7" s="118">
        <v>10</v>
      </c>
      <c r="D7" s="118"/>
      <c r="E7" s="118"/>
      <c r="F7" s="118"/>
      <c r="G7" s="118"/>
      <c r="H7" s="118"/>
      <c r="I7" s="118"/>
      <c r="J7" s="118"/>
      <c r="W7" s="118"/>
      <c r="X7" s="118"/>
    </row>
    <row r="8" spans="1:38" ht="12.75" customHeight="1" thickBot="1">
      <c r="A8" s="118"/>
      <c r="B8" s="118"/>
      <c r="C8" s="118"/>
      <c r="D8" s="118"/>
      <c r="E8" s="118"/>
      <c r="F8" s="118"/>
      <c r="G8" s="118"/>
      <c r="H8" s="118"/>
      <c r="I8" s="118"/>
      <c r="J8" s="118"/>
      <c r="K8" s="118"/>
      <c r="L8" s="118"/>
      <c r="M8" s="118"/>
      <c r="N8" s="118"/>
      <c r="O8" s="118"/>
      <c r="P8" s="118"/>
      <c r="Q8" s="118"/>
      <c r="R8" s="118"/>
      <c r="S8" s="118"/>
      <c r="T8" s="118"/>
      <c r="U8" s="118"/>
      <c r="V8" s="118"/>
      <c r="W8" s="118"/>
      <c r="X8" s="118"/>
    </row>
    <row r="9" spans="1:38" s="155" customFormat="1" ht="30" customHeight="1" thickBot="1">
      <c r="A9" s="219" t="s">
        <v>277</v>
      </c>
      <c r="B9" s="216"/>
      <c r="C9" s="216"/>
      <c r="D9" s="217"/>
      <c r="E9" s="154"/>
      <c r="F9" s="219" t="s">
        <v>278</v>
      </c>
      <c r="G9" s="216"/>
      <c r="H9" s="216"/>
      <c r="I9" s="217"/>
      <c r="J9" s="154"/>
      <c r="K9" s="219" t="s">
        <v>279</v>
      </c>
      <c r="L9" s="216"/>
      <c r="M9" s="216"/>
      <c r="N9" s="216"/>
      <c r="O9" s="216"/>
      <c r="P9" s="216"/>
      <c r="Q9" s="216"/>
      <c r="R9" s="216"/>
      <c r="S9" s="216"/>
      <c r="T9" s="216"/>
      <c r="U9" s="216"/>
      <c r="V9" s="217"/>
      <c r="W9" s="154"/>
      <c r="X9" s="154"/>
    </row>
    <row r="10" spans="1:38" ht="29.4" customHeight="1" thickBot="1">
      <c r="A10" s="118"/>
      <c r="B10" s="163" t="s">
        <v>280</v>
      </c>
      <c r="C10" s="164" t="s">
        <v>281</v>
      </c>
      <c r="D10" s="151" t="s">
        <v>282</v>
      </c>
      <c r="E10" s="118"/>
      <c r="F10" s="165" t="s">
        <v>5</v>
      </c>
      <c r="G10" s="163" t="s">
        <v>283</v>
      </c>
      <c r="H10" s="151" t="s">
        <v>284</v>
      </c>
      <c r="I10" s="145"/>
      <c r="J10" s="118"/>
      <c r="K10" s="155"/>
      <c r="L10" s="155"/>
      <c r="M10" s="155"/>
      <c r="N10" s="154"/>
      <c r="O10" s="228" t="s">
        <v>285</v>
      </c>
      <c r="P10" s="202" t="s">
        <v>286</v>
      </c>
      <c r="Q10" s="157">
        <v>100</v>
      </c>
      <c r="R10" s="126" t="s">
        <v>287</v>
      </c>
      <c r="S10" s="228" t="s">
        <v>288</v>
      </c>
      <c r="T10" s="234" t="s">
        <v>286</v>
      </c>
      <c r="U10" s="233">
        <v>50</v>
      </c>
      <c r="V10" s="233" t="s">
        <v>287</v>
      </c>
      <c r="W10" s="118"/>
      <c r="X10" s="118"/>
    </row>
    <row r="11" spans="1:38" ht="29.4" customHeight="1" thickBot="1">
      <c r="A11" s="135" t="s">
        <v>289</v>
      </c>
      <c r="B11" s="137">
        <v>200</v>
      </c>
      <c r="C11" s="138">
        <v>5</v>
      </c>
      <c r="D11" s="139">
        <v>1</v>
      </c>
      <c r="E11" s="118"/>
      <c r="F11" s="143" t="s">
        <v>290</v>
      </c>
      <c r="G11" s="137">
        <v>1</v>
      </c>
      <c r="H11" s="139">
        <v>1</v>
      </c>
      <c r="I11" s="143" t="s">
        <v>291</v>
      </c>
      <c r="J11" s="118"/>
      <c r="K11" s="148" t="s">
        <v>292</v>
      </c>
      <c r="L11" s="122" t="str">
        <f>'Parameters and Satisfaction'!C19</f>
        <v>Chlorine</v>
      </c>
      <c r="M11" s="118"/>
      <c r="N11" s="118"/>
      <c r="O11" s="223"/>
      <c r="P11" s="202" t="s">
        <v>293</v>
      </c>
      <c r="Q11" s="144">
        <v>3</v>
      </c>
      <c r="R11" s="146" t="s">
        <v>294</v>
      </c>
      <c r="S11" s="223"/>
      <c r="T11" s="223"/>
      <c r="U11" s="223"/>
      <c r="V11" s="223"/>
      <c r="W11" s="118"/>
      <c r="X11" s="118"/>
    </row>
    <row r="12" spans="1:38" ht="14.7" customHeight="1" thickBot="1">
      <c r="A12" s="136" t="s">
        <v>295</v>
      </c>
      <c r="B12" s="140">
        <f>0.00417*'Parameters and Satisfaction'!$B$28</f>
        <v>60.982080000000003</v>
      </c>
      <c r="C12" s="141">
        <f>0.0833*'Parameters and Satisfaction'!$B$28</f>
        <v>1218.1792</v>
      </c>
      <c r="D12" s="142">
        <f>0.167*'Parameters and Satisfaction'!$B$28</f>
        <v>2442.2080000000001</v>
      </c>
      <c r="E12" s="118"/>
      <c r="F12" s="144" t="s">
        <v>296</v>
      </c>
      <c r="G12" s="146">
        <v>36</v>
      </c>
      <c r="H12" s="147">
        <v>50</v>
      </c>
      <c r="I12" s="144" t="s">
        <v>297</v>
      </c>
      <c r="J12" s="118"/>
      <c r="K12" s="140" t="s">
        <v>298</v>
      </c>
      <c r="L12" s="140">
        <v>10</v>
      </c>
      <c r="M12" s="122" t="s">
        <v>299</v>
      </c>
      <c r="N12" s="118"/>
      <c r="O12" s="223"/>
      <c r="P12" s="202" t="s">
        <v>300</v>
      </c>
      <c r="Q12" s="144">
        <v>3</v>
      </c>
      <c r="R12" s="146" t="s">
        <v>301</v>
      </c>
      <c r="S12" s="223"/>
      <c r="T12" s="232" t="s">
        <v>293</v>
      </c>
      <c r="U12" s="230">
        <v>1</v>
      </c>
      <c r="V12" s="230" t="s">
        <v>302</v>
      </c>
      <c r="W12" s="118"/>
      <c r="X12" s="118"/>
    </row>
    <row r="13" spans="1:38" ht="15" customHeight="1" thickBot="1">
      <c r="A13" s="118"/>
      <c r="B13" s="118"/>
      <c r="C13" s="118"/>
      <c r="D13" s="118"/>
      <c r="E13" s="118"/>
      <c r="F13" s="145" t="s">
        <v>303</v>
      </c>
      <c r="G13" s="140">
        <v>25</v>
      </c>
      <c r="H13" s="142">
        <v>40</v>
      </c>
      <c r="I13" s="145" t="s">
        <v>304</v>
      </c>
      <c r="J13" s="118"/>
      <c r="K13" s="118"/>
      <c r="L13" s="118"/>
      <c r="M13" s="118"/>
      <c r="N13" s="118"/>
      <c r="O13" s="223"/>
      <c r="P13" s="202" t="s">
        <v>77</v>
      </c>
      <c r="Q13" s="144">
        <v>100</v>
      </c>
      <c r="R13" s="146" t="s">
        <v>305</v>
      </c>
      <c r="S13" s="223"/>
      <c r="T13" s="223"/>
      <c r="U13" s="223"/>
      <c r="V13" s="223"/>
      <c r="W13" s="118"/>
      <c r="X13" s="118"/>
    </row>
    <row r="14" spans="1:38" ht="28.95" customHeight="1" thickBot="1">
      <c r="A14" s="122" t="s">
        <v>306</v>
      </c>
      <c r="B14" s="149" t="str">
        <f>IF('Parameters and Satisfaction'!C14 = "Up", "Storage", IF('Parameters and Satisfaction'!C14 = "Down", "House", "Error!"))</f>
        <v>House</v>
      </c>
      <c r="C14" s="118"/>
      <c r="D14" s="118"/>
      <c r="E14" s="118"/>
      <c r="F14" s="118"/>
      <c r="G14" s="118"/>
      <c r="H14" s="118"/>
      <c r="I14" s="118"/>
      <c r="J14" s="118"/>
      <c r="K14" s="118"/>
      <c r="L14" s="118"/>
      <c r="M14" s="118"/>
      <c r="N14" s="118"/>
      <c r="O14" s="223"/>
      <c r="P14" s="219" t="s">
        <v>307</v>
      </c>
      <c r="Q14" s="143" t="s">
        <v>308</v>
      </c>
      <c r="R14" s="137">
        <v>4</v>
      </c>
      <c r="S14" s="223"/>
      <c r="T14" s="219" t="s">
        <v>309</v>
      </c>
      <c r="U14" s="221">
        <v>2</v>
      </c>
      <c r="V14" s="221" t="s">
        <v>310</v>
      </c>
      <c r="W14" s="118"/>
      <c r="X14" s="118"/>
    </row>
    <row r="15" spans="1:38" ht="15" customHeight="1" thickBot="1">
      <c r="A15" s="118"/>
      <c r="B15" s="118"/>
      <c r="C15" s="118"/>
      <c r="D15" s="118"/>
      <c r="E15" s="118"/>
      <c r="F15" s="118"/>
      <c r="G15" s="118"/>
      <c r="H15" s="118"/>
      <c r="I15" s="118"/>
      <c r="J15" s="118"/>
      <c r="K15" s="118"/>
      <c r="L15" s="118"/>
      <c r="M15" s="118"/>
      <c r="N15" s="118"/>
      <c r="O15" s="220"/>
      <c r="P15" s="220"/>
      <c r="Q15" s="145" t="s">
        <v>311</v>
      </c>
      <c r="R15" s="140">
        <v>3</v>
      </c>
      <c r="S15" s="220"/>
      <c r="T15" s="220"/>
      <c r="U15" s="220"/>
      <c r="V15" s="220"/>
      <c r="W15" s="118"/>
      <c r="X15" s="118"/>
    </row>
    <row r="16" spans="1:38" ht="28.5" customHeight="1">
      <c r="A16" s="118"/>
      <c r="B16" s="118"/>
      <c r="C16" s="118"/>
      <c r="D16" s="118"/>
      <c r="E16" s="118"/>
      <c r="F16" s="131"/>
      <c r="G16" s="118"/>
      <c r="H16" s="118"/>
      <c r="I16" s="118"/>
      <c r="J16" s="118"/>
      <c r="K16" s="118"/>
      <c r="L16" s="118"/>
      <c r="M16" s="118"/>
      <c r="N16" s="118"/>
      <c r="O16" s="158"/>
      <c r="P16" s="156"/>
      <c r="Q16" s="118"/>
      <c r="R16" s="118"/>
      <c r="S16" s="158"/>
      <c r="T16" s="156"/>
      <c r="U16" s="210"/>
      <c r="V16" s="210"/>
      <c r="W16" s="118"/>
      <c r="X16" s="118"/>
    </row>
    <row r="17" spans="1:38" ht="15" customHeight="1" thickBot="1">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row>
    <row r="18" spans="1:38">
      <c r="A18" s="222" t="s">
        <v>312</v>
      </c>
      <c r="B18" s="139"/>
      <c r="C18" s="137"/>
      <c r="D18" s="150" t="s">
        <v>70</v>
      </c>
      <c r="E18" s="218" t="s">
        <v>313</v>
      </c>
      <c r="F18" s="224" t="s">
        <v>314</v>
      </c>
      <c r="G18" s="225"/>
      <c r="H18" s="226"/>
      <c r="I18" s="118"/>
      <c r="J18" s="118"/>
      <c r="K18" s="118"/>
      <c r="L18" s="118"/>
      <c r="M18" s="118"/>
      <c r="N18" s="118"/>
      <c r="O18" s="118"/>
      <c r="P18" s="118"/>
      <c r="Q18" s="118"/>
      <c r="R18" s="118"/>
      <c r="S18" s="118"/>
      <c r="T18" s="118"/>
      <c r="U18" s="118"/>
      <c r="V18" s="118"/>
      <c r="W18" s="118"/>
      <c r="X18" s="118"/>
    </row>
    <row r="19" spans="1:38" ht="15" customHeight="1" thickBot="1">
      <c r="A19" s="223"/>
      <c r="B19" s="151" t="s">
        <v>315</v>
      </c>
      <c r="C19" s="152" t="s">
        <v>316</v>
      </c>
      <c r="D19" s="147" t="s">
        <v>317</v>
      </c>
      <c r="E19" s="220"/>
      <c r="F19" s="140" t="s">
        <v>318</v>
      </c>
      <c r="G19" s="141" t="s">
        <v>319</v>
      </c>
      <c r="H19" s="142" t="s">
        <v>320</v>
      </c>
      <c r="I19" s="118"/>
      <c r="J19" s="118"/>
      <c r="K19" s="118"/>
      <c r="L19" s="118"/>
      <c r="M19" s="118"/>
      <c r="N19" s="118"/>
      <c r="O19" s="118"/>
      <c r="P19" s="118"/>
      <c r="Q19" s="118"/>
      <c r="R19" s="118"/>
      <c r="S19" s="118"/>
      <c r="T19" s="118"/>
      <c r="U19" s="118"/>
      <c r="V19" s="118"/>
      <c r="W19" s="118"/>
      <c r="X19" s="118"/>
    </row>
    <row r="20" spans="1:38">
      <c r="A20" s="223"/>
      <c r="B20" s="137" t="s">
        <v>321</v>
      </c>
      <c r="C20" s="137" t="str">
        <f>IF('Parameters and Satisfaction'!C15 = 1, "y", "Error!")</f>
        <v>y</v>
      </c>
      <c r="D20" s="139">
        <f>IF(C20="n",0,IF(C20="y",D12,"Error!"))</f>
        <v>2442.2080000000001</v>
      </c>
      <c r="E20" s="160">
        <f>IF(C21="y", G20, IF(C22="y", H20, F20))</f>
        <v>20000</v>
      </c>
      <c r="F20" s="137">
        <v>5000</v>
      </c>
      <c r="G20" s="138">
        <v>20000</v>
      </c>
      <c r="H20" s="139">
        <v>15000</v>
      </c>
      <c r="I20" s="118"/>
      <c r="J20" s="118"/>
      <c r="K20" s="118"/>
      <c r="L20" s="118"/>
      <c r="M20" s="153"/>
      <c r="N20" s="118"/>
      <c r="P20" s="118"/>
      <c r="Q20" s="118"/>
      <c r="R20" s="118"/>
      <c r="S20" s="118"/>
      <c r="T20" s="118"/>
      <c r="U20" s="118"/>
      <c r="V20" s="118"/>
      <c r="W20" s="118"/>
      <c r="X20" s="118"/>
    </row>
    <row r="21" spans="1:38">
      <c r="A21" s="223"/>
      <c r="B21" s="146" t="s">
        <v>322</v>
      </c>
      <c r="C21" s="146" t="str">
        <f>IF('Parameters and Satisfaction'!C16 = 1, "y", "n")</f>
        <v>y</v>
      </c>
      <c r="D21" s="147">
        <f>IF(C21="n",0,IF(C21="y",C12,"Error!"))</f>
        <v>1218.1792</v>
      </c>
      <c r="E21" s="161">
        <f>IF(C21="n", "", IF(C22="y", H21,F21))</f>
        <v>20000</v>
      </c>
      <c r="F21" s="146">
        <v>10000</v>
      </c>
      <c r="G21" s="118"/>
      <c r="H21" s="147">
        <v>20000</v>
      </c>
      <c r="I21" s="118"/>
      <c r="J21" s="118"/>
      <c r="K21" s="118"/>
      <c r="L21" s="118"/>
      <c r="M21" s="118"/>
      <c r="N21" s="118"/>
      <c r="O21" s="118"/>
      <c r="P21" s="118"/>
      <c r="Q21" s="118"/>
      <c r="R21" s="118"/>
      <c r="S21" s="118"/>
      <c r="T21" s="118"/>
      <c r="U21" s="118"/>
      <c r="V21" s="118"/>
      <c r="W21" s="118"/>
      <c r="X21" s="118"/>
    </row>
    <row r="22" spans="1:38" ht="15" customHeight="1" thickBot="1">
      <c r="A22" s="223"/>
      <c r="B22" s="140" t="s">
        <v>323</v>
      </c>
      <c r="C22" s="140" t="str">
        <f>IF('Parameters and Satisfaction'!C17 = 1, "y", "n")</f>
        <v>y</v>
      </c>
      <c r="D22" s="142">
        <f>IF(C22="n",0,IF(C22="y",B12,"Error!"))</f>
        <v>60.982080000000003</v>
      </c>
      <c r="E22" s="162">
        <f>IF(C22="n", "", F22)</f>
        <v>20000</v>
      </c>
      <c r="F22" s="140">
        <v>20000</v>
      </c>
      <c r="G22" s="141"/>
      <c r="H22" s="142"/>
      <c r="I22" s="118"/>
      <c r="J22" s="118"/>
      <c r="K22" s="118"/>
      <c r="L22" s="118"/>
      <c r="M22" s="118"/>
      <c r="N22" s="118"/>
      <c r="O22" s="118"/>
      <c r="P22" s="118"/>
      <c r="Q22" s="118"/>
      <c r="R22" s="118"/>
      <c r="S22" s="118"/>
      <c r="T22" s="118"/>
      <c r="U22" s="118"/>
      <c r="V22" s="118"/>
      <c r="W22" s="118"/>
      <c r="X22" s="118"/>
    </row>
    <row r="23" spans="1:38" ht="15" customHeight="1" thickBot="1">
      <c r="A23" s="220"/>
      <c r="B23" s="118"/>
      <c r="C23" s="140" t="s">
        <v>324</v>
      </c>
      <c r="D23" s="142">
        <f>SUM(IF(C20="y",D20,0),IF(C21="y",D21,0),IF(C22="y",D22,0))</f>
        <v>3721.3692800000003</v>
      </c>
      <c r="E23" s="118"/>
      <c r="F23" s="118"/>
      <c r="G23" s="118"/>
      <c r="H23" s="118"/>
      <c r="I23" s="118"/>
      <c r="J23" s="118"/>
      <c r="K23" s="118"/>
      <c r="L23" s="118"/>
      <c r="M23" s="118"/>
      <c r="N23" s="118"/>
      <c r="O23" s="118"/>
      <c r="P23" s="118"/>
      <c r="Q23" s="118"/>
      <c r="R23" s="118"/>
      <c r="S23" s="118"/>
      <c r="T23" s="118"/>
      <c r="U23" s="118"/>
      <c r="V23" s="118"/>
      <c r="W23" s="118"/>
      <c r="X23" s="118"/>
    </row>
    <row r="24" spans="1:38">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row>
    <row r="25" spans="1:38" ht="15" customHeight="1" thickBo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row>
    <row r="26" spans="1:38" ht="28.95" customHeight="1" thickBot="1">
      <c r="A26" s="231" t="s">
        <v>29</v>
      </c>
      <c r="B26" s="212"/>
      <c r="C26" s="212"/>
      <c r="D26" s="118"/>
      <c r="E26" s="231" t="s">
        <v>27</v>
      </c>
      <c r="F26" s="212"/>
      <c r="G26" s="212"/>
      <c r="H26" s="118"/>
      <c r="I26" s="231" t="s">
        <v>325</v>
      </c>
      <c r="J26" s="212"/>
      <c r="K26" s="212"/>
      <c r="L26" s="212"/>
      <c r="M26" s="212"/>
      <c r="N26" s="212"/>
      <c r="O26" s="131"/>
      <c r="P26" s="229" t="s">
        <v>326</v>
      </c>
      <c r="Q26" s="225"/>
      <c r="R26" s="226"/>
      <c r="S26" s="118"/>
      <c r="T26" s="231" t="s">
        <v>327</v>
      </c>
      <c r="U26" s="212"/>
      <c r="V26" s="212"/>
      <c r="W26" s="212"/>
      <c r="X26" s="212"/>
      <c r="Y26" s="212"/>
      <c r="AA26" s="227" t="s">
        <v>328</v>
      </c>
      <c r="AB26" s="212"/>
      <c r="AC26" s="212"/>
      <c r="AE26" s="227" t="s">
        <v>329</v>
      </c>
      <c r="AF26" s="212"/>
      <c r="AG26" s="212"/>
    </row>
    <row r="27" spans="1:38" ht="29.4" customHeight="1" thickBot="1">
      <c r="A27" s="118" t="s">
        <v>330</v>
      </c>
      <c r="B27" s="153">
        <f>IF(L11="Ozone", 0, IF(L11="Chlorine", (SUM(O35:O399)+SUM(P35:P399)+SUM(Q35:Q399)+SUM(R35:R399)+SUM(S35:S399))/5,"Error!"))</f>
        <v>107.6655786289904</v>
      </c>
      <c r="C27" s="118" t="s">
        <v>331</v>
      </c>
      <c r="D27" s="118"/>
      <c r="E27" s="118" t="s">
        <v>332</v>
      </c>
      <c r="F27" s="118">
        <f>IF('Parameters and Satisfaction'!C18="36W", IF('Parameters and Satisfaction'!B29 &gt; G13,0, G11), IF('Parameters and Satisfaction'!C18 = "50W", IF('Parameters and Satisfaction'!B29 &gt; H13, 0, H11)))</f>
        <v>1</v>
      </c>
      <c r="G27" s="118" t="s">
        <v>333</v>
      </c>
      <c r="H27" s="118"/>
      <c r="I27" s="118" t="s">
        <v>334</v>
      </c>
      <c r="J27" s="118">
        <f>IF(B14="House", SUM(AH35:AL399)/5, IF(B14 = "Storage", SUM(B35:F399)/5, "Error!"))</f>
        <v>222456</v>
      </c>
      <c r="K27" s="118" t="s">
        <v>335</v>
      </c>
      <c r="L27" s="118" t="s">
        <v>336</v>
      </c>
      <c r="M27" s="118">
        <f>IF(E20="","Error!", J27/E20)</f>
        <v>11.1228</v>
      </c>
      <c r="N27" s="118" t="s">
        <v>203</v>
      </c>
      <c r="P27" s="168" t="s">
        <v>211</v>
      </c>
      <c r="Q27" s="102">
        <f>SUM(J28,F28,B28,X27,AB28,AF29)</f>
        <v>54.086482533002247</v>
      </c>
      <c r="R27" s="147" t="s">
        <v>203</v>
      </c>
      <c r="S27" s="118"/>
      <c r="T27" s="118" t="s">
        <v>337</v>
      </c>
      <c r="U27" s="118" t="str">
        <f>'Parameters and Satisfaction'!C13</f>
        <v>Pump B</v>
      </c>
      <c r="V27" s="118"/>
      <c r="W27" s="134" t="s">
        <v>338</v>
      </c>
      <c r="X27" s="166">
        <f>('Water Stuff'!E5/5)/U28</f>
        <v>0.19286395772875339</v>
      </c>
      <c r="Y27" s="197" t="s">
        <v>203</v>
      </c>
      <c r="AA27" s="118" t="s">
        <v>339</v>
      </c>
      <c r="AB27" s="118" t="str">
        <f>IF('Parameters and Satisfaction'!C20="Generator", "n", IF('Parameters and Satisfaction'!C20 = "Solar", "y", "Error!"))</f>
        <v>y</v>
      </c>
      <c r="AC27" s="118"/>
      <c r="AE27" s="118" t="str">
        <f>'Power System Selection'!F18</f>
        <v>Refuelling maintenance</v>
      </c>
      <c r="AF27" s="118">
        <f>'Power System Selection'!G18</f>
        <v>1.3444945468643055</v>
      </c>
      <c r="AG27" s="118" t="str">
        <f>'Power System Selection'!H18</f>
        <v>opertaions/year</v>
      </c>
      <c r="AJ27" s="102"/>
    </row>
    <row r="28" spans="1:38" ht="63" customHeight="1" thickBot="1">
      <c r="A28" s="134" t="s">
        <v>340</v>
      </c>
      <c r="B28" s="166">
        <f>IF(L11="Ozone",U12,IF(L11="Chlorine", B27/Q11, "Error!"))</f>
        <v>35.888526209663468</v>
      </c>
      <c r="C28" s="149" t="s">
        <v>203</v>
      </c>
      <c r="D28" s="118"/>
      <c r="E28" s="134" t="s">
        <v>341</v>
      </c>
      <c r="F28" s="166">
        <f>F27</f>
        <v>1</v>
      </c>
      <c r="G28" s="149" t="s">
        <v>203</v>
      </c>
      <c r="H28" s="118"/>
      <c r="I28" s="134" t="s">
        <v>342</v>
      </c>
      <c r="J28" s="166">
        <f>IF(M28=0,M29+(3/4)*M27,IF(M29=0,M28,M27))</f>
        <v>11.1228</v>
      </c>
      <c r="K28" s="149" t="s">
        <v>203</v>
      </c>
      <c r="L28" s="118" t="s">
        <v>343</v>
      </c>
      <c r="M28" s="118">
        <f>IF(E21="", 0, J27/E21)</f>
        <v>11.1228</v>
      </c>
      <c r="N28" s="118" t="s">
        <v>203</v>
      </c>
      <c r="P28" s="163" t="s">
        <v>344</v>
      </c>
      <c r="Q28" s="169">
        <f>(1/2)*(1+COS((Q27-F4)/(F5-F4)*PI()))</f>
        <v>0.27098974977624013</v>
      </c>
      <c r="R28" s="142"/>
      <c r="S28" s="118"/>
      <c r="T28" s="118" t="s">
        <v>345</v>
      </c>
      <c r="U28" s="118">
        <f>IF(U27="Pump A",J4,IF(U27="Pump B",J5,IF(U27="Pump C", J6, "Error!")))</f>
        <v>1650</v>
      </c>
      <c r="V28" s="118" t="s">
        <v>346</v>
      </c>
      <c r="W28" s="118"/>
      <c r="X28" s="118"/>
      <c r="AA28" s="148" t="s">
        <v>347</v>
      </c>
      <c r="AB28" s="166">
        <f>IF(AB27="n", 0, IF(AB27="y", 4, "Error!"))</f>
        <v>4</v>
      </c>
      <c r="AC28" s="149" t="s">
        <v>348</v>
      </c>
      <c r="AE28" s="118" t="str">
        <f>'Power System Selection'!F19</f>
        <v>Maintenance needed</v>
      </c>
      <c r="AF28" s="118">
        <f>'Power System Selection'!G19</f>
        <v>0.53779781874572219</v>
      </c>
      <c r="AG28" s="118" t="str">
        <f>'Power System Selection'!H19</f>
        <v>opertions/year</v>
      </c>
    </row>
    <row r="29" spans="1:38" ht="43.8" customHeight="1" thickBot="1">
      <c r="D29" s="118"/>
      <c r="E29" s="118" t="s">
        <v>349</v>
      </c>
      <c r="F29" s="118" t="str">
        <f>IF('Parameters and Satisfaction'!C18="36W", IF('Parameters and Satisfaction'!B29 &gt; G13,"Flowrate Exceeded :(", "Good :)"), IF('Parameters and Satisfaction'!C18 = "50W", IF('Parameters and Satisfaction'!B29 &gt; H13, "Flowrate Exceeded :(", "Good :)")))</f>
        <v>Good :)</v>
      </c>
      <c r="G29" s="118"/>
      <c r="H29" s="118"/>
      <c r="I29" s="118"/>
      <c r="J29" s="118"/>
      <c r="K29" s="118"/>
      <c r="L29" s="118" t="s">
        <v>350</v>
      </c>
      <c r="M29" s="118">
        <f>IF(E22="", 0, J27/E22)</f>
        <v>11.1228</v>
      </c>
      <c r="N29" s="118" t="s">
        <v>203</v>
      </c>
      <c r="P29" s="118"/>
      <c r="Q29" s="118"/>
      <c r="R29" s="118"/>
      <c r="S29" s="118"/>
      <c r="T29" s="118"/>
      <c r="U29" s="118"/>
      <c r="V29" s="118"/>
      <c r="W29" s="118"/>
      <c r="X29" s="118"/>
      <c r="AE29" s="148" t="str">
        <f>'Power System Selection'!F20</f>
        <v>Total Maintenance for Generator Use</v>
      </c>
      <c r="AF29" s="166">
        <f>'Power System Selection'!G20</f>
        <v>1.8822923656100277</v>
      </c>
      <c r="AG29" s="149" t="str">
        <f>'Power System Selection'!H20</f>
        <v>operations/year</v>
      </c>
    </row>
    <row r="30" spans="1:38">
      <c r="A30" s="118"/>
      <c r="B30" s="153"/>
      <c r="C30" s="118"/>
      <c r="D30" s="118"/>
      <c r="E30" s="118"/>
      <c r="F30" s="118"/>
      <c r="G30" s="118"/>
      <c r="H30" s="118"/>
      <c r="I30" s="118"/>
      <c r="J30" s="118"/>
      <c r="K30" s="118"/>
      <c r="L30" s="118"/>
      <c r="M30" s="118"/>
      <c r="N30" s="118"/>
      <c r="O30" s="118"/>
      <c r="P30" s="118"/>
      <c r="Q30" s="118"/>
      <c r="R30" s="118"/>
      <c r="S30" s="118"/>
      <c r="W30" s="118"/>
      <c r="X30" s="118"/>
    </row>
    <row r="31" spans="1:38">
      <c r="A31" s="214" t="s">
        <v>251</v>
      </c>
      <c r="B31" s="212"/>
      <c r="C31" s="212"/>
      <c r="D31" s="212"/>
      <c r="E31" s="212"/>
      <c r="F31" s="212"/>
      <c r="G31" s="118"/>
      <c r="H31" s="118"/>
      <c r="I31" s="214" t="s">
        <v>351</v>
      </c>
      <c r="J31" s="212"/>
      <c r="K31" s="212"/>
      <c r="L31" s="212"/>
      <c r="M31" s="212"/>
      <c r="N31" s="212"/>
      <c r="O31" s="212"/>
      <c r="P31" s="212"/>
      <c r="Q31" s="212"/>
      <c r="R31" s="212"/>
      <c r="S31" s="212"/>
      <c r="U31" s="213" t="s">
        <v>352</v>
      </c>
      <c r="V31" s="212"/>
      <c r="W31" s="212"/>
      <c r="X31" s="212"/>
      <c r="Y31" s="212"/>
      <c r="Z31" s="212"/>
      <c r="AA31" s="212"/>
      <c r="AB31" s="212"/>
      <c r="AC31" s="212"/>
      <c r="AD31" s="212"/>
      <c r="AE31" s="212"/>
      <c r="AG31" s="213" t="s">
        <v>353</v>
      </c>
      <c r="AH31" s="212"/>
      <c r="AI31" s="212"/>
      <c r="AJ31" s="212"/>
      <c r="AK31" s="212"/>
      <c r="AL31" s="212"/>
    </row>
    <row r="32" spans="1:38">
      <c r="B32" s="102"/>
    </row>
    <row r="33" spans="1:38">
      <c r="B33" s="133" t="s">
        <v>106</v>
      </c>
      <c r="C33" s="132" t="s">
        <v>108</v>
      </c>
      <c r="D33" s="132" t="s">
        <v>111</v>
      </c>
      <c r="E33" s="132" t="s">
        <v>112</v>
      </c>
      <c r="F33" s="132" t="s">
        <v>113</v>
      </c>
      <c r="I33" s="132" t="s">
        <v>106</v>
      </c>
      <c r="J33" s="132" t="s">
        <v>108</v>
      </c>
      <c r="K33" s="132" t="s">
        <v>111</v>
      </c>
      <c r="L33" s="132" t="s">
        <v>112</v>
      </c>
      <c r="M33" s="132" t="s">
        <v>113</v>
      </c>
      <c r="O33" s="132" t="s">
        <v>106</v>
      </c>
      <c r="P33" s="132" t="s">
        <v>108</v>
      </c>
      <c r="Q33" s="132" t="s">
        <v>111</v>
      </c>
      <c r="R33" s="132" t="s">
        <v>112</v>
      </c>
      <c r="S33" s="132" t="s">
        <v>113</v>
      </c>
      <c r="U33" s="132" t="s">
        <v>106</v>
      </c>
      <c r="V33" s="132" t="s">
        <v>108</v>
      </c>
      <c r="W33" s="132" t="s">
        <v>111</v>
      </c>
      <c r="X33" s="132" t="s">
        <v>112</v>
      </c>
      <c r="Y33" s="132" t="s">
        <v>113</v>
      </c>
      <c r="AA33" s="132" t="s">
        <v>106</v>
      </c>
      <c r="AB33" s="132" t="s">
        <v>108</v>
      </c>
      <c r="AC33" s="132" t="s">
        <v>111</v>
      </c>
      <c r="AD33" s="132" t="s">
        <v>112</v>
      </c>
      <c r="AE33" s="132" t="s">
        <v>113</v>
      </c>
      <c r="AH33" s="132" t="s">
        <v>106</v>
      </c>
      <c r="AI33" s="132" t="s">
        <v>108</v>
      </c>
      <c r="AJ33" s="132" t="s">
        <v>111</v>
      </c>
      <c r="AK33" s="132" t="s">
        <v>112</v>
      </c>
      <c r="AL33" s="132" t="s">
        <v>113</v>
      </c>
    </row>
    <row r="34" spans="1:38" ht="28.8" customHeight="1">
      <c r="A34" t="s">
        <v>354</v>
      </c>
      <c r="B34" t="s">
        <v>355</v>
      </c>
      <c r="C34" t="s">
        <v>355</v>
      </c>
      <c r="D34" t="s">
        <v>355</v>
      </c>
      <c r="E34" t="s">
        <v>355</v>
      </c>
      <c r="F34" t="s">
        <v>355</v>
      </c>
      <c r="I34" t="s">
        <v>356</v>
      </c>
      <c r="J34" t="s">
        <v>356</v>
      </c>
      <c r="K34" t="s">
        <v>356</v>
      </c>
      <c r="L34" t="s">
        <v>356</v>
      </c>
      <c r="M34" t="s">
        <v>356</v>
      </c>
      <c r="O34" t="s">
        <v>357</v>
      </c>
      <c r="P34" t="s">
        <v>357</v>
      </c>
      <c r="Q34" t="s">
        <v>357</v>
      </c>
      <c r="R34" t="s">
        <v>357</v>
      </c>
      <c r="S34" t="s">
        <v>357</v>
      </c>
      <c r="U34" s="118" t="s">
        <v>358</v>
      </c>
      <c r="V34" s="118" t="s">
        <v>358</v>
      </c>
      <c r="W34" s="118" t="s">
        <v>358</v>
      </c>
      <c r="X34" s="118" t="s">
        <v>358</v>
      </c>
      <c r="Y34" s="118" t="s">
        <v>358</v>
      </c>
      <c r="AA34" s="118" t="s">
        <v>359</v>
      </c>
      <c r="AB34" s="118" t="s">
        <v>359</v>
      </c>
      <c r="AC34" s="118" t="s">
        <v>359</v>
      </c>
      <c r="AD34" s="118" t="s">
        <v>359</v>
      </c>
      <c r="AE34" s="118" t="s">
        <v>359</v>
      </c>
      <c r="AG34" s="118" t="s">
        <v>360</v>
      </c>
      <c r="AH34" s="118" t="s">
        <v>361</v>
      </c>
      <c r="AI34" s="118" t="s">
        <v>361</v>
      </c>
      <c r="AJ34" s="118" t="s">
        <v>361</v>
      </c>
      <c r="AK34" s="118" t="s">
        <v>361</v>
      </c>
      <c r="AL34" s="118" t="s">
        <v>361</v>
      </c>
    </row>
    <row r="35" spans="1:38">
      <c r="A35" s="109">
        <f>'Water Stuff'!F5</f>
        <v>44562</v>
      </c>
      <c r="B35">
        <f>IF( 'Water Stuff'!G5*1000 &gt;= 'Water Stuff'!$B$6*1000, 'Water Stuff'!$B$6*1000, 'Water Stuff'!G5*1000)</f>
        <v>3760</v>
      </c>
      <c r="C35">
        <f>IF( 'Water Stuff'!O5*1000 &gt;= 'Water Stuff'!$B$6*1000, 'Water Stuff'!$B$6*1000, 'Water Stuff'!O5*1000)</f>
        <v>1560</v>
      </c>
      <c r="D35">
        <f>IF( 'Water Stuff'!W5*1000 &gt;= 'Water Stuff'!$B$6*1000, 'Water Stuff'!$B$6*1000, 'Water Stuff'!W5*1000)</f>
        <v>2219.9029419023623</v>
      </c>
      <c r="E35">
        <f>IF( 'Water Stuff'!AE5*1000 &gt;= 'Water Stuff'!$B$6*1000, 'Water Stuff'!$B$6*1000, 'Water Stuff'!AE5*1000)</f>
        <v>0</v>
      </c>
      <c r="F35">
        <f>IF('Water Stuff'!AM5*1000&gt;='Water Stuff'!$B$6*1000,'Water Stuff'!$B$6*1000,'Water Stuff'!AM5*1000)</f>
        <v>2953.3890332689816</v>
      </c>
      <c r="I35">
        <f t="shared" ref="I35:I98" si="0">10*B35/1000</f>
        <v>37.6</v>
      </c>
      <c r="J35">
        <f t="shared" ref="J35:J98" si="1">10*C35/1000</f>
        <v>15.6</v>
      </c>
      <c r="K35">
        <f t="shared" ref="K35:K98" si="2">10*D35/1000</f>
        <v>22.199029419023624</v>
      </c>
      <c r="L35">
        <f t="shared" ref="L35:L98" si="3">10*E35/1000</f>
        <v>0</v>
      </c>
      <c r="M35">
        <f t="shared" ref="M35:M98" si="4">10*F35/1000</f>
        <v>29.533890332689815</v>
      </c>
      <c r="O35">
        <f t="shared" ref="O35:O98" si="5">I35*(100/5)/1000</f>
        <v>0.752</v>
      </c>
      <c r="P35">
        <f t="shared" ref="P35:P98" si="6">J35*100/5/1000</f>
        <v>0.312</v>
      </c>
      <c r="Q35">
        <f t="shared" ref="Q35:Q98" si="7">K35*100/5/1000</f>
        <v>0.44398058838047244</v>
      </c>
      <c r="R35">
        <f t="shared" ref="R35:R98" si="8">L35*100/5/1000</f>
        <v>0</v>
      </c>
      <c r="S35">
        <f t="shared" ref="S35:S98" si="9">M35*100/5/1000</f>
        <v>0.59067780665379632</v>
      </c>
      <c r="U35">
        <f t="shared" ref="U35:U98" si="10">$U$10/$L$12/1000*B35</f>
        <v>18.8</v>
      </c>
      <c r="V35">
        <f t="shared" ref="V35:V98" si="11">$U$10/$L$12/1000*C35</f>
        <v>7.8</v>
      </c>
      <c r="W35">
        <f t="shared" ref="W35:W98" si="12">$U$10/$L$12/1000*D35</f>
        <v>11.099514709511812</v>
      </c>
      <c r="X35">
        <f t="shared" ref="X35:X98" si="13">$U$10/$L$12/1000*E35</f>
        <v>0</v>
      </c>
      <c r="Y35">
        <f t="shared" ref="Y35:Y98" si="14">$U$10/$L$12/1000*F35</f>
        <v>14.766945166344909</v>
      </c>
      <c r="AA35">
        <f t="shared" ref="AA35:AA98" si="15">$U$14*U35</f>
        <v>37.6</v>
      </c>
      <c r="AB35">
        <f t="shared" ref="AB35:AB98" si="16">$U$14*V35</f>
        <v>15.6</v>
      </c>
      <c r="AC35">
        <f t="shared" ref="AC35:AC98" si="17">$U$14*W35</f>
        <v>22.199029419023624</v>
      </c>
      <c r="AD35">
        <f t="shared" ref="AD35:AD98" si="18">$U$14*X35</f>
        <v>0</v>
      </c>
      <c r="AE35">
        <f t="shared" ref="AE35:AE98" si="19">$U$14*Y35</f>
        <v>29.533890332689818</v>
      </c>
      <c r="AG35" s="109">
        <f t="shared" ref="AG35:AG98" si="20">A35</f>
        <v>44562</v>
      </c>
      <c r="AH35">
        <f>'Water Stuff'!I5*1000</f>
        <v>0</v>
      </c>
      <c r="AI35">
        <f>'Water Stuff'!Q5*1000</f>
        <v>620</v>
      </c>
      <c r="AJ35">
        <f>'Water Stuff'!Y5*1000</f>
        <v>620</v>
      </c>
      <c r="AK35">
        <f>'Water Stuff'!AG5*1000</f>
        <v>620</v>
      </c>
      <c r="AL35">
        <f>'Water Stuff'!AO5*1000</f>
        <v>620</v>
      </c>
    </row>
    <row r="36" spans="1:38">
      <c r="A36" s="109">
        <f>'Water Stuff'!F6</f>
        <v>44563</v>
      </c>
      <c r="B36">
        <f>IF( 'Water Stuff'!G6*1000 &gt;= 'Water Stuff'!$B$6*1000, 'Water Stuff'!$B$6*1000, 'Water Stuff'!G6*1000)</f>
        <v>3960</v>
      </c>
      <c r="C36">
        <f>IF( 'Water Stuff'!O6*1000 &gt;= 'Water Stuff'!$B$6*1000, 'Water Stuff'!$B$6*1000, 'Water Stuff'!O6*1000)</f>
        <v>200</v>
      </c>
      <c r="D36">
        <f>IF( 'Water Stuff'!W6*1000 &gt;= 'Water Stuff'!$B$6*1000, 'Water Stuff'!$B$6*1000, 'Water Stuff'!W6*1000)</f>
        <v>4966.1458862933305</v>
      </c>
      <c r="E36">
        <f>IF( 'Water Stuff'!AE6*1000 &gt;= 'Water Stuff'!$B$6*1000, 'Water Stuff'!$B$6*1000, 'Water Stuff'!AE6*1000)</f>
        <v>0</v>
      </c>
      <c r="F36">
        <f>IF('Water Stuff'!AM6*1000&gt;='Water Stuff'!$B$6*1000,'Water Stuff'!$B$6*1000,'Water Stuff'!AM6*1000)</f>
        <v>5266.3095576159276</v>
      </c>
      <c r="I36">
        <f t="shared" si="0"/>
        <v>39.6</v>
      </c>
      <c r="J36">
        <f t="shared" si="1"/>
        <v>2</v>
      </c>
      <c r="K36">
        <f t="shared" si="2"/>
        <v>49.661458862933301</v>
      </c>
      <c r="L36">
        <f t="shared" si="3"/>
        <v>0</v>
      </c>
      <c r="M36">
        <f t="shared" si="4"/>
        <v>52.663095576159279</v>
      </c>
      <c r="O36">
        <f t="shared" si="5"/>
        <v>0.79200000000000004</v>
      </c>
      <c r="P36">
        <f t="shared" si="6"/>
        <v>0.04</v>
      </c>
      <c r="Q36">
        <f t="shared" si="7"/>
        <v>0.99322917725866611</v>
      </c>
      <c r="R36">
        <f t="shared" si="8"/>
        <v>0</v>
      </c>
      <c r="S36">
        <f t="shared" si="9"/>
        <v>1.0532619115231856</v>
      </c>
      <c r="U36">
        <f t="shared" si="10"/>
        <v>19.8</v>
      </c>
      <c r="V36">
        <f t="shared" si="11"/>
        <v>1</v>
      </c>
      <c r="W36">
        <f t="shared" si="12"/>
        <v>24.830729431466654</v>
      </c>
      <c r="X36">
        <f t="shared" si="13"/>
        <v>0</v>
      </c>
      <c r="Y36">
        <f t="shared" si="14"/>
        <v>26.331547788079639</v>
      </c>
      <c r="AA36">
        <f t="shared" si="15"/>
        <v>39.6</v>
      </c>
      <c r="AB36">
        <f t="shared" si="16"/>
        <v>2</v>
      </c>
      <c r="AC36">
        <f t="shared" si="17"/>
        <v>49.661458862933308</v>
      </c>
      <c r="AD36">
        <f t="shared" si="18"/>
        <v>0</v>
      </c>
      <c r="AE36">
        <f t="shared" si="19"/>
        <v>52.663095576159279</v>
      </c>
      <c r="AG36" s="109">
        <f t="shared" si="20"/>
        <v>44563</v>
      </c>
      <c r="AH36">
        <f>'Water Stuff'!I6*1000</f>
        <v>0</v>
      </c>
      <c r="AI36">
        <f>'Water Stuff'!Q6*1000</f>
        <v>620</v>
      </c>
      <c r="AJ36">
        <f>'Water Stuff'!Y6*1000</f>
        <v>620</v>
      </c>
      <c r="AK36">
        <f>'Water Stuff'!AG6*1000</f>
        <v>620</v>
      </c>
      <c r="AL36">
        <f>'Water Stuff'!AO6*1000</f>
        <v>620</v>
      </c>
    </row>
    <row r="37" spans="1:38">
      <c r="A37" s="109">
        <f>'Water Stuff'!F7</f>
        <v>44564</v>
      </c>
      <c r="B37">
        <f>IF( 'Water Stuff'!G7*1000 &gt;= 'Water Stuff'!$B$6*1000, 'Water Stuff'!$B$6*1000, 'Water Stuff'!G7*1000)</f>
        <v>0</v>
      </c>
      <c r="C37">
        <f>IF( 'Water Stuff'!O7*1000 &gt;= 'Water Stuff'!$B$6*1000, 'Water Stuff'!$B$6*1000, 'Water Stuff'!O7*1000)</f>
        <v>2680</v>
      </c>
      <c r="D37">
        <f>IF( 'Water Stuff'!W7*1000 &gt;= 'Water Stuff'!$B$6*1000, 'Water Stuff'!$B$6*1000, 'Water Stuff'!W7*1000)</f>
        <v>0</v>
      </c>
      <c r="E37">
        <f>IF( 'Water Stuff'!AE7*1000 &gt;= 'Water Stuff'!$B$6*1000, 'Water Stuff'!$B$6*1000, 'Water Stuff'!AE7*1000)</f>
        <v>3333.4962829750857</v>
      </c>
      <c r="F37">
        <f>IF('Water Stuff'!AM7*1000&gt;='Water Stuff'!$B$6*1000,'Water Stuff'!$B$6*1000,'Water Stuff'!AM7*1000)</f>
        <v>1652.5799489717976</v>
      </c>
      <c r="I37">
        <f t="shared" si="0"/>
        <v>0</v>
      </c>
      <c r="J37">
        <f t="shared" si="1"/>
        <v>26.8</v>
      </c>
      <c r="K37">
        <f t="shared" si="2"/>
        <v>0</v>
      </c>
      <c r="L37">
        <f t="shared" si="3"/>
        <v>33.334962829750857</v>
      </c>
      <c r="M37">
        <f t="shared" si="4"/>
        <v>16.525799489717979</v>
      </c>
      <c r="O37">
        <f t="shared" si="5"/>
        <v>0</v>
      </c>
      <c r="P37">
        <f t="shared" si="6"/>
        <v>0.53600000000000003</v>
      </c>
      <c r="Q37">
        <f t="shared" si="7"/>
        <v>0</v>
      </c>
      <c r="R37">
        <f t="shared" si="8"/>
        <v>0.66669925659501716</v>
      </c>
      <c r="S37">
        <f t="shared" si="9"/>
        <v>0.33051598979435959</v>
      </c>
      <c r="U37">
        <f t="shared" si="10"/>
        <v>0</v>
      </c>
      <c r="V37">
        <f t="shared" si="11"/>
        <v>13.4</v>
      </c>
      <c r="W37">
        <f t="shared" si="12"/>
        <v>0</v>
      </c>
      <c r="X37">
        <f t="shared" si="13"/>
        <v>16.667481414875429</v>
      </c>
      <c r="Y37">
        <f t="shared" si="14"/>
        <v>8.2628997448589878</v>
      </c>
      <c r="AA37">
        <f t="shared" si="15"/>
        <v>0</v>
      </c>
      <c r="AB37">
        <f t="shared" si="16"/>
        <v>26.8</v>
      </c>
      <c r="AC37">
        <f t="shared" si="17"/>
        <v>0</v>
      </c>
      <c r="AD37">
        <f t="shared" si="18"/>
        <v>33.334962829750857</v>
      </c>
      <c r="AE37">
        <f t="shared" si="19"/>
        <v>16.525799489717976</v>
      </c>
      <c r="AG37" s="109">
        <f t="shared" si="20"/>
        <v>44564</v>
      </c>
      <c r="AH37">
        <f>'Water Stuff'!I7*1000</f>
        <v>0</v>
      </c>
      <c r="AI37">
        <f>'Water Stuff'!Q7*1000</f>
        <v>620</v>
      </c>
      <c r="AJ37">
        <f>'Water Stuff'!Y7*1000</f>
        <v>620</v>
      </c>
      <c r="AK37">
        <f>'Water Stuff'!AG7*1000</f>
        <v>620</v>
      </c>
      <c r="AL37">
        <f>'Water Stuff'!AO7*1000</f>
        <v>620</v>
      </c>
    </row>
    <row r="38" spans="1:38">
      <c r="A38" s="109">
        <f>'Water Stuff'!F8</f>
        <v>44565</v>
      </c>
      <c r="B38">
        <f>IF( 'Water Stuff'!G8*1000 &gt;= 'Water Stuff'!$B$6*1000, 'Water Stuff'!$B$6*1000, 'Water Stuff'!G8*1000)</f>
        <v>0</v>
      </c>
      <c r="C38">
        <f>IF( 'Water Stuff'!O8*1000 &gt;= 'Water Stuff'!$B$6*1000, 'Water Stuff'!$B$6*1000, 'Water Stuff'!O8*1000)</f>
        <v>10000</v>
      </c>
      <c r="D38">
        <f>IF( 'Water Stuff'!W8*1000 &gt;= 'Water Stuff'!$B$6*1000, 'Water Stuff'!$B$6*1000, 'Water Stuff'!W8*1000)</f>
        <v>0</v>
      </c>
      <c r="E38">
        <f>IF( 'Water Stuff'!AE8*1000 &gt;= 'Water Stuff'!$B$6*1000, 'Water Stuff'!$B$6*1000, 'Water Stuff'!AE8*1000)</f>
        <v>10000</v>
      </c>
      <c r="F38">
        <f>IF('Water Stuff'!AM8*1000&gt;='Water Stuff'!$B$6*1000,'Water Stuff'!$B$6*1000,'Water Stuff'!AM8*1000)</f>
        <v>1455.4298451167981</v>
      </c>
      <c r="I38">
        <f t="shared" si="0"/>
        <v>0</v>
      </c>
      <c r="J38">
        <f t="shared" si="1"/>
        <v>100</v>
      </c>
      <c r="K38">
        <f t="shared" si="2"/>
        <v>0</v>
      </c>
      <c r="L38">
        <f t="shared" si="3"/>
        <v>100</v>
      </c>
      <c r="M38">
        <f t="shared" si="4"/>
        <v>14.55429845116798</v>
      </c>
      <c r="O38">
        <f t="shared" si="5"/>
        <v>0</v>
      </c>
      <c r="P38">
        <f t="shared" si="6"/>
        <v>2</v>
      </c>
      <c r="Q38">
        <f t="shared" si="7"/>
        <v>0</v>
      </c>
      <c r="R38">
        <f t="shared" si="8"/>
        <v>2</v>
      </c>
      <c r="S38">
        <f t="shared" si="9"/>
        <v>0.29108596902335959</v>
      </c>
      <c r="U38">
        <f t="shared" si="10"/>
        <v>0</v>
      </c>
      <c r="V38">
        <f t="shared" si="11"/>
        <v>50</v>
      </c>
      <c r="W38">
        <f t="shared" si="12"/>
        <v>0</v>
      </c>
      <c r="X38">
        <f t="shared" si="13"/>
        <v>50</v>
      </c>
      <c r="Y38">
        <f t="shared" si="14"/>
        <v>7.2771492255839902</v>
      </c>
      <c r="AA38">
        <f t="shared" si="15"/>
        <v>0</v>
      </c>
      <c r="AB38">
        <f t="shared" si="16"/>
        <v>100</v>
      </c>
      <c r="AC38">
        <f t="shared" si="17"/>
        <v>0</v>
      </c>
      <c r="AD38">
        <f t="shared" si="18"/>
        <v>100</v>
      </c>
      <c r="AE38">
        <f t="shared" si="19"/>
        <v>14.55429845116798</v>
      </c>
      <c r="AG38" s="109">
        <f t="shared" si="20"/>
        <v>44565</v>
      </c>
      <c r="AH38">
        <f>'Water Stuff'!I8*1000</f>
        <v>0</v>
      </c>
      <c r="AI38">
        <f>'Water Stuff'!Q8*1000</f>
        <v>620</v>
      </c>
      <c r="AJ38">
        <f>'Water Stuff'!Y8*1000</f>
        <v>620</v>
      </c>
      <c r="AK38">
        <f>'Water Stuff'!AG8*1000</f>
        <v>620</v>
      </c>
      <c r="AL38">
        <f>'Water Stuff'!AO8*1000</f>
        <v>620</v>
      </c>
    </row>
    <row r="39" spans="1:38">
      <c r="A39" s="109">
        <f>'Water Stuff'!F9</f>
        <v>44566</v>
      </c>
      <c r="B39">
        <f>IF( 'Water Stuff'!G9*1000 &gt;= 'Water Stuff'!$B$6*1000, 'Water Stuff'!$B$6*1000, 'Water Stuff'!G9*1000)</f>
        <v>0</v>
      </c>
      <c r="C39">
        <f>IF( 'Water Stuff'!O9*1000 &gt;= 'Water Stuff'!$B$6*1000, 'Water Stuff'!$B$6*1000, 'Water Stuff'!O9*1000)</f>
        <v>6440.0000000000009</v>
      </c>
      <c r="D39">
        <f>IF( 'Water Stuff'!W9*1000 &gt;= 'Water Stuff'!$B$6*1000, 'Water Stuff'!$B$6*1000, 'Water Stuff'!W9*1000)</f>
        <v>1692.1722187137095</v>
      </c>
      <c r="E39">
        <f>IF( 'Water Stuff'!AE9*1000 &gt;= 'Water Stuff'!$B$6*1000, 'Water Stuff'!$B$6*1000, 'Water Stuff'!AE9*1000)</f>
        <v>3894.9770588690276</v>
      </c>
      <c r="F39">
        <f>IF('Water Stuff'!AM9*1000&gt;='Water Stuff'!$B$6*1000,'Water Stuff'!$B$6*1000,'Water Stuff'!AM9*1000)</f>
        <v>2910.7139916732963</v>
      </c>
      <c r="I39">
        <f t="shared" si="0"/>
        <v>0</v>
      </c>
      <c r="J39">
        <f t="shared" si="1"/>
        <v>64.400000000000006</v>
      </c>
      <c r="K39">
        <f t="shared" si="2"/>
        <v>16.921722187137096</v>
      </c>
      <c r="L39">
        <f t="shared" si="3"/>
        <v>38.949770588690278</v>
      </c>
      <c r="M39">
        <f t="shared" si="4"/>
        <v>29.107139916732962</v>
      </c>
      <c r="O39">
        <f t="shared" si="5"/>
        <v>0</v>
      </c>
      <c r="P39">
        <f t="shared" si="6"/>
        <v>1.2880000000000003</v>
      </c>
      <c r="Q39">
        <f t="shared" si="7"/>
        <v>0.3384344437427419</v>
      </c>
      <c r="R39">
        <f t="shared" si="8"/>
        <v>0.77899541177380549</v>
      </c>
      <c r="S39">
        <f t="shared" si="9"/>
        <v>0.58214279833465921</v>
      </c>
      <c r="U39">
        <f t="shared" si="10"/>
        <v>0</v>
      </c>
      <c r="V39">
        <f t="shared" si="11"/>
        <v>32.200000000000003</v>
      </c>
      <c r="W39">
        <f t="shared" si="12"/>
        <v>8.460861093568548</v>
      </c>
      <c r="X39">
        <f t="shared" si="13"/>
        <v>19.474885294345139</v>
      </c>
      <c r="Y39">
        <f t="shared" si="14"/>
        <v>14.553569958366481</v>
      </c>
      <c r="AA39">
        <f t="shared" si="15"/>
        <v>0</v>
      </c>
      <c r="AB39">
        <f t="shared" si="16"/>
        <v>64.400000000000006</v>
      </c>
      <c r="AC39">
        <f t="shared" si="17"/>
        <v>16.921722187137096</v>
      </c>
      <c r="AD39">
        <f t="shared" si="18"/>
        <v>38.949770588690278</v>
      </c>
      <c r="AE39">
        <f t="shared" si="19"/>
        <v>29.107139916732962</v>
      </c>
      <c r="AG39" s="109">
        <f t="shared" si="20"/>
        <v>44566</v>
      </c>
      <c r="AH39">
        <f>'Water Stuff'!I9*1000</f>
        <v>0</v>
      </c>
      <c r="AI39">
        <f>'Water Stuff'!Q9*1000</f>
        <v>620</v>
      </c>
      <c r="AJ39">
        <f>'Water Stuff'!Y9*1000</f>
        <v>620</v>
      </c>
      <c r="AK39">
        <f>'Water Stuff'!AG9*1000</f>
        <v>620</v>
      </c>
      <c r="AL39">
        <f>'Water Stuff'!AO9*1000</f>
        <v>620</v>
      </c>
    </row>
    <row r="40" spans="1:38">
      <c r="A40" s="109">
        <f>'Water Stuff'!F10</f>
        <v>44567</v>
      </c>
      <c r="B40">
        <f>IF( 'Water Stuff'!G10*1000 &gt;= 'Water Stuff'!$B$6*1000, 'Water Stuff'!$B$6*1000, 'Water Stuff'!G10*1000)</f>
        <v>1000</v>
      </c>
      <c r="C40">
        <f>IF( 'Water Stuff'!O10*1000 &gt;= 'Water Stuff'!$B$6*1000, 'Water Stuff'!$B$6*1000, 'Water Stuff'!O10*1000)</f>
        <v>560</v>
      </c>
      <c r="D40">
        <f>IF( 'Water Stuff'!W10*1000 &gt;= 'Water Stuff'!$B$6*1000, 'Water Stuff'!$B$6*1000, 'Water Stuff'!W10*1000)</f>
        <v>0</v>
      </c>
      <c r="E40">
        <f>IF( 'Water Stuff'!AE10*1000 &gt;= 'Water Stuff'!$B$6*1000, 'Water Stuff'!$B$6*1000, 'Water Stuff'!AE10*1000)</f>
        <v>0</v>
      </c>
      <c r="F40">
        <f>IF('Water Stuff'!AM10*1000&gt;='Water Stuff'!$B$6*1000,'Water Stuff'!$B$6*1000,'Water Stuff'!AM10*1000)</f>
        <v>0</v>
      </c>
      <c r="I40">
        <f t="shared" si="0"/>
        <v>10</v>
      </c>
      <c r="J40">
        <f t="shared" si="1"/>
        <v>5.6</v>
      </c>
      <c r="K40">
        <f t="shared" si="2"/>
        <v>0</v>
      </c>
      <c r="L40">
        <f t="shared" si="3"/>
        <v>0</v>
      </c>
      <c r="M40">
        <f t="shared" si="4"/>
        <v>0</v>
      </c>
      <c r="O40">
        <f t="shared" si="5"/>
        <v>0.2</v>
      </c>
      <c r="P40">
        <f t="shared" si="6"/>
        <v>0.112</v>
      </c>
      <c r="Q40">
        <f t="shared" si="7"/>
        <v>0</v>
      </c>
      <c r="R40">
        <f t="shared" si="8"/>
        <v>0</v>
      </c>
      <c r="S40">
        <f t="shared" si="9"/>
        <v>0</v>
      </c>
      <c r="U40">
        <f t="shared" si="10"/>
        <v>5</v>
      </c>
      <c r="V40">
        <f t="shared" si="11"/>
        <v>2.8000000000000003</v>
      </c>
      <c r="W40">
        <f t="shared" si="12"/>
        <v>0</v>
      </c>
      <c r="X40">
        <f t="shared" si="13"/>
        <v>0</v>
      </c>
      <c r="Y40">
        <f t="shared" si="14"/>
        <v>0</v>
      </c>
      <c r="AA40">
        <f t="shared" si="15"/>
        <v>10</v>
      </c>
      <c r="AB40">
        <f t="shared" si="16"/>
        <v>5.6000000000000005</v>
      </c>
      <c r="AC40">
        <f t="shared" si="17"/>
        <v>0</v>
      </c>
      <c r="AD40">
        <f t="shared" si="18"/>
        <v>0</v>
      </c>
      <c r="AE40">
        <f t="shared" si="19"/>
        <v>0</v>
      </c>
      <c r="AG40" s="109">
        <f t="shared" si="20"/>
        <v>44567</v>
      </c>
      <c r="AH40">
        <f>'Water Stuff'!I10*1000</f>
        <v>0</v>
      </c>
      <c r="AI40">
        <f>'Water Stuff'!Q10*1000</f>
        <v>620</v>
      </c>
      <c r="AJ40">
        <f>'Water Stuff'!Y10*1000</f>
        <v>620</v>
      </c>
      <c r="AK40">
        <f>'Water Stuff'!AG10*1000</f>
        <v>620</v>
      </c>
      <c r="AL40">
        <f>'Water Stuff'!AO10*1000</f>
        <v>620</v>
      </c>
    </row>
    <row r="41" spans="1:38">
      <c r="A41" s="109">
        <f>'Water Stuff'!F11</f>
        <v>44568</v>
      </c>
      <c r="B41">
        <f>IF( 'Water Stuff'!G11*1000 &gt;= 'Water Stuff'!$B$6*1000, 'Water Stuff'!$B$6*1000, 'Water Stuff'!G11*1000)</f>
        <v>4079.9999999999991</v>
      </c>
      <c r="C41">
        <f>IF( 'Water Stuff'!O11*1000 &gt;= 'Water Stuff'!$B$6*1000, 'Water Stuff'!$B$6*1000, 'Water Stuff'!O11*1000)</f>
        <v>0</v>
      </c>
      <c r="D41">
        <f>IF( 'Water Stuff'!W11*1000 &gt;= 'Water Stuff'!$B$6*1000, 'Water Stuff'!$B$6*1000, 'Water Stuff'!W11*1000)</f>
        <v>5285.0188502238434</v>
      </c>
      <c r="E41">
        <f>IF( 'Water Stuff'!AE11*1000 &gt;= 'Water Stuff'!$B$6*1000, 'Water Stuff'!$B$6*1000, 'Water Stuff'!AE11*1000)</f>
        <v>874.78649975972496</v>
      </c>
      <c r="F41">
        <f>IF('Water Stuff'!AM11*1000&gt;='Water Stuff'!$B$6*1000,'Water Stuff'!$B$6*1000,'Water Stuff'!AM11*1000)</f>
        <v>6910.0843247284101</v>
      </c>
      <c r="I41">
        <f t="shared" si="0"/>
        <v>40.79999999999999</v>
      </c>
      <c r="J41">
        <f t="shared" si="1"/>
        <v>0</v>
      </c>
      <c r="K41">
        <f t="shared" si="2"/>
        <v>52.850188502238439</v>
      </c>
      <c r="L41">
        <f t="shared" si="3"/>
        <v>8.7478649975972491</v>
      </c>
      <c r="M41">
        <f t="shared" si="4"/>
        <v>69.100843247284089</v>
      </c>
      <c r="O41">
        <f t="shared" si="5"/>
        <v>0.81599999999999973</v>
      </c>
      <c r="P41">
        <f t="shared" si="6"/>
        <v>0</v>
      </c>
      <c r="Q41">
        <f t="shared" si="7"/>
        <v>1.0570037700447688</v>
      </c>
      <c r="R41">
        <f t="shared" si="8"/>
        <v>0.17495729995194501</v>
      </c>
      <c r="S41">
        <f t="shared" si="9"/>
        <v>1.3820168649456819</v>
      </c>
      <c r="U41">
        <f t="shared" si="10"/>
        <v>20.399999999999995</v>
      </c>
      <c r="V41">
        <f t="shared" si="11"/>
        <v>0</v>
      </c>
      <c r="W41">
        <f t="shared" si="12"/>
        <v>26.425094251119219</v>
      </c>
      <c r="X41">
        <f t="shared" si="13"/>
        <v>4.3739324987986246</v>
      </c>
      <c r="Y41">
        <f t="shared" si="14"/>
        <v>34.550421623642052</v>
      </c>
      <c r="AA41">
        <f t="shared" si="15"/>
        <v>40.79999999999999</v>
      </c>
      <c r="AB41">
        <f t="shared" si="16"/>
        <v>0</v>
      </c>
      <c r="AC41">
        <f t="shared" si="17"/>
        <v>52.850188502238439</v>
      </c>
      <c r="AD41">
        <f t="shared" si="18"/>
        <v>8.7478649975972491</v>
      </c>
      <c r="AE41">
        <f t="shared" si="19"/>
        <v>69.100843247284104</v>
      </c>
      <c r="AG41" s="109">
        <f t="shared" si="20"/>
        <v>44568</v>
      </c>
      <c r="AH41">
        <f>'Water Stuff'!I11*1000</f>
        <v>0</v>
      </c>
      <c r="AI41">
        <f>'Water Stuff'!Q11*1000</f>
        <v>620</v>
      </c>
      <c r="AJ41">
        <f>'Water Stuff'!Y11*1000</f>
        <v>620</v>
      </c>
      <c r="AK41">
        <f>'Water Stuff'!AG11*1000</f>
        <v>620</v>
      </c>
      <c r="AL41">
        <f>'Water Stuff'!AO11*1000</f>
        <v>620</v>
      </c>
    </row>
    <row r="42" spans="1:38">
      <c r="A42" s="109">
        <f>'Water Stuff'!F12</f>
        <v>44569</v>
      </c>
      <c r="B42">
        <f>IF( 'Water Stuff'!G12*1000 &gt;= 'Water Stuff'!$B$6*1000, 'Water Stuff'!$B$6*1000, 'Water Stuff'!G12*1000)</f>
        <v>4960</v>
      </c>
      <c r="C42">
        <f>IF( 'Water Stuff'!O12*1000 &gt;= 'Water Stuff'!$B$6*1000, 'Water Stuff'!$B$6*1000, 'Water Stuff'!O12*1000)</f>
        <v>0</v>
      </c>
      <c r="D42">
        <f>IF( 'Water Stuff'!W12*1000 &gt;= 'Water Stuff'!$B$6*1000, 'Water Stuff'!$B$6*1000, 'Water Stuff'!W12*1000)</f>
        <v>2186.6727547461619</v>
      </c>
      <c r="E42">
        <f>IF( 'Water Stuff'!AE12*1000 &gt;= 'Water Stuff'!$B$6*1000, 'Water Stuff'!$B$6*1000, 'Water Stuff'!AE12*1000)</f>
        <v>0</v>
      </c>
      <c r="F42">
        <f>IF('Water Stuff'!AM12*1000&gt;='Water Stuff'!$B$6*1000,'Water Stuff'!$B$6*1000,'Water Stuff'!AM12*1000)</f>
        <v>157.75118049144226</v>
      </c>
      <c r="I42">
        <f t="shared" si="0"/>
        <v>49.6</v>
      </c>
      <c r="J42">
        <f t="shared" si="1"/>
        <v>0</v>
      </c>
      <c r="K42">
        <f t="shared" si="2"/>
        <v>21.866727547461618</v>
      </c>
      <c r="L42">
        <f t="shared" si="3"/>
        <v>0</v>
      </c>
      <c r="M42">
        <f t="shared" si="4"/>
        <v>1.5775118049144226</v>
      </c>
      <c r="O42">
        <f t="shared" si="5"/>
        <v>0.99199999999999999</v>
      </c>
      <c r="P42">
        <f t="shared" si="6"/>
        <v>0</v>
      </c>
      <c r="Q42">
        <f t="shared" si="7"/>
        <v>0.4373345509492324</v>
      </c>
      <c r="R42">
        <f t="shared" si="8"/>
        <v>0</v>
      </c>
      <c r="S42">
        <f t="shared" si="9"/>
        <v>3.1550236098288449E-2</v>
      </c>
      <c r="U42">
        <f t="shared" si="10"/>
        <v>24.8</v>
      </c>
      <c r="V42">
        <f t="shared" si="11"/>
        <v>0</v>
      </c>
      <c r="W42">
        <f t="shared" si="12"/>
        <v>10.933363773730809</v>
      </c>
      <c r="X42">
        <f t="shared" si="13"/>
        <v>0</v>
      </c>
      <c r="Y42">
        <f t="shared" si="14"/>
        <v>0.78875590245721128</v>
      </c>
      <c r="AA42">
        <f t="shared" si="15"/>
        <v>49.6</v>
      </c>
      <c r="AB42">
        <f t="shared" si="16"/>
        <v>0</v>
      </c>
      <c r="AC42">
        <f t="shared" si="17"/>
        <v>21.866727547461618</v>
      </c>
      <c r="AD42">
        <f t="shared" si="18"/>
        <v>0</v>
      </c>
      <c r="AE42">
        <f t="shared" si="19"/>
        <v>1.5775118049144226</v>
      </c>
      <c r="AG42" s="109">
        <f t="shared" si="20"/>
        <v>44569</v>
      </c>
      <c r="AH42">
        <f>'Water Stuff'!I12*1000</f>
        <v>0</v>
      </c>
      <c r="AI42">
        <f>'Water Stuff'!Q12*1000</f>
        <v>620</v>
      </c>
      <c r="AJ42">
        <f>'Water Stuff'!Y12*1000</f>
        <v>620</v>
      </c>
      <c r="AK42">
        <f>'Water Stuff'!AG12*1000</f>
        <v>620</v>
      </c>
      <c r="AL42">
        <f>'Water Stuff'!AO12*1000</f>
        <v>620</v>
      </c>
    </row>
    <row r="43" spans="1:38">
      <c r="A43" s="109">
        <f>'Water Stuff'!F13</f>
        <v>44570</v>
      </c>
      <c r="B43">
        <f>IF( 'Water Stuff'!G13*1000 &gt;= 'Water Stuff'!$B$6*1000, 'Water Stuff'!$B$6*1000, 'Water Stuff'!G13*1000)</f>
        <v>6800</v>
      </c>
      <c r="C43">
        <f>IF( 'Water Stuff'!O13*1000 &gt;= 'Water Stuff'!$B$6*1000, 'Water Stuff'!$B$6*1000, 'Water Stuff'!O13*1000)</f>
        <v>160</v>
      </c>
      <c r="D43">
        <f>IF( 'Water Stuff'!W13*1000 &gt;= 'Water Stuff'!$B$6*1000, 'Water Stuff'!$B$6*1000, 'Water Stuff'!W13*1000)</f>
        <v>4856.1105240537136</v>
      </c>
      <c r="E43">
        <f>IF( 'Water Stuff'!AE13*1000 &gt;= 'Water Stuff'!$B$6*1000, 'Water Stuff'!$B$6*1000, 'Water Stuff'!AE13*1000)</f>
        <v>0</v>
      </c>
      <c r="F43">
        <f>IF('Water Stuff'!AM13*1000&gt;='Water Stuff'!$B$6*1000,'Water Stuff'!$B$6*1000,'Water Stuff'!AM13*1000)</f>
        <v>3653.7851953982617</v>
      </c>
      <c r="I43">
        <f t="shared" si="0"/>
        <v>68</v>
      </c>
      <c r="J43">
        <f t="shared" si="1"/>
        <v>1.6</v>
      </c>
      <c r="K43">
        <f t="shared" si="2"/>
        <v>48.561105240537138</v>
      </c>
      <c r="L43">
        <f t="shared" si="3"/>
        <v>0</v>
      </c>
      <c r="M43">
        <f t="shared" si="4"/>
        <v>36.537851953982617</v>
      </c>
      <c r="O43">
        <f t="shared" si="5"/>
        <v>1.36</v>
      </c>
      <c r="P43">
        <f t="shared" si="6"/>
        <v>3.2000000000000001E-2</v>
      </c>
      <c r="Q43">
        <f t="shared" si="7"/>
        <v>0.97122210481074278</v>
      </c>
      <c r="R43">
        <f t="shared" si="8"/>
        <v>0</v>
      </c>
      <c r="S43">
        <f t="shared" si="9"/>
        <v>0.73075703907965239</v>
      </c>
      <c r="U43">
        <f t="shared" si="10"/>
        <v>34</v>
      </c>
      <c r="V43">
        <f t="shared" si="11"/>
        <v>0.8</v>
      </c>
      <c r="W43">
        <f t="shared" si="12"/>
        <v>24.280552620268569</v>
      </c>
      <c r="X43">
        <f t="shared" si="13"/>
        <v>0</v>
      </c>
      <c r="Y43">
        <f t="shared" si="14"/>
        <v>18.268925976991309</v>
      </c>
      <c r="AA43">
        <f t="shared" si="15"/>
        <v>68</v>
      </c>
      <c r="AB43">
        <f t="shared" si="16"/>
        <v>1.6</v>
      </c>
      <c r="AC43">
        <f t="shared" si="17"/>
        <v>48.561105240537138</v>
      </c>
      <c r="AD43">
        <f t="shared" si="18"/>
        <v>0</v>
      </c>
      <c r="AE43">
        <f t="shared" si="19"/>
        <v>36.537851953982617</v>
      </c>
      <c r="AG43" s="109">
        <f t="shared" si="20"/>
        <v>44570</v>
      </c>
      <c r="AH43">
        <f>'Water Stuff'!I13*1000</f>
        <v>0</v>
      </c>
      <c r="AI43">
        <f>'Water Stuff'!Q13*1000</f>
        <v>620</v>
      </c>
      <c r="AJ43">
        <f>'Water Stuff'!Y13*1000</f>
        <v>620</v>
      </c>
      <c r="AK43">
        <f>'Water Stuff'!AG13*1000</f>
        <v>620</v>
      </c>
      <c r="AL43">
        <f>'Water Stuff'!AO13*1000</f>
        <v>620</v>
      </c>
    </row>
    <row r="44" spans="1:38">
      <c r="A44" s="109">
        <f>'Water Stuff'!F14</f>
        <v>44571</v>
      </c>
      <c r="B44">
        <f>IF( 'Water Stuff'!G14*1000 &gt;= 'Water Stuff'!$B$6*1000, 'Water Stuff'!$B$6*1000, 'Water Stuff'!G14*1000)</f>
        <v>8920</v>
      </c>
      <c r="C44">
        <f>IF( 'Water Stuff'!O14*1000 &gt;= 'Water Stuff'!$B$6*1000, 'Water Stuff'!$B$6*1000, 'Water Stuff'!O14*1000)</f>
        <v>0</v>
      </c>
      <c r="D44">
        <f>IF( 'Water Stuff'!W14*1000 &gt;= 'Water Stuff'!$B$6*1000, 'Water Stuff'!$B$6*1000, 'Water Stuff'!W14*1000)</f>
        <v>7893.6704145023923</v>
      </c>
      <c r="E44">
        <f>IF( 'Water Stuff'!AE14*1000 &gt;= 'Water Stuff'!$B$6*1000, 'Water Stuff'!$B$6*1000, 'Water Stuff'!AE14*1000)</f>
        <v>0</v>
      </c>
      <c r="F44">
        <f>IF('Water Stuff'!AM14*1000&gt;='Water Stuff'!$B$6*1000,'Water Stuff'!$B$6*1000,'Water Stuff'!AM14*1000)</f>
        <v>9105.9558959697661</v>
      </c>
      <c r="I44">
        <f t="shared" si="0"/>
        <v>89.2</v>
      </c>
      <c r="J44">
        <f t="shared" si="1"/>
        <v>0</v>
      </c>
      <c r="K44">
        <f t="shared" si="2"/>
        <v>78.936704145023924</v>
      </c>
      <c r="L44">
        <f t="shared" si="3"/>
        <v>0</v>
      </c>
      <c r="M44">
        <f t="shared" si="4"/>
        <v>91.059558959697668</v>
      </c>
      <c r="O44">
        <f t="shared" si="5"/>
        <v>1.784</v>
      </c>
      <c r="P44">
        <f t="shared" si="6"/>
        <v>0</v>
      </c>
      <c r="Q44">
        <f t="shared" si="7"/>
        <v>1.5787340829004783</v>
      </c>
      <c r="R44">
        <f t="shared" si="8"/>
        <v>0</v>
      </c>
      <c r="S44">
        <f t="shared" si="9"/>
        <v>1.8211911791939532</v>
      </c>
      <c r="U44">
        <f t="shared" si="10"/>
        <v>44.6</v>
      </c>
      <c r="V44">
        <f t="shared" si="11"/>
        <v>0</v>
      </c>
      <c r="W44">
        <f t="shared" si="12"/>
        <v>39.468352072511962</v>
      </c>
      <c r="X44">
        <f t="shared" si="13"/>
        <v>0</v>
      </c>
      <c r="Y44">
        <f t="shared" si="14"/>
        <v>45.529779479848834</v>
      </c>
      <c r="AA44">
        <f t="shared" si="15"/>
        <v>89.2</v>
      </c>
      <c r="AB44">
        <f t="shared" si="16"/>
        <v>0</v>
      </c>
      <c r="AC44">
        <f t="shared" si="17"/>
        <v>78.936704145023924</v>
      </c>
      <c r="AD44">
        <f t="shared" si="18"/>
        <v>0</v>
      </c>
      <c r="AE44">
        <f t="shared" si="19"/>
        <v>91.059558959697668</v>
      </c>
      <c r="AG44" s="109">
        <f t="shared" si="20"/>
        <v>44571</v>
      </c>
      <c r="AH44">
        <f>'Water Stuff'!I14*1000</f>
        <v>0</v>
      </c>
      <c r="AI44">
        <f>'Water Stuff'!Q14*1000</f>
        <v>620</v>
      </c>
      <c r="AJ44">
        <f>'Water Stuff'!Y14*1000</f>
        <v>620</v>
      </c>
      <c r="AK44">
        <f>'Water Stuff'!AG14*1000</f>
        <v>620</v>
      </c>
      <c r="AL44">
        <f>'Water Stuff'!AO14*1000</f>
        <v>620</v>
      </c>
    </row>
    <row r="45" spans="1:38">
      <c r="A45" s="109">
        <f>'Water Stuff'!F15</f>
        <v>44572</v>
      </c>
      <c r="B45">
        <f>IF( 'Water Stuff'!G15*1000 &gt;= 'Water Stuff'!$B$6*1000, 'Water Stuff'!$B$6*1000, 'Water Stuff'!G15*1000)</f>
        <v>2880</v>
      </c>
      <c r="C45">
        <f>IF( 'Water Stuff'!O15*1000 &gt;= 'Water Stuff'!$B$6*1000, 'Water Stuff'!$B$6*1000, 'Water Stuff'!O15*1000)</f>
        <v>0</v>
      </c>
      <c r="D45">
        <f>IF( 'Water Stuff'!W15*1000 &gt;= 'Water Stuff'!$B$6*1000, 'Water Stuff'!$B$6*1000, 'Water Stuff'!W15*1000)</f>
        <v>0</v>
      </c>
      <c r="E45">
        <f>IF( 'Water Stuff'!AE15*1000 &gt;= 'Water Stuff'!$B$6*1000, 'Water Stuff'!$B$6*1000, 'Water Stuff'!AE15*1000)</f>
        <v>0</v>
      </c>
      <c r="F45">
        <f>IF('Water Stuff'!AM15*1000&gt;='Water Stuff'!$B$6*1000,'Water Stuff'!$B$6*1000,'Water Stuff'!AM15*1000)</f>
        <v>0</v>
      </c>
      <c r="I45">
        <f t="shared" si="0"/>
        <v>28.8</v>
      </c>
      <c r="J45">
        <f t="shared" si="1"/>
        <v>0</v>
      </c>
      <c r="K45">
        <f t="shared" si="2"/>
        <v>0</v>
      </c>
      <c r="L45">
        <f t="shared" si="3"/>
        <v>0</v>
      </c>
      <c r="M45">
        <f t="shared" si="4"/>
        <v>0</v>
      </c>
      <c r="O45">
        <f t="shared" si="5"/>
        <v>0.57599999999999996</v>
      </c>
      <c r="P45">
        <f t="shared" si="6"/>
        <v>0</v>
      </c>
      <c r="Q45">
        <f t="shared" si="7"/>
        <v>0</v>
      </c>
      <c r="R45">
        <f t="shared" si="8"/>
        <v>0</v>
      </c>
      <c r="S45">
        <f t="shared" si="9"/>
        <v>0</v>
      </c>
      <c r="U45">
        <f t="shared" si="10"/>
        <v>14.4</v>
      </c>
      <c r="V45">
        <f t="shared" si="11"/>
        <v>0</v>
      </c>
      <c r="W45">
        <f t="shared" si="12"/>
        <v>0</v>
      </c>
      <c r="X45">
        <f t="shared" si="13"/>
        <v>0</v>
      </c>
      <c r="Y45">
        <f t="shared" si="14"/>
        <v>0</v>
      </c>
      <c r="AA45">
        <f t="shared" si="15"/>
        <v>28.8</v>
      </c>
      <c r="AB45">
        <f t="shared" si="16"/>
        <v>0</v>
      </c>
      <c r="AC45">
        <f t="shared" si="17"/>
        <v>0</v>
      </c>
      <c r="AD45">
        <f t="shared" si="18"/>
        <v>0</v>
      </c>
      <c r="AE45">
        <f t="shared" si="19"/>
        <v>0</v>
      </c>
      <c r="AG45" s="109">
        <f t="shared" si="20"/>
        <v>44572</v>
      </c>
      <c r="AH45">
        <f>'Water Stuff'!I15*1000</f>
        <v>0</v>
      </c>
      <c r="AI45">
        <f>'Water Stuff'!Q15*1000</f>
        <v>620</v>
      </c>
      <c r="AJ45">
        <f>'Water Stuff'!Y15*1000</f>
        <v>620</v>
      </c>
      <c r="AK45">
        <f>'Water Stuff'!AG15*1000</f>
        <v>620</v>
      </c>
      <c r="AL45">
        <f>'Water Stuff'!AO15*1000</f>
        <v>620</v>
      </c>
    </row>
    <row r="46" spans="1:38">
      <c r="A46" s="109">
        <f>'Water Stuff'!F16</f>
        <v>44573</v>
      </c>
      <c r="B46">
        <f>IF( 'Water Stuff'!G16*1000 &gt;= 'Water Stuff'!$B$6*1000, 'Water Stuff'!$B$6*1000, 'Water Stuff'!G16*1000)</f>
        <v>10000</v>
      </c>
      <c r="C46">
        <f>IF( 'Water Stuff'!O16*1000 &gt;= 'Water Stuff'!$B$6*1000, 'Water Stuff'!$B$6*1000, 'Water Stuff'!O16*1000)</f>
        <v>0</v>
      </c>
      <c r="D46">
        <f>IF( 'Water Stuff'!W16*1000 &gt;= 'Water Stuff'!$B$6*1000, 'Water Stuff'!$B$6*1000, 'Water Stuff'!W16*1000)</f>
        <v>9700.4824304539961</v>
      </c>
      <c r="E46">
        <f>IF( 'Water Stuff'!AE16*1000 &gt;= 'Water Stuff'!$B$6*1000, 'Water Stuff'!$B$6*1000, 'Water Stuff'!AE16*1000)</f>
        <v>0</v>
      </c>
      <c r="F46">
        <f>IF('Water Stuff'!AM16*1000&gt;='Water Stuff'!$B$6*1000,'Water Stuff'!$B$6*1000,'Water Stuff'!AM16*1000)</f>
        <v>6899.3136874148977</v>
      </c>
      <c r="I46">
        <f t="shared" si="0"/>
        <v>100</v>
      </c>
      <c r="J46">
        <f t="shared" si="1"/>
        <v>0</v>
      </c>
      <c r="K46">
        <f t="shared" si="2"/>
        <v>97.004824304539952</v>
      </c>
      <c r="L46">
        <f t="shared" si="3"/>
        <v>0</v>
      </c>
      <c r="M46">
        <f t="shared" si="4"/>
        <v>68.993136874148973</v>
      </c>
      <c r="O46">
        <f t="shared" si="5"/>
        <v>2</v>
      </c>
      <c r="P46">
        <f t="shared" si="6"/>
        <v>0</v>
      </c>
      <c r="Q46">
        <f t="shared" si="7"/>
        <v>1.9400964860907988</v>
      </c>
      <c r="R46">
        <f t="shared" si="8"/>
        <v>0</v>
      </c>
      <c r="S46">
        <f t="shared" si="9"/>
        <v>1.3798627374829795</v>
      </c>
      <c r="U46">
        <f t="shared" si="10"/>
        <v>50</v>
      </c>
      <c r="V46">
        <f t="shared" si="11"/>
        <v>0</v>
      </c>
      <c r="W46">
        <f t="shared" si="12"/>
        <v>48.502412152269983</v>
      </c>
      <c r="X46">
        <f t="shared" si="13"/>
        <v>0</v>
      </c>
      <c r="Y46">
        <f t="shared" si="14"/>
        <v>34.496568437074487</v>
      </c>
      <c r="AA46">
        <f t="shared" si="15"/>
        <v>100</v>
      </c>
      <c r="AB46">
        <f t="shared" si="16"/>
        <v>0</v>
      </c>
      <c r="AC46">
        <f t="shared" si="17"/>
        <v>97.004824304539966</v>
      </c>
      <c r="AD46">
        <f t="shared" si="18"/>
        <v>0</v>
      </c>
      <c r="AE46">
        <f t="shared" si="19"/>
        <v>68.993136874148973</v>
      </c>
      <c r="AG46" s="109">
        <f t="shared" si="20"/>
        <v>44573</v>
      </c>
      <c r="AH46">
        <f>'Water Stuff'!I16*1000</f>
        <v>0</v>
      </c>
      <c r="AI46">
        <f>'Water Stuff'!Q16*1000</f>
        <v>620</v>
      </c>
      <c r="AJ46">
        <f>'Water Stuff'!Y16*1000</f>
        <v>620</v>
      </c>
      <c r="AK46">
        <f>'Water Stuff'!AG16*1000</f>
        <v>620</v>
      </c>
      <c r="AL46">
        <f>'Water Stuff'!AO16*1000</f>
        <v>620</v>
      </c>
    </row>
    <row r="47" spans="1:38">
      <c r="A47" s="109">
        <f>'Water Stuff'!F17</f>
        <v>44574</v>
      </c>
      <c r="B47">
        <f>IF( 'Water Stuff'!G17*1000 &gt;= 'Water Stuff'!$B$6*1000, 'Water Stuff'!$B$6*1000, 'Water Stuff'!G17*1000)</f>
        <v>1920</v>
      </c>
      <c r="C47">
        <f>IF( 'Water Stuff'!O17*1000 &gt;= 'Water Stuff'!$B$6*1000, 'Water Stuff'!$B$6*1000, 'Water Stuff'!O17*1000)</f>
        <v>0</v>
      </c>
      <c r="D47">
        <f>IF( 'Water Stuff'!W17*1000 &gt;= 'Water Stuff'!$B$6*1000, 'Water Stuff'!$B$6*1000, 'Water Stuff'!W17*1000)</f>
        <v>0</v>
      </c>
      <c r="E47">
        <f>IF( 'Water Stuff'!AE17*1000 &gt;= 'Water Stuff'!$B$6*1000, 'Water Stuff'!$B$6*1000, 'Water Stuff'!AE17*1000)</f>
        <v>1342.1618981117522</v>
      </c>
      <c r="F47">
        <f>IF('Water Stuff'!AM17*1000&gt;='Water Stuff'!$B$6*1000,'Water Stuff'!$B$6*1000,'Water Stuff'!AM17*1000)</f>
        <v>123.70175656414074</v>
      </c>
      <c r="I47">
        <f t="shared" si="0"/>
        <v>19.2</v>
      </c>
      <c r="J47">
        <f t="shared" si="1"/>
        <v>0</v>
      </c>
      <c r="K47">
        <f t="shared" si="2"/>
        <v>0</v>
      </c>
      <c r="L47">
        <f t="shared" si="3"/>
        <v>13.42161898111752</v>
      </c>
      <c r="M47">
        <f t="shared" si="4"/>
        <v>1.2370175656414073</v>
      </c>
      <c r="O47">
        <f t="shared" si="5"/>
        <v>0.38400000000000001</v>
      </c>
      <c r="P47">
        <f t="shared" si="6"/>
        <v>0</v>
      </c>
      <c r="Q47">
        <f t="shared" si="7"/>
        <v>0</v>
      </c>
      <c r="R47">
        <f t="shared" si="8"/>
        <v>0.26843237962235039</v>
      </c>
      <c r="S47">
        <f t="shared" si="9"/>
        <v>2.4740351312828146E-2</v>
      </c>
      <c r="U47">
        <f t="shared" si="10"/>
        <v>9.6</v>
      </c>
      <c r="V47">
        <f t="shared" si="11"/>
        <v>0</v>
      </c>
      <c r="W47">
        <f t="shared" si="12"/>
        <v>0</v>
      </c>
      <c r="X47">
        <f t="shared" si="13"/>
        <v>6.710809490558761</v>
      </c>
      <c r="Y47">
        <f t="shared" si="14"/>
        <v>0.61850878282070365</v>
      </c>
      <c r="AA47">
        <f t="shared" si="15"/>
        <v>19.2</v>
      </c>
      <c r="AB47">
        <f t="shared" si="16"/>
        <v>0</v>
      </c>
      <c r="AC47">
        <f t="shared" si="17"/>
        <v>0</v>
      </c>
      <c r="AD47">
        <f t="shared" si="18"/>
        <v>13.421618981117522</v>
      </c>
      <c r="AE47">
        <f t="shared" si="19"/>
        <v>1.2370175656414073</v>
      </c>
      <c r="AG47" s="109">
        <f t="shared" si="20"/>
        <v>44574</v>
      </c>
      <c r="AH47">
        <f>'Water Stuff'!I17*1000</f>
        <v>0</v>
      </c>
      <c r="AI47">
        <f>'Water Stuff'!Q17*1000</f>
        <v>620</v>
      </c>
      <c r="AJ47">
        <f>'Water Stuff'!Y17*1000</f>
        <v>620</v>
      </c>
      <c r="AK47">
        <f>'Water Stuff'!AG17*1000</f>
        <v>620</v>
      </c>
      <c r="AL47">
        <f>'Water Stuff'!AO17*1000</f>
        <v>620</v>
      </c>
    </row>
    <row r="48" spans="1:38">
      <c r="A48" s="109">
        <f>'Water Stuff'!F18</f>
        <v>44575</v>
      </c>
      <c r="B48">
        <f>IF( 'Water Stuff'!G18*1000 &gt;= 'Water Stuff'!$B$6*1000, 'Water Stuff'!$B$6*1000, 'Water Stuff'!G18*1000)</f>
        <v>1160</v>
      </c>
      <c r="C48">
        <f>IF( 'Water Stuff'!O18*1000 &gt;= 'Water Stuff'!$B$6*1000, 'Water Stuff'!$B$6*1000, 'Water Stuff'!O18*1000)</f>
        <v>80</v>
      </c>
      <c r="D48">
        <f>IF( 'Water Stuff'!W18*1000 &gt;= 'Water Stuff'!$B$6*1000, 'Water Stuff'!$B$6*1000, 'Water Stuff'!W18*1000)</f>
        <v>1919.3323115213052</v>
      </c>
      <c r="E48">
        <f>IF( 'Water Stuff'!AE18*1000 &gt;= 'Water Stuff'!$B$6*1000, 'Water Stuff'!$B$6*1000, 'Water Stuff'!AE18*1000)</f>
        <v>0</v>
      </c>
      <c r="F48">
        <f>IF('Water Stuff'!AM18*1000&gt;='Water Stuff'!$B$6*1000,'Water Stuff'!$B$6*1000,'Water Stuff'!AM18*1000)</f>
        <v>246.23298725351123</v>
      </c>
      <c r="I48">
        <f t="shared" si="0"/>
        <v>11.6</v>
      </c>
      <c r="J48">
        <f t="shared" si="1"/>
        <v>0.8</v>
      </c>
      <c r="K48">
        <f t="shared" si="2"/>
        <v>19.193323115213055</v>
      </c>
      <c r="L48">
        <f t="shared" si="3"/>
        <v>0</v>
      </c>
      <c r="M48">
        <f t="shared" si="4"/>
        <v>2.4623298725351122</v>
      </c>
      <c r="O48">
        <f t="shared" si="5"/>
        <v>0.23200000000000001</v>
      </c>
      <c r="P48">
        <f t="shared" si="6"/>
        <v>1.6E-2</v>
      </c>
      <c r="Q48">
        <f t="shared" si="7"/>
        <v>0.38386646230426108</v>
      </c>
      <c r="R48">
        <f t="shared" si="8"/>
        <v>0</v>
      </c>
      <c r="S48">
        <f t="shared" si="9"/>
        <v>4.9246597450702249E-2</v>
      </c>
      <c r="U48">
        <f t="shared" si="10"/>
        <v>5.8</v>
      </c>
      <c r="V48">
        <f t="shared" si="11"/>
        <v>0.4</v>
      </c>
      <c r="W48">
        <f t="shared" si="12"/>
        <v>9.5966615576065255</v>
      </c>
      <c r="X48">
        <f t="shared" si="13"/>
        <v>0</v>
      </c>
      <c r="Y48">
        <f t="shared" si="14"/>
        <v>1.2311649362675561</v>
      </c>
      <c r="AA48">
        <f t="shared" si="15"/>
        <v>11.6</v>
      </c>
      <c r="AB48">
        <f t="shared" si="16"/>
        <v>0.8</v>
      </c>
      <c r="AC48">
        <f t="shared" si="17"/>
        <v>19.193323115213051</v>
      </c>
      <c r="AD48">
        <f t="shared" si="18"/>
        <v>0</v>
      </c>
      <c r="AE48">
        <f t="shared" si="19"/>
        <v>2.4623298725351122</v>
      </c>
      <c r="AG48" s="109">
        <f t="shared" si="20"/>
        <v>44575</v>
      </c>
      <c r="AH48">
        <f>'Water Stuff'!I18*1000</f>
        <v>0</v>
      </c>
      <c r="AI48">
        <f>'Water Stuff'!Q18*1000</f>
        <v>620</v>
      </c>
      <c r="AJ48">
        <f>'Water Stuff'!Y18*1000</f>
        <v>620</v>
      </c>
      <c r="AK48">
        <f>'Water Stuff'!AG18*1000</f>
        <v>620</v>
      </c>
      <c r="AL48">
        <f>'Water Stuff'!AO18*1000</f>
        <v>620</v>
      </c>
    </row>
    <row r="49" spans="1:38">
      <c r="A49" s="109">
        <f>'Water Stuff'!F19</f>
        <v>44576</v>
      </c>
      <c r="B49">
        <f>IF( 'Water Stuff'!G19*1000 &gt;= 'Water Stuff'!$B$6*1000, 'Water Stuff'!$B$6*1000, 'Water Stuff'!G19*1000)</f>
        <v>320</v>
      </c>
      <c r="C49">
        <f>IF( 'Water Stuff'!O19*1000 &gt;= 'Water Stuff'!$B$6*1000, 'Water Stuff'!$B$6*1000, 'Water Stuff'!O19*1000)</f>
        <v>7080</v>
      </c>
      <c r="D49">
        <f>IF( 'Water Stuff'!W19*1000 &gt;= 'Water Stuff'!$B$6*1000, 'Water Stuff'!$B$6*1000, 'Water Stuff'!W19*1000)</f>
        <v>0</v>
      </c>
      <c r="E49">
        <f>IF( 'Water Stuff'!AE19*1000 &gt;= 'Water Stuff'!$B$6*1000, 'Water Stuff'!$B$6*1000, 'Water Stuff'!AE19*1000)</f>
        <v>4860.9133779500362</v>
      </c>
      <c r="F49">
        <f>IF('Water Stuff'!AM19*1000&gt;='Water Stuff'!$B$6*1000,'Water Stuff'!$B$6*1000,'Water Stuff'!AM19*1000)</f>
        <v>0</v>
      </c>
      <c r="I49">
        <f t="shared" si="0"/>
        <v>3.2</v>
      </c>
      <c r="J49">
        <f t="shared" si="1"/>
        <v>70.8</v>
      </c>
      <c r="K49">
        <f t="shared" si="2"/>
        <v>0</v>
      </c>
      <c r="L49">
        <f t="shared" si="3"/>
        <v>48.609133779500361</v>
      </c>
      <c r="M49">
        <f t="shared" si="4"/>
        <v>0</v>
      </c>
      <c r="O49">
        <f t="shared" si="5"/>
        <v>6.4000000000000001E-2</v>
      </c>
      <c r="P49">
        <f t="shared" si="6"/>
        <v>1.4159999999999999</v>
      </c>
      <c r="Q49">
        <f t="shared" si="7"/>
        <v>0</v>
      </c>
      <c r="R49">
        <f t="shared" si="8"/>
        <v>0.97218267559000715</v>
      </c>
      <c r="S49">
        <f t="shared" si="9"/>
        <v>0</v>
      </c>
      <c r="U49">
        <f t="shared" si="10"/>
        <v>1.6</v>
      </c>
      <c r="V49">
        <f t="shared" si="11"/>
        <v>35.4</v>
      </c>
      <c r="W49">
        <f t="shared" si="12"/>
        <v>0</v>
      </c>
      <c r="X49">
        <f t="shared" si="13"/>
        <v>24.304566889750181</v>
      </c>
      <c r="Y49">
        <f t="shared" si="14"/>
        <v>0</v>
      </c>
      <c r="AA49">
        <f t="shared" si="15"/>
        <v>3.2</v>
      </c>
      <c r="AB49">
        <f t="shared" si="16"/>
        <v>70.8</v>
      </c>
      <c r="AC49">
        <f t="shared" si="17"/>
        <v>0</v>
      </c>
      <c r="AD49">
        <f t="shared" si="18"/>
        <v>48.609133779500361</v>
      </c>
      <c r="AE49">
        <f t="shared" si="19"/>
        <v>0</v>
      </c>
      <c r="AG49" s="109">
        <f t="shared" si="20"/>
        <v>44576</v>
      </c>
      <c r="AH49">
        <f>'Water Stuff'!I19*1000</f>
        <v>0</v>
      </c>
      <c r="AI49">
        <f>'Water Stuff'!Q19*1000</f>
        <v>620</v>
      </c>
      <c r="AJ49">
        <f>'Water Stuff'!Y19*1000</f>
        <v>620</v>
      </c>
      <c r="AK49">
        <f>'Water Stuff'!AG19*1000</f>
        <v>620</v>
      </c>
      <c r="AL49">
        <f>'Water Stuff'!AO19*1000</f>
        <v>620</v>
      </c>
    </row>
    <row r="50" spans="1:38">
      <c r="A50" s="109">
        <f>'Water Stuff'!F20</f>
        <v>44577</v>
      </c>
      <c r="B50">
        <f>IF( 'Water Stuff'!G20*1000 &gt;= 'Water Stuff'!$B$6*1000, 'Water Stuff'!$B$6*1000, 'Water Stuff'!G20*1000)</f>
        <v>160</v>
      </c>
      <c r="C50">
        <f>IF( 'Water Stuff'!O20*1000 &gt;= 'Water Stuff'!$B$6*1000, 'Water Stuff'!$B$6*1000, 'Water Stuff'!O20*1000)</f>
        <v>1200</v>
      </c>
      <c r="D50">
        <f>IF( 'Water Stuff'!W20*1000 &gt;= 'Water Stuff'!$B$6*1000, 'Water Stuff'!$B$6*1000, 'Water Stuff'!W20*1000)</f>
        <v>0</v>
      </c>
      <c r="E50">
        <f>IF( 'Water Stuff'!AE20*1000 &gt;= 'Water Stuff'!$B$6*1000, 'Water Stuff'!$B$6*1000, 'Water Stuff'!AE20*1000)</f>
        <v>1466.5509368050377</v>
      </c>
      <c r="F50">
        <f>IF('Water Stuff'!AM20*1000&gt;='Water Stuff'!$B$6*1000,'Water Stuff'!$B$6*1000,'Water Stuff'!AM20*1000)</f>
        <v>0</v>
      </c>
      <c r="I50">
        <f t="shared" si="0"/>
        <v>1.6</v>
      </c>
      <c r="J50">
        <f t="shared" si="1"/>
        <v>12</v>
      </c>
      <c r="K50">
        <f t="shared" si="2"/>
        <v>0</v>
      </c>
      <c r="L50">
        <f t="shared" si="3"/>
        <v>14.665509368050378</v>
      </c>
      <c r="M50">
        <f t="shared" si="4"/>
        <v>0</v>
      </c>
      <c r="O50">
        <f t="shared" si="5"/>
        <v>3.2000000000000001E-2</v>
      </c>
      <c r="P50">
        <f t="shared" si="6"/>
        <v>0.24</v>
      </c>
      <c r="Q50">
        <f t="shared" si="7"/>
        <v>0</v>
      </c>
      <c r="R50">
        <f t="shared" si="8"/>
        <v>0.29331018736100756</v>
      </c>
      <c r="S50">
        <f t="shared" si="9"/>
        <v>0</v>
      </c>
      <c r="U50">
        <f t="shared" si="10"/>
        <v>0.8</v>
      </c>
      <c r="V50">
        <f t="shared" si="11"/>
        <v>6</v>
      </c>
      <c r="W50">
        <f t="shared" si="12"/>
        <v>0</v>
      </c>
      <c r="X50">
        <f t="shared" si="13"/>
        <v>7.3327546840251889</v>
      </c>
      <c r="Y50">
        <f t="shared" si="14"/>
        <v>0</v>
      </c>
      <c r="AA50">
        <f t="shared" si="15"/>
        <v>1.6</v>
      </c>
      <c r="AB50">
        <f t="shared" si="16"/>
        <v>12</v>
      </c>
      <c r="AC50">
        <f t="shared" si="17"/>
        <v>0</v>
      </c>
      <c r="AD50">
        <f t="shared" si="18"/>
        <v>14.665509368050378</v>
      </c>
      <c r="AE50">
        <f t="shared" si="19"/>
        <v>0</v>
      </c>
      <c r="AG50" s="109">
        <f t="shared" si="20"/>
        <v>44577</v>
      </c>
      <c r="AH50">
        <f>'Water Stuff'!I20*1000</f>
        <v>0</v>
      </c>
      <c r="AI50">
        <f>'Water Stuff'!Q20*1000</f>
        <v>620</v>
      </c>
      <c r="AJ50">
        <f>'Water Stuff'!Y20*1000</f>
        <v>620</v>
      </c>
      <c r="AK50">
        <f>'Water Stuff'!AG20*1000</f>
        <v>620</v>
      </c>
      <c r="AL50">
        <f>'Water Stuff'!AO20*1000</f>
        <v>620</v>
      </c>
    </row>
    <row r="51" spans="1:38">
      <c r="A51" s="109">
        <f>'Water Stuff'!F21</f>
        <v>44578</v>
      </c>
      <c r="B51">
        <f>IF( 'Water Stuff'!G21*1000 &gt;= 'Water Stuff'!$B$6*1000, 'Water Stuff'!$B$6*1000, 'Water Stuff'!G21*1000)</f>
        <v>0</v>
      </c>
      <c r="C51">
        <f>IF( 'Water Stuff'!O21*1000 &gt;= 'Water Stuff'!$B$6*1000, 'Water Stuff'!$B$6*1000, 'Water Stuff'!O21*1000)</f>
        <v>4079.9999999999991</v>
      </c>
      <c r="D51">
        <f>IF( 'Water Stuff'!W21*1000 &gt;= 'Water Stuff'!$B$6*1000, 'Water Stuff'!$B$6*1000, 'Water Stuff'!W21*1000)</f>
        <v>0</v>
      </c>
      <c r="E51">
        <f>IF( 'Water Stuff'!AE21*1000 &gt;= 'Water Stuff'!$B$6*1000, 'Water Stuff'!$B$6*1000, 'Water Stuff'!AE21*1000)</f>
        <v>3420.5984157795319</v>
      </c>
      <c r="F51">
        <f>IF('Water Stuff'!AM21*1000&gt;='Water Stuff'!$B$6*1000,'Water Stuff'!$B$6*1000,'Water Stuff'!AM21*1000)</f>
        <v>344.74824122746497</v>
      </c>
      <c r="I51">
        <f t="shared" si="0"/>
        <v>0</v>
      </c>
      <c r="J51">
        <f t="shared" si="1"/>
        <v>40.79999999999999</v>
      </c>
      <c r="K51">
        <f t="shared" si="2"/>
        <v>0</v>
      </c>
      <c r="L51">
        <f t="shared" si="3"/>
        <v>34.205984157795321</v>
      </c>
      <c r="M51">
        <f t="shared" si="4"/>
        <v>3.4474824122746495</v>
      </c>
      <c r="O51">
        <f t="shared" si="5"/>
        <v>0</v>
      </c>
      <c r="P51">
        <f t="shared" si="6"/>
        <v>0.81599999999999973</v>
      </c>
      <c r="Q51">
        <f t="shared" si="7"/>
        <v>0</v>
      </c>
      <c r="R51">
        <f t="shared" si="8"/>
        <v>0.68411968315590643</v>
      </c>
      <c r="S51">
        <f t="shared" si="9"/>
        <v>6.8949648245492989E-2</v>
      </c>
      <c r="U51">
        <f t="shared" si="10"/>
        <v>0</v>
      </c>
      <c r="V51">
        <f t="shared" si="11"/>
        <v>20.399999999999995</v>
      </c>
      <c r="W51">
        <f t="shared" si="12"/>
        <v>0</v>
      </c>
      <c r="X51">
        <f t="shared" si="13"/>
        <v>17.10299207889766</v>
      </c>
      <c r="Y51">
        <f t="shared" si="14"/>
        <v>1.723741206137325</v>
      </c>
      <c r="AA51">
        <f t="shared" si="15"/>
        <v>0</v>
      </c>
      <c r="AB51">
        <f t="shared" si="16"/>
        <v>40.79999999999999</v>
      </c>
      <c r="AC51">
        <f t="shared" si="17"/>
        <v>0</v>
      </c>
      <c r="AD51">
        <f t="shared" si="18"/>
        <v>34.205984157795321</v>
      </c>
      <c r="AE51">
        <f t="shared" si="19"/>
        <v>3.4474824122746499</v>
      </c>
      <c r="AG51" s="109">
        <f t="shared" si="20"/>
        <v>44578</v>
      </c>
      <c r="AH51">
        <f>'Water Stuff'!I21*1000</f>
        <v>0</v>
      </c>
      <c r="AI51">
        <f>'Water Stuff'!Q21*1000</f>
        <v>620</v>
      </c>
      <c r="AJ51">
        <f>'Water Stuff'!Y21*1000</f>
        <v>620</v>
      </c>
      <c r="AK51">
        <f>'Water Stuff'!AG21*1000</f>
        <v>620</v>
      </c>
      <c r="AL51">
        <f>'Water Stuff'!AO21*1000</f>
        <v>620</v>
      </c>
    </row>
    <row r="52" spans="1:38">
      <c r="A52" s="109">
        <f>'Water Stuff'!F22</f>
        <v>44579</v>
      </c>
      <c r="B52">
        <f>IF( 'Water Stuff'!G22*1000 &gt;= 'Water Stuff'!$B$6*1000, 'Water Stuff'!$B$6*1000, 'Water Stuff'!G22*1000)</f>
        <v>520</v>
      </c>
      <c r="C52">
        <f>IF( 'Water Stuff'!O22*1000 &gt;= 'Water Stuff'!$B$6*1000, 'Water Stuff'!$B$6*1000, 'Water Stuff'!O22*1000)</f>
        <v>3320.0000000000005</v>
      </c>
      <c r="D52">
        <f>IF( 'Water Stuff'!W22*1000 &gt;= 'Water Stuff'!$B$6*1000, 'Water Stuff'!$B$6*1000, 'Water Stuff'!W22*1000)</f>
        <v>0</v>
      </c>
      <c r="E52">
        <f>IF( 'Water Stuff'!AE22*1000 &gt;= 'Water Stuff'!$B$6*1000, 'Water Stuff'!$B$6*1000, 'Water Stuff'!AE22*1000)</f>
        <v>248.435211266094</v>
      </c>
      <c r="F52">
        <f>IF('Water Stuff'!AM22*1000&gt;='Water Stuff'!$B$6*1000,'Water Stuff'!$B$6*1000,'Water Stuff'!AM22*1000)</f>
        <v>1509.3230520937334</v>
      </c>
      <c r="I52">
        <f t="shared" si="0"/>
        <v>5.2</v>
      </c>
      <c r="J52">
        <f t="shared" si="1"/>
        <v>33.20000000000001</v>
      </c>
      <c r="K52">
        <f t="shared" si="2"/>
        <v>0</v>
      </c>
      <c r="L52">
        <f t="shared" si="3"/>
        <v>2.48435211266094</v>
      </c>
      <c r="M52">
        <f t="shared" si="4"/>
        <v>15.093230520937334</v>
      </c>
      <c r="O52">
        <f t="shared" si="5"/>
        <v>0.104</v>
      </c>
      <c r="P52">
        <f t="shared" si="6"/>
        <v>0.66400000000000026</v>
      </c>
      <c r="Q52">
        <f t="shared" si="7"/>
        <v>0</v>
      </c>
      <c r="R52">
        <f t="shared" si="8"/>
        <v>4.9687042253218801E-2</v>
      </c>
      <c r="S52">
        <f t="shared" si="9"/>
        <v>0.30186461041874668</v>
      </c>
      <c r="U52">
        <f t="shared" si="10"/>
        <v>2.6</v>
      </c>
      <c r="V52">
        <f t="shared" si="11"/>
        <v>16.600000000000001</v>
      </c>
      <c r="W52">
        <f t="shared" si="12"/>
        <v>0</v>
      </c>
      <c r="X52">
        <f t="shared" si="13"/>
        <v>1.24217605633047</v>
      </c>
      <c r="Y52">
        <f t="shared" si="14"/>
        <v>7.5466152604686672</v>
      </c>
      <c r="AA52">
        <f t="shared" si="15"/>
        <v>5.2</v>
      </c>
      <c r="AB52">
        <f t="shared" si="16"/>
        <v>33.200000000000003</v>
      </c>
      <c r="AC52">
        <f t="shared" si="17"/>
        <v>0</v>
      </c>
      <c r="AD52">
        <f t="shared" si="18"/>
        <v>2.48435211266094</v>
      </c>
      <c r="AE52">
        <f t="shared" si="19"/>
        <v>15.093230520937334</v>
      </c>
      <c r="AG52" s="109">
        <f t="shared" si="20"/>
        <v>44579</v>
      </c>
      <c r="AH52">
        <f>'Water Stuff'!I22*1000</f>
        <v>0</v>
      </c>
      <c r="AI52">
        <f>'Water Stuff'!Q22*1000</f>
        <v>620</v>
      </c>
      <c r="AJ52">
        <f>'Water Stuff'!Y22*1000</f>
        <v>620</v>
      </c>
      <c r="AK52">
        <f>'Water Stuff'!AG22*1000</f>
        <v>620</v>
      </c>
      <c r="AL52">
        <f>'Water Stuff'!AO22*1000</f>
        <v>620</v>
      </c>
    </row>
    <row r="53" spans="1:38">
      <c r="A53" s="109">
        <f>'Water Stuff'!F23</f>
        <v>44580</v>
      </c>
      <c r="B53">
        <f>IF( 'Water Stuff'!G23*1000 &gt;= 'Water Stuff'!$B$6*1000, 'Water Stuff'!$B$6*1000, 'Water Stuff'!G23*1000)</f>
        <v>200</v>
      </c>
      <c r="C53">
        <f>IF( 'Water Stuff'!O23*1000 &gt;= 'Water Stuff'!$B$6*1000, 'Water Stuff'!$B$6*1000, 'Water Stuff'!O23*1000)</f>
        <v>520</v>
      </c>
      <c r="D53">
        <f>IF( 'Water Stuff'!W23*1000 &gt;= 'Water Stuff'!$B$6*1000, 'Water Stuff'!$B$6*1000, 'Water Stuff'!W23*1000)</f>
        <v>1599.1155445008858</v>
      </c>
      <c r="E53">
        <f>IF( 'Water Stuff'!AE23*1000 &gt;= 'Water Stuff'!$B$6*1000, 'Water Stuff'!$B$6*1000, 'Water Stuff'!AE23*1000)</f>
        <v>96.725717638660583</v>
      </c>
      <c r="F53">
        <f>IF('Water Stuff'!AM23*1000&gt;='Water Stuff'!$B$6*1000,'Water Stuff'!$B$6*1000,'Water Stuff'!AM23*1000)</f>
        <v>0</v>
      </c>
      <c r="I53">
        <f t="shared" si="0"/>
        <v>2</v>
      </c>
      <c r="J53">
        <f t="shared" si="1"/>
        <v>5.2</v>
      </c>
      <c r="K53">
        <f t="shared" si="2"/>
        <v>15.991155445008859</v>
      </c>
      <c r="L53">
        <f t="shared" si="3"/>
        <v>0.9672571763866058</v>
      </c>
      <c r="M53">
        <f t="shared" si="4"/>
        <v>0</v>
      </c>
      <c r="O53">
        <f t="shared" si="5"/>
        <v>0.04</v>
      </c>
      <c r="P53">
        <f t="shared" si="6"/>
        <v>0.104</v>
      </c>
      <c r="Q53">
        <f t="shared" si="7"/>
        <v>0.31982310890017718</v>
      </c>
      <c r="R53">
        <f t="shared" si="8"/>
        <v>1.9345143527732117E-2</v>
      </c>
      <c r="S53">
        <f t="shared" si="9"/>
        <v>0</v>
      </c>
      <c r="U53">
        <f t="shared" si="10"/>
        <v>1</v>
      </c>
      <c r="V53">
        <f t="shared" si="11"/>
        <v>2.6</v>
      </c>
      <c r="W53">
        <f t="shared" si="12"/>
        <v>7.9955777225044296</v>
      </c>
      <c r="X53">
        <f t="shared" si="13"/>
        <v>0.48362858819330296</v>
      </c>
      <c r="Y53">
        <f t="shared" si="14"/>
        <v>0</v>
      </c>
      <c r="AA53">
        <f t="shared" si="15"/>
        <v>2</v>
      </c>
      <c r="AB53">
        <f t="shared" si="16"/>
        <v>5.2</v>
      </c>
      <c r="AC53">
        <f t="shared" si="17"/>
        <v>15.991155445008859</v>
      </c>
      <c r="AD53">
        <f t="shared" si="18"/>
        <v>0.96725717638660591</v>
      </c>
      <c r="AE53">
        <f t="shared" si="19"/>
        <v>0</v>
      </c>
      <c r="AG53" s="109">
        <f t="shared" si="20"/>
        <v>44580</v>
      </c>
      <c r="AH53">
        <f>'Water Stuff'!I23*1000</f>
        <v>0</v>
      </c>
      <c r="AI53">
        <f>'Water Stuff'!Q23*1000</f>
        <v>620</v>
      </c>
      <c r="AJ53">
        <f>'Water Stuff'!Y23*1000</f>
        <v>620</v>
      </c>
      <c r="AK53">
        <f>'Water Stuff'!AG23*1000</f>
        <v>620</v>
      </c>
      <c r="AL53">
        <f>'Water Stuff'!AO23*1000</f>
        <v>620</v>
      </c>
    </row>
    <row r="54" spans="1:38">
      <c r="A54" s="109">
        <f>'Water Stuff'!F24</f>
        <v>44581</v>
      </c>
      <c r="B54">
        <f>IF( 'Water Stuff'!G24*1000 &gt;= 'Water Stuff'!$B$6*1000, 'Water Stuff'!$B$6*1000, 'Water Stuff'!G24*1000)</f>
        <v>120</v>
      </c>
      <c r="C54">
        <f>IF( 'Water Stuff'!O24*1000 &gt;= 'Water Stuff'!$B$6*1000, 'Water Stuff'!$B$6*1000, 'Water Stuff'!O24*1000)</f>
        <v>80</v>
      </c>
      <c r="D54">
        <f>IF( 'Water Stuff'!W24*1000 &gt;= 'Water Stuff'!$B$6*1000, 'Water Stuff'!$B$6*1000, 'Water Stuff'!W24*1000)</f>
        <v>0</v>
      </c>
      <c r="E54">
        <f>IF( 'Water Stuff'!AE24*1000 &gt;= 'Water Stuff'!$B$6*1000, 'Water Stuff'!$B$6*1000, 'Water Stuff'!AE24*1000)</f>
        <v>0</v>
      </c>
      <c r="F54">
        <f>IF('Water Stuff'!AM24*1000&gt;='Water Stuff'!$B$6*1000,'Water Stuff'!$B$6*1000,'Water Stuff'!AM24*1000)</f>
        <v>0</v>
      </c>
      <c r="I54">
        <f t="shared" si="0"/>
        <v>1.2</v>
      </c>
      <c r="J54">
        <f t="shared" si="1"/>
        <v>0.8</v>
      </c>
      <c r="K54">
        <f t="shared" si="2"/>
        <v>0</v>
      </c>
      <c r="L54">
        <f t="shared" si="3"/>
        <v>0</v>
      </c>
      <c r="M54">
        <f t="shared" si="4"/>
        <v>0</v>
      </c>
      <c r="O54">
        <f t="shared" si="5"/>
        <v>2.4E-2</v>
      </c>
      <c r="P54">
        <f t="shared" si="6"/>
        <v>1.6E-2</v>
      </c>
      <c r="Q54">
        <f t="shared" si="7"/>
        <v>0</v>
      </c>
      <c r="R54">
        <f t="shared" si="8"/>
        <v>0</v>
      </c>
      <c r="S54">
        <f t="shared" si="9"/>
        <v>0</v>
      </c>
      <c r="U54">
        <f t="shared" si="10"/>
        <v>0.6</v>
      </c>
      <c r="V54">
        <f t="shared" si="11"/>
        <v>0.4</v>
      </c>
      <c r="W54">
        <f t="shared" si="12"/>
        <v>0</v>
      </c>
      <c r="X54">
        <f t="shared" si="13"/>
        <v>0</v>
      </c>
      <c r="Y54">
        <f t="shared" si="14"/>
        <v>0</v>
      </c>
      <c r="AA54">
        <f t="shared" si="15"/>
        <v>1.2</v>
      </c>
      <c r="AB54">
        <f t="shared" si="16"/>
        <v>0.8</v>
      </c>
      <c r="AC54">
        <f t="shared" si="17"/>
        <v>0</v>
      </c>
      <c r="AD54">
        <f t="shared" si="18"/>
        <v>0</v>
      </c>
      <c r="AE54">
        <f t="shared" si="19"/>
        <v>0</v>
      </c>
      <c r="AG54" s="109">
        <f t="shared" si="20"/>
        <v>44581</v>
      </c>
      <c r="AH54">
        <f>'Water Stuff'!I24*1000</f>
        <v>0</v>
      </c>
      <c r="AI54">
        <f>'Water Stuff'!Q24*1000</f>
        <v>620</v>
      </c>
      <c r="AJ54">
        <f>'Water Stuff'!Y24*1000</f>
        <v>620</v>
      </c>
      <c r="AK54">
        <f>'Water Stuff'!AG24*1000</f>
        <v>620</v>
      </c>
      <c r="AL54">
        <f>'Water Stuff'!AO24*1000</f>
        <v>620</v>
      </c>
    </row>
    <row r="55" spans="1:38">
      <c r="A55" s="109">
        <f>'Water Stuff'!F25</f>
        <v>44582</v>
      </c>
      <c r="B55">
        <f>IF( 'Water Stuff'!G25*1000 &gt;= 'Water Stuff'!$B$6*1000, 'Water Stuff'!$B$6*1000, 'Water Stuff'!G25*1000)</f>
        <v>160</v>
      </c>
      <c r="C55">
        <f>IF( 'Water Stuff'!O25*1000 &gt;= 'Water Stuff'!$B$6*1000, 'Water Stuff'!$B$6*1000, 'Water Stuff'!O25*1000)</f>
        <v>3679.9999999999995</v>
      </c>
      <c r="D55">
        <f>IF( 'Water Stuff'!W25*1000 &gt;= 'Water Stuff'!$B$6*1000, 'Water Stuff'!$B$6*1000, 'Water Stuff'!W25*1000)</f>
        <v>0</v>
      </c>
      <c r="E55">
        <f>IF( 'Water Stuff'!AE25*1000 &gt;= 'Water Stuff'!$B$6*1000, 'Water Stuff'!$B$6*1000, 'Water Stuff'!AE25*1000)</f>
        <v>4109.4602817966343</v>
      </c>
      <c r="F55">
        <f>IF('Water Stuff'!AM25*1000&gt;='Water Stuff'!$B$6*1000,'Water Stuff'!$B$6*1000,'Water Stuff'!AM25*1000)</f>
        <v>897.86364282340776</v>
      </c>
      <c r="I55">
        <f t="shared" si="0"/>
        <v>1.6</v>
      </c>
      <c r="J55">
        <f t="shared" si="1"/>
        <v>36.79999999999999</v>
      </c>
      <c r="K55">
        <f t="shared" si="2"/>
        <v>0</v>
      </c>
      <c r="L55">
        <f t="shared" si="3"/>
        <v>41.09460281796634</v>
      </c>
      <c r="M55">
        <f t="shared" si="4"/>
        <v>8.9786364282340791</v>
      </c>
      <c r="O55">
        <f t="shared" si="5"/>
        <v>3.2000000000000001E-2</v>
      </c>
      <c r="P55">
        <f t="shared" si="6"/>
        <v>0.73599999999999977</v>
      </c>
      <c r="Q55">
        <f t="shared" si="7"/>
        <v>0</v>
      </c>
      <c r="R55">
        <f t="shared" si="8"/>
        <v>0.82189205635932683</v>
      </c>
      <c r="S55">
        <f t="shared" si="9"/>
        <v>0.17957272856468157</v>
      </c>
      <c r="U55">
        <f t="shared" si="10"/>
        <v>0.8</v>
      </c>
      <c r="V55">
        <f t="shared" si="11"/>
        <v>18.399999999999999</v>
      </c>
      <c r="W55">
        <f t="shared" si="12"/>
        <v>0</v>
      </c>
      <c r="X55">
        <f t="shared" si="13"/>
        <v>20.54730140898317</v>
      </c>
      <c r="Y55">
        <f t="shared" si="14"/>
        <v>4.4893182141170387</v>
      </c>
      <c r="AA55">
        <f t="shared" si="15"/>
        <v>1.6</v>
      </c>
      <c r="AB55">
        <f t="shared" si="16"/>
        <v>36.799999999999997</v>
      </c>
      <c r="AC55">
        <f t="shared" si="17"/>
        <v>0</v>
      </c>
      <c r="AD55">
        <f t="shared" si="18"/>
        <v>41.09460281796634</v>
      </c>
      <c r="AE55">
        <f t="shared" si="19"/>
        <v>8.9786364282340774</v>
      </c>
      <c r="AG55" s="109">
        <f t="shared" si="20"/>
        <v>44582</v>
      </c>
      <c r="AH55">
        <f>'Water Stuff'!I25*1000</f>
        <v>0</v>
      </c>
      <c r="AI55">
        <f>'Water Stuff'!Q25*1000</f>
        <v>620</v>
      </c>
      <c r="AJ55">
        <f>'Water Stuff'!Y25*1000</f>
        <v>620</v>
      </c>
      <c r="AK55">
        <f>'Water Stuff'!AG25*1000</f>
        <v>620</v>
      </c>
      <c r="AL55">
        <f>'Water Stuff'!AO25*1000</f>
        <v>620</v>
      </c>
    </row>
    <row r="56" spans="1:38">
      <c r="A56" s="109">
        <f>'Water Stuff'!F26</f>
        <v>44583</v>
      </c>
      <c r="B56">
        <f>IF( 'Water Stuff'!G26*1000 &gt;= 'Water Stuff'!$B$6*1000, 'Water Stuff'!$B$6*1000, 'Water Stuff'!G26*1000)</f>
        <v>120</v>
      </c>
      <c r="C56">
        <f>IF( 'Water Stuff'!O26*1000 &gt;= 'Water Stuff'!$B$6*1000, 'Water Stuff'!$B$6*1000, 'Water Stuff'!O26*1000)</f>
        <v>2800</v>
      </c>
      <c r="D56">
        <f>IF( 'Water Stuff'!W26*1000 &gt;= 'Water Stuff'!$B$6*1000, 'Water Stuff'!$B$6*1000, 'Water Stuff'!W26*1000)</f>
        <v>0</v>
      </c>
      <c r="E56">
        <f>IF( 'Water Stuff'!AE26*1000 &gt;= 'Water Stuff'!$B$6*1000, 'Water Stuff'!$B$6*1000, 'Water Stuff'!AE26*1000)</f>
        <v>4494.8277815672218</v>
      </c>
      <c r="F56">
        <f>IF('Water Stuff'!AM26*1000&gt;='Water Stuff'!$B$6*1000,'Water Stuff'!$B$6*1000,'Water Stuff'!AM26*1000)</f>
        <v>0</v>
      </c>
      <c r="I56">
        <f t="shared" si="0"/>
        <v>1.2</v>
      </c>
      <c r="J56">
        <f t="shared" si="1"/>
        <v>28</v>
      </c>
      <c r="K56">
        <f t="shared" si="2"/>
        <v>0</v>
      </c>
      <c r="L56">
        <f t="shared" si="3"/>
        <v>44.94827781567222</v>
      </c>
      <c r="M56">
        <f t="shared" si="4"/>
        <v>0</v>
      </c>
      <c r="O56">
        <f t="shared" si="5"/>
        <v>2.4E-2</v>
      </c>
      <c r="P56">
        <f t="shared" si="6"/>
        <v>0.56000000000000005</v>
      </c>
      <c r="Q56">
        <f t="shared" si="7"/>
        <v>0</v>
      </c>
      <c r="R56">
        <f t="shared" si="8"/>
        <v>0.89896555631344444</v>
      </c>
      <c r="S56">
        <f t="shared" si="9"/>
        <v>0</v>
      </c>
      <c r="U56">
        <f t="shared" si="10"/>
        <v>0.6</v>
      </c>
      <c r="V56">
        <f t="shared" si="11"/>
        <v>14</v>
      </c>
      <c r="W56">
        <f t="shared" si="12"/>
        <v>0</v>
      </c>
      <c r="X56">
        <f t="shared" si="13"/>
        <v>22.47413890783611</v>
      </c>
      <c r="Y56">
        <f t="shared" si="14"/>
        <v>0</v>
      </c>
      <c r="AA56">
        <f t="shared" si="15"/>
        <v>1.2</v>
      </c>
      <c r="AB56">
        <f t="shared" si="16"/>
        <v>28</v>
      </c>
      <c r="AC56">
        <f t="shared" si="17"/>
        <v>0</v>
      </c>
      <c r="AD56">
        <f t="shared" si="18"/>
        <v>44.94827781567222</v>
      </c>
      <c r="AE56">
        <f t="shared" si="19"/>
        <v>0</v>
      </c>
      <c r="AG56" s="109">
        <f t="shared" si="20"/>
        <v>44583</v>
      </c>
      <c r="AH56">
        <f>'Water Stuff'!I26*1000</f>
        <v>0</v>
      </c>
      <c r="AI56">
        <f>'Water Stuff'!Q26*1000</f>
        <v>620</v>
      </c>
      <c r="AJ56">
        <f>'Water Stuff'!Y26*1000</f>
        <v>620</v>
      </c>
      <c r="AK56">
        <f>'Water Stuff'!AG26*1000</f>
        <v>620</v>
      </c>
      <c r="AL56">
        <f>'Water Stuff'!AO26*1000</f>
        <v>620</v>
      </c>
    </row>
    <row r="57" spans="1:38">
      <c r="A57" s="109">
        <f>'Water Stuff'!F27</f>
        <v>44584</v>
      </c>
      <c r="B57">
        <f>IF( 'Water Stuff'!G27*1000 &gt;= 'Water Stuff'!$B$6*1000, 'Water Stuff'!$B$6*1000, 'Water Stuff'!G27*1000)</f>
        <v>0</v>
      </c>
      <c r="C57">
        <f>IF( 'Water Stuff'!O27*1000 &gt;= 'Water Stuff'!$B$6*1000, 'Water Stuff'!$B$6*1000, 'Water Stuff'!O27*1000)</f>
        <v>10000</v>
      </c>
      <c r="D57">
        <f>IF( 'Water Stuff'!W27*1000 &gt;= 'Water Stuff'!$B$6*1000, 'Water Stuff'!$B$6*1000, 'Water Stuff'!W27*1000)</f>
        <v>0</v>
      </c>
      <c r="E57">
        <f>IF( 'Water Stuff'!AE27*1000 &gt;= 'Water Stuff'!$B$6*1000, 'Water Stuff'!$B$6*1000, 'Water Stuff'!AE27*1000)</f>
        <v>10000</v>
      </c>
      <c r="F57">
        <f>IF('Water Stuff'!AM27*1000&gt;='Water Stuff'!$B$6*1000,'Water Stuff'!$B$6*1000,'Water Stuff'!AM27*1000)</f>
        <v>1727.5238279384996</v>
      </c>
      <c r="I57">
        <f t="shared" si="0"/>
        <v>0</v>
      </c>
      <c r="J57">
        <f t="shared" si="1"/>
        <v>100</v>
      </c>
      <c r="K57">
        <f t="shared" si="2"/>
        <v>0</v>
      </c>
      <c r="L57">
        <f t="shared" si="3"/>
        <v>100</v>
      </c>
      <c r="M57">
        <f t="shared" si="4"/>
        <v>17.275238279384997</v>
      </c>
      <c r="O57">
        <f t="shared" si="5"/>
        <v>0</v>
      </c>
      <c r="P57">
        <f t="shared" si="6"/>
        <v>2</v>
      </c>
      <c r="Q57">
        <f t="shared" si="7"/>
        <v>0</v>
      </c>
      <c r="R57">
        <f t="shared" si="8"/>
        <v>2</v>
      </c>
      <c r="S57">
        <f t="shared" si="9"/>
        <v>0.34550476558769994</v>
      </c>
      <c r="U57">
        <f t="shared" si="10"/>
        <v>0</v>
      </c>
      <c r="V57">
        <f t="shared" si="11"/>
        <v>50</v>
      </c>
      <c r="W57">
        <f t="shared" si="12"/>
        <v>0</v>
      </c>
      <c r="X57">
        <f t="shared" si="13"/>
        <v>50</v>
      </c>
      <c r="Y57">
        <f t="shared" si="14"/>
        <v>8.6376191396924984</v>
      </c>
      <c r="AA57">
        <f t="shared" si="15"/>
        <v>0</v>
      </c>
      <c r="AB57">
        <f t="shared" si="16"/>
        <v>100</v>
      </c>
      <c r="AC57">
        <f t="shared" si="17"/>
        <v>0</v>
      </c>
      <c r="AD57">
        <f t="shared" si="18"/>
        <v>100</v>
      </c>
      <c r="AE57">
        <f t="shared" si="19"/>
        <v>17.275238279384997</v>
      </c>
      <c r="AG57" s="109">
        <f t="shared" si="20"/>
        <v>44584</v>
      </c>
      <c r="AH57">
        <f>'Water Stuff'!I27*1000</f>
        <v>0</v>
      </c>
      <c r="AI57">
        <f>'Water Stuff'!Q27*1000</f>
        <v>620</v>
      </c>
      <c r="AJ57">
        <f>'Water Stuff'!Y27*1000</f>
        <v>620</v>
      </c>
      <c r="AK57">
        <f>'Water Stuff'!AG27*1000</f>
        <v>620</v>
      </c>
      <c r="AL57">
        <f>'Water Stuff'!AO27*1000</f>
        <v>620</v>
      </c>
    </row>
    <row r="58" spans="1:38">
      <c r="A58" s="109">
        <f>'Water Stuff'!F28</f>
        <v>44585</v>
      </c>
      <c r="B58">
        <f>IF( 'Water Stuff'!G28*1000 &gt;= 'Water Stuff'!$B$6*1000, 'Water Stuff'!$B$6*1000, 'Water Stuff'!G28*1000)</f>
        <v>0</v>
      </c>
      <c r="C58">
        <f>IF( 'Water Stuff'!O28*1000 &gt;= 'Water Stuff'!$B$6*1000, 'Water Stuff'!$B$6*1000, 'Water Stuff'!O28*1000)</f>
        <v>8000</v>
      </c>
      <c r="D58">
        <f>IF( 'Water Stuff'!W28*1000 &gt;= 'Water Stuff'!$B$6*1000, 'Water Stuff'!$B$6*1000, 'Water Stuff'!W28*1000)</f>
        <v>926.56496259000858</v>
      </c>
      <c r="E58">
        <f>IF( 'Water Stuff'!AE28*1000 &gt;= 'Water Stuff'!$B$6*1000, 'Water Stuff'!$B$6*1000, 'Water Stuff'!AE28*1000)</f>
        <v>9705.7794047884308</v>
      </c>
      <c r="F58">
        <f>IF('Water Stuff'!AM28*1000&gt;='Water Stuff'!$B$6*1000,'Water Stuff'!$B$6*1000,'Water Stuff'!AM28*1000)</f>
        <v>0</v>
      </c>
      <c r="I58">
        <f t="shared" si="0"/>
        <v>0</v>
      </c>
      <c r="J58">
        <f t="shared" si="1"/>
        <v>80</v>
      </c>
      <c r="K58">
        <f t="shared" si="2"/>
        <v>9.2656496259000853</v>
      </c>
      <c r="L58">
        <f t="shared" si="3"/>
        <v>97.057794047884315</v>
      </c>
      <c r="M58">
        <f t="shared" si="4"/>
        <v>0</v>
      </c>
      <c r="O58">
        <f t="shared" si="5"/>
        <v>0</v>
      </c>
      <c r="P58">
        <f t="shared" si="6"/>
        <v>1.6</v>
      </c>
      <c r="Q58">
        <f t="shared" si="7"/>
        <v>0.18531299251800173</v>
      </c>
      <c r="R58">
        <f t="shared" si="8"/>
        <v>1.9411558809576861</v>
      </c>
      <c r="S58">
        <f t="shared" si="9"/>
        <v>0</v>
      </c>
      <c r="U58">
        <f t="shared" si="10"/>
        <v>0</v>
      </c>
      <c r="V58">
        <f t="shared" si="11"/>
        <v>40</v>
      </c>
      <c r="W58">
        <f t="shared" si="12"/>
        <v>4.6328248129500427</v>
      </c>
      <c r="X58">
        <f t="shared" si="13"/>
        <v>48.528897023942157</v>
      </c>
      <c r="Y58">
        <f t="shared" si="14"/>
        <v>0</v>
      </c>
      <c r="AA58">
        <f t="shared" si="15"/>
        <v>0</v>
      </c>
      <c r="AB58">
        <f t="shared" si="16"/>
        <v>80</v>
      </c>
      <c r="AC58">
        <f t="shared" si="17"/>
        <v>9.2656496259000853</v>
      </c>
      <c r="AD58">
        <f t="shared" si="18"/>
        <v>97.057794047884315</v>
      </c>
      <c r="AE58">
        <f t="shared" si="19"/>
        <v>0</v>
      </c>
      <c r="AG58" s="109">
        <f t="shared" si="20"/>
        <v>44585</v>
      </c>
      <c r="AH58">
        <f>'Water Stuff'!I28*1000</f>
        <v>0</v>
      </c>
      <c r="AI58">
        <f>'Water Stuff'!Q28*1000</f>
        <v>620</v>
      </c>
      <c r="AJ58">
        <f>'Water Stuff'!Y28*1000</f>
        <v>620</v>
      </c>
      <c r="AK58">
        <f>'Water Stuff'!AG28*1000</f>
        <v>620</v>
      </c>
      <c r="AL58">
        <f>'Water Stuff'!AO28*1000</f>
        <v>620</v>
      </c>
    </row>
    <row r="59" spans="1:38">
      <c r="A59" s="109">
        <f>'Water Stuff'!F29</f>
        <v>44586</v>
      </c>
      <c r="B59">
        <f>IF( 'Water Stuff'!G29*1000 &gt;= 'Water Stuff'!$B$6*1000, 'Water Stuff'!$B$6*1000, 'Water Stuff'!G29*1000)</f>
        <v>0</v>
      </c>
      <c r="C59">
        <f>IF( 'Water Stuff'!O29*1000 &gt;= 'Water Stuff'!$B$6*1000, 'Water Stuff'!$B$6*1000, 'Water Stuff'!O29*1000)</f>
        <v>360</v>
      </c>
      <c r="D59">
        <f>IF( 'Water Stuff'!W29*1000 &gt;= 'Water Stuff'!$B$6*1000, 'Water Stuff'!$B$6*1000, 'Water Stuff'!W29*1000)</f>
        <v>1631.8293333097183</v>
      </c>
      <c r="E59">
        <f>IF( 'Water Stuff'!AE29*1000 &gt;= 'Water Stuff'!$B$6*1000, 'Water Stuff'!$B$6*1000, 'Water Stuff'!AE29*1000)</f>
        <v>0</v>
      </c>
      <c r="F59">
        <f>IF('Water Stuff'!AM29*1000&gt;='Water Stuff'!$B$6*1000,'Water Stuff'!$B$6*1000,'Water Stuff'!AM29*1000)</f>
        <v>1394.8776042973786</v>
      </c>
      <c r="I59">
        <f t="shared" si="0"/>
        <v>0</v>
      </c>
      <c r="J59">
        <f t="shared" si="1"/>
        <v>3.6</v>
      </c>
      <c r="K59">
        <f t="shared" si="2"/>
        <v>16.318293333097184</v>
      </c>
      <c r="L59">
        <f t="shared" si="3"/>
        <v>0</v>
      </c>
      <c r="M59">
        <f t="shared" si="4"/>
        <v>13.948776042973787</v>
      </c>
      <c r="O59">
        <f t="shared" si="5"/>
        <v>0</v>
      </c>
      <c r="P59">
        <f t="shared" si="6"/>
        <v>7.1999999999999995E-2</v>
      </c>
      <c r="Q59">
        <f t="shared" si="7"/>
        <v>0.32636586666194362</v>
      </c>
      <c r="R59">
        <f t="shared" si="8"/>
        <v>0</v>
      </c>
      <c r="S59">
        <f t="shared" si="9"/>
        <v>0.27897552085947575</v>
      </c>
      <c r="U59">
        <f t="shared" si="10"/>
        <v>0</v>
      </c>
      <c r="V59">
        <f t="shared" si="11"/>
        <v>1.8</v>
      </c>
      <c r="W59">
        <f t="shared" si="12"/>
        <v>8.1591466665485921</v>
      </c>
      <c r="X59">
        <f t="shared" si="13"/>
        <v>0</v>
      </c>
      <c r="Y59">
        <f t="shared" si="14"/>
        <v>6.9743880214868934</v>
      </c>
      <c r="AA59">
        <f t="shared" si="15"/>
        <v>0</v>
      </c>
      <c r="AB59">
        <f t="shared" si="16"/>
        <v>3.6</v>
      </c>
      <c r="AC59">
        <f t="shared" si="17"/>
        <v>16.318293333097184</v>
      </c>
      <c r="AD59">
        <f t="shared" si="18"/>
        <v>0</v>
      </c>
      <c r="AE59">
        <f t="shared" si="19"/>
        <v>13.948776042973787</v>
      </c>
      <c r="AG59" s="109">
        <f t="shared" si="20"/>
        <v>44586</v>
      </c>
      <c r="AH59">
        <f>'Water Stuff'!I29*1000</f>
        <v>0</v>
      </c>
      <c r="AI59">
        <f>'Water Stuff'!Q29*1000</f>
        <v>620</v>
      </c>
      <c r="AJ59">
        <f>'Water Stuff'!Y29*1000</f>
        <v>620</v>
      </c>
      <c r="AK59">
        <f>'Water Stuff'!AG29*1000</f>
        <v>620</v>
      </c>
      <c r="AL59">
        <f>'Water Stuff'!AO29*1000</f>
        <v>620</v>
      </c>
    </row>
    <row r="60" spans="1:38">
      <c r="A60" s="109">
        <f>'Water Stuff'!F30</f>
        <v>44587</v>
      </c>
      <c r="B60">
        <f>IF( 'Water Stuff'!G30*1000 &gt;= 'Water Stuff'!$B$6*1000, 'Water Stuff'!$B$6*1000, 'Water Stuff'!G30*1000)</f>
        <v>0</v>
      </c>
      <c r="C60">
        <f>IF( 'Water Stuff'!O30*1000 &gt;= 'Water Stuff'!$B$6*1000, 'Water Stuff'!$B$6*1000, 'Water Stuff'!O30*1000)</f>
        <v>560</v>
      </c>
      <c r="D60">
        <f>IF( 'Water Stuff'!W30*1000 &gt;= 'Water Stuff'!$B$6*1000, 'Water Stuff'!$B$6*1000, 'Water Stuff'!W30*1000)</f>
        <v>0</v>
      </c>
      <c r="E60">
        <f>IF( 'Water Stuff'!AE30*1000 &gt;= 'Water Stuff'!$B$6*1000, 'Water Stuff'!$B$6*1000, 'Water Stuff'!AE30*1000)</f>
        <v>0</v>
      </c>
      <c r="F60">
        <f>IF('Water Stuff'!AM30*1000&gt;='Water Stuff'!$B$6*1000,'Water Stuff'!$B$6*1000,'Water Stuff'!AM30*1000)</f>
        <v>298.80367824172362</v>
      </c>
      <c r="I60">
        <f t="shared" si="0"/>
        <v>0</v>
      </c>
      <c r="J60">
        <f t="shared" si="1"/>
        <v>5.6</v>
      </c>
      <c r="K60">
        <f t="shared" si="2"/>
        <v>0</v>
      </c>
      <c r="L60">
        <f t="shared" si="3"/>
        <v>0</v>
      </c>
      <c r="M60">
        <f t="shared" si="4"/>
        <v>2.9880367824172365</v>
      </c>
      <c r="O60">
        <f t="shared" si="5"/>
        <v>0</v>
      </c>
      <c r="P60">
        <f t="shared" si="6"/>
        <v>0.112</v>
      </c>
      <c r="Q60">
        <f t="shared" si="7"/>
        <v>0</v>
      </c>
      <c r="R60">
        <f t="shared" si="8"/>
        <v>0</v>
      </c>
      <c r="S60">
        <f t="shared" si="9"/>
        <v>5.9760735648344734E-2</v>
      </c>
      <c r="U60">
        <f t="shared" si="10"/>
        <v>0</v>
      </c>
      <c r="V60">
        <f t="shared" si="11"/>
        <v>2.8000000000000003</v>
      </c>
      <c r="W60">
        <f t="shared" si="12"/>
        <v>0</v>
      </c>
      <c r="X60">
        <f t="shared" si="13"/>
        <v>0</v>
      </c>
      <c r="Y60">
        <f t="shared" si="14"/>
        <v>1.494018391208618</v>
      </c>
      <c r="AA60">
        <f t="shared" si="15"/>
        <v>0</v>
      </c>
      <c r="AB60">
        <f t="shared" si="16"/>
        <v>5.6000000000000005</v>
      </c>
      <c r="AC60">
        <f t="shared" si="17"/>
        <v>0</v>
      </c>
      <c r="AD60">
        <f t="shared" si="18"/>
        <v>0</v>
      </c>
      <c r="AE60">
        <f t="shared" si="19"/>
        <v>2.988036782417236</v>
      </c>
      <c r="AG60" s="109">
        <f t="shared" si="20"/>
        <v>44587</v>
      </c>
      <c r="AH60">
        <f>'Water Stuff'!I30*1000</f>
        <v>0</v>
      </c>
      <c r="AI60">
        <f>'Water Stuff'!Q30*1000</f>
        <v>620</v>
      </c>
      <c r="AJ60">
        <f>'Water Stuff'!Y30*1000</f>
        <v>620</v>
      </c>
      <c r="AK60">
        <f>'Water Stuff'!AG30*1000</f>
        <v>620</v>
      </c>
      <c r="AL60">
        <f>'Water Stuff'!AO30*1000</f>
        <v>620</v>
      </c>
    </row>
    <row r="61" spans="1:38">
      <c r="A61" s="109">
        <f>'Water Stuff'!F31</f>
        <v>44588</v>
      </c>
      <c r="B61">
        <f>IF( 'Water Stuff'!G31*1000 &gt;= 'Water Stuff'!$B$6*1000, 'Water Stuff'!$B$6*1000, 'Water Stuff'!G31*1000)</f>
        <v>3520.0000000000005</v>
      </c>
      <c r="C61">
        <f>IF( 'Water Stuff'!O31*1000 &gt;= 'Water Stuff'!$B$6*1000, 'Water Stuff'!$B$6*1000, 'Water Stuff'!O31*1000)</f>
        <v>560</v>
      </c>
      <c r="D61">
        <f>IF( 'Water Stuff'!W31*1000 &gt;= 'Water Stuff'!$B$6*1000, 'Water Stuff'!$B$6*1000, 'Water Stuff'!W31*1000)</f>
        <v>3872.3244809054422</v>
      </c>
      <c r="E61">
        <f>IF( 'Water Stuff'!AE31*1000 &gt;= 'Water Stuff'!$B$6*1000, 'Water Stuff'!$B$6*1000, 'Water Stuff'!AE31*1000)</f>
        <v>0</v>
      </c>
      <c r="F61">
        <f>IF('Water Stuff'!AM31*1000&gt;='Water Stuff'!$B$6*1000,'Water Stuff'!$B$6*1000,'Water Stuff'!AM31*1000)</f>
        <v>5079.7463832618523</v>
      </c>
      <c r="I61">
        <f t="shared" si="0"/>
        <v>35.20000000000001</v>
      </c>
      <c r="J61">
        <f t="shared" si="1"/>
        <v>5.6</v>
      </c>
      <c r="K61">
        <f t="shared" si="2"/>
        <v>38.723244809054421</v>
      </c>
      <c r="L61">
        <f t="shared" si="3"/>
        <v>0</v>
      </c>
      <c r="M61">
        <f t="shared" si="4"/>
        <v>50.797463832618526</v>
      </c>
      <c r="O61">
        <f t="shared" si="5"/>
        <v>0.70400000000000018</v>
      </c>
      <c r="P61">
        <f t="shared" si="6"/>
        <v>0.112</v>
      </c>
      <c r="Q61">
        <f t="shared" si="7"/>
        <v>0.77446489618108838</v>
      </c>
      <c r="R61">
        <f t="shared" si="8"/>
        <v>0</v>
      </c>
      <c r="S61">
        <f t="shared" si="9"/>
        <v>1.0159492766523706</v>
      </c>
      <c r="U61">
        <f t="shared" si="10"/>
        <v>17.600000000000001</v>
      </c>
      <c r="V61">
        <f t="shared" si="11"/>
        <v>2.8000000000000003</v>
      </c>
      <c r="W61">
        <f t="shared" si="12"/>
        <v>19.361622404527211</v>
      </c>
      <c r="X61">
        <f t="shared" si="13"/>
        <v>0</v>
      </c>
      <c r="Y61">
        <f t="shared" si="14"/>
        <v>25.398731916309263</v>
      </c>
      <c r="AA61">
        <f t="shared" si="15"/>
        <v>35.200000000000003</v>
      </c>
      <c r="AB61">
        <f t="shared" si="16"/>
        <v>5.6000000000000005</v>
      </c>
      <c r="AC61">
        <f t="shared" si="17"/>
        <v>38.723244809054421</v>
      </c>
      <c r="AD61">
        <f t="shared" si="18"/>
        <v>0</v>
      </c>
      <c r="AE61">
        <f t="shared" si="19"/>
        <v>50.797463832618526</v>
      </c>
      <c r="AG61" s="109">
        <f t="shared" si="20"/>
        <v>44588</v>
      </c>
      <c r="AH61">
        <f>'Water Stuff'!I31*1000</f>
        <v>0</v>
      </c>
      <c r="AI61">
        <f>'Water Stuff'!Q31*1000</f>
        <v>620</v>
      </c>
      <c r="AJ61">
        <f>'Water Stuff'!Y31*1000</f>
        <v>620</v>
      </c>
      <c r="AK61">
        <f>'Water Stuff'!AG31*1000</f>
        <v>620</v>
      </c>
      <c r="AL61">
        <f>'Water Stuff'!AO31*1000</f>
        <v>620</v>
      </c>
    </row>
    <row r="62" spans="1:38">
      <c r="A62" s="109">
        <f>'Water Stuff'!F32</f>
        <v>44589</v>
      </c>
      <c r="B62">
        <f>IF( 'Water Stuff'!G32*1000 &gt;= 'Water Stuff'!$B$6*1000, 'Water Stuff'!$B$6*1000, 'Water Stuff'!G32*1000)</f>
        <v>0</v>
      </c>
      <c r="C62">
        <f>IF( 'Water Stuff'!O32*1000 &gt;= 'Water Stuff'!$B$6*1000, 'Water Stuff'!$B$6*1000, 'Water Stuff'!O32*1000)</f>
        <v>0</v>
      </c>
      <c r="D62">
        <f>IF( 'Water Stuff'!W32*1000 &gt;= 'Water Stuff'!$B$6*1000, 'Water Stuff'!$B$6*1000, 'Water Stuff'!W32*1000)</f>
        <v>864.43561406426829</v>
      </c>
      <c r="E62">
        <f>IF( 'Water Stuff'!AE32*1000 &gt;= 'Water Stuff'!$B$6*1000, 'Water Stuff'!$B$6*1000, 'Water Stuff'!AE32*1000)</f>
        <v>1054.1570121384286</v>
      </c>
      <c r="F62">
        <f>IF('Water Stuff'!AM32*1000&gt;='Water Stuff'!$B$6*1000,'Water Stuff'!$B$6*1000,'Water Stuff'!AM32*1000)</f>
        <v>1829.6895507239985</v>
      </c>
      <c r="I62">
        <f t="shared" si="0"/>
        <v>0</v>
      </c>
      <c r="J62">
        <f t="shared" si="1"/>
        <v>0</v>
      </c>
      <c r="K62">
        <f t="shared" si="2"/>
        <v>8.6443561406426834</v>
      </c>
      <c r="L62">
        <f t="shared" si="3"/>
        <v>10.541570121384286</v>
      </c>
      <c r="M62">
        <f t="shared" si="4"/>
        <v>18.296895507239984</v>
      </c>
      <c r="O62">
        <f t="shared" si="5"/>
        <v>0</v>
      </c>
      <c r="P62">
        <f t="shared" si="6"/>
        <v>0</v>
      </c>
      <c r="Q62">
        <f t="shared" si="7"/>
        <v>0.17288712281285365</v>
      </c>
      <c r="R62">
        <f t="shared" si="8"/>
        <v>0.21083140242768572</v>
      </c>
      <c r="S62">
        <f t="shared" si="9"/>
        <v>0.36593791014479971</v>
      </c>
      <c r="U62">
        <f t="shared" si="10"/>
        <v>0</v>
      </c>
      <c r="V62">
        <f t="shared" si="11"/>
        <v>0</v>
      </c>
      <c r="W62">
        <f t="shared" si="12"/>
        <v>4.3221780703213417</v>
      </c>
      <c r="X62">
        <f t="shared" si="13"/>
        <v>5.2707850606921429</v>
      </c>
      <c r="Y62">
        <f t="shared" si="14"/>
        <v>9.1484477536199922</v>
      </c>
      <c r="AA62">
        <f t="shared" si="15"/>
        <v>0</v>
      </c>
      <c r="AB62">
        <f t="shared" si="16"/>
        <v>0</v>
      </c>
      <c r="AC62">
        <f t="shared" si="17"/>
        <v>8.6443561406426834</v>
      </c>
      <c r="AD62">
        <f t="shared" si="18"/>
        <v>10.541570121384286</v>
      </c>
      <c r="AE62">
        <f t="shared" si="19"/>
        <v>18.296895507239984</v>
      </c>
      <c r="AG62" s="109">
        <f t="shared" si="20"/>
        <v>44589</v>
      </c>
      <c r="AH62">
        <f>'Water Stuff'!I32*1000</f>
        <v>0</v>
      </c>
      <c r="AI62">
        <f>'Water Stuff'!Q32*1000</f>
        <v>620</v>
      </c>
      <c r="AJ62">
        <f>'Water Stuff'!Y32*1000</f>
        <v>620</v>
      </c>
      <c r="AK62">
        <f>'Water Stuff'!AG32*1000</f>
        <v>620</v>
      </c>
      <c r="AL62">
        <f>'Water Stuff'!AO32*1000</f>
        <v>620</v>
      </c>
    </row>
    <row r="63" spans="1:38">
      <c r="A63" s="109">
        <f>'Water Stuff'!F33</f>
        <v>44590</v>
      </c>
      <c r="B63">
        <f>IF( 'Water Stuff'!G33*1000 &gt;= 'Water Stuff'!$B$6*1000, 'Water Stuff'!$B$6*1000, 'Water Stuff'!G33*1000)</f>
        <v>0</v>
      </c>
      <c r="C63">
        <f>IF( 'Water Stuff'!O33*1000 &gt;= 'Water Stuff'!$B$6*1000, 'Water Stuff'!$B$6*1000, 'Water Stuff'!O33*1000)</f>
        <v>0</v>
      </c>
      <c r="D63">
        <f>IF( 'Water Stuff'!W33*1000 &gt;= 'Water Stuff'!$B$6*1000, 'Water Stuff'!$B$6*1000, 'Water Stuff'!W33*1000)</f>
        <v>0</v>
      </c>
      <c r="E63">
        <f>IF( 'Water Stuff'!AE33*1000 &gt;= 'Water Stuff'!$B$6*1000, 'Water Stuff'!$B$6*1000, 'Water Stuff'!AE33*1000)</f>
        <v>0</v>
      </c>
      <c r="F63">
        <f>IF('Water Stuff'!AM33*1000&gt;='Water Stuff'!$B$6*1000,'Water Stuff'!$B$6*1000,'Water Stuff'!AM33*1000)</f>
        <v>0</v>
      </c>
      <c r="I63">
        <f t="shared" si="0"/>
        <v>0</v>
      </c>
      <c r="J63">
        <f t="shared" si="1"/>
        <v>0</v>
      </c>
      <c r="K63">
        <f t="shared" si="2"/>
        <v>0</v>
      </c>
      <c r="L63">
        <f t="shared" si="3"/>
        <v>0</v>
      </c>
      <c r="M63">
        <f t="shared" si="4"/>
        <v>0</v>
      </c>
      <c r="O63">
        <f t="shared" si="5"/>
        <v>0</v>
      </c>
      <c r="P63">
        <f t="shared" si="6"/>
        <v>0</v>
      </c>
      <c r="Q63">
        <f t="shared" si="7"/>
        <v>0</v>
      </c>
      <c r="R63">
        <f t="shared" si="8"/>
        <v>0</v>
      </c>
      <c r="S63">
        <f t="shared" si="9"/>
        <v>0</v>
      </c>
      <c r="U63">
        <f t="shared" si="10"/>
        <v>0</v>
      </c>
      <c r="V63">
        <f t="shared" si="11"/>
        <v>0</v>
      </c>
      <c r="W63">
        <f t="shared" si="12"/>
        <v>0</v>
      </c>
      <c r="X63">
        <f t="shared" si="13"/>
        <v>0</v>
      </c>
      <c r="Y63">
        <f t="shared" si="14"/>
        <v>0</v>
      </c>
      <c r="AA63">
        <f t="shared" si="15"/>
        <v>0</v>
      </c>
      <c r="AB63">
        <f t="shared" si="16"/>
        <v>0</v>
      </c>
      <c r="AC63">
        <f t="shared" si="17"/>
        <v>0</v>
      </c>
      <c r="AD63">
        <f t="shared" si="18"/>
        <v>0</v>
      </c>
      <c r="AE63">
        <f t="shared" si="19"/>
        <v>0</v>
      </c>
      <c r="AG63" s="109">
        <f t="shared" si="20"/>
        <v>44590</v>
      </c>
      <c r="AH63">
        <f>'Water Stuff'!I33*1000</f>
        <v>0</v>
      </c>
      <c r="AI63">
        <f>'Water Stuff'!Q33*1000</f>
        <v>620</v>
      </c>
      <c r="AJ63">
        <f>'Water Stuff'!Y33*1000</f>
        <v>620</v>
      </c>
      <c r="AK63">
        <f>'Water Stuff'!AG33*1000</f>
        <v>620</v>
      </c>
      <c r="AL63">
        <f>'Water Stuff'!AO33*1000</f>
        <v>620</v>
      </c>
    </row>
    <row r="64" spans="1:38">
      <c r="A64" s="109">
        <f>'Water Stuff'!F34</f>
        <v>44591</v>
      </c>
      <c r="B64">
        <f>IF( 'Water Stuff'!G34*1000 &gt;= 'Water Stuff'!$B$6*1000, 'Water Stuff'!$B$6*1000, 'Water Stuff'!G34*1000)</f>
        <v>0</v>
      </c>
      <c r="C64">
        <f>IF( 'Water Stuff'!O34*1000 &gt;= 'Water Stuff'!$B$6*1000, 'Water Stuff'!$B$6*1000, 'Water Stuff'!O34*1000)</f>
        <v>120</v>
      </c>
      <c r="D64">
        <f>IF( 'Water Stuff'!W34*1000 &gt;= 'Water Stuff'!$B$6*1000, 'Water Stuff'!$B$6*1000, 'Water Stuff'!W34*1000)</f>
        <v>0</v>
      </c>
      <c r="E64">
        <f>IF( 'Water Stuff'!AE34*1000 &gt;= 'Water Stuff'!$B$6*1000, 'Water Stuff'!$B$6*1000, 'Water Stuff'!AE34*1000)</f>
        <v>0</v>
      </c>
      <c r="F64">
        <f>IF('Water Stuff'!AM34*1000&gt;='Water Stuff'!$B$6*1000,'Water Stuff'!$B$6*1000,'Water Stuff'!AM34*1000)</f>
        <v>681.75877897866724</v>
      </c>
      <c r="I64">
        <f t="shared" si="0"/>
        <v>0</v>
      </c>
      <c r="J64">
        <f t="shared" si="1"/>
        <v>1.2</v>
      </c>
      <c r="K64">
        <f t="shared" si="2"/>
        <v>0</v>
      </c>
      <c r="L64">
        <f t="shared" si="3"/>
        <v>0</v>
      </c>
      <c r="M64">
        <f t="shared" si="4"/>
        <v>6.8175877897866721</v>
      </c>
      <c r="O64">
        <f t="shared" si="5"/>
        <v>0</v>
      </c>
      <c r="P64">
        <f t="shared" si="6"/>
        <v>2.4E-2</v>
      </c>
      <c r="Q64">
        <f t="shared" si="7"/>
        <v>0</v>
      </c>
      <c r="R64">
        <f t="shared" si="8"/>
        <v>0</v>
      </c>
      <c r="S64">
        <f t="shared" si="9"/>
        <v>0.13635175579573344</v>
      </c>
      <c r="U64">
        <f t="shared" si="10"/>
        <v>0</v>
      </c>
      <c r="V64">
        <f t="shared" si="11"/>
        <v>0.6</v>
      </c>
      <c r="W64">
        <f t="shared" si="12"/>
        <v>0</v>
      </c>
      <c r="X64">
        <f t="shared" si="13"/>
        <v>0</v>
      </c>
      <c r="Y64">
        <f t="shared" si="14"/>
        <v>3.4087938948933361</v>
      </c>
      <c r="AA64">
        <f t="shared" si="15"/>
        <v>0</v>
      </c>
      <c r="AB64">
        <f t="shared" si="16"/>
        <v>1.2</v>
      </c>
      <c r="AC64">
        <f t="shared" si="17"/>
        <v>0</v>
      </c>
      <c r="AD64">
        <f t="shared" si="18"/>
        <v>0</v>
      </c>
      <c r="AE64">
        <f t="shared" si="19"/>
        <v>6.8175877897866721</v>
      </c>
      <c r="AG64" s="109">
        <f t="shared" si="20"/>
        <v>44591</v>
      </c>
      <c r="AH64">
        <f>'Water Stuff'!I34*1000</f>
        <v>0</v>
      </c>
      <c r="AI64">
        <f>'Water Stuff'!Q34*1000</f>
        <v>620</v>
      </c>
      <c r="AJ64">
        <f>'Water Stuff'!Y34*1000</f>
        <v>620</v>
      </c>
      <c r="AK64">
        <f>'Water Stuff'!AG34*1000</f>
        <v>620</v>
      </c>
      <c r="AL64">
        <f>'Water Stuff'!AO34*1000</f>
        <v>620</v>
      </c>
    </row>
    <row r="65" spans="1:38">
      <c r="A65" s="109">
        <f>'Water Stuff'!F35</f>
        <v>44592</v>
      </c>
      <c r="B65">
        <f>IF( 'Water Stuff'!G35*1000 &gt;= 'Water Stuff'!$B$6*1000, 'Water Stuff'!$B$6*1000, 'Water Stuff'!G35*1000)</f>
        <v>520</v>
      </c>
      <c r="C65">
        <f>IF( 'Water Stuff'!O35*1000 &gt;= 'Water Stuff'!$B$6*1000, 'Water Stuff'!$B$6*1000, 'Water Stuff'!O35*1000)</f>
        <v>1160</v>
      </c>
      <c r="D65">
        <f>IF( 'Water Stuff'!W35*1000 &gt;= 'Water Stuff'!$B$6*1000, 'Water Stuff'!$B$6*1000, 'Water Stuff'!W35*1000)</f>
        <v>0</v>
      </c>
      <c r="E65">
        <f>IF( 'Water Stuff'!AE35*1000 &gt;= 'Water Stuff'!$B$6*1000, 'Water Stuff'!$B$6*1000, 'Water Stuff'!AE35*1000)</f>
        <v>0</v>
      </c>
      <c r="F65">
        <f>IF('Water Stuff'!AM35*1000&gt;='Water Stuff'!$B$6*1000,'Water Stuff'!$B$6*1000,'Water Stuff'!AM35*1000)</f>
        <v>0</v>
      </c>
      <c r="I65">
        <f t="shared" si="0"/>
        <v>5.2</v>
      </c>
      <c r="J65">
        <f t="shared" si="1"/>
        <v>11.6</v>
      </c>
      <c r="K65">
        <f t="shared" si="2"/>
        <v>0</v>
      </c>
      <c r="L65">
        <f t="shared" si="3"/>
        <v>0</v>
      </c>
      <c r="M65">
        <f t="shared" si="4"/>
        <v>0</v>
      </c>
      <c r="O65">
        <f t="shared" si="5"/>
        <v>0.104</v>
      </c>
      <c r="P65">
        <f t="shared" si="6"/>
        <v>0.23200000000000001</v>
      </c>
      <c r="Q65">
        <f t="shared" si="7"/>
        <v>0</v>
      </c>
      <c r="R65">
        <f t="shared" si="8"/>
        <v>0</v>
      </c>
      <c r="S65">
        <f t="shared" si="9"/>
        <v>0</v>
      </c>
      <c r="U65">
        <f t="shared" si="10"/>
        <v>2.6</v>
      </c>
      <c r="V65">
        <f t="shared" si="11"/>
        <v>5.8</v>
      </c>
      <c r="W65">
        <f t="shared" si="12"/>
        <v>0</v>
      </c>
      <c r="X65">
        <f t="shared" si="13"/>
        <v>0</v>
      </c>
      <c r="Y65">
        <f t="shared" si="14"/>
        <v>0</v>
      </c>
      <c r="AA65">
        <f t="shared" si="15"/>
        <v>5.2</v>
      </c>
      <c r="AB65">
        <f t="shared" si="16"/>
        <v>11.6</v>
      </c>
      <c r="AC65">
        <f t="shared" si="17"/>
        <v>0</v>
      </c>
      <c r="AD65">
        <f t="shared" si="18"/>
        <v>0</v>
      </c>
      <c r="AE65">
        <f t="shared" si="19"/>
        <v>0</v>
      </c>
      <c r="AG65" s="109">
        <f t="shared" si="20"/>
        <v>44592</v>
      </c>
      <c r="AH65">
        <f>'Water Stuff'!I35*1000</f>
        <v>0</v>
      </c>
      <c r="AI65">
        <f>'Water Stuff'!Q35*1000</f>
        <v>620</v>
      </c>
      <c r="AJ65">
        <f>'Water Stuff'!Y35*1000</f>
        <v>620</v>
      </c>
      <c r="AK65">
        <f>'Water Stuff'!AG35*1000</f>
        <v>620</v>
      </c>
      <c r="AL65">
        <f>'Water Stuff'!AO35*1000</f>
        <v>620</v>
      </c>
    </row>
    <row r="66" spans="1:38">
      <c r="A66" s="109">
        <f>'Water Stuff'!F36</f>
        <v>44593</v>
      </c>
      <c r="B66">
        <f>IF( 'Water Stuff'!G36*1000 &gt;= 'Water Stuff'!$B$6*1000, 'Water Stuff'!$B$6*1000, 'Water Stuff'!G36*1000)</f>
        <v>520</v>
      </c>
      <c r="C66">
        <f>IF( 'Water Stuff'!O36*1000 &gt;= 'Water Stuff'!$B$6*1000, 'Water Stuff'!$B$6*1000, 'Water Stuff'!O36*1000)</f>
        <v>1600</v>
      </c>
      <c r="D66">
        <f>IF( 'Water Stuff'!W36*1000 &gt;= 'Water Stuff'!$B$6*1000, 'Water Stuff'!$B$6*1000, 'Water Stuff'!W36*1000)</f>
        <v>0</v>
      </c>
      <c r="E66">
        <f>IF( 'Water Stuff'!AE36*1000 &gt;= 'Water Stuff'!$B$6*1000, 'Water Stuff'!$B$6*1000, 'Water Stuff'!AE36*1000)</f>
        <v>0</v>
      </c>
      <c r="F66">
        <f>IF('Water Stuff'!AM36*1000&gt;='Water Stuff'!$B$6*1000,'Water Stuff'!$B$6*1000,'Water Stuff'!AM36*1000)</f>
        <v>0</v>
      </c>
      <c r="I66">
        <f t="shared" si="0"/>
        <v>5.2</v>
      </c>
      <c r="J66">
        <f t="shared" si="1"/>
        <v>16</v>
      </c>
      <c r="K66">
        <f t="shared" si="2"/>
        <v>0</v>
      </c>
      <c r="L66">
        <f t="shared" si="3"/>
        <v>0</v>
      </c>
      <c r="M66">
        <f t="shared" si="4"/>
        <v>0</v>
      </c>
      <c r="O66">
        <f t="shared" si="5"/>
        <v>0.104</v>
      </c>
      <c r="P66">
        <f t="shared" si="6"/>
        <v>0.32</v>
      </c>
      <c r="Q66">
        <f t="shared" si="7"/>
        <v>0</v>
      </c>
      <c r="R66">
        <f t="shared" si="8"/>
        <v>0</v>
      </c>
      <c r="S66">
        <f t="shared" si="9"/>
        <v>0</v>
      </c>
      <c r="U66">
        <f t="shared" si="10"/>
        <v>2.6</v>
      </c>
      <c r="V66">
        <f t="shared" si="11"/>
        <v>8</v>
      </c>
      <c r="W66">
        <f t="shared" si="12"/>
        <v>0</v>
      </c>
      <c r="X66">
        <f t="shared" si="13"/>
        <v>0</v>
      </c>
      <c r="Y66">
        <f t="shared" si="14"/>
        <v>0</v>
      </c>
      <c r="AA66">
        <f t="shared" si="15"/>
        <v>5.2</v>
      </c>
      <c r="AB66">
        <f t="shared" si="16"/>
        <v>16</v>
      </c>
      <c r="AC66">
        <f t="shared" si="17"/>
        <v>0</v>
      </c>
      <c r="AD66">
        <f t="shared" si="18"/>
        <v>0</v>
      </c>
      <c r="AE66">
        <f t="shared" si="19"/>
        <v>0</v>
      </c>
      <c r="AG66" s="109">
        <f t="shared" si="20"/>
        <v>44593</v>
      </c>
      <c r="AH66">
        <f>'Water Stuff'!I36*1000</f>
        <v>620</v>
      </c>
      <c r="AI66">
        <f>'Water Stuff'!Q36*1000</f>
        <v>620</v>
      </c>
      <c r="AJ66">
        <f>'Water Stuff'!Y36*1000</f>
        <v>620</v>
      </c>
      <c r="AK66">
        <f>'Water Stuff'!AG36*1000</f>
        <v>620</v>
      </c>
      <c r="AL66">
        <f>'Water Stuff'!AO36*1000</f>
        <v>620</v>
      </c>
    </row>
    <row r="67" spans="1:38">
      <c r="A67" s="109">
        <f>'Water Stuff'!F37</f>
        <v>44594</v>
      </c>
      <c r="B67">
        <f>IF( 'Water Stuff'!G37*1000 &gt;= 'Water Stuff'!$B$6*1000, 'Water Stuff'!$B$6*1000, 'Water Stuff'!G37*1000)</f>
        <v>0</v>
      </c>
      <c r="C67">
        <f>IF( 'Water Stuff'!O37*1000 &gt;= 'Water Stuff'!$B$6*1000, 'Water Stuff'!$B$6*1000, 'Water Stuff'!O37*1000)</f>
        <v>5400</v>
      </c>
      <c r="D67">
        <f>IF( 'Water Stuff'!W37*1000 &gt;= 'Water Stuff'!$B$6*1000, 'Water Stuff'!$B$6*1000, 'Water Stuff'!W37*1000)</f>
        <v>209.88453773346299</v>
      </c>
      <c r="E67">
        <f>IF( 'Water Stuff'!AE37*1000 &gt;= 'Water Stuff'!$B$6*1000, 'Water Stuff'!$B$6*1000, 'Water Stuff'!AE37*1000)</f>
        <v>3792.873083053194</v>
      </c>
      <c r="F67">
        <f>IF('Water Stuff'!AM37*1000&gt;='Water Stuff'!$B$6*1000,'Water Stuff'!$B$6*1000,'Water Stuff'!AM37*1000)</f>
        <v>794.0037809820567</v>
      </c>
      <c r="I67">
        <f t="shared" si="0"/>
        <v>0</v>
      </c>
      <c r="J67">
        <f t="shared" si="1"/>
        <v>54</v>
      </c>
      <c r="K67">
        <f t="shared" si="2"/>
        <v>2.0988453773346301</v>
      </c>
      <c r="L67">
        <f t="shared" si="3"/>
        <v>37.92873083053194</v>
      </c>
      <c r="M67">
        <f t="shared" si="4"/>
        <v>7.9400378098205673</v>
      </c>
      <c r="O67">
        <f t="shared" si="5"/>
        <v>0</v>
      </c>
      <c r="P67">
        <f t="shared" si="6"/>
        <v>1.08</v>
      </c>
      <c r="Q67">
        <f t="shared" si="7"/>
        <v>4.1976907546692602E-2</v>
      </c>
      <c r="R67">
        <f t="shared" si="8"/>
        <v>0.75857461661063885</v>
      </c>
      <c r="S67">
        <f t="shared" si="9"/>
        <v>0.15880075619641132</v>
      </c>
      <c r="U67">
        <f t="shared" si="10"/>
        <v>0</v>
      </c>
      <c r="V67">
        <f t="shared" si="11"/>
        <v>27</v>
      </c>
      <c r="W67">
        <f t="shared" si="12"/>
        <v>1.049422688667315</v>
      </c>
      <c r="X67">
        <f t="shared" si="13"/>
        <v>18.96436541526597</v>
      </c>
      <c r="Y67">
        <f t="shared" si="14"/>
        <v>3.9700189049102836</v>
      </c>
      <c r="AA67">
        <f t="shared" si="15"/>
        <v>0</v>
      </c>
      <c r="AB67">
        <f t="shared" si="16"/>
        <v>54</v>
      </c>
      <c r="AC67">
        <f t="shared" si="17"/>
        <v>2.0988453773346301</v>
      </c>
      <c r="AD67">
        <f t="shared" si="18"/>
        <v>37.92873083053194</v>
      </c>
      <c r="AE67">
        <f t="shared" si="19"/>
        <v>7.9400378098205673</v>
      </c>
      <c r="AG67" s="109">
        <f t="shared" si="20"/>
        <v>44594</v>
      </c>
      <c r="AH67">
        <f>'Water Stuff'!I37*1000</f>
        <v>620</v>
      </c>
      <c r="AI67">
        <f>'Water Stuff'!Q37*1000</f>
        <v>620</v>
      </c>
      <c r="AJ67">
        <f>'Water Stuff'!Y37*1000</f>
        <v>620</v>
      </c>
      <c r="AK67">
        <f>'Water Stuff'!AG37*1000</f>
        <v>620</v>
      </c>
      <c r="AL67">
        <f>'Water Stuff'!AO37*1000</f>
        <v>620</v>
      </c>
    </row>
    <row r="68" spans="1:38">
      <c r="A68" s="109">
        <f>'Water Stuff'!F38</f>
        <v>44595</v>
      </c>
      <c r="B68">
        <f>IF( 'Water Stuff'!G38*1000 &gt;= 'Water Stuff'!$B$6*1000, 'Water Stuff'!$B$6*1000, 'Water Stuff'!G38*1000)</f>
        <v>0</v>
      </c>
      <c r="C68">
        <f>IF( 'Water Stuff'!O38*1000 &gt;= 'Water Stuff'!$B$6*1000, 'Water Stuff'!$B$6*1000, 'Water Stuff'!O38*1000)</f>
        <v>120</v>
      </c>
      <c r="D68">
        <f>IF( 'Water Stuff'!W38*1000 &gt;= 'Water Stuff'!$B$6*1000, 'Water Stuff'!$B$6*1000, 'Water Stuff'!W38*1000)</f>
        <v>1229.0331088281705</v>
      </c>
      <c r="E68">
        <f>IF( 'Water Stuff'!AE38*1000 &gt;= 'Water Stuff'!$B$6*1000, 'Water Stuff'!$B$6*1000, 'Water Stuff'!AE38*1000)</f>
        <v>0</v>
      </c>
      <c r="F68">
        <f>IF('Water Stuff'!AM38*1000&gt;='Water Stuff'!$B$6*1000,'Water Stuff'!$B$6*1000,'Water Stuff'!AM38*1000)</f>
        <v>0</v>
      </c>
      <c r="I68">
        <f t="shared" si="0"/>
        <v>0</v>
      </c>
      <c r="J68">
        <f t="shared" si="1"/>
        <v>1.2</v>
      </c>
      <c r="K68">
        <f t="shared" si="2"/>
        <v>12.290331088281706</v>
      </c>
      <c r="L68">
        <f t="shared" si="3"/>
        <v>0</v>
      </c>
      <c r="M68">
        <f t="shared" si="4"/>
        <v>0</v>
      </c>
      <c r="O68">
        <f t="shared" si="5"/>
        <v>0</v>
      </c>
      <c r="P68">
        <f t="shared" si="6"/>
        <v>2.4E-2</v>
      </c>
      <c r="Q68">
        <f t="shared" si="7"/>
        <v>0.24580662176563411</v>
      </c>
      <c r="R68">
        <f t="shared" si="8"/>
        <v>0</v>
      </c>
      <c r="S68">
        <f t="shared" si="9"/>
        <v>0</v>
      </c>
      <c r="U68">
        <f t="shared" si="10"/>
        <v>0</v>
      </c>
      <c r="V68">
        <f t="shared" si="11"/>
        <v>0.6</v>
      </c>
      <c r="W68">
        <f t="shared" si="12"/>
        <v>6.1451655441408528</v>
      </c>
      <c r="X68">
        <f t="shared" si="13"/>
        <v>0</v>
      </c>
      <c r="Y68">
        <f t="shared" si="14"/>
        <v>0</v>
      </c>
      <c r="AA68">
        <f t="shared" si="15"/>
        <v>0</v>
      </c>
      <c r="AB68">
        <f t="shared" si="16"/>
        <v>1.2</v>
      </c>
      <c r="AC68">
        <f t="shared" si="17"/>
        <v>12.290331088281706</v>
      </c>
      <c r="AD68">
        <f t="shared" si="18"/>
        <v>0</v>
      </c>
      <c r="AE68">
        <f t="shared" si="19"/>
        <v>0</v>
      </c>
      <c r="AG68" s="109">
        <f t="shared" si="20"/>
        <v>44595</v>
      </c>
      <c r="AH68">
        <f>'Water Stuff'!I38*1000</f>
        <v>620</v>
      </c>
      <c r="AI68">
        <f>'Water Stuff'!Q38*1000</f>
        <v>620</v>
      </c>
      <c r="AJ68">
        <f>'Water Stuff'!Y38*1000</f>
        <v>620</v>
      </c>
      <c r="AK68">
        <f>'Water Stuff'!AG38*1000</f>
        <v>620</v>
      </c>
      <c r="AL68">
        <f>'Water Stuff'!AO38*1000</f>
        <v>620</v>
      </c>
    </row>
    <row r="69" spans="1:38">
      <c r="A69" s="109">
        <f>'Water Stuff'!F39</f>
        <v>44596</v>
      </c>
      <c r="B69">
        <f>IF( 'Water Stuff'!G39*1000 &gt;= 'Water Stuff'!$B$6*1000, 'Water Stuff'!$B$6*1000, 'Water Stuff'!G39*1000)</f>
        <v>0</v>
      </c>
      <c r="C69">
        <f>IF( 'Water Stuff'!O39*1000 &gt;= 'Water Stuff'!$B$6*1000, 'Water Stuff'!$B$6*1000, 'Water Stuff'!O39*1000)</f>
        <v>7200</v>
      </c>
      <c r="D69">
        <f>IF( 'Water Stuff'!W39*1000 &gt;= 'Water Stuff'!$B$6*1000, 'Water Stuff'!$B$6*1000, 'Water Stuff'!W39*1000)</f>
        <v>1519.1161104131645</v>
      </c>
      <c r="E69">
        <f>IF( 'Water Stuff'!AE39*1000 &gt;= 'Water Stuff'!$B$6*1000, 'Water Stuff'!$B$6*1000, 'Water Stuff'!AE39*1000)</f>
        <v>5065.4181325292784</v>
      </c>
      <c r="F69">
        <f>IF('Water Stuff'!AM39*1000&gt;='Water Stuff'!$B$6*1000,'Water Stuff'!$B$6*1000,'Water Stuff'!AM39*1000)</f>
        <v>2822.3080845308</v>
      </c>
      <c r="I69">
        <f t="shared" si="0"/>
        <v>0</v>
      </c>
      <c r="J69">
        <f t="shared" si="1"/>
        <v>72</v>
      </c>
      <c r="K69">
        <f t="shared" si="2"/>
        <v>15.191161104131645</v>
      </c>
      <c r="L69">
        <f t="shared" si="3"/>
        <v>50.654181325292782</v>
      </c>
      <c r="M69">
        <f t="shared" si="4"/>
        <v>28.223080845307997</v>
      </c>
      <c r="O69">
        <f t="shared" si="5"/>
        <v>0</v>
      </c>
      <c r="P69">
        <f t="shared" si="6"/>
        <v>1.44</v>
      </c>
      <c r="Q69">
        <f t="shared" si="7"/>
        <v>0.3038232220826329</v>
      </c>
      <c r="R69">
        <f t="shared" si="8"/>
        <v>1.0130836265058556</v>
      </c>
      <c r="S69">
        <f t="shared" si="9"/>
        <v>0.56446161690615981</v>
      </c>
      <c r="U69">
        <f t="shared" si="10"/>
        <v>0</v>
      </c>
      <c r="V69">
        <f t="shared" si="11"/>
        <v>36</v>
      </c>
      <c r="W69">
        <f t="shared" si="12"/>
        <v>7.5955805520658224</v>
      </c>
      <c r="X69">
        <f t="shared" si="13"/>
        <v>25.327090662646391</v>
      </c>
      <c r="Y69">
        <f t="shared" si="14"/>
        <v>14.111540422654</v>
      </c>
      <c r="AA69">
        <f t="shared" si="15"/>
        <v>0</v>
      </c>
      <c r="AB69">
        <f t="shared" si="16"/>
        <v>72</v>
      </c>
      <c r="AC69">
        <f t="shared" si="17"/>
        <v>15.191161104131645</v>
      </c>
      <c r="AD69">
        <f t="shared" si="18"/>
        <v>50.654181325292782</v>
      </c>
      <c r="AE69">
        <f t="shared" si="19"/>
        <v>28.223080845308001</v>
      </c>
      <c r="AG69" s="109">
        <f t="shared" si="20"/>
        <v>44596</v>
      </c>
      <c r="AH69">
        <f>'Water Stuff'!I39*1000</f>
        <v>620</v>
      </c>
      <c r="AI69">
        <f>'Water Stuff'!Q39*1000</f>
        <v>620</v>
      </c>
      <c r="AJ69">
        <f>'Water Stuff'!Y39*1000</f>
        <v>620</v>
      </c>
      <c r="AK69">
        <f>'Water Stuff'!AG39*1000</f>
        <v>620</v>
      </c>
      <c r="AL69">
        <f>'Water Stuff'!AO39*1000</f>
        <v>620</v>
      </c>
    </row>
    <row r="70" spans="1:38">
      <c r="A70" s="109">
        <f>'Water Stuff'!F40</f>
        <v>44597</v>
      </c>
      <c r="B70">
        <f>IF( 'Water Stuff'!G40*1000 &gt;= 'Water Stuff'!$B$6*1000, 'Water Stuff'!$B$6*1000, 'Water Stuff'!G40*1000)</f>
        <v>0</v>
      </c>
      <c r="C70">
        <f>IF( 'Water Stuff'!O40*1000 &gt;= 'Water Stuff'!$B$6*1000, 'Water Stuff'!$B$6*1000, 'Water Stuff'!O40*1000)</f>
        <v>5440</v>
      </c>
      <c r="D70">
        <f>IF( 'Water Stuff'!W40*1000 &gt;= 'Water Stuff'!$B$6*1000, 'Water Stuff'!$B$6*1000, 'Water Stuff'!W40*1000)</f>
        <v>0</v>
      </c>
      <c r="E70">
        <f>IF( 'Water Stuff'!AE40*1000 &gt;= 'Water Stuff'!$B$6*1000, 'Water Stuff'!$B$6*1000, 'Water Stuff'!AE40*1000)</f>
        <v>2452.851436741224</v>
      </c>
      <c r="F70">
        <f>IF('Water Stuff'!AM40*1000&gt;='Water Stuff'!$B$6*1000,'Water Stuff'!$B$6*1000,'Water Stuff'!AM40*1000)</f>
        <v>0</v>
      </c>
      <c r="I70">
        <f t="shared" si="0"/>
        <v>0</v>
      </c>
      <c r="J70">
        <f t="shared" si="1"/>
        <v>54.4</v>
      </c>
      <c r="K70">
        <f t="shared" si="2"/>
        <v>0</v>
      </c>
      <c r="L70">
        <f t="shared" si="3"/>
        <v>24.528514367412242</v>
      </c>
      <c r="M70">
        <f t="shared" si="4"/>
        <v>0</v>
      </c>
      <c r="O70">
        <f t="shared" si="5"/>
        <v>0</v>
      </c>
      <c r="P70">
        <f t="shared" si="6"/>
        <v>1.0880000000000001</v>
      </c>
      <c r="Q70">
        <f t="shared" si="7"/>
        <v>0</v>
      </c>
      <c r="R70">
        <f t="shared" si="8"/>
        <v>0.49057028734824493</v>
      </c>
      <c r="S70">
        <f t="shared" si="9"/>
        <v>0</v>
      </c>
      <c r="U70">
        <f t="shared" si="10"/>
        <v>0</v>
      </c>
      <c r="V70">
        <f t="shared" si="11"/>
        <v>27.2</v>
      </c>
      <c r="W70">
        <f t="shared" si="12"/>
        <v>0</v>
      </c>
      <c r="X70">
        <f t="shared" si="13"/>
        <v>12.264257183706121</v>
      </c>
      <c r="Y70">
        <f t="shared" si="14"/>
        <v>0</v>
      </c>
      <c r="AA70">
        <f t="shared" si="15"/>
        <v>0</v>
      </c>
      <c r="AB70">
        <f t="shared" si="16"/>
        <v>54.4</v>
      </c>
      <c r="AC70">
        <f t="shared" si="17"/>
        <v>0</v>
      </c>
      <c r="AD70">
        <f t="shared" si="18"/>
        <v>24.528514367412242</v>
      </c>
      <c r="AE70">
        <f t="shared" si="19"/>
        <v>0</v>
      </c>
      <c r="AG70" s="109">
        <f t="shared" si="20"/>
        <v>44597</v>
      </c>
      <c r="AH70">
        <f>'Water Stuff'!I40*1000</f>
        <v>620</v>
      </c>
      <c r="AI70">
        <f>'Water Stuff'!Q40*1000</f>
        <v>620</v>
      </c>
      <c r="AJ70">
        <f>'Water Stuff'!Y40*1000</f>
        <v>620</v>
      </c>
      <c r="AK70">
        <f>'Water Stuff'!AG40*1000</f>
        <v>620</v>
      </c>
      <c r="AL70">
        <f>'Water Stuff'!AO40*1000</f>
        <v>620</v>
      </c>
    </row>
    <row r="71" spans="1:38">
      <c r="A71" s="109">
        <f>'Water Stuff'!F41</f>
        <v>44598</v>
      </c>
      <c r="B71">
        <f>IF( 'Water Stuff'!G41*1000 &gt;= 'Water Stuff'!$B$6*1000, 'Water Stuff'!$B$6*1000, 'Water Stuff'!G41*1000)</f>
        <v>0</v>
      </c>
      <c r="C71">
        <f>IF( 'Water Stuff'!O41*1000 &gt;= 'Water Stuff'!$B$6*1000, 'Water Stuff'!$B$6*1000, 'Water Stuff'!O41*1000)</f>
        <v>5640</v>
      </c>
      <c r="D71">
        <f>IF( 'Water Stuff'!W41*1000 &gt;= 'Water Stuff'!$B$6*1000, 'Water Stuff'!$B$6*1000, 'Water Stuff'!W41*1000)</f>
        <v>0</v>
      </c>
      <c r="E71">
        <f>IF( 'Water Stuff'!AE41*1000 &gt;= 'Water Stuff'!$B$6*1000, 'Water Stuff'!$B$6*1000, 'Water Stuff'!AE41*1000)</f>
        <v>4400.4826541009943</v>
      </c>
      <c r="F71">
        <f>IF('Water Stuff'!AM41*1000&gt;='Water Stuff'!$B$6*1000,'Water Stuff'!$B$6*1000,'Water Stuff'!AM41*1000)</f>
        <v>1295.9138803695757</v>
      </c>
      <c r="I71">
        <f t="shared" si="0"/>
        <v>0</v>
      </c>
      <c r="J71">
        <f t="shared" si="1"/>
        <v>56.4</v>
      </c>
      <c r="K71">
        <f t="shared" si="2"/>
        <v>0</v>
      </c>
      <c r="L71">
        <f t="shared" si="3"/>
        <v>44.00482654100994</v>
      </c>
      <c r="M71">
        <f t="shared" si="4"/>
        <v>12.959138803695758</v>
      </c>
      <c r="O71">
        <f t="shared" si="5"/>
        <v>0</v>
      </c>
      <c r="P71">
        <f t="shared" si="6"/>
        <v>1.1279999999999999</v>
      </c>
      <c r="Q71">
        <f t="shared" si="7"/>
        <v>0</v>
      </c>
      <c r="R71">
        <f t="shared" si="8"/>
        <v>0.88009653082019879</v>
      </c>
      <c r="S71">
        <f t="shared" si="9"/>
        <v>0.25918277607391516</v>
      </c>
      <c r="U71">
        <f t="shared" si="10"/>
        <v>0</v>
      </c>
      <c r="V71">
        <f t="shared" si="11"/>
        <v>28.2</v>
      </c>
      <c r="W71">
        <f t="shared" si="12"/>
        <v>0</v>
      </c>
      <c r="X71">
        <f t="shared" si="13"/>
        <v>22.00241327050497</v>
      </c>
      <c r="Y71">
        <f t="shared" si="14"/>
        <v>6.4795694018478791</v>
      </c>
      <c r="AA71">
        <f t="shared" si="15"/>
        <v>0</v>
      </c>
      <c r="AB71">
        <f t="shared" si="16"/>
        <v>56.4</v>
      </c>
      <c r="AC71">
        <f t="shared" si="17"/>
        <v>0</v>
      </c>
      <c r="AD71">
        <f t="shared" si="18"/>
        <v>44.00482654100994</v>
      </c>
      <c r="AE71">
        <f t="shared" si="19"/>
        <v>12.959138803695758</v>
      </c>
      <c r="AG71" s="109">
        <f t="shared" si="20"/>
        <v>44598</v>
      </c>
      <c r="AH71">
        <f>'Water Stuff'!I41*1000</f>
        <v>620</v>
      </c>
      <c r="AI71">
        <f>'Water Stuff'!Q41*1000</f>
        <v>620</v>
      </c>
      <c r="AJ71">
        <f>'Water Stuff'!Y41*1000</f>
        <v>620</v>
      </c>
      <c r="AK71">
        <f>'Water Stuff'!AG41*1000</f>
        <v>620</v>
      </c>
      <c r="AL71">
        <f>'Water Stuff'!AO41*1000</f>
        <v>620</v>
      </c>
    </row>
    <row r="72" spans="1:38">
      <c r="A72" s="109">
        <f>'Water Stuff'!F42</f>
        <v>44599</v>
      </c>
      <c r="B72">
        <f>IF( 'Water Stuff'!G42*1000 &gt;= 'Water Stuff'!$B$6*1000, 'Water Stuff'!$B$6*1000, 'Water Stuff'!G42*1000)</f>
        <v>0</v>
      </c>
      <c r="C72">
        <f>IF( 'Water Stuff'!O42*1000 &gt;= 'Water Stuff'!$B$6*1000, 'Water Stuff'!$B$6*1000, 'Water Stuff'!O42*1000)</f>
        <v>7840.0000000000009</v>
      </c>
      <c r="D72">
        <f>IF( 'Water Stuff'!W42*1000 &gt;= 'Water Stuff'!$B$6*1000, 'Water Stuff'!$B$6*1000, 'Water Stuff'!W42*1000)</f>
        <v>1677.3649873869047</v>
      </c>
      <c r="E72">
        <f>IF( 'Water Stuff'!AE42*1000 &gt;= 'Water Stuff'!$B$6*1000, 'Water Stuff'!$B$6*1000, 'Water Stuff'!AE42*1000)</f>
        <v>7161.9953785319221</v>
      </c>
      <c r="F72">
        <f>IF('Water Stuff'!AM42*1000&gt;='Water Stuff'!$B$6*1000,'Water Stuff'!$B$6*1000,'Water Stuff'!AM42*1000)</f>
        <v>0</v>
      </c>
      <c r="I72">
        <f t="shared" si="0"/>
        <v>0</v>
      </c>
      <c r="J72">
        <f t="shared" si="1"/>
        <v>78.40000000000002</v>
      </c>
      <c r="K72">
        <f t="shared" si="2"/>
        <v>16.773649873869047</v>
      </c>
      <c r="L72">
        <f t="shared" si="3"/>
        <v>71.619953785319211</v>
      </c>
      <c r="M72">
        <f t="shared" si="4"/>
        <v>0</v>
      </c>
      <c r="O72">
        <f t="shared" si="5"/>
        <v>0</v>
      </c>
      <c r="P72">
        <f t="shared" si="6"/>
        <v>1.5680000000000005</v>
      </c>
      <c r="Q72">
        <f t="shared" si="7"/>
        <v>0.33547299747738096</v>
      </c>
      <c r="R72">
        <f t="shared" si="8"/>
        <v>1.4323990757063843</v>
      </c>
      <c r="S72">
        <f t="shared" si="9"/>
        <v>0</v>
      </c>
      <c r="U72">
        <f t="shared" si="10"/>
        <v>0</v>
      </c>
      <c r="V72">
        <f t="shared" si="11"/>
        <v>39.200000000000003</v>
      </c>
      <c r="W72">
        <f t="shared" si="12"/>
        <v>8.3868249369345236</v>
      </c>
      <c r="X72">
        <f t="shared" si="13"/>
        <v>35.809976892659613</v>
      </c>
      <c r="Y72">
        <f t="shared" si="14"/>
        <v>0</v>
      </c>
      <c r="AA72">
        <f t="shared" si="15"/>
        <v>0</v>
      </c>
      <c r="AB72">
        <f t="shared" si="16"/>
        <v>78.400000000000006</v>
      </c>
      <c r="AC72">
        <f t="shared" si="17"/>
        <v>16.773649873869047</v>
      </c>
      <c r="AD72">
        <f t="shared" si="18"/>
        <v>71.619953785319225</v>
      </c>
      <c r="AE72">
        <f t="shared" si="19"/>
        <v>0</v>
      </c>
      <c r="AG72" s="109">
        <f t="shared" si="20"/>
        <v>44599</v>
      </c>
      <c r="AH72">
        <f>'Water Stuff'!I42*1000</f>
        <v>620</v>
      </c>
      <c r="AI72">
        <f>'Water Stuff'!Q42*1000</f>
        <v>620</v>
      </c>
      <c r="AJ72">
        <f>'Water Stuff'!Y42*1000</f>
        <v>620</v>
      </c>
      <c r="AK72">
        <f>'Water Stuff'!AG42*1000</f>
        <v>620</v>
      </c>
      <c r="AL72">
        <f>'Water Stuff'!AO42*1000</f>
        <v>620</v>
      </c>
    </row>
    <row r="73" spans="1:38">
      <c r="A73" s="109">
        <f>'Water Stuff'!F43</f>
        <v>44600</v>
      </c>
      <c r="B73">
        <f>IF( 'Water Stuff'!G43*1000 &gt;= 'Water Stuff'!$B$6*1000, 'Water Stuff'!$B$6*1000, 'Water Stuff'!G43*1000)</f>
        <v>0</v>
      </c>
      <c r="C73">
        <f>IF( 'Water Stuff'!O43*1000 &gt;= 'Water Stuff'!$B$6*1000, 'Water Stuff'!$B$6*1000, 'Water Stuff'!O43*1000)</f>
        <v>1320</v>
      </c>
      <c r="D73">
        <f>IF( 'Water Stuff'!W43*1000 &gt;= 'Water Stuff'!$B$6*1000, 'Water Stuff'!$B$6*1000, 'Water Stuff'!W43*1000)</f>
        <v>0</v>
      </c>
      <c r="E73">
        <f>IF( 'Water Stuff'!AE43*1000 &gt;= 'Water Stuff'!$B$6*1000, 'Water Stuff'!$B$6*1000, 'Water Stuff'!AE43*1000)</f>
        <v>0</v>
      </c>
      <c r="F73">
        <f>IF('Water Stuff'!AM43*1000&gt;='Water Stuff'!$B$6*1000,'Water Stuff'!$B$6*1000,'Water Stuff'!AM43*1000)</f>
        <v>1587.5373365131711</v>
      </c>
      <c r="I73">
        <f t="shared" si="0"/>
        <v>0</v>
      </c>
      <c r="J73">
        <f t="shared" si="1"/>
        <v>13.2</v>
      </c>
      <c r="K73">
        <f t="shared" si="2"/>
        <v>0</v>
      </c>
      <c r="L73">
        <f t="shared" si="3"/>
        <v>0</v>
      </c>
      <c r="M73">
        <f t="shared" si="4"/>
        <v>15.875373365131711</v>
      </c>
      <c r="O73">
        <f t="shared" si="5"/>
        <v>0</v>
      </c>
      <c r="P73">
        <f t="shared" si="6"/>
        <v>0.26400000000000001</v>
      </c>
      <c r="Q73">
        <f t="shared" si="7"/>
        <v>0</v>
      </c>
      <c r="R73">
        <f t="shared" si="8"/>
        <v>0</v>
      </c>
      <c r="S73">
        <f t="shared" si="9"/>
        <v>0.31750746730263424</v>
      </c>
      <c r="U73">
        <f t="shared" si="10"/>
        <v>0</v>
      </c>
      <c r="V73">
        <f t="shared" si="11"/>
        <v>6.6000000000000005</v>
      </c>
      <c r="W73">
        <f t="shared" si="12"/>
        <v>0</v>
      </c>
      <c r="X73">
        <f t="shared" si="13"/>
        <v>0</v>
      </c>
      <c r="Y73">
        <f t="shared" si="14"/>
        <v>7.9376866825658556</v>
      </c>
      <c r="AA73">
        <f t="shared" si="15"/>
        <v>0</v>
      </c>
      <c r="AB73">
        <f t="shared" si="16"/>
        <v>13.200000000000001</v>
      </c>
      <c r="AC73">
        <f t="shared" si="17"/>
        <v>0</v>
      </c>
      <c r="AD73">
        <f t="shared" si="18"/>
        <v>0</v>
      </c>
      <c r="AE73">
        <f t="shared" si="19"/>
        <v>15.875373365131711</v>
      </c>
      <c r="AG73" s="109">
        <f t="shared" si="20"/>
        <v>44600</v>
      </c>
      <c r="AH73">
        <f>'Water Stuff'!I43*1000</f>
        <v>620</v>
      </c>
      <c r="AI73">
        <f>'Water Stuff'!Q43*1000</f>
        <v>620</v>
      </c>
      <c r="AJ73">
        <f>'Water Stuff'!Y43*1000</f>
        <v>620</v>
      </c>
      <c r="AK73">
        <f>'Water Stuff'!AG43*1000</f>
        <v>620</v>
      </c>
      <c r="AL73">
        <f>'Water Stuff'!AO43*1000</f>
        <v>620</v>
      </c>
    </row>
    <row r="74" spans="1:38">
      <c r="A74" s="109">
        <f>'Water Stuff'!F44</f>
        <v>44601</v>
      </c>
      <c r="B74">
        <f>IF( 'Water Stuff'!G44*1000 &gt;= 'Water Stuff'!$B$6*1000, 'Water Stuff'!$B$6*1000, 'Water Stuff'!G44*1000)</f>
        <v>2440</v>
      </c>
      <c r="C74">
        <f>IF( 'Water Stuff'!O44*1000 &gt;= 'Water Stuff'!$B$6*1000, 'Water Stuff'!$B$6*1000, 'Water Stuff'!O44*1000)</f>
        <v>640</v>
      </c>
      <c r="D74">
        <f>IF( 'Water Stuff'!W44*1000 &gt;= 'Water Stuff'!$B$6*1000, 'Water Stuff'!$B$6*1000, 'Water Stuff'!W44*1000)</f>
        <v>152.7149638725856</v>
      </c>
      <c r="E74">
        <f>IF( 'Water Stuff'!AE44*1000 &gt;= 'Water Stuff'!$B$6*1000, 'Water Stuff'!$B$6*1000, 'Water Stuff'!AE44*1000)</f>
        <v>0</v>
      </c>
      <c r="F74">
        <f>IF('Water Stuff'!AM44*1000&gt;='Water Stuff'!$B$6*1000,'Water Stuff'!$B$6*1000,'Water Stuff'!AM44*1000)</f>
        <v>816.84726255322971</v>
      </c>
      <c r="I74">
        <f t="shared" si="0"/>
        <v>24.4</v>
      </c>
      <c r="J74">
        <f t="shared" si="1"/>
        <v>6.4</v>
      </c>
      <c r="K74">
        <f t="shared" si="2"/>
        <v>1.5271496387258561</v>
      </c>
      <c r="L74">
        <f t="shared" si="3"/>
        <v>0</v>
      </c>
      <c r="M74">
        <f t="shared" si="4"/>
        <v>8.1684726255322975</v>
      </c>
      <c r="O74">
        <f t="shared" si="5"/>
        <v>0.48799999999999999</v>
      </c>
      <c r="P74">
        <f t="shared" si="6"/>
        <v>0.128</v>
      </c>
      <c r="Q74">
        <f t="shared" si="7"/>
        <v>3.0542992774517122E-2</v>
      </c>
      <c r="R74">
        <f t="shared" si="8"/>
        <v>0</v>
      </c>
      <c r="S74">
        <f t="shared" si="9"/>
        <v>0.16336945251064594</v>
      </c>
      <c r="U74">
        <f t="shared" si="10"/>
        <v>12.200000000000001</v>
      </c>
      <c r="V74">
        <f t="shared" si="11"/>
        <v>3.2</v>
      </c>
      <c r="W74">
        <f t="shared" si="12"/>
        <v>0.76357481936292804</v>
      </c>
      <c r="X74">
        <f t="shared" si="13"/>
        <v>0</v>
      </c>
      <c r="Y74">
        <f t="shared" si="14"/>
        <v>4.0842363127661487</v>
      </c>
      <c r="AA74">
        <f t="shared" si="15"/>
        <v>24.400000000000002</v>
      </c>
      <c r="AB74">
        <f t="shared" si="16"/>
        <v>6.4</v>
      </c>
      <c r="AC74">
        <f t="shared" si="17"/>
        <v>1.5271496387258561</v>
      </c>
      <c r="AD74">
        <f t="shared" si="18"/>
        <v>0</v>
      </c>
      <c r="AE74">
        <f t="shared" si="19"/>
        <v>8.1684726255322975</v>
      </c>
      <c r="AG74" s="109">
        <f t="shared" si="20"/>
        <v>44601</v>
      </c>
      <c r="AH74">
        <f>'Water Stuff'!I44*1000</f>
        <v>620</v>
      </c>
      <c r="AI74">
        <f>'Water Stuff'!Q44*1000</f>
        <v>620</v>
      </c>
      <c r="AJ74">
        <f>'Water Stuff'!Y44*1000</f>
        <v>620</v>
      </c>
      <c r="AK74">
        <f>'Water Stuff'!AG44*1000</f>
        <v>620</v>
      </c>
      <c r="AL74">
        <f>'Water Stuff'!AO44*1000</f>
        <v>620</v>
      </c>
    </row>
    <row r="75" spans="1:38">
      <c r="A75" s="109">
        <f>'Water Stuff'!F45</f>
        <v>44602</v>
      </c>
      <c r="B75">
        <f>IF( 'Water Stuff'!G45*1000 &gt;= 'Water Stuff'!$B$6*1000, 'Water Stuff'!$B$6*1000, 'Water Stuff'!G45*1000)</f>
        <v>2680</v>
      </c>
      <c r="C75">
        <f>IF( 'Water Stuff'!O45*1000 &gt;= 'Water Stuff'!$B$6*1000, 'Water Stuff'!$B$6*1000, 'Water Stuff'!O45*1000)</f>
        <v>40</v>
      </c>
      <c r="D75">
        <f>IF( 'Water Stuff'!W45*1000 &gt;= 'Water Stuff'!$B$6*1000, 'Water Stuff'!$B$6*1000, 'Water Stuff'!W45*1000)</f>
        <v>1668.3956862506591</v>
      </c>
      <c r="E75">
        <f>IF( 'Water Stuff'!AE45*1000 &gt;= 'Water Stuff'!$B$6*1000, 'Water Stuff'!$B$6*1000, 'Water Stuff'!AE45*1000)</f>
        <v>0</v>
      </c>
      <c r="F75">
        <f>IF('Water Stuff'!AM45*1000&gt;='Water Stuff'!$B$6*1000,'Water Stuff'!$B$6*1000,'Water Stuff'!AM45*1000)</f>
        <v>986.82410912693899</v>
      </c>
      <c r="I75">
        <f t="shared" si="0"/>
        <v>26.8</v>
      </c>
      <c r="J75">
        <f t="shared" si="1"/>
        <v>0.4</v>
      </c>
      <c r="K75">
        <f t="shared" si="2"/>
        <v>16.683956862506591</v>
      </c>
      <c r="L75">
        <f t="shared" si="3"/>
        <v>0</v>
      </c>
      <c r="M75">
        <f t="shared" si="4"/>
        <v>9.8682410912693896</v>
      </c>
      <c r="O75">
        <f t="shared" si="5"/>
        <v>0.53600000000000003</v>
      </c>
      <c r="P75">
        <f t="shared" si="6"/>
        <v>8.0000000000000002E-3</v>
      </c>
      <c r="Q75">
        <f t="shared" si="7"/>
        <v>0.33367913725013182</v>
      </c>
      <c r="R75">
        <f t="shared" si="8"/>
        <v>0</v>
      </c>
      <c r="S75">
        <f t="shared" si="9"/>
        <v>0.19736482182538778</v>
      </c>
      <c r="U75">
        <f t="shared" si="10"/>
        <v>13.4</v>
      </c>
      <c r="V75">
        <f t="shared" si="11"/>
        <v>0.2</v>
      </c>
      <c r="W75">
        <f t="shared" si="12"/>
        <v>8.3419784312532954</v>
      </c>
      <c r="X75">
        <f t="shared" si="13"/>
        <v>0</v>
      </c>
      <c r="Y75">
        <f t="shared" si="14"/>
        <v>4.9341205456346948</v>
      </c>
      <c r="AA75">
        <f t="shared" si="15"/>
        <v>26.8</v>
      </c>
      <c r="AB75">
        <f t="shared" si="16"/>
        <v>0.4</v>
      </c>
      <c r="AC75">
        <f t="shared" si="17"/>
        <v>16.683956862506591</v>
      </c>
      <c r="AD75">
        <f t="shared" si="18"/>
        <v>0</v>
      </c>
      <c r="AE75">
        <f t="shared" si="19"/>
        <v>9.8682410912693896</v>
      </c>
      <c r="AG75" s="109">
        <f t="shared" si="20"/>
        <v>44602</v>
      </c>
      <c r="AH75">
        <f>'Water Stuff'!I45*1000</f>
        <v>620</v>
      </c>
      <c r="AI75">
        <f>'Water Stuff'!Q45*1000</f>
        <v>620</v>
      </c>
      <c r="AJ75">
        <f>'Water Stuff'!Y45*1000</f>
        <v>620</v>
      </c>
      <c r="AK75">
        <f>'Water Stuff'!AG45*1000</f>
        <v>620</v>
      </c>
      <c r="AL75">
        <f>'Water Stuff'!AO45*1000</f>
        <v>620</v>
      </c>
    </row>
    <row r="76" spans="1:38">
      <c r="A76" s="109">
        <f>'Water Stuff'!F46</f>
        <v>44603</v>
      </c>
      <c r="B76">
        <f>IF( 'Water Stuff'!G46*1000 &gt;= 'Water Stuff'!$B$6*1000, 'Water Stuff'!$B$6*1000, 'Water Stuff'!G46*1000)</f>
        <v>9320</v>
      </c>
      <c r="C76">
        <f>IF( 'Water Stuff'!O46*1000 &gt;= 'Water Stuff'!$B$6*1000, 'Water Stuff'!$B$6*1000, 'Water Stuff'!O46*1000)</f>
        <v>3920.0000000000005</v>
      </c>
      <c r="D76">
        <f>IF( 'Water Stuff'!W46*1000 &gt;= 'Water Stuff'!$B$6*1000, 'Water Stuff'!$B$6*1000, 'Water Stuff'!W46*1000)</f>
        <v>10000</v>
      </c>
      <c r="E76">
        <f>IF( 'Water Stuff'!AE46*1000 &gt;= 'Water Stuff'!$B$6*1000, 'Water Stuff'!$B$6*1000, 'Water Stuff'!AE46*1000)</f>
        <v>4096.7615601010921</v>
      </c>
      <c r="F76">
        <f>IF('Water Stuff'!AM46*1000&gt;='Water Stuff'!$B$6*1000,'Water Stuff'!$B$6*1000,'Water Stuff'!AM46*1000)</f>
        <v>7325.3565196192258</v>
      </c>
      <c r="I76">
        <f t="shared" si="0"/>
        <v>93.2</v>
      </c>
      <c r="J76">
        <f t="shared" si="1"/>
        <v>39.20000000000001</v>
      </c>
      <c r="K76">
        <f t="shared" si="2"/>
        <v>100</v>
      </c>
      <c r="L76">
        <f t="shared" si="3"/>
        <v>40.96761560101092</v>
      </c>
      <c r="M76">
        <f t="shared" si="4"/>
        <v>73.253565196192255</v>
      </c>
      <c r="O76">
        <f t="shared" si="5"/>
        <v>1.8640000000000001</v>
      </c>
      <c r="P76">
        <f t="shared" si="6"/>
        <v>0.78400000000000025</v>
      </c>
      <c r="Q76">
        <f t="shared" si="7"/>
        <v>2</v>
      </c>
      <c r="R76">
        <f t="shared" si="8"/>
        <v>0.81935231202021841</v>
      </c>
      <c r="S76">
        <f t="shared" si="9"/>
        <v>1.4650713039238452</v>
      </c>
      <c r="U76">
        <f t="shared" si="10"/>
        <v>46.6</v>
      </c>
      <c r="V76">
        <f t="shared" si="11"/>
        <v>19.600000000000001</v>
      </c>
      <c r="W76">
        <f t="shared" si="12"/>
        <v>50</v>
      </c>
      <c r="X76">
        <f t="shared" si="13"/>
        <v>20.48380780050546</v>
      </c>
      <c r="Y76">
        <f t="shared" si="14"/>
        <v>36.626782598096128</v>
      </c>
      <c r="AA76">
        <f t="shared" si="15"/>
        <v>93.2</v>
      </c>
      <c r="AB76">
        <f t="shared" si="16"/>
        <v>39.200000000000003</v>
      </c>
      <c r="AC76">
        <f t="shared" si="17"/>
        <v>100</v>
      </c>
      <c r="AD76">
        <f t="shared" si="18"/>
        <v>40.96761560101092</v>
      </c>
      <c r="AE76">
        <f t="shared" si="19"/>
        <v>73.253565196192255</v>
      </c>
      <c r="AG76" s="109">
        <f t="shared" si="20"/>
        <v>44603</v>
      </c>
      <c r="AH76">
        <f>'Water Stuff'!I46*1000</f>
        <v>620</v>
      </c>
      <c r="AI76">
        <f>'Water Stuff'!Q46*1000</f>
        <v>620</v>
      </c>
      <c r="AJ76">
        <f>'Water Stuff'!Y46*1000</f>
        <v>620</v>
      </c>
      <c r="AK76">
        <f>'Water Stuff'!AG46*1000</f>
        <v>620</v>
      </c>
      <c r="AL76">
        <f>'Water Stuff'!AO46*1000</f>
        <v>620</v>
      </c>
    </row>
    <row r="77" spans="1:38">
      <c r="A77" s="109">
        <f>'Water Stuff'!F47</f>
        <v>44604</v>
      </c>
      <c r="B77">
        <f>IF( 'Water Stuff'!G47*1000 &gt;= 'Water Stuff'!$B$6*1000, 'Water Stuff'!$B$6*1000, 'Water Stuff'!G47*1000)</f>
        <v>3360</v>
      </c>
      <c r="C77">
        <f>IF( 'Water Stuff'!O47*1000 &gt;= 'Water Stuff'!$B$6*1000, 'Water Stuff'!$B$6*1000, 'Water Stuff'!O47*1000)</f>
        <v>6080</v>
      </c>
      <c r="D77">
        <f>IF( 'Water Stuff'!W47*1000 &gt;= 'Water Stuff'!$B$6*1000, 'Water Stuff'!$B$6*1000, 'Water Stuff'!W47*1000)</f>
        <v>3860.1244377609064</v>
      </c>
      <c r="E77">
        <f>IF( 'Water Stuff'!AE47*1000 &gt;= 'Water Stuff'!$B$6*1000, 'Water Stuff'!$B$6*1000, 'Water Stuff'!AE47*1000)</f>
        <v>6690.5467538760649</v>
      </c>
      <c r="F77">
        <f>IF('Water Stuff'!AM47*1000&gt;='Water Stuff'!$B$6*1000,'Water Stuff'!$B$6*1000,'Water Stuff'!AM47*1000)</f>
        <v>3340.6917755606719</v>
      </c>
      <c r="I77">
        <f t="shared" si="0"/>
        <v>33.6</v>
      </c>
      <c r="J77">
        <f t="shared" si="1"/>
        <v>60.8</v>
      </c>
      <c r="K77">
        <f t="shared" si="2"/>
        <v>38.601244377609063</v>
      </c>
      <c r="L77">
        <f t="shared" si="3"/>
        <v>66.905467538760661</v>
      </c>
      <c r="M77">
        <f t="shared" si="4"/>
        <v>33.406917755606713</v>
      </c>
      <c r="O77">
        <f t="shared" si="5"/>
        <v>0.67200000000000004</v>
      </c>
      <c r="P77">
        <f t="shared" si="6"/>
        <v>1.216</v>
      </c>
      <c r="Q77">
        <f t="shared" si="7"/>
        <v>0.77202488755218135</v>
      </c>
      <c r="R77">
        <f t="shared" si="8"/>
        <v>1.3381093507752133</v>
      </c>
      <c r="S77">
        <f t="shared" si="9"/>
        <v>0.66813835511213426</v>
      </c>
      <c r="U77">
        <f t="shared" si="10"/>
        <v>16.8</v>
      </c>
      <c r="V77">
        <f t="shared" si="11"/>
        <v>30.400000000000002</v>
      </c>
      <c r="W77">
        <f t="shared" si="12"/>
        <v>19.300622188804532</v>
      </c>
      <c r="X77">
        <f t="shared" si="13"/>
        <v>33.452733769380323</v>
      </c>
      <c r="Y77">
        <f t="shared" si="14"/>
        <v>16.70345887780336</v>
      </c>
      <c r="AA77">
        <f t="shared" si="15"/>
        <v>33.6</v>
      </c>
      <c r="AB77">
        <f t="shared" si="16"/>
        <v>60.800000000000004</v>
      </c>
      <c r="AC77">
        <f t="shared" si="17"/>
        <v>38.601244377609063</v>
      </c>
      <c r="AD77">
        <f t="shared" si="18"/>
        <v>66.905467538760647</v>
      </c>
      <c r="AE77">
        <f t="shared" si="19"/>
        <v>33.40691775560672</v>
      </c>
      <c r="AG77" s="109">
        <f t="shared" si="20"/>
        <v>44604</v>
      </c>
      <c r="AH77">
        <f>'Water Stuff'!I47*1000</f>
        <v>620</v>
      </c>
      <c r="AI77">
        <f>'Water Stuff'!Q47*1000</f>
        <v>620</v>
      </c>
      <c r="AJ77">
        <f>'Water Stuff'!Y47*1000</f>
        <v>620</v>
      </c>
      <c r="AK77">
        <f>'Water Stuff'!AG47*1000</f>
        <v>620</v>
      </c>
      <c r="AL77">
        <f>'Water Stuff'!AO47*1000</f>
        <v>620</v>
      </c>
    </row>
    <row r="78" spans="1:38">
      <c r="A78" s="109">
        <f>'Water Stuff'!F48</f>
        <v>44605</v>
      </c>
      <c r="B78">
        <f>IF( 'Water Stuff'!G48*1000 &gt;= 'Water Stuff'!$B$6*1000, 'Water Stuff'!$B$6*1000, 'Water Stuff'!G48*1000)</f>
        <v>3120</v>
      </c>
      <c r="C78">
        <f>IF( 'Water Stuff'!O48*1000 &gt;= 'Water Stuff'!$B$6*1000, 'Water Stuff'!$B$6*1000, 'Water Stuff'!O48*1000)</f>
        <v>3800</v>
      </c>
      <c r="D78">
        <f>IF( 'Water Stuff'!W48*1000 &gt;= 'Water Stuff'!$B$6*1000, 'Water Stuff'!$B$6*1000, 'Water Stuff'!W48*1000)</f>
        <v>1587.803717785149</v>
      </c>
      <c r="E78">
        <f>IF( 'Water Stuff'!AE48*1000 &gt;= 'Water Stuff'!$B$6*1000, 'Water Stuff'!$B$6*1000, 'Water Stuff'!AE48*1000)</f>
        <v>5490.7940270289819</v>
      </c>
      <c r="F78">
        <f>IF('Water Stuff'!AM48*1000&gt;='Water Stuff'!$B$6*1000,'Water Stuff'!$B$6*1000,'Water Stuff'!AM48*1000)</f>
        <v>217.85965754353418</v>
      </c>
      <c r="I78">
        <f t="shared" si="0"/>
        <v>31.2</v>
      </c>
      <c r="J78">
        <f t="shared" si="1"/>
        <v>38</v>
      </c>
      <c r="K78">
        <f t="shared" si="2"/>
        <v>15.878037177851491</v>
      </c>
      <c r="L78">
        <f t="shared" si="3"/>
        <v>54.907940270289821</v>
      </c>
      <c r="M78">
        <f t="shared" si="4"/>
        <v>2.1785965754353418</v>
      </c>
      <c r="O78">
        <f t="shared" si="5"/>
        <v>0.624</v>
      </c>
      <c r="P78">
        <f t="shared" si="6"/>
        <v>0.76</v>
      </c>
      <c r="Q78">
        <f t="shared" si="7"/>
        <v>0.31756074355702979</v>
      </c>
      <c r="R78">
        <f t="shared" si="8"/>
        <v>1.0981588054057962</v>
      </c>
      <c r="S78">
        <f t="shared" si="9"/>
        <v>4.3571931508706842E-2</v>
      </c>
      <c r="U78">
        <f t="shared" si="10"/>
        <v>15.6</v>
      </c>
      <c r="V78">
        <f t="shared" si="11"/>
        <v>19</v>
      </c>
      <c r="W78">
        <f t="shared" si="12"/>
        <v>7.9390185889257454</v>
      </c>
      <c r="X78">
        <f t="shared" si="13"/>
        <v>27.45397013514491</v>
      </c>
      <c r="Y78">
        <f t="shared" si="14"/>
        <v>1.0892982877176709</v>
      </c>
      <c r="AA78">
        <f t="shared" si="15"/>
        <v>31.2</v>
      </c>
      <c r="AB78">
        <f t="shared" si="16"/>
        <v>38</v>
      </c>
      <c r="AC78">
        <f t="shared" si="17"/>
        <v>15.878037177851491</v>
      </c>
      <c r="AD78">
        <f t="shared" si="18"/>
        <v>54.907940270289821</v>
      </c>
      <c r="AE78">
        <f t="shared" si="19"/>
        <v>2.1785965754353418</v>
      </c>
      <c r="AG78" s="109">
        <f t="shared" si="20"/>
        <v>44605</v>
      </c>
      <c r="AH78">
        <f>'Water Stuff'!I48*1000</f>
        <v>620</v>
      </c>
      <c r="AI78">
        <f>'Water Stuff'!Q48*1000</f>
        <v>620</v>
      </c>
      <c r="AJ78">
        <f>'Water Stuff'!Y48*1000</f>
        <v>620</v>
      </c>
      <c r="AK78">
        <f>'Water Stuff'!AG48*1000</f>
        <v>620</v>
      </c>
      <c r="AL78">
        <f>'Water Stuff'!AO48*1000</f>
        <v>620</v>
      </c>
    </row>
    <row r="79" spans="1:38">
      <c r="A79" s="109">
        <f>'Water Stuff'!F49</f>
        <v>44606</v>
      </c>
      <c r="B79">
        <f>IF( 'Water Stuff'!G49*1000 &gt;= 'Water Stuff'!$B$6*1000, 'Water Stuff'!$B$6*1000, 'Water Stuff'!G49*1000)</f>
        <v>600</v>
      </c>
      <c r="C79">
        <f>IF( 'Water Stuff'!O49*1000 &gt;= 'Water Stuff'!$B$6*1000, 'Water Stuff'!$B$6*1000, 'Water Stuff'!O49*1000)</f>
        <v>40</v>
      </c>
      <c r="D79">
        <f>IF( 'Water Stuff'!W49*1000 &gt;= 'Water Stuff'!$B$6*1000, 'Water Stuff'!$B$6*1000, 'Water Stuff'!W49*1000)</f>
        <v>1878.7353482630692</v>
      </c>
      <c r="E79">
        <f>IF( 'Water Stuff'!AE49*1000 &gt;= 'Water Stuff'!$B$6*1000, 'Water Stuff'!$B$6*1000, 'Water Stuff'!AE49*1000)</f>
        <v>0</v>
      </c>
      <c r="F79">
        <f>IF('Water Stuff'!AM49*1000&gt;='Water Stuff'!$B$6*1000,'Water Stuff'!$B$6*1000,'Water Stuff'!AM49*1000)</f>
        <v>1784.1364135010231</v>
      </c>
      <c r="I79">
        <f t="shared" si="0"/>
        <v>6</v>
      </c>
      <c r="J79">
        <f t="shared" si="1"/>
        <v>0.4</v>
      </c>
      <c r="K79">
        <f t="shared" si="2"/>
        <v>18.787353482630692</v>
      </c>
      <c r="L79">
        <f t="shared" si="3"/>
        <v>0</v>
      </c>
      <c r="M79">
        <f t="shared" si="4"/>
        <v>17.841364135010231</v>
      </c>
      <c r="O79">
        <f t="shared" si="5"/>
        <v>0.12</v>
      </c>
      <c r="P79">
        <f t="shared" si="6"/>
        <v>8.0000000000000002E-3</v>
      </c>
      <c r="Q79">
        <f t="shared" si="7"/>
        <v>0.37574706965261384</v>
      </c>
      <c r="R79">
        <f t="shared" si="8"/>
        <v>0</v>
      </c>
      <c r="S79">
        <f t="shared" si="9"/>
        <v>0.35682728270020458</v>
      </c>
      <c r="U79">
        <f t="shared" si="10"/>
        <v>3</v>
      </c>
      <c r="V79">
        <f t="shared" si="11"/>
        <v>0.2</v>
      </c>
      <c r="W79">
        <f t="shared" si="12"/>
        <v>9.3936767413153461</v>
      </c>
      <c r="X79">
        <f t="shared" si="13"/>
        <v>0</v>
      </c>
      <c r="Y79">
        <f t="shared" si="14"/>
        <v>8.9206820675051155</v>
      </c>
      <c r="AA79">
        <f t="shared" si="15"/>
        <v>6</v>
      </c>
      <c r="AB79">
        <f t="shared" si="16"/>
        <v>0.4</v>
      </c>
      <c r="AC79">
        <f t="shared" si="17"/>
        <v>18.787353482630692</v>
      </c>
      <c r="AD79">
        <f t="shared" si="18"/>
        <v>0</v>
      </c>
      <c r="AE79">
        <f t="shared" si="19"/>
        <v>17.841364135010231</v>
      </c>
      <c r="AG79" s="109">
        <f t="shared" si="20"/>
        <v>44606</v>
      </c>
      <c r="AH79">
        <f>'Water Stuff'!I49*1000</f>
        <v>620</v>
      </c>
      <c r="AI79">
        <f>'Water Stuff'!Q49*1000</f>
        <v>620</v>
      </c>
      <c r="AJ79">
        <f>'Water Stuff'!Y49*1000</f>
        <v>620</v>
      </c>
      <c r="AK79">
        <f>'Water Stuff'!AG49*1000</f>
        <v>620</v>
      </c>
      <c r="AL79">
        <f>'Water Stuff'!AO49*1000</f>
        <v>620</v>
      </c>
    </row>
    <row r="80" spans="1:38">
      <c r="A80" s="109">
        <f>'Water Stuff'!F50</f>
        <v>44607</v>
      </c>
      <c r="B80">
        <f>IF( 'Water Stuff'!G50*1000 &gt;= 'Water Stuff'!$B$6*1000, 'Water Stuff'!$B$6*1000, 'Water Stuff'!G50*1000)</f>
        <v>2320</v>
      </c>
      <c r="C80">
        <f>IF( 'Water Stuff'!O50*1000 &gt;= 'Water Stuff'!$B$6*1000, 'Water Stuff'!$B$6*1000, 'Water Stuff'!O50*1000)</f>
        <v>0</v>
      </c>
      <c r="D80">
        <f>IF( 'Water Stuff'!W50*1000 &gt;= 'Water Stuff'!$B$6*1000, 'Water Stuff'!$B$6*1000, 'Water Stuff'!W50*1000)</f>
        <v>2639.6238890453219</v>
      </c>
      <c r="E80">
        <f>IF( 'Water Stuff'!AE50*1000 &gt;= 'Water Stuff'!$B$6*1000, 'Water Stuff'!$B$6*1000, 'Water Stuff'!AE50*1000)</f>
        <v>0</v>
      </c>
      <c r="F80">
        <f>IF('Water Stuff'!AM50*1000&gt;='Water Stuff'!$B$6*1000,'Water Stuff'!$B$6*1000,'Water Stuff'!AM50*1000)</f>
        <v>1961.1782768041649</v>
      </c>
      <c r="I80">
        <f t="shared" si="0"/>
        <v>23.2</v>
      </c>
      <c r="J80">
        <f t="shared" si="1"/>
        <v>0</v>
      </c>
      <c r="K80">
        <f t="shared" si="2"/>
        <v>26.396238890453219</v>
      </c>
      <c r="L80">
        <f t="shared" si="3"/>
        <v>0</v>
      </c>
      <c r="M80">
        <f t="shared" si="4"/>
        <v>19.61178276804165</v>
      </c>
      <c r="O80">
        <f t="shared" si="5"/>
        <v>0.46400000000000002</v>
      </c>
      <c r="P80">
        <f t="shared" si="6"/>
        <v>0</v>
      </c>
      <c r="Q80">
        <f t="shared" si="7"/>
        <v>0.52792477780906433</v>
      </c>
      <c r="R80">
        <f t="shared" si="8"/>
        <v>0</v>
      </c>
      <c r="S80">
        <f t="shared" si="9"/>
        <v>0.39223565536083299</v>
      </c>
      <c r="U80">
        <f t="shared" si="10"/>
        <v>11.6</v>
      </c>
      <c r="V80">
        <f t="shared" si="11"/>
        <v>0</v>
      </c>
      <c r="W80">
        <f t="shared" si="12"/>
        <v>13.19811944522661</v>
      </c>
      <c r="X80">
        <f t="shared" si="13"/>
        <v>0</v>
      </c>
      <c r="Y80">
        <f t="shared" si="14"/>
        <v>9.8058913840208248</v>
      </c>
      <c r="AA80">
        <f t="shared" si="15"/>
        <v>23.2</v>
      </c>
      <c r="AB80">
        <f t="shared" si="16"/>
        <v>0</v>
      </c>
      <c r="AC80">
        <f t="shared" si="17"/>
        <v>26.396238890453219</v>
      </c>
      <c r="AD80">
        <f t="shared" si="18"/>
        <v>0</v>
      </c>
      <c r="AE80">
        <f t="shared" si="19"/>
        <v>19.61178276804165</v>
      </c>
      <c r="AG80" s="109">
        <f t="shared" si="20"/>
        <v>44607</v>
      </c>
      <c r="AH80">
        <f>'Water Stuff'!I50*1000</f>
        <v>620</v>
      </c>
      <c r="AI80">
        <f>'Water Stuff'!Q50*1000</f>
        <v>620</v>
      </c>
      <c r="AJ80">
        <f>'Water Stuff'!Y50*1000</f>
        <v>620</v>
      </c>
      <c r="AK80">
        <f>'Water Stuff'!AG50*1000</f>
        <v>620</v>
      </c>
      <c r="AL80">
        <f>'Water Stuff'!AO50*1000</f>
        <v>620</v>
      </c>
    </row>
    <row r="81" spans="1:38">
      <c r="A81" s="109">
        <f>'Water Stuff'!F51</f>
        <v>44608</v>
      </c>
      <c r="B81">
        <f>IF( 'Water Stuff'!G51*1000 &gt;= 'Water Stuff'!$B$6*1000, 'Water Stuff'!$B$6*1000, 'Water Stuff'!G51*1000)</f>
        <v>3800</v>
      </c>
      <c r="C81">
        <f>IF( 'Water Stuff'!O51*1000 &gt;= 'Water Stuff'!$B$6*1000, 'Water Stuff'!$B$6*1000, 'Water Stuff'!O51*1000)</f>
        <v>0</v>
      </c>
      <c r="D81">
        <f>IF( 'Water Stuff'!W51*1000 &gt;= 'Water Stuff'!$B$6*1000, 'Water Stuff'!$B$6*1000, 'Water Stuff'!W51*1000)</f>
        <v>4228.2192146266998</v>
      </c>
      <c r="E81">
        <f>IF( 'Water Stuff'!AE51*1000 &gt;= 'Water Stuff'!$B$6*1000, 'Water Stuff'!$B$6*1000, 'Water Stuff'!AE51*1000)</f>
        <v>0</v>
      </c>
      <c r="F81">
        <f>IF('Water Stuff'!AM51*1000&gt;='Water Stuff'!$B$6*1000,'Water Stuff'!$B$6*1000,'Water Stuff'!AM51*1000)</f>
        <v>1697.5488061170602</v>
      </c>
      <c r="I81">
        <f t="shared" si="0"/>
        <v>38</v>
      </c>
      <c r="J81">
        <f t="shared" si="1"/>
        <v>0</v>
      </c>
      <c r="K81">
        <f t="shared" si="2"/>
        <v>42.282192146267001</v>
      </c>
      <c r="L81">
        <f t="shared" si="3"/>
        <v>0</v>
      </c>
      <c r="M81">
        <f t="shared" si="4"/>
        <v>16.975488061170601</v>
      </c>
      <c r="O81">
        <f t="shared" si="5"/>
        <v>0.76</v>
      </c>
      <c r="P81">
        <f t="shared" si="6"/>
        <v>0</v>
      </c>
      <c r="Q81">
        <f t="shared" si="7"/>
        <v>0.84564384292534001</v>
      </c>
      <c r="R81">
        <f t="shared" si="8"/>
        <v>0</v>
      </c>
      <c r="S81">
        <f t="shared" si="9"/>
        <v>0.33950976122341203</v>
      </c>
      <c r="U81">
        <f t="shared" si="10"/>
        <v>19</v>
      </c>
      <c r="V81">
        <f t="shared" si="11"/>
        <v>0</v>
      </c>
      <c r="W81">
        <f t="shared" si="12"/>
        <v>21.1410960731335</v>
      </c>
      <c r="X81">
        <f t="shared" si="13"/>
        <v>0</v>
      </c>
      <c r="Y81">
        <f t="shared" si="14"/>
        <v>8.4877440305853007</v>
      </c>
      <c r="AA81">
        <f t="shared" si="15"/>
        <v>38</v>
      </c>
      <c r="AB81">
        <f t="shared" si="16"/>
        <v>0</v>
      </c>
      <c r="AC81">
        <f t="shared" si="17"/>
        <v>42.282192146267001</v>
      </c>
      <c r="AD81">
        <f t="shared" si="18"/>
        <v>0</v>
      </c>
      <c r="AE81">
        <f t="shared" si="19"/>
        <v>16.975488061170601</v>
      </c>
      <c r="AG81" s="109">
        <f t="shared" si="20"/>
        <v>44608</v>
      </c>
      <c r="AH81">
        <f>'Water Stuff'!I51*1000</f>
        <v>620</v>
      </c>
      <c r="AI81">
        <f>'Water Stuff'!Q51*1000</f>
        <v>620</v>
      </c>
      <c r="AJ81">
        <f>'Water Stuff'!Y51*1000</f>
        <v>620</v>
      </c>
      <c r="AK81">
        <f>'Water Stuff'!AG51*1000</f>
        <v>620</v>
      </c>
      <c r="AL81">
        <f>'Water Stuff'!AO51*1000</f>
        <v>620</v>
      </c>
    </row>
    <row r="82" spans="1:38">
      <c r="A82" s="109">
        <f>'Water Stuff'!F52</f>
        <v>44609</v>
      </c>
      <c r="B82">
        <f>IF( 'Water Stuff'!G52*1000 &gt;= 'Water Stuff'!$B$6*1000, 'Water Stuff'!$B$6*1000, 'Water Stuff'!G52*1000)</f>
        <v>1839.9999999999998</v>
      </c>
      <c r="C82">
        <f>IF( 'Water Stuff'!O52*1000 &gt;= 'Water Stuff'!$B$6*1000, 'Water Stuff'!$B$6*1000, 'Water Stuff'!O52*1000)</f>
        <v>0</v>
      </c>
      <c r="D82">
        <f>IF( 'Water Stuff'!W52*1000 &gt;= 'Water Stuff'!$B$6*1000, 'Water Stuff'!$B$6*1000, 'Water Stuff'!W52*1000)</f>
        <v>1094.6892699856812</v>
      </c>
      <c r="E82">
        <f>IF( 'Water Stuff'!AE52*1000 &gt;= 'Water Stuff'!$B$6*1000, 'Water Stuff'!$B$6*1000, 'Water Stuff'!AE52*1000)</f>
        <v>0</v>
      </c>
      <c r="F82">
        <f>IF('Water Stuff'!AM52*1000&gt;='Water Stuff'!$B$6*1000,'Water Stuff'!$B$6*1000,'Water Stuff'!AM52*1000)</f>
        <v>2131.6047680909383</v>
      </c>
      <c r="I82">
        <f t="shared" si="0"/>
        <v>18.399999999999995</v>
      </c>
      <c r="J82">
        <f t="shared" si="1"/>
        <v>0</v>
      </c>
      <c r="K82">
        <f t="shared" si="2"/>
        <v>10.946892699856813</v>
      </c>
      <c r="L82">
        <f t="shared" si="3"/>
        <v>0</v>
      </c>
      <c r="M82">
        <f t="shared" si="4"/>
        <v>21.316047680909382</v>
      </c>
      <c r="O82">
        <f t="shared" si="5"/>
        <v>0.36799999999999988</v>
      </c>
      <c r="P82">
        <f t="shared" si="6"/>
        <v>0</v>
      </c>
      <c r="Q82">
        <f t="shared" si="7"/>
        <v>0.21893785399713625</v>
      </c>
      <c r="R82">
        <f t="shared" si="8"/>
        <v>0</v>
      </c>
      <c r="S82">
        <f t="shared" si="9"/>
        <v>0.42632095361818767</v>
      </c>
      <c r="U82">
        <f t="shared" si="10"/>
        <v>9.1999999999999993</v>
      </c>
      <c r="V82">
        <f t="shared" si="11"/>
        <v>0</v>
      </c>
      <c r="W82">
        <f t="shared" si="12"/>
        <v>5.4734463499284063</v>
      </c>
      <c r="X82">
        <f t="shared" si="13"/>
        <v>0</v>
      </c>
      <c r="Y82">
        <f t="shared" si="14"/>
        <v>10.658023840454691</v>
      </c>
      <c r="AA82">
        <f t="shared" si="15"/>
        <v>18.399999999999999</v>
      </c>
      <c r="AB82">
        <f t="shared" si="16"/>
        <v>0</v>
      </c>
      <c r="AC82">
        <f t="shared" si="17"/>
        <v>10.946892699856813</v>
      </c>
      <c r="AD82">
        <f t="shared" si="18"/>
        <v>0</v>
      </c>
      <c r="AE82">
        <f t="shared" si="19"/>
        <v>21.316047680909382</v>
      </c>
      <c r="AG82" s="109">
        <f t="shared" si="20"/>
        <v>44609</v>
      </c>
      <c r="AH82">
        <f>'Water Stuff'!I52*1000</f>
        <v>620</v>
      </c>
      <c r="AI82">
        <f>'Water Stuff'!Q52*1000</f>
        <v>620</v>
      </c>
      <c r="AJ82">
        <f>'Water Stuff'!Y52*1000</f>
        <v>620</v>
      </c>
      <c r="AK82">
        <f>'Water Stuff'!AG52*1000</f>
        <v>620</v>
      </c>
      <c r="AL82">
        <f>'Water Stuff'!AO52*1000</f>
        <v>620</v>
      </c>
    </row>
    <row r="83" spans="1:38">
      <c r="A83" s="109">
        <f>'Water Stuff'!F53</f>
        <v>44610</v>
      </c>
      <c r="B83">
        <f>IF( 'Water Stuff'!G53*1000 &gt;= 'Water Stuff'!$B$6*1000, 'Water Stuff'!$B$6*1000, 'Water Stuff'!G53*1000)</f>
        <v>2520</v>
      </c>
      <c r="C83">
        <f>IF( 'Water Stuff'!O53*1000 &gt;= 'Water Stuff'!$B$6*1000, 'Water Stuff'!$B$6*1000, 'Water Stuff'!O53*1000)</f>
        <v>800</v>
      </c>
      <c r="D83">
        <f>IF( 'Water Stuff'!W53*1000 &gt;= 'Water Stuff'!$B$6*1000, 'Water Stuff'!$B$6*1000, 'Water Stuff'!W53*1000)</f>
        <v>30.38347358125754</v>
      </c>
      <c r="E83">
        <f>IF( 'Water Stuff'!AE53*1000 &gt;= 'Water Stuff'!$B$6*1000, 'Water Stuff'!$B$6*1000, 'Water Stuff'!AE53*1000)</f>
        <v>721.39190226809842</v>
      </c>
      <c r="F83">
        <f>IF('Water Stuff'!AM53*1000&gt;='Water Stuff'!$B$6*1000,'Water Stuff'!$B$6*1000,'Water Stuff'!AM53*1000)</f>
        <v>733.4316093416038</v>
      </c>
      <c r="I83">
        <f t="shared" si="0"/>
        <v>25.2</v>
      </c>
      <c r="J83">
        <f t="shared" si="1"/>
        <v>8</v>
      </c>
      <c r="K83">
        <f t="shared" si="2"/>
        <v>0.30383473581257536</v>
      </c>
      <c r="L83">
        <f t="shared" si="3"/>
        <v>7.213919022680984</v>
      </c>
      <c r="M83">
        <f t="shared" si="4"/>
        <v>7.3343160934160379</v>
      </c>
      <c r="O83">
        <f t="shared" si="5"/>
        <v>0.504</v>
      </c>
      <c r="P83">
        <f t="shared" si="6"/>
        <v>0.16</v>
      </c>
      <c r="Q83">
        <f t="shared" si="7"/>
        <v>6.0766947162515074E-3</v>
      </c>
      <c r="R83">
        <f t="shared" si="8"/>
        <v>0.14427838045361968</v>
      </c>
      <c r="S83">
        <f t="shared" si="9"/>
        <v>0.14668632186832076</v>
      </c>
      <c r="U83">
        <f t="shared" si="10"/>
        <v>12.6</v>
      </c>
      <c r="V83">
        <f t="shared" si="11"/>
        <v>4</v>
      </c>
      <c r="W83">
        <f t="shared" si="12"/>
        <v>0.15191736790628771</v>
      </c>
      <c r="X83">
        <f t="shared" si="13"/>
        <v>3.606959511340492</v>
      </c>
      <c r="Y83">
        <f t="shared" si="14"/>
        <v>3.6671580467080189</v>
      </c>
      <c r="AA83">
        <f t="shared" si="15"/>
        <v>25.2</v>
      </c>
      <c r="AB83">
        <f t="shared" si="16"/>
        <v>8</v>
      </c>
      <c r="AC83">
        <f t="shared" si="17"/>
        <v>0.30383473581257542</v>
      </c>
      <c r="AD83">
        <f t="shared" si="18"/>
        <v>7.213919022680984</v>
      </c>
      <c r="AE83">
        <f t="shared" si="19"/>
        <v>7.3343160934160379</v>
      </c>
      <c r="AG83" s="109">
        <f t="shared" si="20"/>
        <v>44610</v>
      </c>
      <c r="AH83">
        <f>'Water Stuff'!I53*1000</f>
        <v>620</v>
      </c>
      <c r="AI83">
        <f>'Water Stuff'!Q53*1000</f>
        <v>620</v>
      </c>
      <c r="AJ83">
        <f>'Water Stuff'!Y53*1000</f>
        <v>620</v>
      </c>
      <c r="AK83">
        <f>'Water Stuff'!AG53*1000</f>
        <v>620</v>
      </c>
      <c r="AL83">
        <f>'Water Stuff'!AO53*1000</f>
        <v>620</v>
      </c>
    </row>
    <row r="84" spans="1:38">
      <c r="A84" s="109">
        <f>'Water Stuff'!F54</f>
        <v>44611</v>
      </c>
      <c r="B84">
        <f>IF( 'Water Stuff'!G54*1000 &gt;= 'Water Stuff'!$B$6*1000, 'Water Stuff'!$B$6*1000, 'Water Stuff'!G54*1000)</f>
        <v>4360</v>
      </c>
      <c r="C84">
        <f>IF( 'Water Stuff'!O54*1000 &gt;= 'Water Stuff'!$B$6*1000, 'Water Stuff'!$B$6*1000, 'Water Stuff'!O54*1000)</f>
        <v>2200</v>
      </c>
      <c r="D84">
        <f>IF( 'Water Stuff'!W54*1000 &gt;= 'Water Stuff'!$B$6*1000, 'Water Stuff'!$B$6*1000, 'Water Stuff'!W54*1000)</f>
        <v>5496.9624698753496</v>
      </c>
      <c r="E84">
        <f>IF( 'Water Stuff'!AE54*1000 &gt;= 'Water Stuff'!$B$6*1000, 'Water Stuff'!$B$6*1000, 'Water Stuff'!AE54*1000)</f>
        <v>1611.3803976838824</v>
      </c>
      <c r="F84">
        <f>IF('Water Stuff'!AM54*1000&gt;='Water Stuff'!$B$6*1000,'Water Stuff'!$B$6*1000,'Water Stuff'!AM54*1000)</f>
        <v>6428.2580673671137</v>
      </c>
      <c r="I84">
        <f t="shared" si="0"/>
        <v>43.6</v>
      </c>
      <c r="J84">
        <f t="shared" si="1"/>
        <v>22</v>
      </c>
      <c r="K84">
        <f t="shared" si="2"/>
        <v>54.969624698753499</v>
      </c>
      <c r="L84">
        <f t="shared" si="3"/>
        <v>16.113803976838824</v>
      </c>
      <c r="M84">
        <f t="shared" si="4"/>
        <v>64.282580673671134</v>
      </c>
      <c r="O84">
        <f t="shared" si="5"/>
        <v>0.872</v>
      </c>
      <c r="P84">
        <f t="shared" si="6"/>
        <v>0.44</v>
      </c>
      <c r="Q84">
        <f t="shared" si="7"/>
        <v>1.0993924939750701</v>
      </c>
      <c r="R84">
        <f t="shared" si="8"/>
        <v>0.32227607953677651</v>
      </c>
      <c r="S84">
        <f t="shared" si="9"/>
        <v>1.2856516134734226</v>
      </c>
      <c r="U84">
        <f t="shared" si="10"/>
        <v>21.8</v>
      </c>
      <c r="V84">
        <f t="shared" si="11"/>
        <v>11</v>
      </c>
      <c r="W84">
        <f t="shared" si="12"/>
        <v>27.48481234937675</v>
      </c>
      <c r="X84">
        <f t="shared" si="13"/>
        <v>8.056901988419412</v>
      </c>
      <c r="Y84">
        <f t="shared" si="14"/>
        <v>32.141290336835567</v>
      </c>
      <c r="AA84">
        <f t="shared" si="15"/>
        <v>43.6</v>
      </c>
      <c r="AB84">
        <f t="shared" si="16"/>
        <v>22</v>
      </c>
      <c r="AC84">
        <f t="shared" si="17"/>
        <v>54.969624698753499</v>
      </c>
      <c r="AD84">
        <f t="shared" si="18"/>
        <v>16.113803976838824</v>
      </c>
      <c r="AE84">
        <f t="shared" si="19"/>
        <v>64.282580673671134</v>
      </c>
      <c r="AG84" s="109">
        <f t="shared" si="20"/>
        <v>44611</v>
      </c>
      <c r="AH84">
        <f>'Water Stuff'!I54*1000</f>
        <v>620</v>
      </c>
      <c r="AI84">
        <f>'Water Stuff'!Q54*1000</f>
        <v>620</v>
      </c>
      <c r="AJ84">
        <f>'Water Stuff'!Y54*1000</f>
        <v>620</v>
      </c>
      <c r="AK84">
        <f>'Water Stuff'!AG54*1000</f>
        <v>620</v>
      </c>
      <c r="AL84">
        <f>'Water Stuff'!AO54*1000</f>
        <v>620</v>
      </c>
    </row>
    <row r="85" spans="1:38">
      <c r="A85" s="109">
        <f>'Water Stuff'!F55</f>
        <v>44612</v>
      </c>
      <c r="B85">
        <f>IF( 'Water Stuff'!G55*1000 &gt;= 'Water Stuff'!$B$6*1000, 'Water Stuff'!$B$6*1000, 'Water Stuff'!G55*1000)</f>
        <v>480</v>
      </c>
      <c r="C85">
        <f>IF( 'Water Stuff'!O55*1000 &gt;= 'Water Stuff'!$B$6*1000, 'Water Stuff'!$B$6*1000, 'Water Stuff'!O55*1000)</f>
        <v>80</v>
      </c>
      <c r="D85">
        <f>IF( 'Water Stuff'!W55*1000 &gt;= 'Water Stuff'!$B$6*1000, 'Water Stuff'!$B$6*1000, 'Water Stuff'!W55*1000)</f>
        <v>1483.090291121774</v>
      </c>
      <c r="E85">
        <f>IF( 'Water Stuff'!AE55*1000 &gt;= 'Water Stuff'!$B$6*1000, 'Water Stuff'!$B$6*1000, 'Water Stuff'!AE55*1000)</f>
        <v>0</v>
      </c>
      <c r="F85">
        <f>IF('Water Stuff'!AM55*1000&gt;='Water Stuff'!$B$6*1000,'Water Stuff'!$B$6*1000,'Water Stuff'!AM55*1000)</f>
        <v>1741.9284288047677</v>
      </c>
      <c r="I85">
        <f t="shared" si="0"/>
        <v>4.8</v>
      </c>
      <c r="J85">
        <f t="shared" si="1"/>
        <v>0.8</v>
      </c>
      <c r="K85">
        <f t="shared" si="2"/>
        <v>14.830902911217741</v>
      </c>
      <c r="L85">
        <f t="shared" si="3"/>
        <v>0</v>
      </c>
      <c r="M85">
        <f t="shared" si="4"/>
        <v>17.419284288047677</v>
      </c>
      <c r="O85">
        <f t="shared" si="5"/>
        <v>9.6000000000000002E-2</v>
      </c>
      <c r="P85">
        <f t="shared" si="6"/>
        <v>1.6E-2</v>
      </c>
      <c r="Q85">
        <f t="shared" si="7"/>
        <v>0.29661805822435477</v>
      </c>
      <c r="R85">
        <f t="shared" si="8"/>
        <v>0</v>
      </c>
      <c r="S85">
        <f t="shared" si="9"/>
        <v>0.34838568576095352</v>
      </c>
      <c r="U85">
        <f t="shared" si="10"/>
        <v>2.4</v>
      </c>
      <c r="V85">
        <f t="shared" si="11"/>
        <v>0.4</v>
      </c>
      <c r="W85">
        <f t="shared" si="12"/>
        <v>7.4154514556088706</v>
      </c>
      <c r="X85">
        <f t="shared" si="13"/>
        <v>0</v>
      </c>
      <c r="Y85">
        <f t="shared" si="14"/>
        <v>8.7096421440238387</v>
      </c>
      <c r="AA85">
        <f t="shared" si="15"/>
        <v>4.8</v>
      </c>
      <c r="AB85">
        <f t="shared" si="16"/>
        <v>0.8</v>
      </c>
      <c r="AC85">
        <f t="shared" si="17"/>
        <v>14.830902911217741</v>
      </c>
      <c r="AD85">
        <f t="shared" si="18"/>
        <v>0</v>
      </c>
      <c r="AE85">
        <f t="shared" si="19"/>
        <v>17.419284288047677</v>
      </c>
      <c r="AG85" s="109">
        <f t="shared" si="20"/>
        <v>44612</v>
      </c>
      <c r="AH85">
        <f>'Water Stuff'!I55*1000</f>
        <v>620</v>
      </c>
      <c r="AI85">
        <f>'Water Stuff'!Q55*1000</f>
        <v>620</v>
      </c>
      <c r="AJ85">
        <f>'Water Stuff'!Y55*1000</f>
        <v>620</v>
      </c>
      <c r="AK85">
        <f>'Water Stuff'!AG55*1000</f>
        <v>620</v>
      </c>
      <c r="AL85">
        <f>'Water Stuff'!AO55*1000</f>
        <v>620</v>
      </c>
    </row>
    <row r="86" spans="1:38">
      <c r="A86" s="109">
        <f>'Water Stuff'!F56</f>
        <v>44613</v>
      </c>
      <c r="B86">
        <f>IF( 'Water Stuff'!G56*1000 &gt;= 'Water Stuff'!$B$6*1000, 'Water Stuff'!$B$6*1000, 'Water Stuff'!G56*1000)</f>
        <v>160</v>
      </c>
      <c r="C86">
        <f>IF( 'Water Stuff'!O56*1000 &gt;= 'Water Stuff'!$B$6*1000, 'Water Stuff'!$B$6*1000, 'Water Stuff'!O56*1000)</f>
        <v>0</v>
      </c>
      <c r="D86">
        <f>IF( 'Water Stuff'!W56*1000 &gt;= 'Water Stuff'!$B$6*1000, 'Water Stuff'!$B$6*1000, 'Water Stuff'!W56*1000)</f>
        <v>0</v>
      </c>
      <c r="E86">
        <f>IF( 'Water Stuff'!AE56*1000 &gt;= 'Water Stuff'!$B$6*1000, 'Water Stuff'!$B$6*1000, 'Water Stuff'!AE56*1000)</f>
        <v>97.256975471148323</v>
      </c>
      <c r="F86">
        <f>IF('Water Stuff'!AM56*1000&gt;='Water Stuff'!$B$6*1000,'Water Stuff'!$B$6*1000,'Water Stuff'!AM56*1000)</f>
        <v>0</v>
      </c>
      <c r="I86">
        <f t="shared" si="0"/>
        <v>1.6</v>
      </c>
      <c r="J86">
        <f t="shared" si="1"/>
        <v>0</v>
      </c>
      <c r="K86">
        <f t="shared" si="2"/>
        <v>0</v>
      </c>
      <c r="L86">
        <f t="shared" si="3"/>
        <v>0.97256975471148321</v>
      </c>
      <c r="M86">
        <f t="shared" si="4"/>
        <v>0</v>
      </c>
      <c r="O86">
        <f t="shared" si="5"/>
        <v>3.2000000000000001E-2</v>
      </c>
      <c r="P86">
        <f t="shared" si="6"/>
        <v>0</v>
      </c>
      <c r="Q86">
        <f t="shared" si="7"/>
        <v>0</v>
      </c>
      <c r="R86">
        <f t="shared" si="8"/>
        <v>1.9451395094229666E-2</v>
      </c>
      <c r="S86">
        <f t="shared" si="9"/>
        <v>0</v>
      </c>
      <c r="U86">
        <f t="shared" si="10"/>
        <v>0.8</v>
      </c>
      <c r="V86">
        <f t="shared" si="11"/>
        <v>0</v>
      </c>
      <c r="W86">
        <f t="shared" si="12"/>
        <v>0</v>
      </c>
      <c r="X86">
        <f t="shared" si="13"/>
        <v>0.48628487735574161</v>
      </c>
      <c r="Y86">
        <f t="shared" si="14"/>
        <v>0</v>
      </c>
      <c r="AA86">
        <f t="shared" si="15"/>
        <v>1.6</v>
      </c>
      <c r="AB86">
        <f t="shared" si="16"/>
        <v>0</v>
      </c>
      <c r="AC86">
        <f t="shared" si="17"/>
        <v>0</v>
      </c>
      <c r="AD86">
        <f t="shared" si="18"/>
        <v>0.97256975471148321</v>
      </c>
      <c r="AE86">
        <f t="shared" si="19"/>
        <v>0</v>
      </c>
      <c r="AG86" s="109">
        <f t="shared" si="20"/>
        <v>44613</v>
      </c>
      <c r="AH86">
        <f>'Water Stuff'!I56*1000</f>
        <v>620</v>
      </c>
      <c r="AI86">
        <f>'Water Stuff'!Q56*1000</f>
        <v>620</v>
      </c>
      <c r="AJ86">
        <f>'Water Stuff'!Y56*1000</f>
        <v>620</v>
      </c>
      <c r="AK86">
        <f>'Water Stuff'!AG56*1000</f>
        <v>620</v>
      </c>
      <c r="AL86">
        <f>'Water Stuff'!AO56*1000</f>
        <v>620</v>
      </c>
    </row>
    <row r="87" spans="1:38">
      <c r="A87" s="109">
        <f>'Water Stuff'!F57</f>
        <v>44614</v>
      </c>
      <c r="B87">
        <f>IF( 'Water Stuff'!G57*1000 &gt;= 'Water Stuff'!$B$6*1000, 'Water Stuff'!$B$6*1000, 'Water Stuff'!G57*1000)</f>
        <v>960</v>
      </c>
      <c r="C87">
        <f>IF( 'Water Stuff'!O57*1000 &gt;= 'Water Stuff'!$B$6*1000, 'Water Stuff'!$B$6*1000, 'Water Stuff'!O57*1000)</f>
        <v>0</v>
      </c>
      <c r="D87">
        <f>IF( 'Water Stuff'!W57*1000 &gt;= 'Water Stuff'!$B$6*1000, 'Water Stuff'!$B$6*1000, 'Water Stuff'!W57*1000)</f>
        <v>0</v>
      </c>
      <c r="E87">
        <f>IF( 'Water Stuff'!AE57*1000 &gt;= 'Water Stuff'!$B$6*1000, 'Water Stuff'!$B$6*1000, 'Water Stuff'!AE57*1000)</f>
        <v>624.04702634902935</v>
      </c>
      <c r="F87">
        <f>IF('Water Stuff'!AM57*1000&gt;='Water Stuff'!$B$6*1000,'Water Stuff'!$B$6*1000,'Water Stuff'!AM57*1000)</f>
        <v>1724.7429275471513</v>
      </c>
      <c r="I87">
        <f t="shared" si="0"/>
        <v>9.6</v>
      </c>
      <c r="J87">
        <f t="shared" si="1"/>
        <v>0</v>
      </c>
      <c r="K87">
        <f t="shared" si="2"/>
        <v>0</v>
      </c>
      <c r="L87">
        <f t="shared" si="3"/>
        <v>6.2404702634902929</v>
      </c>
      <c r="M87">
        <f t="shared" si="4"/>
        <v>17.247429275471514</v>
      </c>
      <c r="O87">
        <f t="shared" si="5"/>
        <v>0.192</v>
      </c>
      <c r="P87">
        <f t="shared" si="6"/>
        <v>0</v>
      </c>
      <c r="Q87">
        <f t="shared" si="7"/>
        <v>0</v>
      </c>
      <c r="R87">
        <f t="shared" si="8"/>
        <v>0.12480940526980586</v>
      </c>
      <c r="S87">
        <f t="shared" si="9"/>
        <v>0.34494858550943025</v>
      </c>
      <c r="U87">
        <f t="shared" si="10"/>
        <v>4.8</v>
      </c>
      <c r="V87">
        <f t="shared" si="11"/>
        <v>0</v>
      </c>
      <c r="W87">
        <f t="shared" si="12"/>
        <v>0</v>
      </c>
      <c r="X87">
        <f t="shared" si="13"/>
        <v>3.1202351317451469</v>
      </c>
      <c r="Y87">
        <f t="shared" si="14"/>
        <v>8.6237146377357572</v>
      </c>
      <c r="AA87">
        <f t="shared" si="15"/>
        <v>9.6</v>
      </c>
      <c r="AB87">
        <f t="shared" si="16"/>
        <v>0</v>
      </c>
      <c r="AC87">
        <f t="shared" si="17"/>
        <v>0</v>
      </c>
      <c r="AD87">
        <f t="shared" si="18"/>
        <v>6.2404702634902938</v>
      </c>
      <c r="AE87">
        <f t="shared" si="19"/>
        <v>17.247429275471514</v>
      </c>
      <c r="AG87" s="109">
        <f t="shared" si="20"/>
        <v>44614</v>
      </c>
      <c r="AH87">
        <f>'Water Stuff'!I57*1000</f>
        <v>620</v>
      </c>
      <c r="AI87">
        <f>'Water Stuff'!Q57*1000</f>
        <v>620</v>
      </c>
      <c r="AJ87">
        <f>'Water Stuff'!Y57*1000</f>
        <v>620</v>
      </c>
      <c r="AK87">
        <f>'Water Stuff'!AG57*1000</f>
        <v>620</v>
      </c>
      <c r="AL87">
        <f>'Water Stuff'!AO57*1000</f>
        <v>620</v>
      </c>
    </row>
    <row r="88" spans="1:38">
      <c r="A88" s="109">
        <f>'Water Stuff'!F58</f>
        <v>44615</v>
      </c>
      <c r="B88">
        <f>IF( 'Water Stuff'!G58*1000 &gt;= 'Water Stuff'!$B$6*1000, 'Water Stuff'!$B$6*1000, 'Water Stuff'!G58*1000)</f>
        <v>2920</v>
      </c>
      <c r="C88">
        <f>IF( 'Water Stuff'!O58*1000 &gt;= 'Water Stuff'!$B$6*1000, 'Water Stuff'!$B$6*1000, 'Water Stuff'!O58*1000)</f>
        <v>0</v>
      </c>
      <c r="D88">
        <f>IF( 'Water Stuff'!W58*1000 &gt;= 'Water Stuff'!$B$6*1000, 'Water Stuff'!$B$6*1000, 'Water Stuff'!W58*1000)</f>
        <v>3776.6829959843058</v>
      </c>
      <c r="E88">
        <f>IF( 'Water Stuff'!AE58*1000 &gt;= 'Water Stuff'!$B$6*1000, 'Water Stuff'!$B$6*1000, 'Water Stuff'!AE58*1000)</f>
        <v>1687.1851444090303</v>
      </c>
      <c r="F88">
        <f>IF('Water Stuff'!AM58*1000&gt;='Water Stuff'!$B$6*1000,'Water Stuff'!$B$6*1000,'Water Stuff'!AM58*1000)</f>
        <v>3490.1233575760862</v>
      </c>
      <c r="I88">
        <f t="shared" si="0"/>
        <v>29.2</v>
      </c>
      <c r="J88">
        <f t="shared" si="1"/>
        <v>0</v>
      </c>
      <c r="K88">
        <f t="shared" si="2"/>
        <v>37.766829959843058</v>
      </c>
      <c r="L88">
        <f t="shared" si="3"/>
        <v>16.871851444090304</v>
      </c>
      <c r="M88">
        <f t="shared" si="4"/>
        <v>34.901233575760862</v>
      </c>
      <c r="O88">
        <f t="shared" si="5"/>
        <v>0.58399999999999996</v>
      </c>
      <c r="P88">
        <f t="shared" si="6"/>
        <v>0</v>
      </c>
      <c r="Q88">
        <f t="shared" si="7"/>
        <v>0.75533659919686114</v>
      </c>
      <c r="R88">
        <f t="shared" si="8"/>
        <v>0.33743702888180604</v>
      </c>
      <c r="S88">
        <f t="shared" si="9"/>
        <v>0.6980246715152173</v>
      </c>
      <c r="U88">
        <f t="shared" si="10"/>
        <v>14.6</v>
      </c>
      <c r="V88">
        <f t="shared" si="11"/>
        <v>0</v>
      </c>
      <c r="W88">
        <f t="shared" si="12"/>
        <v>18.883414979921529</v>
      </c>
      <c r="X88">
        <f t="shared" si="13"/>
        <v>8.4359257220451518</v>
      </c>
      <c r="Y88">
        <f t="shared" si="14"/>
        <v>17.450616787880431</v>
      </c>
      <c r="AA88">
        <f t="shared" si="15"/>
        <v>29.2</v>
      </c>
      <c r="AB88">
        <f t="shared" si="16"/>
        <v>0</v>
      </c>
      <c r="AC88">
        <f t="shared" si="17"/>
        <v>37.766829959843058</v>
      </c>
      <c r="AD88">
        <f t="shared" si="18"/>
        <v>16.871851444090304</v>
      </c>
      <c r="AE88">
        <f t="shared" si="19"/>
        <v>34.901233575760862</v>
      </c>
      <c r="AG88" s="109">
        <f t="shared" si="20"/>
        <v>44615</v>
      </c>
      <c r="AH88">
        <f>'Water Stuff'!I58*1000</f>
        <v>620</v>
      </c>
      <c r="AI88">
        <f>'Water Stuff'!Q58*1000</f>
        <v>620</v>
      </c>
      <c r="AJ88">
        <f>'Water Stuff'!Y58*1000</f>
        <v>620</v>
      </c>
      <c r="AK88">
        <f>'Water Stuff'!AG58*1000</f>
        <v>620</v>
      </c>
      <c r="AL88">
        <f>'Water Stuff'!AO58*1000</f>
        <v>620</v>
      </c>
    </row>
    <row r="89" spans="1:38">
      <c r="A89" s="109">
        <f>'Water Stuff'!F59</f>
        <v>44616</v>
      </c>
      <c r="B89">
        <f>IF( 'Water Stuff'!G59*1000 &gt;= 'Water Stuff'!$B$6*1000, 'Water Stuff'!$B$6*1000, 'Water Stuff'!G59*1000)</f>
        <v>1360</v>
      </c>
      <c r="C89">
        <f>IF( 'Water Stuff'!O59*1000 &gt;= 'Water Stuff'!$B$6*1000, 'Water Stuff'!$B$6*1000, 'Water Stuff'!O59*1000)</f>
        <v>40</v>
      </c>
      <c r="D89">
        <f>IF( 'Water Stuff'!W59*1000 &gt;= 'Water Stuff'!$B$6*1000, 'Water Stuff'!$B$6*1000, 'Water Stuff'!W59*1000)</f>
        <v>1910.0813483605459</v>
      </c>
      <c r="E89">
        <f>IF( 'Water Stuff'!AE59*1000 &gt;= 'Water Stuff'!$B$6*1000, 'Water Stuff'!$B$6*1000, 'Water Stuff'!AE59*1000)</f>
        <v>1392.7728724102456</v>
      </c>
      <c r="F89">
        <f>IF('Water Stuff'!AM59*1000&gt;='Water Stuff'!$B$6*1000,'Water Stuff'!$B$6*1000,'Water Stuff'!AM59*1000)</f>
        <v>2177.623984690646</v>
      </c>
      <c r="I89">
        <f t="shared" si="0"/>
        <v>13.6</v>
      </c>
      <c r="J89">
        <f t="shared" si="1"/>
        <v>0.4</v>
      </c>
      <c r="K89">
        <f t="shared" si="2"/>
        <v>19.10081348360546</v>
      </c>
      <c r="L89">
        <f t="shared" si="3"/>
        <v>13.927728724102455</v>
      </c>
      <c r="M89">
        <f t="shared" si="4"/>
        <v>21.77623984690646</v>
      </c>
      <c r="O89">
        <f t="shared" si="5"/>
        <v>0.27200000000000002</v>
      </c>
      <c r="P89">
        <f t="shared" si="6"/>
        <v>8.0000000000000002E-3</v>
      </c>
      <c r="Q89">
        <f t="shared" si="7"/>
        <v>0.38201626967210917</v>
      </c>
      <c r="R89">
        <f t="shared" si="8"/>
        <v>0.27855457448204912</v>
      </c>
      <c r="S89">
        <f t="shared" si="9"/>
        <v>0.43552479693812923</v>
      </c>
      <c r="U89">
        <f t="shared" si="10"/>
        <v>6.8</v>
      </c>
      <c r="V89">
        <f t="shared" si="11"/>
        <v>0.2</v>
      </c>
      <c r="W89">
        <f t="shared" si="12"/>
        <v>9.5504067418027301</v>
      </c>
      <c r="X89">
        <f t="shared" si="13"/>
        <v>6.9638643620512282</v>
      </c>
      <c r="Y89">
        <f t="shared" si="14"/>
        <v>10.88811992345323</v>
      </c>
      <c r="AA89">
        <f t="shared" si="15"/>
        <v>13.6</v>
      </c>
      <c r="AB89">
        <f t="shared" si="16"/>
        <v>0.4</v>
      </c>
      <c r="AC89">
        <f t="shared" si="17"/>
        <v>19.10081348360546</v>
      </c>
      <c r="AD89">
        <f t="shared" si="18"/>
        <v>13.927728724102456</v>
      </c>
      <c r="AE89">
        <f t="shared" si="19"/>
        <v>21.77623984690646</v>
      </c>
      <c r="AG89" s="109">
        <f t="shared" si="20"/>
        <v>44616</v>
      </c>
      <c r="AH89">
        <f>'Water Stuff'!I59*1000</f>
        <v>620</v>
      </c>
      <c r="AI89">
        <f>'Water Stuff'!Q59*1000</f>
        <v>620</v>
      </c>
      <c r="AJ89">
        <f>'Water Stuff'!Y59*1000</f>
        <v>620</v>
      </c>
      <c r="AK89">
        <f>'Water Stuff'!AG59*1000</f>
        <v>620</v>
      </c>
      <c r="AL89">
        <f>'Water Stuff'!AO59*1000</f>
        <v>620</v>
      </c>
    </row>
    <row r="90" spans="1:38">
      <c r="A90" s="109">
        <f>'Water Stuff'!F60</f>
        <v>44617</v>
      </c>
      <c r="B90">
        <f>IF( 'Water Stuff'!G60*1000 &gt;= 'Water Stuff'!$B$6*1000, 'Water Stuff'!$B$6*1000, 'Water Stuff'!G60*1000)</f>
        <v>0</v>
      </c>
      <c r="C90">
        <f>IF( 'Water Stuff'!O60*1000 &gt;= 'Water Stuff'!$B$6*1000, 'Water Stuff'!$B$6*1000, 'Water Stuff'!O60*1000)</f>
        <v>919.99999999999989</v>
      </c>
      <c r="D90">
        <f>IF( 'Water Stuff'!W60*1000 &gt;= 'Water Stuff'!$B$6*1000, 'Water Stuff'!$B$6*1000, 'Water Stuff'!W60*1000)</f>
        <v>0</v>
      </c>
      <c r="E90">
        <f>IF( 'Water Stuff'!AE60*1000 &gt;= 'Water Stuff'!$B$6*1000, 'Water Stuff'!$B$6*1000, 'Water Stuff'!AE60*1000)</f>
        <v>409.66264044932564</v>
      </c>
      <c r="F90">
        <f>IF('Water Stuff'!AM60*1000&gt;='Water Stuff'!$B$6*1000,'Water Stuff'!$B$6*1000,'Water Stuff'!AM60*1000)</f>
        <v>0</v>
      </c>
      <c r="I90">
        <f t="shared" si="0"/>
        <v>0</v>
      </c>
      <c r="J90">
        <f t="shared" si="1"/>
        <v>9.1999999999999975</v>
      </c>
      <c r="K90">
        <f t="shared" si="2"/>
        <v>0</v>
      </c>
      <c r="L90">
        <f t="shared" si="3"/>
        <v>4.0966264044932563</v>
      </c>
      <c r="M90">
        <f t="shared" si="4"/>
        <v>0</v>
      </c>
      <c r="O90">
        <f t="shared" si="5"/>
        <v>0</v>
      </c>
      <c r="P90">
        <f t="shared" si="6"/>
        <v>0.18399999999999994</v>
      </c>
      <c r="Q90">
        <f t="shared" si="7"/>
        <v>0</v>
      </c>
      <c r="R90">
        <f t="shared" si="8"/>
        <v>8.1932528089865134E-2</v>
      </c>
      <c r="S90">
        <f t="shared" si="9"/>
        <v>0</v>
      </c>
      <c r="U90">
        <f t="shared" si="10"/>
        <v>0</v>
      </c>
      <c r="V90">
        <f t="shared" si="11"/>
        <v>4.5999999999999996</v>
      </c>
      <c r="W90">
        <f t="shared" si="12"/>
        <v>0</v>
      </c>
      <c r="X90">
        <f t="shared" si="13"/>
        <v>2.0483132022466282</v>
      </c>
      <c r="Y90">
        <f t="shared" si="14"/>
        <v>0</v>
      </c>
      <c r="AA90">
        <f t="shared" si="15"/>
        <v>0</v>
      </c>
      <c r="AB90">
        <f t="shared" si="16"/>
        <v>9.1999999999999993</v>
      </c>
      <c r="AC90">
        <f t="shared" si="17"/>
        <v>0</v>
      </c>
      <c r="AD90">
        <f t="shared" si="18"/>
        <v>4.0966264044932563</v>
      </c>
      <c r="AE90">
        <f t="shared" si="19"/>
        <v>0</v>
      </c>
      <c r="AG90" s="109">
        <f t="shared" si="20"/>
        <v>44617</v>
      </c>
      <c r="AH90">
        <f>'Water Stuff'!I60*1000</f>
        <v>620</v>
      </c>
      <c r="AI90">
        <f>'Water Stuff'!Q60*1000</f>
        <v>620</v>
      </c>
      <c r="AJ90">
        <f>'Water Stuff'!Y60*1000</f>
        <v>620</v>
      </c>
      <c r="AK90">
        <f>'Water Stuff'!AG60*1000</f>
        <v>620</v>
      </c>
      <c r="AL90">
        <f>'Water Stuff'!AO60*1000</f>
        <v>620</v>
      </c>
    </row>
    <row r="91" spans="1:38">
      <c r="A91" s="109">
        <f>'Water Stuff'!F61</f>
        <v>44618</v>
      </c>
      <c r="B91">
        <f>IF( 'Water Stuff'!G61*1000 &gt;= 'Water Stuff'!$B$6*1000, 'Water Stuff'!$B$6*1000, 'Water Stuff'!G61*1000)</f>
        <v>160</v>
      </c>
      <c r="C91">
        <f>IF( 'Water Stuff'!O61*1000 &gt;= 'Water Stuff'!$B$6*1000, 'Water Stuff'!$B$6*1000, 'Water Stuff'!O61*1000)</f>
        <v>1760.0000000000002</v>
      </c>
      <c r="D91">
        <f>IF( 'Water Stuff'!W61*1000 &gt;= 'Water Stuff'!$B$6*1000, 'Water Stuff'!$B$6*1000, 'Water Stuff'!W61*1000)</f>
        <v>96.868438436413669</v>
      </c>
      <c r="E91">
        <f>IF( 'Water Stuff'!AE61*1000 &gt;= 'Water Stuff'!$B$6*1000, 'Water Stuff'!$B$6*1000, 'Water Stuff'!AE61*1000)</f>
        <v>988.0602830673231</v>
      </c>
      <c r="F91">
        <f>IF('Water Stuff'!AM61*1000&gt;='Water Stuff'!$B$6*1000,'Water Stuff'!$B$6*1000,'Water Stuff'!AM61*1000)</f>
        <v>0</v>
      </c>
      <c r="I91">
        <f t="shared" si="0"/>
        <v>1.6</v>
      </c>
      <c r="J91">
        <f t="shared" si="1"/>
        <v>17.600000000000005</v>
      </c>
      <c r="K91">
        <f t="shared" si="2"/>
        <v>0.96868438436413673</v>
      </c>
      <c r="L91">
        <f t="shared" si="3"/>
        <v>9.8806028306732312</v>
      </c>
      <c r="M91">
        <f t="shared" si="4"/>
        <v>0</v>
      </c>
      <c r="O91">
        <f t="shared" si="5"/>
        <v>3.2000000000000001E-2</v>
      </c>
      <c r="P91">
        <f t="shared" si="6"/>
        <v>0.35200000000000009</v>
      </c>
      <c r="Q91">
        <f t="shared" si="7"/>
        <v>1.9373687687282731E-2</v>
      </c>
      <c r="R91">
        <f t="shared" si="8"/>
        <v>0.19761205661346462</v>
      </c>
      <c r="S91">
        <f t="shared" si="9"/>
        <v>0</v>
      </c>
      <c r="U91">
        <f t="shared" si="10"/>
        <v>0.8</v>
      </c>
      <c r="V91">
        <f t="shared" si="11"/>
        <v>8.8000000000000007</v>
      </c>
      <c r="W91">
        <f t="shared" si="12"/>
        <v>0.48434219218206837</v>
      </c>
      <c r="X91">
        <f t="shared" si="13"/>
        <v>4.9403014153366156</v>
      </c>
      <c r="Y91">
        <f t="shared" si="14"/>
        <v>0</v>
      </c>
      <c r="AA91">
        <f t="shared" si="15"/>
        <v>1.6</v>
      </c>
      <c r="AB91">
        <f t="shared" si="16"/>
        <v>17.600000000000001</v>
      </c>
      <c r="AC91">
        <f t="shared" si="17"/>
        <v>0.96868438436413673</v>
      </c>
      <c r="AD91">
        <f t="shared" si="18"/>
        <v>9.8806028306732312</v>
      </c>
      <c r="AE91">
        <f t="shared" si="19"/>
        <v>0</v>
      </c>
      <c r="AG91" s="109">
        <f t="shared" si="20"/>
        <v>44618</v>
      </c>
      <c r="AH91">
        <f>'Water Stuff'!I61*1000</f>
        <v>620</v>
      </c>
      <c r="AI91">
        <f>'Water Stuff'!Q61*1000</f>
        <v>620</v>
      </c>
      <c r="AJ91">
        <f>'Water Stuff'!Y61*1000</f>
        <v>620</v>
      </c>
      <c r="AK91">
        <f>'Water Stuff'!AG61*1000</f>
        <v>620</v>
      </c>
      <c r="AL91">
        <f>'Water Stuff'!AO61*1000</f>
        <v>620</v>
      </c>
    </row>
    <row r="92" spans="1:38">
      <c r="A92" s="109">
        <f>'Water Stuff'!F62</f>
        <v>44619</v>
      </c>
      <c r="B92">
        <f>IF( 'Water Stuff'!G62*1000 &gt;= 'Water Stuff'!$B$6*1000, 'Water Stuff'!$B$6*1000, 'Water Stuff'!G62*1000)</f>
        <v>0</v>
      </c>
      <c r="C92">
        <f>IF( 'Water Stuff'!O62*1000 &gt;= 'Water Stuff'!$B$6*1000, 'Water Stuff'!$B$6*1000, 'Water Stuff'!O62*1000)</f>
        <v>80</v>
      </c>
      <c r="D92">
        <f>IF( 'Water Stuff'!W62*1000 &gt;= 'Water Stuff'!$B$6*1000, 'Water Stuff'!$B$6*1000, 'Water Stuff'!W62*1000)</f>
        <v>0</v>
      </c>
      <c r="E92">
        <f>IF( 'Water Stuff'!AE62*1000 &gt;= 'Water Stuff'!$B$6*1000, 'Water Stuff'!$B$6*1000, 'Water Stuff'!AE62*1000)</f>
        <v>0</v>
      </c>
      <c r="F92">
        <f>IF('Water Stuff'!AM62*1000&gt;='Water Stuff'!$B$6*1000,'Water Stuff'!$B$6*1000,'Water Stuff'!AM62*1000)</f>
        <v>0</v>
      </c>
      <c r="I92">
        <f t="shared" si="0"/>
        <v>0</v>
      </c>
      <c r="J92">
        <f t="shared" si="1"/>
        <v>0.8</v>
      </c>
      <c r="K92">
        <f t="shared" si="2"/>
        <v>0</v>
      </c>
      <c r="L92">
        <f t="shared" si="3"/>
        <v>0</v>
      </c>
      <c r="M92">
        <f t="shared" si="4"/>
        <v>0</v>
      </c>
      <c r="O92">
        <f t="shared" si="5"/>
        <v>0</v>
      </c>
      <c r="P92">
        <f t="shared" si="6"/>
        <v>1.6E-2</v>
      </c>
      <c r="Q92">
        <f t="shared" si="7"/>
        <v>0</v>
      </c>
      <c r="R92">
        <f t="shared" si="8"/>
        <v>0</v>
      </c>
      <c r="S92">
        <f t="shared" si="9"/>
        <v>0</v>
      </c>
      <c r="U92">
        <f t="shared" si="10"/>
        <v>0</v>
      </c>
      <c r="V92">
        <f t="shared" si="11"/>
        <v>0.4</v>
      </c>
      <c r="W92">
        <f t="shared" si="12"/>
        <v>0</v>
      </c>
      <c r="X92">
        <f t="shared" si="13"/>
        <v>0</v>
      </c>
      <c r="Y92">
        <f t="shared" si="14"/>
        <v>0</v>
      </c>
      <c r="AA92">
        <f t="shared" si="15"/>
        <v>0</v>
      </c>
      <c r="AB92">
        <f t="shared" si="16"/>
        <v>0.8</v>
      </c>
      <c r="AC92">
        <f t="shared" si="17"/>
        <v>0</v>
      </c>
      <c r="AD92">
        <f t="shared" si="18"/>
        <v>0</v>
      </c>
      <c r="AE92">
        <f t="shared" si="19"/>
        <v>0</v>
      </c>
      <c r="AG92" s="109">
        <f t="shared" si="20"/>
        <v>44619</v>
      </c>
      <c r="AH92">
        <f>'Water Stuff'!I62*1000</f>
        <v>620</v>
      </c>
      <c r="AI92">
        <f>'Water Stuff'!Q62*1000</f>
        <v>620</v>
      </c>
      <c r="AJ92">
        <f>'Water Stuff'!Y62*1000</f>
        <v>620</v>
      </c>
      <c r="AK92">
        <f>'Water Stuff'!AG62*1000</f>
        <v>620</v>
      </c>
      <c r="AL92">
        <f>'Water Stuff'!AO62*1000</f>
        <v>620</v>
      </c>
    </row>
    <row r="93" spans="1:38">
      <c r="A93" s="109">
        <f>'Water Stuff'!F63</f>
        <v>44620</v>
      </c>
      <c r="B93">
        <f>IF( 'Water Stuff'!G63*1000 &gt;= 'Water Stuff'!$B$6*1000, 'Water Stuff'!$B$6*1000, 'Water Stuff'!G63*1000)</f>
        <v>80</v>
      </c>
      <c r="C93">
        <f>IF( 'Water Stuff'!O63*1000 &gt;= 'Water Stuff'!$B$6*1000, 'Water Stuff'!$B$6*1000, 'Water Stuff'!O63*1000)</f>
        <v>0</v>
      </c>
      <c r="D93">
        <f>IF( 'Water Stuff'!W63*1000 &gt;= 'Water Stuff'!$B$6*1000, 'Water Stuff'!$B$6*1000, 'Water Stuff'!W63*1000)</f>
        <v>1333.9171002621986</v>
      </c>
      <c r="E93">
        <f>IF( 'Water Stuff'!AE63*1000 &gt;= 'Water Stuff'!$B$6*1000, 'Water Stuff'!$B$6*1000, 'Water Stuff'!AE63*1000)</f>
        <v>1573.7989985902707</v>
      </c>
      <c r="F93">
        <f>IF('Water Stuff'!AM63*1000&gt;='Water Stuff'!$B$6*1000,'Water Stuff'!$B$6*1000,'Water Stuff'!AM63*1000)</f>
        <v>0</v>
      </c>
      <c r="I93">
        <f t="shared" si="0"/>
        <v>0.8</v>
      </c>
      <c r="J93">
        <f t="shared" si="1"/>
        <v>0</v>
      </c>
      <c r="K93">
        <f t="shared" si="2"/>
        <v>13.339171002621987</v>
      </c>
      <c r="L93">
        <f t="shared" si="3"/>
        <v>15.737989985902706</v>
      </c>
      <c r="M93">
        <f t="shared" si="4"/>
        <v>0</v>
      </c>
      <c r="O93">
        <f t="shared" si="5"/>
        <v>1.6E-2</v>
      </c>
      <c r="P93">
        <f t="shared" si="6"/>
        <v>0</v>
      </c>
      <c r="Q93">
        <f t="shared" si="7"/>
        <v>0.26678342005243971</v>
      </c>
      <c r="R93">
        <f t="shared" si="8"/>
        <v>0.31475979971805412</v>
      </c>
      <c r="S93">
        <f t="shared" si="9"/>
        <v>0</v>
      </c>
      <c r="U93">
        <f t="shared" si="10"/>
        <v>0.4</v>
      </c>
      <c r="V93">
        <f t="shared" si="11"/>
        <v>0</v>
      </c>
      <c r="W93">
        <f t="shared" si="12"/>
        <v>6.6695855013109933</v>
      </c>
      <c r="X93">
        <f t="shared" si="13"/>
        <v>7.8689949929513539</v>
      </c>
      <c r="Y93">
        <f t="shared" si="14"/>
        <v>0</v>
      </c>
      <c r="AA93">
        <f t="shared" si="15"/>
        <v>0.8</v>
      </c>
      <c r="AB93">
        <f t="shared" si="16"/>
        <v>0</v>
      </c>
      <c r="AC93">
        <f t="shared" si="17"/>
        <v>13.339171002621987</v>
      </c>
      <c r="AD93">
        <f t="shared" si="18"/>
        <v>15.737989985902708</v>
      </c>
      <c r="AE93">
        <f t="shared" si="19"/>
        <v>0</v>
      </c>
      <c r="AG93" s="109">
        <f t="shared" si="20"/>
        <v>44620</v>
      </c>
      <c r="AH93">
        <f>'Water Stuff'!I63*1000</f>
        <v>620</v>
      </c>
      <c r="AI93">
        <f>'Water Stuff'!Q63*1000</f>
        <v>620</v>
      </c>
      <c r="AJ93">
        <f>'Water Stuff'!Y63*1000</f>
        <v>620</v>
      </c>
      <c r="AK93">
        <f>'Water Stuff'!AG63*1000</f>
        <v>620</v>
      </c>
      <c r="AL93">
        <f>'Water Stuff'!AO63*1000</f>
        <v>620</v>
      </c>
    </row>
    <row r="94" spans="1:38">
      <c r="A94" s="109">
        <f>'Water Stuff'!F64</f>
        <v>44621</v>
      </c>
      <c r="B94">
        <f>IF( 'Water Stuff'!G64*1000 &gt;= 'Water Stuff'!$B$6*1000, 'Water Stuff'!$B$6*1000, 'Water Stuff'!G64*1000)</f>
        <v>400</v>
      </c>
      <c r="C94">
        <f>IF( 'Water Stuff'!O64*1000 &gt;= 'Water Stuff'!$B$6*1000, 'Water Stuff'!$B$6*1000, 'Water Stuff'!O64*1000)</f>
        <v>240</v>
      </c>
      <c r="D94">
        <f>IF( 'Water Stuff'!W64*1000 &gt;= 'Water Stuff'!$B$6*1000, 'Water Stuff'!$B$6*1000, 'Water Stuff'!W64*1000)</f>
        <v>315.21266171202899</v>
      </c>
      <c r="E94">
        <f>IF( 'Water Stuff'!AE64*1000 &gt;= 'Water Stuff'!$B$6*1000, 'Water Stuff'!$B$6*1000, 'Water Stuff'!AE64*1000)</f>
        <v>856.48563614603802</v>
      </c>
      <c r="F94">
        <f>IF('Water Stuff'!AM64*1000&gt;='Water Stuff'!$B$6*1000,'Water Stuff'!$B$6*1000,'Water Stuff'!AM64*1000)</f>
        <v>0</v>
      </c>
      <c r="I94">
        <f t="shared" si="0"/>
        <v>4</v>
      </c>
      <c r="J94">
        <f t="shared" si="1"/>
        <v>2.4</v>
      </c>
      <c r="K94">
        <f t="shared" si="2"/>
        <v>3.1521266171202895</v>
      </c>
      <c r="L94">
        <f t="shared" si="3"/>
        <v>8.5648563614603805</v>
      </c>
      <c r="M94">
        <f t="shared" si="4"/>
        <v>0</v>
      </c>
      <c r="O94">
        <f t="shared" si="5"/>
        <v>0.08</v>
      </c>
      <c r="P94">
        <f t="shared" si="6"/>
        <v>4.8000000000000001E-2</v>
      </c>
      <c r="Q94">
        <f t="shared" si="7"/>
        <v>6.3042532342405783E-2</v>
      </c>
      <c r="R94">
        <f t="shared" si="8"/>
        <v>0.17129712722920759</v>
      </c>
      <c r="S94">
        <f t="shared" si="9"/>
        <v>0</v>
      </c>
      <c r="U94">
        <f t="shared" si="10"/>
        <v>2</v>
      </c>
      <c r="V94">
        <f t="shared" si="11"/>
        <v>1.2</v>
      </c>
      <c r="W94">
        <f t="shared" si="12"/>
        <v>1.576063308560145</v>
      </c>
      <c r="X94">
        <f t="shared" si="13"/>
        <v>4.2824281807301903</v>
      </c>
      <c r="Y94">
        <f t="shared" si="14"/>
        <v>0</v>
      </c>
      <c r="AA94">
        <f t="shared" si="15"/>
        <v>4</v>
      </c>
      <c r="AB94">
        <f t="shared" si="16"/>
        <v>2.4</v>
      </c>
      <c r="AC94">
        <f t="shared" si="17"/>
        <v>3.15212661712029</v>
      </c>
      <c r="AD94">
        <f t="shared" si="18"/>
        <v>8.5648563614603805</v>
      </c>
      <c r="AE94">
        <f t="shared" si="19"/>
        <v>0</v>
      </c>
      <c r="AG94" s="109">
        <f t="shared" si="20"/>
        <v>44621</v>
      </c>
      <c r="AH94">
        <f>'Water Stuff'!I64*1000</f>
        <v>620</v>
      </c>
      <c r="AI94">
        <f>'Water Stuff'!Q64*1000</f>
        <v>620</v>
      </c>
      <c r="AJ94">
        <f>'Water Stuff'!Y64*1000</f>
        <v>620</v>
      </c>
      <c r="AK94">
        <f>'Water Stuff'!AG64*1000</f>
        <v>620</v>
      </c>
      <c r="AL94">
        <f>'Water Stuff'!AO64*1000</f>
        <v>620</v>
      </c>
    </row>
    <row r="95" spans="1:38">
      <c r="A95" s="109">
        <f>'Water Stuff'!F65</f>
        <v>44622</v>
      </c>
      <c r="B95">
        <f>IF( 'Water Stuff'!G65*1000 &gt;= 'Water Stuff'!$B$6*1000, 'Water Stuff'!$B$6*1000, 'Water Stuff'!G65*1000)</f>
        <v>3800</v>
      </c>
      <c r="C95">
        <f>IF( 'Water Stuff'!O65*1000 &gt;= 'Water Stuff'!$B$6*1000, 'Water Stuff'!$B$6*1000, 'Water Stuff'!O65*1000)</f>
        <v>0</v>
      </c>
      <c r="D95">
        <f>IF( 'Water Stuff'!W65*1000 &gt;= 'Water Stuff'!$B$6*1000, 'Water Stuff'!$B$6*1000, 'Water Stuff'!W65*1000)</f>
        <v>698.64928479637138</v>
      </c>
      <c r="E95">
        <f>IF( 'Water Stuff'!AE65*1000 &gt;= 'Water Stuff'!$B$6*1000, 'Water Stuff'!$B$6*1000, 'Water Stuff'!AE65*1000)</f>
        <v>1538.7030473780294</v>
      </c>
      <c r="F95">
        <f>IF('Water Stuff'!AM65*1000&gt;='Water Stuff'!$B$6*1000,'Water Stuff'!$B$6*1000,'Water Stuff'!AM65*1000)</f>
        <v>0</v>
      </c>
      <c r="I95">
        <f t="shared" si="0"/>
        <v>38</v>
      </c>
      <c r="J95">
        <f t="shared" si="1"/>
        <v>0</v>
      </c>
      <c r="K95">
        <f t="shared" si="2"/>
        <v>6.9864928479637136</v>
      </c>
      <c r="L95">
        <f t="shared" si="3"/>
        <v>15.387030473780294</v>
      </c>
      <c r="M95">
        <f t="shared" si="4"/>
        <v>0</v>
      </c>
      <c r="O95">
        <f t="shared" si="5"/>
        <v>0.76</v>
      </c>
      <c r="P95">
        <f t="shared" si="6"/>
        <v>0</v>
      </c>
      <c r="Q95">
        <f t="shared" si="7"/>
        <v>0.13972985695927428</v>
      </c>
      <c r="R95">
        <f t="shared" si="8"/>
        <v>0.30774060947560589</v>
      </c>
      <c r="S95">
        <f t="shared" si="9"/>
        <v>0</v>
      </c>
      <c r="U95">
        <f t="shared" si="10"/>
        <v>19</v>
      </c>
      <c r="V95">
        <f t="shared" si="11"/>
        <v>0</v>
      </c>
      <c r="W95">
        <f t="shared" si="12"/>
        <v>3.4932464239818568</v>
      </c>
      <c r="X95">
        <f t="shared" si="13"/>
        <v>7.6935152368901472</v>
      </c>
      <c r="Y95">
        <f t="shared" si="14"/>
        <v>0</v>
      </c>
      <c r="AA95">
        <f t="shared" si="15"/>
        <v>38</v>
      </c>
      <c r="AB95">
        <f t="shared" si="16"/>
        <v>0</v>
      </c>
      <c r="AC95">
        <f t="shared" si="17"/>
        <v>6.9864928479637136</v>
      </c>
      <c r="AD95">
        <f t="shared" si="18"/>
        <v>15.387030473780294</v>
      </c>
      <c r="AE95">
        <f t="shared" si="19"/>
        <v>0</v>
      </c>
      <c r="AG95" s="109">
        <f t="shared" si="20"/>
        <v>44622</v>
      </c>
      <c r="AH95">
        <f>'Water Stuff'!I65*1000</f>
        <v>620</v>
      </c>
      <c r="AI95">
        <f>'Water Stuff'!Q65*1000</f>
        <v>620</v>
      </c>
      <c r="AJ95">
        <f>'Water Stuff'!Y65*1000</f>
        <v>620</v>
      </c>
      <c r="AK95">
        <f>'Water Stuff'!AG65*1000</f>
        <v>620</v>
      </c>
      <c r="AL95">
        <f>'Water Stuff'!AO65*1000</f>
        <v>620</v>
      </c>
    </row>
    <row r="96" spans="1:38">
      <c r="A96" s="109">
        <f>'Water Stuff'!F66</f>
        <v>44623</v>
      </c>
      <c r="B96">
        <f>IF( 'Water Stuff'!G66*1000 &gt;= 'Water Stuff'!$B$6*1000, 'Water Stuff'!$B$6*1000, 'Water Stuff'!G66*1000)</f>
        <v>200</v>
      </c>
      <c r="C96">
        <f>IF( 'Water Stuff'!O66*1000 &gt;= 'Water Stuff'!$B$6*1000, 'Water Stuff'!$B$6*1000, 'Water Stuff'!O66*1000)</f>
        <v>0</v>
      </c>
      <c r="D96">
        <f>IF( 'Water Stuff'!W66*1000 &gt;= 'Water Stuff'!$B$6*1000, 'Water Stuff'!$B$6*1000, 'Water Stuff'!W66*1000)</f>
        <v>1942.8041514065605</v>
      </c>
      <c r="E96">
        <f>IF( 'Water Stuff'!AE66*1000 &gt;= 'Water Stuff'!$B$6*1000, 'Water Stuff'!$B$6*1000, 'Water Stuff'!AE66*1000)</f>
        <v>0</v>
      </c>
      <c r="F96">
        <f>IF('Water Stuff'!AM66*1000&gt;='Water Stuff'!$B$6*1000,'Water Stuff'!$B$6*1000,'Water Stuff'!AM66*1000)</f>
        <v>760.55866521532141</v>
      </c>
      <c r="I96">
        <f t="shared" si="0"/>
        <v>2</v>
      </c>
      <c r="J96">
        <f t="shared" si="1"/>
        <v>0</v>
      </c>
      <c r="K96">
        <f t="shared" si="2"/>
        <v>19.428041514065605</v>
      </c>
      <c r="L96">
        <f t="shared" si="3"/>
        <v>0</v>
      </c>
      <c r="M96">
        <f t="shared" si="4"/>
        <v>7.6055866521532147</v>
      </c>
      <c r="O96">
        <f t="shared" si="5"/>
        <v>0.04</v>
      </c>
      <c r="P96">
        <f t="shared" si="6"/>
        <v>0</v>
      </c>
      <c r="Q96">
        <f t="shared" si="7"/>
        <v>0.38856083028131211</v>
      </c>
      <c r="R96">
        <f t="shared" si="8"/>
        <v>0</v>
      </c>
      <c r="S96">
        <f t="shared" si="9"/>
        <v>0.1521117330430643</v>
      </c>
      <c r="U96">
        <f t="shared" si="10"/>
        <v>1</v>
      </c>
      <c r="V96">
        <f t="shared" si="11"/>
        <v>0</v>
      </c>
      <c r="W96">
        <f t="shared" si="12"/>
        <v>9.7140207570328023</v>
      </c>
      <c r="X96">
        <f t="shared" si="13"/>
        <v>0</v>
      </c>
      <c r="Y96">
        <f t="shared" si="14"/>
        <v>3.8027933260766069</v>
      </c>
      <c r="AA96">
        <f t="shared" si="15"/>
        <v>2</v>
      </c>
      <c r="AB96">
        <f t="shared" si="16"/>
        <v>0</v>
      </c>
      <c r="AC96">
        <f t="shared" si="17"/>
        <v>19.428041514065605</v>
      </c>
      <c r="AD96">
        <f t="shared" si="18"/>
        <v>0</v>
      </c>
      <c r="AE96">
        <f t="shared" si="19"/>
        <v>7.6055866521532138</v>
      </c>
      <c r="AG96" s="109">
        <f t="shared" si="20"/>
        <v>44623</v>
      </c>
      <c r="AH96">
        <f>'Water Stuff'!I66*1000</f>
        <v>620</v>
      </c>
      <c r="AI96">
        <f>'Water Stuff'!Q66*1000</f>
        <v>620</v>
      </c>
      <c r="AJ96">
        <f>'Water Stuff'!Y66*1000</f>
        <v>620</v>
      </c>
      <c r="AK96">
        <f>'Water Stuff'!AG66*1000</f>
        <v>620</v>
      </c>
      <c r="AL96">
        <f>'Water Stuff'!AO66*1000</f>
        <v>620</v>
      </c>
    </row>
    <row r="97" spans="1:38">
      <c r="A97" s="109">
        <f>'Water Stuff'!F67</f>
        <v>44624</v>
      </c>
      <c r="B97">
        <f>IF( 'Water Stuff'!G67*1000 &gt;= 'Water Stuff'!$B$6*1000, 'Water Stuff'!$B$6*1000, 'Water Stuff'!G67*1000)</f>
        <v>480</v>
      </c>
      <c r="C97">
        <f>IF( 'Water Stuff'!O67*1000 &gt;= 'Water Stuff'!$B$6*1000, 'Water Stuff'!$B$6*1000, 'Water Stuff'!O67*1000)</f>
        <v>80</v>
      </c>
      <c r="D97">
        <f>IF( 'Water Stuff'!W67*1000 &gt;= 'Water Stuff'!$B$6*1000, 'Water Stuff'!$B$6*1000, 'Water Stuff'!W67*1000)</f>
        <v>918.25253711287371</v>
      </c>
      <c r="E97">
        <f>IF( 'Water Stuff'!AE67*1000 &gt;= 'Water Stuff'!$B$6*1000, 'Water Stuff'!$B$6*1000, 'Water Stuff'!AE67*1000)</f>
        <v>1396.9149364792072</v>
      </c>
      <c r="F97">
        <f>IF('Water Stuff'!AM67*1000&gt;='Water Stuff'!$B$6*1000,'Water Stuff'!$B$6*1000,'Water Stuff'!AM67*1000)</f>
        <v>1212.7152206713206</v>
      </c>
      <c r="I97">
        <f t="shared" si="0"/>
        <v>4.8</v>
      </c>
      <c r="J97">
        <f t="shared" si="1"/>
        <v>0.8</v>
      </c>
      <c r="K97">
        <f t="shared" si="2"/>
        <v>9.1825253711287367</v>
      </c>
      <c r="L97">
        <f t="shared" si="3"/>
        <v>13.969149364792072</v>
      </c>
      <c r="M97">
        <f t="shared" si="4"/>
        <v>12.127152206713207</v>
      </c>
      <c r="O97">
        <f t="shared" si="5"/>
        <v>9.6000000000000002E-2</v>
      </c>
      <c r="P97">
        <f t="shared" si="6"/>
        <v>1.6E-2</v>
      </c>
      <c r="Q97">
        <f t="shared" si="7"/>
        <v>0.18365050742257474</v>
      </c>
      <c r="R97">
        <f t="shared" si="8"/>
        <v>0.27938298729584143</v>
      </c>
      <c r="S97">
        <f t="shared" si="9"/>
        <v>0.24254304413426417</v>
      </c>
      <c r="U97">
        <f t="shared" si="10"/>
        <v>2.4</v>
      </c>
      <c r="V97">
        <f t="shared" si="11"/>
        <v>0.4</v>
      </c>
      <c r="W97">
        <f t="shared" si="12"/>
        <v>4.5912626855643683</v>
      </c>
      <c r="X97">
        <f t="shared" si="13"/>
        <v>6.984574682396036</v>
      </c>
      <c r="Y97">
        <f t="shared" si="14"/>
        <v>6.0635761033566027</v>
      </c>
      <c r="AA97">
        <f t="shared" si="15"/>
        <v>4.8</v>
      </c>
      <c r="AB97">
        <f t="shared" si="16"/>
        <v>0.8</v>
      </c>
      <c r="AC97">
        <f t="shared" si="17"/>
        <v>9.1825253711287367</v>
      </c>
      <c r="AD97">
        <f t="shared" si="18"/>
        <v>13.969149364792072</v>
      </c>
      <c r="AE97">
        <f t="shared" si="19"/>
        <v>12.127152206713205</v>
      </c>
      <c r="AG97" s="109">
        <f t="shared" si="20"/>
        <v>44624</v>
      </c>
      <c r="AH97">
        <f>'Water Stuff'!I67*1000</f>
        <v>620</v>
      </c>
      <c r="AI97">
        <f>'Water Stuff'!Q67*1000</f>
        <v>620</v>
      </c>
      <c r="AJ97">
        <f>'Water Stuff'!Y67*1000</f>
        <v>620</v>
      </c>
      <c r="AK97">
        <f>'Water Stuff'!AG67*1000</f>
        <v>620</v>
      </c>
      <c r="AL97">
        <f>'Water Stuff'!AO67*1000</f>
        <v>620</v>
      </c>
    </row>
    <row r="98" spans="1:38">
      <c r="A98" s="109">
        <f>'Water Stuff'!F68</f>
        <v>44625</v>
      </c>
      <c r="B98">
        <f>IF( 'Water Stuff'!G68*1000 &gt;= 'Water Stuff'!$B$6*1000, 'Water Stuff'!$B$6*1000, 'Water Stuff'!G68*1000)</f>
        <v>4760</v>
      </c>
      <c r="C98">
        <f>IF( 'Water Stuff'!O68*1000 &gt;= 'Water Stuff'!$B$6*1000, 'Water Stuff'!$B$6*1000, 'Water Stuff'!O68*1000)</f>
        <v>360</v>
      </c>
      <c r="D98">
        <f>IF( 'Water Stuff'!W68*1000 &gt;= 'Water Stuff'!$B$6*1000, 'Water Stuff'!$B$6*1000, 'Water Stuff'!W68*1000)</f>
        <v>1994.9554878762647</v>
      </c>
      <c r="E98">
        <f>IF( 'Water Stuff'!AE68*1000 &gt;= 'Water Stuff'!$B$6*1000, 'Water Stuff'!$B$6*1000, 'Water Stuff'!AE68*1000)</f>
        <v>0</v>
      </c>
      <c r="F98">
        <f>IF('Water Stuff'!AM68*1000&gt;='Water Stuff'!$B$6*1000,'Water Stuff'!$B$6*1000,'Water Stuff'!AM68*1000)</f>
        <v>2200.3885448747001</v>
      </c>
      <c r="I98">
        <f t="shared" si="0"/>
        <v>47.6</v>
      </c>
      <c r="J98">
        <f t="shared" si="1"/>
        <v>3.6</v>
      </c>
      <c r="K98">
        <f t="shared" si="2"/>
        <v>19.949554878762648</v>
      </c>
      <c r="L98">
        <f t="shared" si="3"/>
        <v>0</v>
      </c>
      <c r="M98">
        <f t="shared" si="4"/>
        <v>22.003885448747003</v>
      </c>
      <c r="O98">
        <f t="shared" si="5"/>
        <v>0.95199999999999996</v>
      </c>
      <c r="P98">
        <f t="shared" si="6"/>
        <v>7.1999999999999995E-2</v>
      </c>
      <c r="Q98">
        <f t="shared" si="7"/>
        <v>0.39899109757525292</v>
      </c>
      <c r="R98">
        <f t="shared" si="8"/>
        <v>0</v>
      </c>
      <c r="S98">
        <f t="shared" si="9"/>
        <v>0.44007770897494003</v>
      </c>
      <c r="U98">
        <f t="shared" si="10"/>
        <v>23.8</v>
      </c>
      <c r="V98">
        <f t="shared" si="11"/>
        <v>1.8</v>
      </c>
      <c r="W98">
        <f t="shared" si="12"/>
        <v>9.9747774393813238</v>
      </c>
      <c r="X98">
        <f t="shared" si="13"/>
        <v>0</v>
      </c>
      <c r="Y98">
        <f t="shared" si="14"/>
        <v>11.001942724373501</v>
      </c>
      <c r="AA98">
        <f t="shared" si="15"/>
        <v>47.6</v>
      </c>
      <c r="AB98">
        <f t="shared" si="16"/>
        <v>3.6</v>
      </c>
      <c r="AC98">
        <f t="shared" si="17"/>
        <v>19.949554878762648</v>
      </c>
      <c r="AD98">
        <f t="shared" si="18"/>
        <v>0</v>
      </c>
      <c r="AE98">
        <f t="shared" si="19"/>
        <v>22.003885448747003</v>
      </c>
      <c r="AG98" s="109">
        <f t="shared" si="20"/>
        <v>44625</v>
      </c>
      <c r="AH98">
        <f>'Water Stuff'!I68*1000</f>
        <v>620</v>
      </c>
      <c r="AI98">
        <f>'Water Stuff'!Q68*1000</f>
        <v>620</v>
      </c>
      <c r="AJ98">
        <f>'Water Stuff'!Y68*1000</f>
        <v>620</v>
      </c>
      <c r="AK98">
        <f>'Water Stuff'!AG68*1000</f>
        <v>620</v>
      </c>
      <c r="AL98">
        <f>'Water Stuff'!AO68*1000</f>
        <v>620</v>
      </c>
    </row>
    <row r="99" spans="1:38">
      <c r="A99" s="109">
        <f>'Water Stuff'!F69</f>
        <v>44626</v>
      </c>
      <c r="B99">
        <f>IF( 'Water Stuff'!G69*1000 &gt;= 'Water Stuff'!$B$6*1000, 'Water Stuff'!$B$6*1000, 'Water Stuff'!G69*1000)</f>
        <v>1720</v>
      </c>
      <c r="C99">
        <f>IF( 'Water Stuff'!O69*1000 &gt;= 'Water Stuff'!$B$6*1000, 'Water Stuff'!$B$6*1000, 'Water Stuff'!O69*1000)</f>
        <v>160</v>
      </c>
      <c r="D99">
        <f>IF( 'Water Stuff'!W69*1000 &gt;= 'Water Stuff'!$B$6*1000, 'Water Stuff'!$B$6*1000, 'Water Stuff'!W69*1000)</f>
        <v>1893.8001248615517</v>
      </c>
      <c r="E99">
        <f>IF( 'Water Stuff'!AE69*1000 &gt;= 'Water Stuff'!$B$6*1000, 'Water Stuff'!$B$6*1000, 'Water Stuff'!AE69*1000)</f>
        <v>0</v>
      </c>
      <c r="F99">
        <f>IF('Water Stuff'!AM69*1000&gt;='Water Stuff'!$B$6*1000,'Water Stuff'!$B$6*1000,'Water Stuff'!AM69*1000)</f>
        <v>0</v>
      </c>
      <c r="I99">
        <f t="shared" ref="I99:I162" si="21">10*B99/1000</f>
        <v>17.2</v>
      </c>
      <c r="J99">
        <f t="shared" ref="J99:J162" si="22">10*C99/1000</f>
        <v>1.6</v>
      </c>
      <c r="K99">
        <f t="shared" ref="K99:K162" si="23">10*D99/1000</f>
        <v>18.938001248615517</v>
      </c>
      <c r="L99">
        <f t="shared" ref="L99:L162" si="24">10*E99/1000</f>
        <v>0</v>
      </c>
      <c r="M99">
        <f t="shared" ref="M99:M162" si="25">10*F99/1000</f>
        <v>0</v>
      </c>
      <c r="O99">
        <f t="shared" ref="O99:O162" si="26">I99*(100/5)/1000</f>
        <v>0.34399999999999997</v>
      </c>
      <c r="P99">
        <f t="shared" ref="P99:P162" si="27">J99*100/5/1000</f>
        <v>3.2000000000000001E-2</v>
      </c>
      <c r="Q99">
        <f t="shared" ref="Q99:Q162" si="28">K99*100/5/1000</f>
        <v>0.37876002497231037</v>
      </c>
      <c r="R99">
        <f t="shared" ref="R99:R162" si="29">L99*100/5/1000</f>
        <v>0</v>
      </c>
      <c r="S99">
        <f t="shared" ref="S99:S162" si="30">M99*100/5/1000</f>
        <v>0</v>
      </c>
      <c r="U99">
        <f t="shared" ref="U99:U162" si="31">$U$10/$L$12/1000*B99</f>
        <v>8.6</v>
      </c>
      <c r="V99">
        <f t="shared" ref="V99:V162" si="32">$U$10/$L$12/1000*C99</f>
        <v>0.8</v>
      </c>
      <c r="W99">
        <f t="shared" ref="W99:W162" si="33">$U$10/$L$12/1000*D99</f>
        <v>9.4690006243077587</v>
      </c>
      <c r="X99">
        <f t="shared" ref="X99:X162" si="34">$U$10/$L$12/1000*E99</f>
        <v>0</v>
      </c>
      <c r="Y99">
        <f t="shared" ref="Y99:Y162" si="35">$U$10/$L$12/1000*F99</f>
        <v>0</v>
      </c>
      <c r="AA99">
        <f t="shared" ref="AA99:AA162" si="36">$U$14*U99</f>
        <v>17.2</v>
      </c>
      <c r="AB99">
        <f t="shared" ref="AB99:AB162" si="37">$U$14*V99</f>
        <v>1.6</v>
      </c>
      <c r="AC99">
        <f t="shared" ref="AC99:AC162" si="38">$U$14*W99</f>
        <v>18.938001248615517</v>
      </c>
      <c r="AD99">
        <f t="shared" ref="AD99:AD162" si="39">$U$14*X99</f>
        <v>0</v>
      </c>
      <c r="AE99">
        <f t="shared" ref="AE99:AE162" si="40">$U$14*Y99</f>
        <v>0</v>
      </c>
      <c r="AG99" s="109">
        <f t="shared" ref="AG99:AG162" si="41">A99</f>
        <v>44626</v>
      </c>
      <c r="AH99">
        <f>'Water Stuff'!I69*1000</f>
        <v>620</v>
      </c>
      <c r="AI99">
        <f>'Water Stuff'!Q69*1000</f>
        <v>620</v>
      </c>
      <c r="AJ99">
        <f>'Water Stuff'!Y69*1000</f>
        <v>620</v>
      </c>
      <c r="AK99">
        <f>'Water Stuff'!AG69*1000</f>
        <v>620</v>
      </c>
      <c r="AL99">
        <f>'Water Stuff'!AO69*1000</f>
        <v>620</v>
      </c>
    </row>
    <row r="100" spans="1:38">
      <c r="A100" s="109">
        <f>'Water Stuff'!F70</f>
        <v>44627</v>
      </c>
      <c r="B100">
        <f>IF( 'Water Stuff'!G70*1000 &gt;= 'Water Stuff'!$B$6*1000, 'Water Stuff'!$B$6*1000, 'Water Stuff'!G70*1000)</f>
        <v>6800</v>
      </c>
      <c r="C100">
        <f>IF( 'Water Stuff'!O70*1000 &gt;= 'Water Stuff'!$B$6*1000, 'Water Stuff'!$B$6*1000, 'Water Stuff'!O70*1000)</f>
        <v>0</v>
      </c>
      <c r="D100">
        <f>IF( 'Water Stuff'!W70*1000 &gt;= 'Water Stuff'!$B$6*1000, 'Water Stuff'!$B$6*1000, 'Water Stuff'!W70*1000)</f>
        <v>5678.8189383824401</v>
      </c>
      <c r="E100">
        <f>IF( 'Water Stuff'!AE70*1000 &gt;= 'Water Stuff'!$B$6*1000, 'Water Stuff'!$B$6*1000, 'Water Stuff'!AE70*1000)</f>
        <v>0</v>
      </c>
      <c r="F100">
        <f>IF('Water Stuff'!AM70*1000&gt;='Water Stuff'!$B$6*1000,'Water Stuff'!$B$6*1000,'Water Stuff'!AM70*1000)</f>
        <v>5961.6819729859581</v>
      </c>
      <c r="I100">
        <f t="shared" si="21"/>
        <v>68</v>
      </c>
      <c r="J100">
        <f t="shared" si="22"/>
        <v>0</v>
      </c>
      <c r="K100">
        <f t="shared" si="23"/>
        <v>56.788189383824403</v>
      </c>
      <c r="L100">
        <f t="shared" si="24"/>
        <v>0</v>
      </c>
      <c r="M100">
        <f t="shared" si="25"/>
        <v>59.616819729859579</v>
      </c>
      <c r="O100">
        <f t="shared" si="26"/>
        <v>1.36</v>
      </c>
      <c r="P100">
        <f t="shared" si="27"/>
        <v>0</v>
      </c>
      <c r="Q100">
        <f t="shared" si="28"/>
        <v>1.1357637876764879</v>
      </c>
      <c r="R100">
        <f t="shared" si="29"/>
        <v>0</v>
      </c>
      <c r="S100">
        <f t="shared" si="30"/>
        <v>1.1923363945971917</v>
      </c>
      <c r="U100">
        <f t="shared" si="31"/>
        <v>34</v>
      </c>
      <c r="V100">
        <f t="shared" si="32"/>
        <v>0</v>
      </c>
      <c r="W100">
        <f t="shared" si="33"/>
        <v>28.394094691912201</v>
      </c>
      <c r="X100">
        <f t="shared" si="34"/>
        <v>0</v>
      </c>
      <c r="Y100">
        <f t="shared" si="35"/>
        <v>29.808409864929789</v>
      </c>
      <c r="AA100">
        <f t="shared" si="36"/>
        <v>68</v>
      </c>
      <c r="AB100">
        <f t="shared" si="37"/>
        <v>0</v>
      </c>
      <c r="AC100">
        <f t="shared" si="38"/>
        <v>56.788189383824403</v>
      </c>
      <c r="AD100">
        <f t="shared" si="39"/>
        <v>0</v>
      </c>
      <c r="AE100">
        <f t="shared" si="40"/>
        <v>59.616819729859579</v>
      </c>
      <c r="AG100" s="109">
        <f t="shared" si="41"/>
        <v>44627</v>
      </c>
      <c r="AH100">
        <f>'Water Stuff'!I70*1000</f>
        <v>620</v>
      </c>
      <c r="AI100">
        <f>'Water Stuff'!Q70*1000</f>
        <v>620</v>
      </c>
      <c r="AJ100">
        <f>'Water Stuff'!Y70*1000</f>
        <v>620</v>
      </c>
      <c r="AK100">
        <f>'Water Stuff'!AG70*1000</f>
        <v>620</v>
      </c>
      <c r="AL100">
        <f>'Water Stuff'!AO70*1000</f>
        <v>620</v>
      </c>
    </row>
    <row r="101" spans="1:38">
      <c r="A101" s="109">
        <f>'Water Stuff'!F71</f>
        <v>44628</v>
      </c>
      <c r="B101">
        <f>IF( 'Water Stuff'!G71*1000 &gt;= 'Water Stuff'!$B$6*1000, 'Water Stuff'!$B$6*1000, 'Water Stuff'!G71*1000)</f>
        <v>10000</v>
      </c>
      <c r="C101">
        <f>IF( 'Water Stuff'!O71*1000 &gt;= 'Water Stuff'!$B$6*1000, 'Water Stuff'!$B$6*1000, 'Water Stuff'!O71*1000)</f>
        <v>80</v>
      </c>
      <c r="D101">
        <f>IF( 'Water Stuff'!W71*1000 &gt;= 'Water Stuff'!$B$6*1000, 'Water Stuff'!$B$6*1000, 'Water Stuff'!W71*1000)</f>
        <v>9579.7864597540738</v>
      </c>
      <c r="E101">
        <f>IF( 'Water Stuff'!AE71*1000 &gt;= 'Water Stuff'!$B$6*1000, 'Water Stuff'!$B$6*1000, 'Water Stuff'!AE71*1000)</f>
        <v>0</v>
      </c>
      <c r="F101">
        <f>IF('Water Stuff'!AM71*1000&gt;='Water Stuff'!$B$6*1000,'Water Stuff'!$B$6*1000,'Water Stuff'!AM71*1000)</f>
        <v>9041.591905705136</v>
      </c>
      <c r="I101">
        <f t="shared" si="21"/>
        <v>100</v>
      </c>
      <c r="J101">
        <f t="shared" si="22"/>
        <v>0.8</v>
      </c>
      <c r="K101">
        <f t="shared" si="23"/>
        <v>95.797864597540737</v>
      </c>
      <c r="L101">
        <f t="shared" si="24"/>
        <v>0</v>
      </c>
      <c r="M101">
        <f t="shared" si="25"/>
        <v>90.415919057051354</v>
      </c>
      <c r="O101">
        <f t="shared" si="26"/>
        <v>2</v>
      </c>
      <c r="P101">
        <f t="shared" si="27"/>
        <v>1.6E-2</v>
      </c>
      <c r="Q101">
        <f t="shared" si="28"/>
        <v>1.9159572919508148</v>
      </c>
      <c r="R101">
        <f t="shared" si="29"/>
        <v>0</v>
      </c>
      <c r="S101">
        <f t="shared" si="30"/>
        <v>1.8083183811410273</v>
      </c>
      <c r="U101">
        <f t="shared" si="31"/>
        <v>50</v>
      </c>
      <c r="V101">
        <f t="shared" si="32"/>
        <v>0.4</v>
      </c>
      <c r="W101">
        <f t="shared" si="33"/>
        <v>47.898932298770369</v>
      </c>
      <c r="X101">
        <f t="shared" si="34"/>
        <v>0</v>
      </c>
      <c r="Y101">
        <f t="shared" si="35"/>
        <v>45.207959528525684</v>
      </c>
      <c r="AA101">
        <f t="shared" si="36"/>
        <v>100</v>
      </c>
      <c r="AB101">
        <f t="shared" si="37"/>
        <v>0.8</v>
      </c>
      <c r="AC101">
        <f t="shared" si="38"/>
        <v>95.797864597540737</v>
      </c>
      <c r="AD101">
        <f t="shared" si="39"/>
        <v>0</v>
      </c>
      <c r="AE101">
        <f t="shared" si="40"/>
        <v>90.415919057051369</v>
      </c>
      <c r="AG101" s="109">
        <f t="shared" si="41"/>
        <v>44628</v>
      </c>
      <c r="AH101">
        <f>'Water Stuff'!I71*1000</f>
        <v>620</v>
      </c>
      <c r="AI101">
        <f>'Water Stuff'!Q71*1000</f>
        <v>620</v>
      </c>
      <c r="AJ101">
        <f>'Water Stuff'!Y71*1000</f>
        <v>620</v>
      </c>
      <c r="AK101">
        <f>'Water Stuff'!AG71*1000</f>
        <v>620</v>
      </c>
      <c r="AL101">
        <f>'Water Stuff'!AO71*1000</f>
        <v>620</v>
      </c>
    </row>
    <row r="102" spans="1:38">
      <c r="A102" s="109">
        <f>'Water Stuff'!F72</f>
        <v>44629</v>
      </c>
      <c r="B102">
        <f>IF( 'Water Stuff'!G72*1000 &gt;= 'Water Stuff'!$B$6*1000, 'Water Stuff'!$B$6*1000, 'Water Stuff'!G72*1000)</f>
        <v>2120</v>
      </c>
      <c r="C102">
        <f>IF( 'Water Stuff'!O72*1000 &gt;= 'Water Stuff'!$B$6*1000, 'Water Stuff'!$B$6*1000, 'Water Stuff'!O72*1000)</f>
        <v>80</v>
      </c>
      <c r="D102">
        <f>IF( 'Water Stuff'!W72*1000 &gt;= 'Water Stuff'!$B$6*1000, 'Water Stuff'!$B$6*1000, 'Water Stuff'!W72*1000)</f>
        <v>1264.051076579593</v>
      </c>
      <c r="E102">
        <f>IF( 'Water Stuff'!AE72*1000 &gt;= 'Water Stuff'!$B$6*1000, 'Water Stuff'!$B$6*1000, 'Water Stuff'!AE72*1000)</f>
        <v>1704.2605804528312</v>
      </c>
      <c r="F102">
        <f>IF('Water Stuff'!AM72*1000&gt;='Water Stuff'!$B$6*1000,'Water Stuff'!$B$6*1000,'Water Stuff'!AM72*1000)</f>
        <v>904.89655388987535</v>
      </c>
      <c r="I102">
        <f t="shared" si="21"/>
        <v>21.2</v>
      </c>
      <c r="J102">
        <f t="shared" si="22"/>
        <v>0.8</v>
      </c>
      <c r="K102">
        <f t="shared" si="23"/>
        <v>12.640510765795931</v>
      </c>
      <c r="L102">
        <f t="shared" si="24"/>
        <v>17.042605804528314</v>
      </c>
      <c r="M102">
        <f t="shared" si="25"/>
        <v>9.048965538898754</v>
      </c>
      <c r="O102">
        <f t="shared" si="26"/>
        <v>0.42399999999999999</v>
      </c>
      <c r="P102">
        <f t="shared" si="27"/>
        <v>1.6E-2</v>
      </c>
      <c r="Q102">
        <f t="shared" si="28"/>
        <v>0.25281021531591857</v>
      </c>
      <c r="R102">
        <f t="shared" si="29"/>
        <v>0.34085211609056626</v>
      </c>
      <c r="S102">
        <f t="shared" si="30"/>
        <v>0.18097931077797505</v>
      </c>
      <c r="U102">
        <f t="shared" si="31"/>
        <v>10.6</v>
      </c>
      <c r="V102">
        <f t="shared" si="32"/>
        <v>0.4</v>
      </c>
      <c r="W102">
        <f t="shared" si="33"/>
        <v>6.3202553828979653</v>
      </c>
      <c r="X102">
        <f t="shared" si="34"/>
        <v>8.5213029022641553</v>
      </c>
      <c r="Y102">
        <f t="shared" si="35"/>
        <v>4.524482769449377</v>
      </c>
      <c r="AA102">
        <f t="shared" si="36"/>
        <v>21.2</v>
      </c>
      <c r="AB102">
        <f t="shared" si="37"/>
        <v>0.8</v>
      </c>
      <c r="AC102">
        <f t="shared" si="38"/>
        <v>12.640510765795931</v>
      </c>
      <c r="AD102">
        <f t="shared" si="39"/>
        <v>17.042605804528311</v>
      </c>
      <c r="AE102">
        <f t="shared" si="40"/>
        <v>9.048965538898754</v>
      </c>
      <c r="AG102" s="109">
        <f t="shared" si="41"/>
        <v>44629</v>
      </c>
      <c r="AH102">
        <f>'Water Stuff'!I72*1000</f>
        <v>620</v>
      </c>
      <c r="AI102">
        <f>'Water Stuff'!Q72*1000</f>
        <v>620</v>
      </c>
      <c r="AJ102">
        <f>'Water Stuff'!Y72*1000</f>
        <v>620</v>
      </c>
      <c r="AK102">
        <f>'Water Stuff'!AG72*1000</f>
        <v>620</v>
      </c>
      <c r="AL102">
        <f>'Water Stuff'!AO72*1000</f>
        <v>620</v>
      </c>
    </row>
    <row r="103" spans="1:38">
      <c r="A103" s="109">
        <f>'Water Stuff'!F73</f>
        <v>44630</v>
      </c>
      <c r="B103">
        <f>IF( 'Water Stuff'!G73*1000 &gt;= 'Water Stuff'!$B$6*1000, 'Water Stuff'!$B$6*1000, 'Water Stuff'!G73*1000)</f>
        <v>480</v>
      </c>
      <c r="C103">
        <f>IF( 'Water Stuff'!O73*1000 &gt;= 'Water Stuff'!$B$6*1000, 'Water Stuff'!$B$6*1000, 'Water Stuff'!O73*1000)</f>
        <v>560</v>
      </c>
      <c r="D103">
        <f>IF( 'Water Stuff'!W73*1000 &gt;= 'Water Stuff'!$B$6*1000, 'Water Stuff'!$B$6*1000, 'Water Stuff'!W73*1000)</f>
        <v>1894.2641939288947</v>
      </c>
      <c r="E103">
        <f>IF( 'Water Stuff'!AE73*1000 &gt;= 'Water Stuff'!$B$6*1000, 'Water Stuff'!$B$6*1000, 'Water Stuff'!AE73*1000)</f>
        <v>0</v>
      </c>
      <c r="F103">
        <f>IF('Water Stuff'!AM73*1000&gt;='Water Stuff'!$B$6*1000,'Water Stuff'!$B$6*1000,'Water Stuff'!AM73*1000)</f>
        <v>2062.2243020110018</v>
      </c>
      <c r="I103">
        <f t="shared" si="21"/>
        <v>4.8</v>
      </c>
      <c r="J103">
        <f t="shared" si="22"/>
        <v>5.6</v>
      </c>
      <c r="K103">
        <f t="shared" si="23"/>
        <v>18.942641939288947</v>
      </c>
      <c r="L103">
        <f t="shared" si="24"/>
        <v>0</v>
      </c>
      <c r="M103">
        <f t="shared" si="25"/>
        <v>20.62224302011002</v>
      </c>
      <c r="O103">
        <f t="shared" si="26"/>
        <v>9.6000000000000002E-2</v>
      </c>
      <c r="P103">
        <f t="shared" si="27"/>
        <v>0.112</v>
      </c>
      <c r="Q103">
        <f t="shared" si="28"/>
        <v>0.37885283878577897</v>
      </c>
      <c r="R103">
        <f t="shared" si="29"/>
        <v>0</v>
      </c>
      <c r="S103">
        <f t="shared" si="30"/>
        <v>0.41244486040220035</v>
      </c>
      <c r="U103">
        <f t="shared" si="31"/>
        <v>2.4</v>
      </c>
      <c r="V103">
        <f t="shared" si="32"/>
        <v>2.8000000000000003</v>
      </c>
      <c r="W103">
        <f t="shared" si="33"/>
        <v>9.4713209696444736</v>
      </c>
      <c r="X103">
        <f t="shared" si="34"/>
        <v>0</v>
      </c>
      <c r="Y103">
        <f t="shared" si="35"/>
        <v>10.31112151005501</v>
      </c>
      <c r="AA103">
        <f t="shared" si="36"/>
        <v>4.8</v>
      </c>
      <c r="AB103">
        <f t="shared" si="37"/>
        <v>5.6000000000000005</v>
      </c>
      <c r="AC103">
        <f t="shared" si="38"/>
        <v>18.942641939288947</v>
      </c>
      <c r="AD103">
        <f t="shared" si="39"/>
        <v>0</v>
      </c>
      <c r="AE103">
        <f t="shared" si="40"/>
        <v>20.62224302011002</v>
      </c>
      <c r="AG103" s="109">
        <f t="shared" si="41"/>
        <v>44630</v>
      </c>
      <c r="AH103">
        <f>'Water Stuff'!I73*1000</f>
        <v>620</v>
      </c>
      <c r="AI103">
        <f>'Water Stuff'!Q73*1000</f>
        <v>620</v>
      </c>
      <c r="AJ103">
        <f>'Water Stuff'!Y73*1000</f>
        <v>620</v>
      </c>
      <c r="AK103">
        <f>'Water Stuff'!AG73*1000</f>
        <v>620</v>
      </c>
      <c r="AL103">
        <f>'Water Stuff'!AO73*1000</f>
        <v>620</v>
      </c>
    </row>
    <row r="104" spans="1:38">
      <c r="A104" s="109">
        <f>'Water Stuff'!F74</f>
        <v>44631</v>
      </c>
      <c r="B104">
        <f>IF( 'Water Stuff'!G74*1000 &gt;= 'Water Stuff'!$B$6*1000, 'Water Stuff'!$B$6*1000, 'Water Stuff'!G74*1000)</f>
        <v>0</v>
      </c>
      <c r="C104">
        <f>IF( 'Water Stuff'!O74*1000 &gt;= 'Water Stuff'!$B$6*1000, 'Water Stuff'!$B$6*1000, 'Water Stuff'!O74*1000)</f>
        <v>2720</v>
      </c>
      <c r="D104">
        <f>IF( 'Water Stuff'!W74*1000 &gt;= 'Water Stuff'!$B$6*1000, 'Water Stuff'!$B$6*1000, 'Water Stuff'!W74*1000)</f>
        <v>0</v>
      </c>
      <c r="E104">
        <f>IF( 'Water Stuff'!AE74*1000 &gt;= 'Water Stuff'!$B$6*1000, 'Water Stuff'!$B$6*1000, 'Water Stuff'!AE74*1000)</f>
        <v>2167.5779945992922</v>
      </c>
      <c r="F104">
        <f>IF('Water Stuff'!AM74*1000&gt;='Water Stuff'!$B$6*1000,'Water Stuff'!$B$6*1000,'Water Stuff'!AM74*1000)</f>
        <v>0</v>
      </c>
      <c r="I104">
        <f t="shared" si="21"/>
        <v>0</v>
      </c>
      <c r="J104">
        <f t="shared" si="22"/>
        <v>27.2</v>
      </c>
      <c r="K104">
        <f t="shared" si="23"/>
        <v>0</v>
      </c>
      <c r="L104">
        <f t="shared" si="24"/>
        <v>21.675779945992922</v>
      </c>
      <c r="M104">
        <f t="shared" si="25"/>
        <v>0</v>
      </c>
      <c r="O104">
        <f t="shared" si="26"/>
        <v>0</v>
      </c>
      <c r="P104">
        <f t="shared" si="27"/>
        <v>0.54400000000000004</v>
      </c>
      <c r="Q104">
        <f t="shared" si="28"/>
        <v>0</v>
      </c>
      <c r="R104">
        <f t="shared" si="29"/>
        <v>0.43351559891985847</v>
      </c>
      <c r="S104">
        <f t="shared" si="30"/>
        <v>0</v>
      </c>
      <c r="U104">
        <f t="shared" si="31"/>
        <v>0</v>
      </c>
      <c r="V104">
        <f t="shared" si="32"/>
        <v>13.6</v>
      </c>
      <c r="W104">
        <f t="shared" si="33"/>
        <v>0</v>
      </c>
      <c r="X104">
        <f t="shared" si="34"/>
        <v>10.837889972996461</v>
      </c>
      <c r="Y104">
        <f t="shared" si="35"/>
        <v>0</v>
      </c>
      <c r="AA104">
        <f t="shared" si="36"/>
        <v>0</v>
      </c>
      <c r="AB104">
        <f t="shared" si="37"/>
        <v>27.2</v>
      </c>
      <c r="AC104">
        <f t="shared" si="38"/>
        <v>0</v>
      </c>
      <c r="AD104">
        <f t="shared" si="39"/>
        <v>21.675779945992922</v>
      </c>
      <c r="AE104">
        <f t="shared" si="40"/>
        <v>0</v>
      </c>
      <c r="AG104" s="109">
        <f t="shared" si="41"/>
        <v>44631</v>
      </c>
      <c r="AH104">
        <f>'Water Stuff'!I74*1000</f>
        <v>620</v>
      </c>
      <c r="AI104">
        <f>'Water Stuff'!Q74*1000</f>
        <v>620</v>
      </c>
      <c r="AJ104">
        <f>'Water Stuff'!Y74*1000</f>
        <v>620</v>
      </c>
      <c r="AK104">
        <f>'Water Stuff'!AG74*1000</f>
        <v>620</v>
      </c>
      <c r="AL104">
        <f>'Water Stuff'!AO74*1000</f>
        <v>620</v>
      </c>
    </row>
    <row r="105" spans="1:38">
      <c r="A105" s="109">
        <f>'Water Stuff'!F75</f>
        <v>44632</v>
      </c>
      <c r="B105">
        <f>IF( 'Water Stuff'!G75*1000 &gt;= 'Water Stuff'!$B$6*1000, 'Water Stuff'!$B$6*1000, 'Water Stuff'!G75*1000)</f>
        <v>560</v>
      </c>
      <c r="C105">
        <f>IF( 'Water Stuff'!O75*1000 &gt;= 'Water Stuff'!$B$6*1000, 'Water Stuff'!$B$6*1000, 'Water Stuff'!O75*1000)</f>
        <v>1720</v>
      </c>
      <c r="D105">
        <f>IF( 'Water Stuff'!W75*1000 &gt;= 'Water Stuff'!$B$6*1000, 'Water Stuff'!$B$6*1000, 'Water Stuff'!W75*1000)</f>
        <v>0</v>
      </c>
      <c r="E105">
        <f>IF( 'Water Stuff'!AE75*1000 &gt;= 'Water Stuff'!$B$6*1000, 'Water Stuff'!$B$6*1000, 'Water Stuff'!AE75*1000)</f>
        <v>0</v>
      </c>
      <c r="F105">
        <f>IF('Water Stuff'!AM75*1000&gt;='Water Stuff'!$B$6*1000,'Water Stuff'!$B$6*1000,'Water Stuff'!AM75*1000)</f>
        <v>114.55986407956419</v>
      </c>
      <c r="I105">
        <f t="shared" si="21"/>
        <v>5.6</v>
      </c>
      <c r="J105">
        <f t="shared" si="22"/>
        <v>17.2</v>
      </c>
      <c r="K105">
        <f t="shared" si="23"/>
        <v>0</v>
      </c>
      <c r="L105">
        <f t="shared" si="24"/>
        <v>0</v>
      </c>
      <c r="M105">
        <f t="shared" si="25"/>
        <v>1.145598640795642</v>
      </c>
      <c r="O105">
        <f t="shared" si="26"/>
        <v>0.112</v>
      </c>
      <c r="P105">
        <f t="shared" si="27"/>
        <v>0.34399999999999997</v>
      </c>
      <c r="Q105">
        <f t="shared" si="28"/>
        <v>0</v>
      </c>
      <c r="R105">
        <f t="shared" si="29"/>
        <v>0</v>
      </c>
      <c r="S105">
        <f t="shared" si="30"/>
        <v>2.291197281591284E-2</v>
      </c>
      <c r="U105">
        <f t="shared" si="31"/>
        <v>2.8000000000000003</v>
      </c>
      <c r="V105">
        <f t="shared" si="32"/>
        <v>8.6</v>
      </c>
      <c r="W105">
        <f t="shared" si="33"/>
        <v>0</v>
      </c>
      <c r="X105">
        <f t="shared" si="34"/>
        <v>0</v>
      </c>
      <c r="Y105">
        <f t="shared" si="35"/>
        <v>0.572799320397821</v>
      </c>
      <c r="AA105">
        <f t="shared" si="36"/>
        <v>5.6000000000000005</v>
      </c>
      <c r="AB105">
        <f t="shared" si="37"/>
        <v>17.2</v>
      </c>
      <c r="AC105">
        <f t="shared" si="38"/>
        <v>0</v>
      </c>
      <c r="AD105">
        <f t="shared" si="39"/>
        <v>0</v>
      </c>
      <c r="AE105">
        <f t="shared" si="40"/>
        <v>1.145598640795642</v>
      </c>
      <c r="AG105" s="109">
        <f t="shared" si="41"/>
        <v>44632</v>
      </c>
      <c r="AH105">
        <f>'Water Stuff'!I75*1000</f>
        <v>620</v>
      </c>
      <c r="AI105">
        <f>'Water Stuff'!Q75*1000</f>
        <v>620</v>
      </c>
      <c r="AJ105">
        <f>'Water Stuff'!Y75*1000</f>
        <v>620</v>
      </c>
      <c r="AK105">
        <f>'Water Stuff'!AG75*1000</f>
        <v>620</v>
      </c>
      <c r="AL105">
        <f>'Water Stuff'!AO75*1000</f>
        <v>620</v>
      </c>
    </row>
    <row r="106" spans="1:38">
      <c r="A106" s="109">
        <f>'Water Stuff'!F76</f>
        <v>44633</v>
      </c>
      <c r="B106">
        <f>IF( 'Water Stuff'!G76*1000 &gt;= 'Water Stuff'!$B$6*1000, 'Water Stuff'!$B$6*1000, 'Water Stuff'!G76*1000)</f>
        <v>4040</v>
      </c>
      <c r="C106">
        <f>IF( 'Water Stuff'!O76*1000 &gt;= 'Water Stuff'!$B$6*1000, 'Water Stuff'!$B$6*1000, 'Water Stuff'!O76*1000)</f>
        <v>3479.9999999999995</v>
      </c>
      <c r="D106">
        <f>IF( 'Water Stuff'!W76*1000 &gt;= 'Water Stuff'!$B$6*1000, 'Water Stuff'!$B$6*1000, 'Water Stuff'!W76*1000)</f>
        <v>4088.6348146146138</v>
      </c>
      <c r="E106">
        <f>IF( 'Water Stuff'!AE76*1000 &gt;= 'Water Stuff'!$B$6*1000, 'Water Stuff'!$B$6*1000, 'Water Stuff'!AE76*1000)</f>
        <v>1367.5848147356412</v>
      </c>
      <c r="F106">
        <f>IF('Water Stuff'!AM76*1000&gt;='Water Stuff'!$B$6*1000,'Water Stuff'!$B$6*1000,'Water Stuff'!AM76*1000)</f>
        <v>1010.4368655488424</v>
      </c>
      <c r="I106">
        <f t="shared" si="21"/>
        <v>40.4</v>
      </c>
      <c r="J106">
        <f t="shared" si="22"/>
        <v>34.79999999999999</v>
      </c>
      <c r="K106">
        <f t="shared" si="23"/>
        <v>40.886348146146133</v>
      </c>
      <c r="L106">
        <f t="shared" si="24"/>
        <v>13.675848147356412</v>
      </c>
      <c r="M106">
        <f t="shared" si="25"/>
        <v>10.104368655488424</v>
      </c>
      <c r="O106">
        <f t="shared" si="26"/>
        <v>0.80800000000000005</v>
      </c>
      <c r="P106">
        <f t="shared" si="27"/>
        <v>0.69599999999999973</v>
      </c>
      <c r="Q106">
        <f t="shared" si="28"/>
        <v>0.81772696292292268</v>
      </c>
      <c r="R106">
        <f t="shared" si="29"/>
        <v>0.27351696294712824</v>
      </c>
      <c r="S106">
        <f t="shared" si="30"/>
        <v>0.20208737310976846</v>
      </c>
      <c r="U106">
        <f t="shared" si="31"/>
        <v>20.2</v>
      </c>
      <c r="V106">
        <f t="shared" si="32"/>
        <v>17.399999999999999</v>
      </c>
      <c r="W106">
        <f t="shared" si="33"/>
        <v>20.44317407307307</v>
      </c>
      <c r="X106">
        <f t="shared" si="34"/>
        <v>6.8379240736782059</v>
      </c>
      <c r="Y106">
        <f t="shared" si="35"/>
        <v>5.0521843277442127</v>
      </c>
      <c r="AA106">
        <f t="shared" si="36"/>
        <v>40.4</v>
      </c>
      <c r="AB106">
        <f t="shared" si="37"/>
        <v>34.799999999999997</v>
      </c>
      <c r="AC106">
        <f t="shared" si="38"/>
        <v>40.88634814614614</v>
      </c>
      <c r="AD106">
        <f t="shared" si="39"/>
        <v>13.675848147356412</v>
      </c>
      <c r="AE106">
        <f t="shared" si="40"/>
        <v>10.104368655488425</v>
      </c>
      <c r="AG106" s="109">
        <f t="shared" si="41"/>
        <v>44633</v>
      </c>
      <c r="AH106">
        <f>'Water Stuff'!I76*1000</f>
        <v>620</v>
      </c>
      <c r="AI106">
        <f>'Water Stuff'!Q76*1000</f>
        <v>620</v>
      </c>
      <c r="AJ106">
        <f>'Water Stuff'!Y76*1000</f>
        <v>620</v>
      </c>
      <c r="AK106">
        <f>'Water Stuff'!AG76*1000</f>
        <v>620</v>
      </c>
      <c r="AL106">
        <f>'Water Stuff'!AO76*1000</f>
        <v>620</v>
      </c>
    </row>
    <row r="107" spans="1:38">
      <c r="A107" s="109">
        <f>'Water Stuff'!F77</f>
        <v>44634</v>
      </c>
      <c r="B107">
        <f>IF( 'Water Stuff'!G77*1000 &gt;= 'Water Stuff'!$B$6*1000, 'Water Stuff'!$B$6*1000, 'Water Stuff'!G77*1000)</f>
        <v>2760</v>
      </c>
      <c r="C107">
        <f>IF( 'Water Stuff'!O77*1000 &gt;= 'Water Stuff'!$B$6*1000, 'Water Stuff'!$B$6*1000, 'Water Stuff'!O77*1000)</f>
        <v>120</v>
      </c>
      <c r="D107">
        <f>IF( 'Water Stuff'!W77*1000 &gt;= 'Water Stuff'!$B$6*1000, 'Water Stuff'!$B$6*1000, 'Water Stuff'!W77*1000)</f>
        <v>2400.8356252107797</v>
      </c>
      <c r="E107">
        <f>IF( 'Water Stuff'!AE77*1000 &gt;= 'Water Stuff'!$B$6*1000, 'Water Stuff'!$B$6*1000, 'Water Stuff'!AE77*1000)</f>
        <v>1300.0867516456635</v>
      </c>
      <c r="F107">
        <f>IF('Water Stuff'!AM77*1000&gt;='Water Stuff'!$B$6*1000,'Water Stuff'!$B$6*1000,'Water Stuff'!AM77*1000)</f>
        <v>2590.4973880788757</v>
      </c>
      <c r="I107">
        <f t="shared" si="21"/>
        <v>27.6</v>
      </c>
      <c r="J107">
        <f t="shared" si="22"/>
        <v>1.2</v>
      </c>
      <c r="K107">
        <f t="shared" si="23"/>
        <v>24.008356252107799</v>
      </c>
      <c r="L107">
        <f t="shared" si="24"/>
        <v>13.000867516456635</v>
      </c>
      <c r="M107">
        <f t="shared" si="25"/>
        <v>25.904973880788756</v>
      </c>
      <c r="O107">
        <f t="shared" si="26"/>
        <v>0.55200000000000005</v>
      </c>
      <c r="P107">
        <f t="shared" si="27"/>
        <v>2.4E-2</v>
      </c>
      <c r="Q107">
        <f t="shared" si="28"/>
        <v>0.48016712504215592</v>
      </c>
      <c r="R107">
        <f t="shared" si="29"/>
        <v>0.2600173503291327</v>
      </c>
      <c r="S107">
        <f t="shared" si="30"/>
        <v>0.51809947761577524</v>
      </c>
      <c r="U107">
        <f t="shared" si="31"/>
        <v>13.8</v>
      </c>
      <c r="V107">
        <f t="shared" si="32"/>
        <v>0.6</v>
      </c>
      <c r="W107">
        <f t="shared" si="33"/>
        <v>12.004178126053899</v>
      </c>
      <c r="X107">
        <f t="shared" si="34"/>
        <v>6.5004337582283176</v>
      </c>
      <c r="Y107">
        <f t="shared" si="35"/>
        <v>12.95248694039438</v>
      </c>
      <c r="AA107">
        <f t="shared" si="36"/>
        <v>27.6</v>
      </c>
      <c r="AB107">
        <f t="shared" si="37"/>
        <v>1.2</v>
      </c>
      <c r="AC107">
        <f t="shared" si="38"/>
        <v>24.008356252107799</v>
      </c>
      <c r="AD107">
        <f t="shared" si="39"/>
        <v>13.000867516456635</v>
      </c>
      <c r="AE107">
        <f t="shared" si="40"/>
        <v>25.904973880788759</v>
      </c>
      <c r="AG107" s="109">
        <f t="shared" si="41"/>
        <v>44634</v>
      </c>
      <c r="AH107">
        <f>'Water Stuff'!I77*1000</f>
        <v>620</v>
      </c>
      <c r="AI107">
        <f>'Water Stuff'!Q77*1000</f>
        <v>620</v>
      </c>
      <c r="AJ107">
        <f>'Water Stuff'!Y77*1000</f>
        <v>620</v>
      </c>
      <c r="AK107">
        <f>'Water Stuff'!AG77*1000</f>
        <v>620</v>
      </c>
      <c r="AL107">
        <f>'Water Stuff'!AO77*1000</f>
        <v>620</v>
      </c>
    </row>
    <row r="108" spans="1:38">
      <c r="A108" s="109">
        <f>'Water Stuff'!F78</f>
        <v>44635</v>
      </c>
      <c r="B108">
        <f>IF( 'Water Stuff'!G78*1000 &gt;= 'Water Stuff'!$B$6*1000, 'Water Stuff'!$B$6*1000, 'Water Stuff'!G78*1000)</f>
        <v>4560</v>
      </c>
      <c r="C108">
        <f>IF( 'Water Stuff'!O78*1000 &gt;= 'Water Stuff'!$B$6*1000, 'Water Stuff'!$B$6*1000, 'Water Stuff'!O78*1000)</f>
        <v>0</v>
      </c>
      <c r="D108">
        <f>IF( 'Water Stuff'!W78*1000 &gt;= 'Water Stuff'!$B$6*1000, 'Water Stuff'!$B$6*1000, 'Water Stuff'!W78*1000)</f>
        <v>5390.9864041559258</v>
      </c>
      <c r="E108">
        <f>IF( 'Water Stuff'!AE78*1000 &gt;= 'Water Stuff'!$B$6*1000, 'Water Stuff'!$B$6*1000, 'Water Stuff'!AE78*1000)</f>
        <v>0</v>
      </c>
      <c r="F108">
        <f>IF('Water Stuff'!AM78*1000&gt;='Water Stuff'!$B$6*1000,'Water Stuff'!$B$6*1000,'Water Stuff'!AM78*1000)</f>
        <v>6480.2568696047911</v>
      </c>
      <c r="I108">
        <f t="shared" si="21"/>
        <v>45.6</v>
      </c>
      <c r="J108">
        <f t="shared" si="22"/>
        <v>0</v>
      </c>
      <c r="K108">
        <f t="shared" si="23"/>
        <v>53.90986404155926</v>
      </c>
      <c r="L108">
        <f t="shared" si="24"/>
        <v>0</v>
      </c>
      <c r="M108">
        <f t="shared" si="25"/>
        <v>64.802568696047913</v>
      </c>
      <c r="O108">
        <f t="shared" si="26"/>
        <v>0.91200000000000003</v>
      </c>
      <c r="P108">
        <f t="shared" si="27"/>
        <v>0</v>
      </c>
      <c r="Q108">
        <f t="shared" si="28"/>
        <v>1.0781972808311853</v>
      </c>
      <c r="R108">
        <f t="shared" si="29"/>
        <v>0</v>
      </c>
      <c r="S108">
        <f t="shared" si="30"/>
        <v>1.2960513739209583</v>
      </c>
      <c r="U108">
        <f t="shared" si="31"/>
        <v>22.8</v>
      </c>
      <c r="V108">
        <f t="shared" si="32"/>
        <v>0</v>
      </c>
      <c r="W108">
        <f t="shared" si="33"/>
        <v>26.95493202077963</v>
      </c>
      <c r="X108">
        <f t="shared" si="34"/>
        <v>0</v>
      </c>
      <c r="Y108">
        <f t="shared" si="35"/>
        <v>32.401284348023957</v>
      </c>
      <c r="AA108">
        <f t="shared" si="36"/>
        <v>45.6</v>
      </c>
      <c r="AB108">
        <f t="shared" si="37"/>
        <v>0</v>
      </c>
      <c r="AC108">
        <f t="shared" si="38"/>
        <v>53.90986404155926</v>
      </c>
      <c r="AD108">
        <f t="shared" si="39"/>
        <v>0</v>
      </c>
      <c r="AE108">
        <f t="shared" si="40"/>
        <v>64.802568696047913</v>
      </c>
      <c r="AG108" s="109">
        <f t="shared" si="41"/>
        <v>44635</v>
      </c>
      <c r="AH108">
        <f>'Water Stuff'!I78*1000</f>
        <v>620</v>
      </c>
      <c r="AI108">
        <f>'Water Stuff'!Q78*1000</f>
        <v>620</v>
      </c>
      <c r="AJ108">
        <f>'Water Stuff'!Y78*1000</f>
        <v>620</v>
      </c>
      <c r="AK108">
        <f>'Water Stuff'!AG78*1000</f>
        <v>620</v>
      </c>
      <c r="AL108">
        <f>'Water Stuff'!AO78*1000</f>
        <v>620</v>
      </c>
    </row>
    <row r="109" spans="1:38">
      <c r="A109" s="109">
        <f>'Water Stuff'!F79</f>
        <v>44636</v>
      </c>
      <c r="B109">
        <f>IF( 'Water Stuff'!G79*1000 &gt;= 'Water Stuff'!$B$6*1000, 'Water Stuff'!$B$6*1000, 'Water Stuff'!G79*1000)</f>
        <v>1080</v>
      </c>
      <c r="C109">
        <f>IF( 'Water Stuff'!O79*1000 &gt;= 'Water Stuff'!$B$6*1000, 'Water Stuff'!$B$6*1000, 'Water Stuff'!O79*1000)</f>
        <v>0</v>
      </c>
      <c r="D109">
        <f>IF( 'Water Stuff'!W79*1000 &gt;= 'Water Stuff'!$B$6*1000, 'Water Stuff'!$B$6*1000, 'Water Stuff'!W79*1000)</f>
        <v>333.372474713374</v>
      </c>
      <c r="E109">
        <f>IF( 'Water Stuff'!AE79*1000 &gt;= 'Water Stuff'!$B$6*1000, 'Water Stuff'!$B$6*1000, 'Water Stuff'!AE79*1000)</f>
        <v>311.5530828476314</v>
      </c>
      <c r="F109">
        <f>IF('Water Stuff'!AM79*1000&gt;='Water Stuff'!$B$6*1000,'Water Stuff'!$B$6*1000,'Water Stuff'!AM79*1000)</f>
        <v>0</v>
      </c>
      <c r="I109">
        <f t="shared" si="21"/>
        <v>10.8</v>
      </c>
      <c r="J109">
        <f t="shared" si="22"/>
        <v>0</v>
      </c>
      <c r="K109">
        <f t="shared" si="23"/>
        <v>3.3337247471337399</v>
      </c>
      <c r="L109">
        <f t="shared" si="24"/>
        <v>3.1155308284763139</v>
      </c>
      <c r="M109">
        <f t="shared" si="25"/>
        <v>0</v>
      </c>
      <c r="O109">
        <f t="shared" si="26"/>
        <v>0.216</v>
      </c>
      <c r="P109">
        <f t="shared" si="27"/>
        <v>0</v>
      </c>
      <c r="Q109">
        <f t="shared" si="28"/>
        <v>6.66744949426748E-2</v>
      </c>
      <c r="R109">
        <f t="shared" si="29"/>
        <v>6.231061656952628E-2</v>
      </c>
      <c r="S109">
        <f t="shared" si="30"/>
        <v>0</v>
      </c>
      <c r="U109">
        <f t="shared" si="31"/>
        <v>5.4</v>
      </c>
      <c r="V109">
        <f t="shared" si="32"/>
        <v>0</v>
      </c>
      <c r="W109">
        <f t="shared" si="33"/>
        <v>1.6668623735668699</v>
      </c>
      <c r="X109">
        <f t="shared" si="34"/>
        <v>1.557765414238157</v>
      </c>
      <c r="Y109">
        <f t="shared" si="35"/>
        <v>0</v>
      </c>
      <c r="AA109">
        <f t="shared" si="36"/>
        <v>10.8</v>
      </c>
      <c r="AB109">
        <f t="shared" si="37"/>
        <v>0</v>
      </c>
      <c r="AC109">
        <f t="shared" si="38"/>
        <v>3.3337247471337399</v>
      </c>
      <c r="AD109">
        <f t="shared" si="39"/>
        <v>3.1155308284763139</v>
      </c>
      <c r="AE109">
        <f t="shared" si="40"/>
        <v>0</v>
      </c>
      <c r="AG109" s="109">
        <f t="shared" si="41"/>
        <v>44636</v>
      </c>
      <c r="AH109">
        <f>'Water Stuff'!I79*1000</f>
        <v>620</v>
      </c>
      <c r="AI109">
        <f>'Water Stuff'!Q79*1000</f>
        <v>620</v>
      </c>
      <c r="AJ109">
        <f>'Water Stuff'!Y79*1000</f>
        <v>620</v>
      </c>
      <c r="AK109">
        <f>'Water Stuff'!AG79*1000</f>
        <v>620</v>
      </c>
      <c r="AL109">
        <f>'Water Stuff'!AO79*1000</f>
        <v>620</v>
      </c>
    </row>
    <row r="110" spans="1:38">
      <c r="A110" s="109">
        <f>'Water Stuff'!F80</f>
        <v>44637</v>
      </c>
      <c r="B110">
        <f>IF( 'Water Stuff'!G80*1000 &gt;= 'Water Stuff'!$B$6*1000, 'Water Stuff'!$B$6*1000, 'Water Stuff'!G80*1000)</f>
        <v>80</v>
      </c>
      <c r="C110">
        <f>IF( 'Water Stuff'!O80*1000 &gt;= 'Water Stuff'!$B$6*1000, 'Water Stuff'!$B$6*1000, 'Water Stuff'!O80*1000)</f>
        <v>0</v>
      </c>
      <c r="D110">
        <f>IF( 'Water Stuff'!W80*1000 &gt;= 'Water Stuff'!$B$6*1000, 'Water Stuff'!$B$6*1000, 'Water Stuff'!W80*1000)</f>
        <v>960.2146682475975</v>
      </c>
      <c r="E110">
        <f>IF( 'Water Stuff'!AE80*1000 &gt;= 'Water Stuff'!$B$6*1000, 'Water Stuff'!$B$6*1000, 'Water Stuff'!AE80*1000)</f>
        <v>0</v>
      </c>
      <c r="F110">
        <f>IF('Water Stuff'!AM80*1000&gt;='Water Stuff'!$B$6*1000,'Water Stuff'!$B$6*1000,'Water Stuff'!AM80*1000)</f>
        <v>2606.9927389085142</v>
      </c>
      <c r="I110">
        <f t="shared" si="21"/>
        <v>0.8</v>
      </c>
      <c r="J110">
        <f t="shared" si="22"/>
        <v>0</v>
      </c>
      <c r="K110">
        <f t="shared" si="23"/>
        <v>9.6021466824759756</v>
      </c>
      <c r="L110">
        <f t="shared" si="24"/>
        <v>0</v>
      </c>
      <c r="M110">
        <f t="shared" si="25"/>
        <v>26.069927389085141</v>
      </c>
      <c r="O110">
        <f t="shared" si="26"/>
        <v>1.6E-2</v>
      </c>
      <c r="P110">
        <f t="shared" si="27"/>
        <v>0</v>
      </c>
      <c r="Q110">
        <f t="shared" si="28"/>
        <v>0.19204293364951952</v>
      </c>
      <c r="R110">
        <f t="shared" si="29"/>
        <v>0</v>
      </c>
      <c r="S110">
        <f t="shared" si="30"/>
        <v>0.52139854778170291</v>
      </c>
      <c r="U110">
        <f t="shared" si="31"/>
        <v>0.4</v>
      </c>
      <c r="V110">
        <f t="shared" si="32"/>
        <v>0</v>
      </c>
      <c r="W110">
        <f t="shared" si="33"/>
        <v>4.8010733412379878</v>
      </c>
      <c r="X110">
        <f t="shared" si="34"/>
        <v>0</v>
      </c>
      <c r="Y110">
        <f t="shared" si="35"/>
        <v>13.03496369454257</v>
      </c>
      <c r="AA110">
        <f t="shared" si="36"/>
        <v>0.8</v>
      </c>
      <c r="AB110">
        <f t="shared" si="37"/>
        <v>0</v>
      </c>
      <c r="AC110">
        <f t="shared" si="38"/>
        <v>9.6021466824759756</v>
      </c>
      <c r="AD110">
        <f t="shared" si="39"/>
        <v>0</v>
      </c>
      <c r="AE110">
        <f t="shared" si="40"/>
        <v>26.069927389085141</v>
      </c>
      <c r="AG110" s="109">
        <f t="shared" si="41"/>
        <v>44637</v>
      </c>
      <c r="AH110">
        <f>'Water Stuff'!I80*1000</f>
        <v>620</v>
      </c>
      <c r="AI110">
        <f>'Water Stuff'!Q80*1000</f>
        <v>620</v>
      </c>
      <c r="AJ110">
        <f>'Water Stuff'!Y80*1000</f>
        <v>620</v>
      </c>
      <c r="AK110">
        <f>'Water Stuff'!AG80*1000</f>
        <v>620</v>
      </c>
      <c r="AL110">
        <f>'Water Stuff'!AO80*1000</f>
        <v>620</v>
      </c>
    </row>
    <row r="111" spans="1:38">
      <c r="A111" s="109">
        <f>'Water Stuff'!F81</f>
        <v>44638</v>
      </c>
      <c r="B111">
        <f>IF( 'Water Stuff'!G81*1000 &gt;= 'Water Stuff'!$B$6*1000, 'Water Stuff'!$B$6*1000, 'Water Stuff'!G81*1000)</f>
        <v>6200</v>
      </c>
      <c r="C111">
        <f>IF( 'Water Stuff'!O81*1000 &gt;= 'Water Stuff'!$B$6*1000, 'Water Stuff'!$B$6*1000, 'Water Stuff'!O81*1000)</f>
        <v>6200</v>
      </c>
      <c r="D111">
        <f>IF( 'Water Stuff'!W81*1000 &gt;= 'Water Stuff'!$B$6*1000, 'Water Stuff'!$B$6*1000, 'Water Stuff'!W81*1000)</f>
        <v>3023.2156266124703</v>
      </c>
      <c r="E111">
        <f>IF( 'Water Stuff'!AE81*1000 &gt;= 'Water Stuff'!$B$6*1000, 'Water Stuff'!$B$6*1000, 'Water Stuff'!AE81*1000)</f>
        <v>6777.6126463287437</v>
      </c>
      <c r="F111">
        <f>IF('Water Stuff'!AM81*1000&gt;='Water Stuff'!$B$6*1000,'Water Stuff'!$B$6*1000,'Water Stuff'!AM81*1000)</f>
        <v>1136.74683137585</v>
      </c>
      <c r="I111">
        <f t="shared" si="21"/>
        <v>62</v>
      </c>
      <c r="J111">
        <f t="shared" si="22"/>
        <v>62</v>
      </c>
      <c r="K111">
        <f t="shared" si="23"/>
        <v>30.232156266124701</v>
      </c>
      <c r="L111">
        <f t="shared" si="24"/>
        <v>67.77612646328744</v>
      </c>
      <c r="M111">
        <f t="shared" si="25"/>
        <v>11.367468313758501</v>
      </c>
      <c r="O111">
        <f t="shared" si="26"/>
        <v>1.24</v>
      </c>
      <c r="P111">
        <f t="shared" si="27"/>
        <v>1.24</v>
      </c>
      <c r="Q111">
        <f t="shared" si="28"/>
        <v>0.60464312532249398</v>
      </c>
      <c r="R111">
        <f t="shared" si="29"/>
        <v>1.3555225292657487</v>
      </c>
      <c r="S111">
        <f t="shared" si="30"/>
        <v>0.22734936627517</v>
      </c>
      <c r="U111">
        <f t="shared" si="31"/>
        <v>31</v>
      </c>
      <c r="V111">
        <f t="shared" si="32"/>
        <v>31</v>
      </c>
      <c r="W111">
        <f t="shared" si="33"/>
        <v>15.116078133062352</v>
      </c>
      <c r="X111">
        <f t="shared" si="34"/>
        <v>33.88806323164372</v>
      </c>
      <c r="Y111">
        <f t="shared" si="35"/>
        <v>5.6837341568792503</v>
      </c>
      <c r="AA111">
        <f t="shared" si="36"/>
        <v>62</v>
      </c>
      <c r="AB111">
        <f t="shared" si="37"/>
        <v>62</v>
      </c>
      <c r="AC111">
        <f t="shared" si="38"/>
        <v>30.232156266124704</v>
      </c>
      <c r="AD111">
        <f t="shared" si="39"/>
        <v>67.77612646328744</v>
      </c>
      <c r="AE111">
        <f t="shared" si="40"/>
        <v>11.367468313758501</v>
      </c>
      <c r="AG111" s="109">
        <f t="shared" si="41"/>
        <v>44638</v>
      </c>
      <c r="AH111">
        <f>'Water Stuff'!I81*1000</f>
        <v>620</v>
      </c>
      <c r="AI111">
        <f>'Water Stuff'!Q81*1000</f>
        <v>620</v>
      </c>
      <c r="AJ111">
        <f>'Water Stuff'!Y81*1000</f>
        <v>620</v>
      </c>
      <c r="AK111">
        <f>'Water Stuff'!AG81*1000</f>
        <v>620</v>
      </c>
      <c r="AL111">
        <f>'Water Stuff'!AO81*1000</f>
        <v>620</v>
      </c>
    </row>
    <row r="112" spans="1:38">
      <c r="A112" s="109">
        <f>'Water Stuff'!F82</f>
        <v>44639</v>
      </c>
      <c r="B112">
        <f>IF( 'Water Stuff'!G82*1000 &gt;= 'Water Stuff'!$B$6*1000, 'Water Stuff'!$B$6*1000, 'Water Stuff'!G82*1000)</f>
        <v>320</v>
      </c>
      <c r="C112">
        <f>IF( 'Water Stuff'!O82*1000 &gt;= 'Water Stuff'!$B$6*1000, 'Water Stuff'!$B$6*1000, 'Water Stuff'!O82*1000)</f>
        <v>7080</v>
      </c>
      <c r="D112">
        <f>IF( 'Water Stuff'!W82*1000 &gt;= 'Water Stuff'!$B$6*1000, 'Water Stuff'!$B$6*1000, 'Water Stuff'!W82*1000)</f>
        <v>1647.8114441517055</v>
      </c>
      <c r="E112">
        <f>IF( 'Water Stuff'!AE82*1000 &gt;= 'Water Stuff'!$B$6*1000, 'Water Stuff'!$B$6*1000, 'Water Stuff'!AE82*1000)</f>
        <v>7974.3088035864503</v>
      </c>
      <c r="F112">
        <f>IF('Water Stuff'!AM82*1000&gt;='Water Stuff'!$B$6*1000,'Water Stuff'!$B$6*1000,'Water Stuff'!AM82*1000)</f>
        <v>3375.7492906320558</v>
      </c>
      <c r="I112">
        <f t="shared" si="21"/>
        <v>3.2</v>
      </c>
      <c r="J112">
        <f t="shared" si="22"/>
        <v>70.8</v>
      </c>
      <c r="K112">
        <f t="shared" si="23"/>
        <v>16.478114441517057</v>
      </c>
      <c r="L112">
        <f t="shared" si="24"/>
        <v>79.743088035864503</v>
      </c>
      <c r="M112">
        <f t="shared" si="25"/>
        <v>33.757492906320557</v>
      </c>
      <c r="O112">
        <f t="shared" si="26"/>
        <v>6.4000000000000001E-2</v>
      </c>
      <c r="P112">
        <f t="shared" si="27"/>
        <v>1.4159999999999999</v>
      </c>
      <c r="Q112">
        <f t="shared" si="28"/>
        <v>0.32956228883034111</v>
      </c>
      <c r="R112">
        <f t="shared" si="29"/>
        <v>1.5948617607172901</v>
      </c>
      <c r="S112">
        <f t="shared" si="30"/>
        <v>0.67514985812641115</v>
      </c>
      <c r="U112">
        <f t="shared" si="31"/>
        <v>1.6</v>
      </c>
      <c r="V112">
        <f t="shared" si="32"/>
        <v>35.4</v>
      </c>
      <c r="W112">
        <f t="shared" si="33"/>
        <v>8.2390572207585269</v>
      </c>
      <c r="X112">
        <f t="shared" si="34"/>
        <v>39.871544017932251</v>
      </c>
      <c r="Y112">
        <f t="shared" si="35"/>
        <v>16.878746453160279</v>
      </c>
      <c r="AA112">
        <f t="shared" si="36"/>
        <v>3.2</v>
      </c>
      <c r="AB112">
        <f t="shared" si="37"/>
        <v>70.8</v>
      </c>
      <c r="AC112">
        <f t="shared" si="38"/>
        <v>16.478114441517054</v>
      </c>
      <c r="AD112">
        <f t="shared" si="39"/>
        <v>79.743088035864503</v>
      </c>
      <c r="AE112">
        <f t="shared" si="40"/>
        <v>33.757492906320557</v>
      </c>
      <c r="AG112" s="109">
        <f t="shared" si="41"/>
        <v>44639</v>
      </c>
      <c r="AH112">
        <f>'Water Stuff'!I82*1000</f>
        <v>620</v>
      </c>
      <c r="AI112">
        <f>'Water Stuff'!Q82*1000</f>
        <v>620</v>
      </c>
      <c r="AJ112">
        <f>'Water Stuff'!Y82*1000</f>
        <v>620</v>
      </c>
      <c r="AK112">
        <f>'Water Stuff'!AG82*1000</f>
        <v>620</v>
      </c>
      <c r="AL112">
        <f>'Water Stuff'!AO82*1000</f>
        <v>620</v>
      </c>
    </row>
    <row r="113" spans="1:38">
      <c r="A113" s="109">
        <f>'Water Stuff'!F83</f>
        <v>44640</v>
      </c>
      <c r="B113">
        <f>IF( 'Water Stuff'!G83*1000 &gt;= 'Water Stuff'!$B$6*1000, 'Water Stuff'!$B$6*1000, 'Water Stuff'!G83*1000)</f>
        <v>320</v>
      </c>
      <c r="C113">
        <f>IF( 'Water Stuff'!O83*1000 &gt;= 'Water Stuff'!$B$6*1000, 'Water Stuff'!$B$6*1000, 'Water Stuff'!O83*1000)</f>
        <v>5720</v>
      </c>
      <c r="D113">
        <f>IF( 'Water Stuff'!W83*1000 &gt;= 'Water Stuff'!$B$6*1000, 'Water Stuff'!$B$6*1000, 'Water Stuff'!W83*1000)</f>
        <v>1612.3568156879023</v>
      </c>
      <c r="E113">
        <f>IF( 'Water Stuff'!AE83*1000 &gt;= 'Water Stuff'!$B$6*1000, 'Water Stuff'!$B$6*1000, 'Water Stuff'!AE83*1000)</f>
        <v>7365.2591999890601</v>
      </c>
      <c r="F113">
        <f>IF('Water Stuff'!AM83*1000&gt;='Water Stuff'!$B$6*1000,'Water Stuff'!$B$6*1000,'Water Stuff'!AM83*1000)</f>
        <v>0</v>
      </c>
      <c r="I113">
        <f t="shared" si="21"/>
        <v>3.2</v>
      </c>
      <c r="J113">
        <f t="shared" si="22"/>
        <v>57.2</v>
      </c>
      <c r="K113">
        <f t="shared" si="23"/>
        <v>16.123568156879024</v>
      </c>
      <c r="L113">
        <f t="shared" si="24"/>
        <v>73.652591999890603</v>
      </c>
      <c r="M113">
        <f t="shared" si="25"/>
        <v>0</v>
      </c>
      <c r="O113">
        <f t="shared" si="26"/>
        <v>6.4000000000000001E-2</v>
      </c>
      <c r="P113">
        <f t="shared" si="27"/>
        <v>1.1439999999999999</v>
      </c>
      <c r="Q113">
        <f t="shared" si="28"/>
        <v>0.32247136313758046</v>
      </c>
      <c r="R113">
        <f t="shared" si="29"/>
        <v>1.4730518399978121</v>
      </c>
      <c r="S113">
        <f t="shared" si="30"/>
        <v>0</v>
      </c>
      <c r="U113">
        <f t="shared" si="31"/>
        <v>1.6</v>
      </c>
      <c r="V113">
        <f t="shared" si="32"/>
        <v>28.6</v>
      </c>
      <c r="W113">
        <f t="shared" si="33"/>
        <v>8.0617840784395121</v>
      </c>
      <c r="X113">
        <f t="shared" si="34"/>
        <v>36.826295999945302</v>
      </c>
      <c r="Y113">
        <f t="shared" si="35"/>
        <v>0</v>
      </c>
      <c r="AA113">
        <f t="shared" si="36"/>
        <v>3.2</v>
      </c>
      <c r="AB113">
        <f t="shared" si="37"/>
        <v>57.2</v>
      </c>
      <c r="AC113">
        <f t="shared" si="38"/>
        <v>16.123568156879024</v>
      </c>
      <c r="AD113">
        <f t="shared" si="39"/>
        <v>73.652591999890603</v>
      </c>
      <c r="AE113">
        <f t="shared" si="40"/>
        <v>0</v>
      </c>
      <c r="AG113" s="109">
        <f t="shared" si="41"/>
        <v>44640</v>
      </c>
      <c r="AH113">
        <f>'Water Stuff'!I83*1000</f>
        <v>620</v>
      </c>
      <c r="AI113">
        <f>'Water Stuff'!Q83*1000</f>
        <v>620</v>
      </c>
      <c r="AJ113">
        <f>'Water Stuff'!Y83*1000</f>
        <v>620</v>
      </c>
      <c r="AK113">
        <f>'Water Stuff'!AG83*1000</f>
        <v>620</v>
      </c>
      <c r="AL113">
        <f>'Water Stuff'!AO83*1000</f>
        <v>620</v>
      </c>
    </row>
    <row r="114" spans="1:38">
      <c r="A114" s="109">
        <f>'Water Stuff'!F84</f>
        <v>44641</v>
      </c>
      <c r="B114">
        <f>IF( 'Water Stuff'!G84*1000 &gt;= 'Water Stuff'!$B$6*1000, 'Water Stuff'!$B$6*1000, 'Water Stuff'!G84*1000)</f>
        <v>1520</v>
      </c>
      <c r="C114">
        <f>IF( 'Water Stuff'!O84*1000 &gt;= 'Water Stuff'!$B$6*1000, 'Water Stuff'!$B$6*1000, 'Water Stuff'!O84*1000)</f>
        <v>0</v>
      </c>
      <c r="D114">
        <f>IF( 'Water Stuff'!W84*1000 &gt;= 'Water Stuff'!$B$6*1000, 'Water Stuff'!$B$6*1000, 'Water Stuff'!W84*1000)</f>
        <v>1462.2369324268816</v>
      </c>
      <c r="E114">
        <f>IF( 'Water Stuff'!AE84*1000 &gt;= 'Water Stuff'!$B$6*1000, 'Water Stuff'!$B$6*1000, 'Water Stuff'!AE84*1000)</f>
        <v>0</v>
      </c>
      <c r="F114">
        <f>IF('Water Stuff'!AM84*1000&gt;='Water Stuff'!$B$6*1000,'Water Stuff'!$B$6*1000,'Water Stuff'!AM84*1000)</f>
        <v>0</v>
      </c>
      <c r="I114">
        <f t="shared" si="21"/>
        <v>15.2</v>
      </c>
      <c r="J114">
        <f t="shared" si="22"/>
        <v>0</v>
      </c>
      <c r="K114">
        <f t="shared" si="23"/>
        <v>14.622369324268817</v>
      </c>
      <c r="L114">
        <f t="shared" si="24"/>
        <v>0</v>
      </c>
      <c r="M114">
        <f t="shared" si="25"/>
        <v>0</v>
      </c>
      <c r="O114">
        <f t="shared" si="26"/>
        <v>0.30399999999999999</v>
      </c>
      <c r="P114">
        <f t="shared" si="27"/>
        <v>0</v>
      </c>
      <c r="Q114">
        <f t="shared" si="28"/>
        <v>0.29244738648537633</v>
      </c>
      <c r="R114">
        <f t="shared" si="29"/>
        <v>0</v>
      </c>
      <c r="S114">
        <f t="shared" si="30"/>
        <v>0</v>
      </c>
      <c r="U114">
        <f t="shared" si="31"/>
        <v>7.6000000000000005</v>
      </c>
      <c r="V114">
        <f t="shared" si="32"/>
        <v>0</v>
      </c>
      <c r="W114">
        <f t="shared" si="33"/>
        <v>7.3111846621344085</v>
      </c>
      <c r="X114">
        <f t="shared" si="34"/>
        <v>0</v>
      </c>
      <c r="Y114">
        <f t="shared" si="35"/>
        <v>0</v>
      </c>
      <c r="AA114">
        <f t="shared" si="36"/>
        <v>15.200000000000001</v>
      </c>
      <c r="AB114">
        <f t="shared" si="37"/>
        <v>0</v>
      </c>
      <c r="AC114">
        <f t="shared" si="38"/>
        <v>14.622369324268817</v>
      </c>
      <c r="AD114">
        <f t="shared" si="39"/>
        <v>0</v>
      </c>
      <c r="AE114">
        <f t="shared" si="40"/>
        <v>0</v>
      </c>
      <c r="AG114" s="109">
        <f t="shared" si="41"/>
        <v>44641</v>
      </c>
      <c r="AH114">
        <f>'Water Stuff'!I84*1000</f>
        <v>620</v>
      </c>
      <c r="AI114">
        <f>'Water Stuff'!Q84*1000</f>
        <v>620</v>
      </c>
      <c r="AJ114">
        <f>'Water Stuff'!Y84*1000</f>
        <v>620</v>
      </c>
      <c r="AK114">
        <f>'Water Stuff'!AG84*1000</f>
        <v>620</v>
      </c>
      <c r="AL114">
        <f>'Water Stuff'!AO84*1000</f>
        <v>620</v>
      </c>
    </row>
    <row r="115" spans="1:38">
      <c r="A115" s="109">
        <f>'Water Stuff'!F85</f>
        <v>44642</v>
      </c>
      <c r="B115">
        <f>IF( 'Water Stuff'!G85*1000 &gt;= 'Water Stuff'!$B$6*1000, 'Water Stuff'!$B$6*1000, 'Water Stuff'!G85*1000)</f>
        <v>520</v>
      </c>
      <c r="C115">
        <f>IF( 'Water Stuff'!O85*1000 &gt;= 'Water Stuff'!$B$6*1000, 'Water Stuff'!$B$6*1000, 'Water Stuff'!O85*1000)</f>
        <v>1400</v>
      </c>
      <c r="D115">
        <f>IF( 'Water Stuff'!W85*1000 &gt;= 'Water Stuff'!$B$6*1000, 'Water Stuff'!$B$6*1000, 'Water Stuff'!W85*1000)</f>
        <v>0</v>
      </c>
      <c r="E115">
        <f>IF( 'Water Stuff'!AE85*1000 &gt;= 'Water Stuff'!$B$6*1000, 'Water Stuff'!$B$6*1000, 'Water Stuff'!AE85*1000)</f>
        <v>359.67339101243999</v>
      </c>
      <c r="F115">
        <f>IF('Water Stuff'!AM85*1000&gt;='Water Stuff'!$B$6*1000,'Water Stuff'!$B$6*1000,'Water Stuff'!AM85*1000)</f>
        <v>0</v>
      </c>
      <c r="I115">
        <f t="shared" si="21"/>
        <v>5.2</v>
      </c>
      <c r="J115">
        <f t="shared" si="22"/>
        <v>14</v>
      </c>
      <c r="K115">
        <f t="shared" si="23"/>
        <v>0</v>
      </c>
      <c r="L115">
        <f t="shared" si="24"/>
        <v>3.5967339101243998</v>
      </c>
      <c r="M115">
        <f t="shared" si="25"/>
        <v>0</v>
      </c>
      <c r="O115">
        <f t="shared" si="26"/>
        <v>0.104</v>
      </c>
      <c r="P115">
        <f t="shared" si="27"/>
        <v>0.28000000000000003</v>
      </c>
      <c r="Q115">
        <f t="shared" si="28"/>
        <v>0</v>
      </c>
      <c r="R115">
        <f t="shared" si="29"/>
        <v>7.1934678202488E-2</v>
      </c>
      <c r="S115">
        <f t="shared" si="30"/>
        <v>0</v>
      </c>
      <c r="U115">
        <f t="shared" si="31"/>
        <v>2.6</v>
      </c>
      <c r="V115">
        <f t="shared" si="32"/>
        <v>7</v>
      </c>
      <c r="W115">
        <f t="shared" si="33"/>
        <v>0</v>
      </c>
      <c r="X115">
        <f t="shared" si="34"/>
        <v>1.7983669550621999</v>
      </c>
      <c r="Y115">
        <f t="shared" si="35"/>
        <v>0</v>
      </c>
      <c r="AA115">
        <f t="shared" si="36"/>
        <v>5.2</v>
      </c>
      <c r="AB115">
        <f t="shared" si="37"/>
        <v>14</v>
      </c>
      <c r="AC115">
        <f t="shared" si="38"/>
        <v>0</v>
      </c>
      <c r="AD115">
        <f t="shared" si="39"/>
        <v>3.5967339101243998</v>
      </c>
      <c r="AE115">
        <f t="shared" si="40"/>
        <v>0</v>
      </c>
      <c r="AG115" s="109">
        <f t="shared" si="41"/>
        <v>44642</v>
      </c>
      <c r="AH115">
        <f>'Water Stuff'!I85*1000</f>
        <v>620</v>
      </c>
      <c r="AI115">
        <f>'Water Stuff'!Q85*1000</f>
        <v>620</v>
      </c>
      <c r="AJ115">
        <f>'Water Stuff'!Y85*1000</f>
        <v>620</v>
      </c>
      <c r="AK115">
        <f>'Water Stuff'!AG85*1000</f>
        <v>620</v>
      </c>
      <c r="AL115">
        <f>'Water Stuff'!AO85*1000</f>
        <v>620</v>
      </c>
    </row>
    <row r="116" spans="1:38">
      <c r="A116" s="109">
        <f>'Water Stuff'!F86</f>
        <v>44643</v>
      </c>
      <c r="B116">
        <f>IF( 'Water Stuff'!G86*1000 &gt;= 'Water Stuff'!$B$6*1000, 'Water Stuff'!$B$6*1000, 'Water Stuff'!G86*1000)</f>
        <v>0</v>
      </c>
      <c r="C116">
        <f>IF( 'Water Stuff'!O86*1000 &gt;= 'Water Stuff'!$B$6*1000, 'Water Stuff'!$B$6*1000, 'Water Stuff'!O86*1000)</f>
        <v>1920</v>
      </c>
      <c r="D116">
        <f>IF( 'Water Stuff'!W86*1000 &gt;= 'Water Stuff'!$B$6*1000, 'Water Stuff'!$B$6*1000, 'Water Stuff'!W86*1000)</f>
        <v>1175.0018125527984</v>
      </c>
      <c r="E116">
        <f>IF( 'Water Stuff'!AE86*1000 &gt;= 'Water Stuff'!$B$6*1000, 'Water Stuff'!$B$6*1000, 'Water Stuff'!AE86*1000)</f>
        <v>482.06154272145454</v>
      </c>
      <c r="F116">
        <f>IF('Water Stuff'!AM86*1000&gt;='Water Stuff'!$B$6*1000,'Water Stuff'!$B$6*1000,'Water Stuff'!AM86*1000)</f>
        <v>326.47067157287444</v>
      </c>
      <c r="I116">
        <f t="shared" si="21"/>
        <v>0</v>
      </c>
      <c r="J116">
        <f t="shared" si="22"/>
        <v>19.2</v>
      </c>
      <c r="K116">
        <f t="shared" si="23"/>
        <v>11.750018125527983</v>
      </c>
      <c r="L116">
        <f t="shared" si="24"/>
        <v>4.8206154272145447</v>
      </c>
      <c r="M116">
        <f t="shared" si="25"/>
        <v>3.2647067157287442</v>
      </c>
      <c r="O116">
        <f t="shared" si="26"/>
        <v>0</v>
      </c>
      <c r="P116">
        <f t="shared" si="27"/>
        <v>0.38400000000000001</v>
      </c>
      <c r="Q116">
        <f t="shared" si="28"/>
        <v>0.2350003625105597</v>
      </c>
      <c r="R116">
        <f t="shared" si="29"/>
        <v>9.6412308544290892E-2</v>
      </c>
      <c r="S116">
        <f t="shared" si="30"/>
        <v>6.5294134314574884E-2</v>
      </c>
      <c r="U116">
        <f t="shared" si="31"/>
        <v>0</v>
      </c>
      <c r="V116">
        <f t="shared" si="32"/>
        <v>9.6</v>
      </c>
      <c r="W116">
        <f t="shared" si="33"/>
        <v>5.8750090627639917</v>
      </c>
      <c r="X116">
        <f t="shared" si="34"/>
        <v>2.4103077136072728</v>
      </c>
      <c r="Y116">
        <f t="shared" si="35"/>
        <v>1.6323533578643723</v>
      </c>
      <c r="AA116">
        <f t="shared" si="36"/>
        <v>0</v>
      </c>
      <c r="AB116">
        <f t="shared" si="37"/>
        <v>19.2</v>
      </c>
      <c r="AC116">
        <f t="shared" si="38"/>
        <v>11.750018125527983</v>
      </c>
      <c r="AD116">
        <f t="shared" si="39"/>
        <v>4.8206154272145456</v>
      </c>
      <c r="AE116">
        <f t="shared" si="40"/>
        <v>3.2647067157287446</v>
      </c>
      <c r="AG116" s="109">
        <f t="shared" si="41"/>
        <v>44643</v>
      </c>
      <c r="AH116">
        <f>'Water Stuff'!I86*1000</f>
        <v>620</v>
      </c>
      <c r="AI116">
        <f>'Water Stuff'!Q86*1000</f>
        <v>620</v>
      </c>
      <c r="AJ116">
        <f>'Water Stuff'!Y86*1000</f>
        <v>620</v>
      </c>
      <c r="AK116">
        <f>'Water Stuff'!AG86*1000</f>
        <v>620</v>
      </c>
      <c r="AL116">
        <f>'Water Stuff'!AO86*1000</f>
        <v>620</v>
      </c>
    </row>
    <row r="117" spans="1:38">
      <c r="A117" s="109">
        <f>'Water Stuff'!F87</f>
        <v>44644</v>
      </c>
      <c r="B117">
        <f>IF( 'Water Stuff'!G87*1000 &gt;= 'Water Stuff'!$B$6*1000, 'Water Stuff'!$B$6*1000, 'Water Stuff'!G87*1000)</f>
        <v>800</v>
      </c>
      <c r="C117">
        <f>IF( 'Water Stuff'!O87*1000 &gt;= 'Water Stuff'!$B$6*1000, 'Water Stuff'!$B$6*1000, 'Water Stuff'!O87*1000)</f>
        <v>3640</v>
      </c>
      <c r="D117">
        <f>IF( 'Water Stuff'!W87*1000 &gt;= 'Water Stuff'!$B$6*1000, 'Water Stuff'!$B$6*1000, 'Water Stuff'!W87*1000)</f>
        <v>411.33264155682241</v>
      </c>
      <c r="E117">
        <f>IF( 'Water Stuff'!AE87*1000 &gt;= 'Water Stuff'!$B$6*1000, 'Water Stuff'!$B$6*1000, 'Water Stuff'!AE87*1000)</f>
        <v>4532.2357183624781</v>
      </c>
      <c r="F117">
        <f>IF('Water Stuff'!AM87*1000&gt;='Water Stuff'!$B$6*1000,'Water Stuff'!$B$6*1000,'Water Stuff'!AM87*1000)</f>
        <v>1447.1055418279059</v>
      </c>
      <c r="I117">
        <f t="shared" si="21"/>
        <v>8</v>
      </c>
      <c r="J117">
        <f t="shared" si="22"/>
        <v>36.4</v>
      </c>
      <c r="K117">
        <f t="shared" si="23"/>
        <v>4.113326415568225</v>
      </c>
      <c r="L117">
        <f t="shared" si="24"/>
        <v>45.322357183624781</v>
      </c>
      <c r="M117">
        <f t="shared" si="25"/>
        <v>14.471055418279059</v>
      </c>
      <c r="O117">
        <f t="shared" si="26"/>
        <v>0.16</v>
      </c>
      <c r="P117">
        <f t="shared" si="27"/>
        <v>0.72799999999999998</v>
      </c>
      <c r="Q117">
        <f t="shared" si="28"/>
        <v>8.2266528311364509E-2</v>
      </c>
      <c r="R117">
        <f t="shared" si="29"/>
        <v>0.90644714367249557</v>
      </c>
      <c r="S117">
        <f t="shared" si="30"/>
        <v>0.28942110836558116</v>
      </c>
      <c r="U117">
        <f t="shared" si="31"/>
        <v>4</v>
      </c>
      <c r="V117">
        <f t="shared" si="32"/>
        <v>18.2</v>
      </c>
      <c r="W117">
        <f t="shared" si="33"/>
        <v>2.056663207784112</v>
      </c>
      <c r="X117">
        <f t="shared" si="34"/>
        <v>22.661178591812391</v>
      </c>
      <c r="Y117">
        <f t="shared" si="35"/>
        <v>7.2355277091395296</v>
      </c>
      <c r="AA117">
        <f t="shared" si="36"/>
        <v>8</v>
      </c>
      <c r="AB117">
        <f t="shared" si="37"/>
        <v>36.4</v>
      </c>
      <c r="AC117">
        <f t="shared" si="38"/>
        <v>4.1133264155682241</v>
      </c>
      <c r="AD117">
        <f t="shared" si="39"/>
        <v>45.322357183624781</v>
      </c>
      <c r="AE117">
        <f t="shared" si="40"/>
        <v>14.471055418279059</v>
      </c>
      <c r="AG117" s="109">
        <f t="shared" si="41"/>
        <v>44644</v>
      </c>
      <c r="AH117">
        <f>'Water Stuff'!I87*1000</f>
        <v>620</v>
      </c>
      <c r="AI117">
        <f>'Water Stuff'!Q87*1000</f>
        <v>620</v>
      </c>
      <c r="AJ117">
        <f>'Water Stuff'!Y87*1000</f>
        <v>620</v>
      </c>
      <c r="AK117">
        <f>'Water Stuff'!AG87*1000</f>
        <v>620</v>
      </c>
      <c r="AL117">
        <f>'Water Stuff'!AO87*1000</f>
        <v>620</v>
      </c>
    </row>
    <row r="118" spans="1:38">
      <c r="A118" s="109">
        <f>'Water Stuff'!F88</f>
        <v>44645</v>
      </c>
      <c r="B118">
        <f>IF( 'Water Stuff'!G88*1000 &gt;= 'Water Stuff'!$B$6*1000, 'Water Stuff'!$B$6*1000, 'Water Stuff'!G88*1000)</f>
        <v>6200</v>
      </c>
      <c r="C118">
        <f>IF( 'Water Stuff'!O88*1000 &gt;= 'Water Stuff'!$B$6*1000, 'Water Stuff'!$B$6*1000, 'Water Stuff'!O88*1000)</f>
        <v>10000</v>
      </c>
      <c r="D118">
        <f>IF( 'Water Stuff'!W88*1000 &gt;= 'Water Stuff'!$B$6*1000, 'Water Stuff'!$B$6*1000, 'Water Stuff'!W88*1000)</f>
        <v>3069.7437613432558</v>
      </c>
      <c r="E118">
        <f>IF( 'Water Stuff'!AE88*1000 &gt;= 'Water Stuff'!$B$6*1000, 'Water Stuff'!$B$6*1000, 'Water Stuff'!AE88*1000)</f>
        <v>10000</v>
      </c>
      <c r="F118">
        <f>IF('Water Stuff'!AM88*1000&gt;='Water Stuff'!$B$6*1000,'Water Stuff'!$B$6*1000,'Water Stuff'!AM88*1000)</f>
        <v>4117.9709978378842</v>
      </c>
      <c r="I118">
        <f t="shared" si="21"/>
        <v>62</v>
      </c>
      <c r="J118">
        <f t="shared" si="22"/>
        <v>100</v>
      </c>
      <c r="K118">
        <f t="shared" si="23"/>
        <v>30.697437613432559</v>
      </c>
      <c r="L118">
        <f t="shared" si="24"/>
        <v>100</v>
      </c>
      <c r="M118">
        <f t="shared" si="25"/>
        <v>41.179709978378845</v>
      </c>
      <c r="O118">
        <f t="shared" si="26"/>
        <v>1.24</v>
      </c>
      <c r="P118">
        <f t="shared" si="27"/>
        <v>2</v>
      </c>
      <c r="Q118">
        <f t="shared" si="28"/>
        <v>0.61394875226865109</v>
      </c>
      <c r="R118">
        <f t="shared" si="29"/>
        <v>2</v>
      </c>
      <c r="S118">
        <f t="shared" si="30"/>
        <v>0.82359419956757685</v>
      </c>
      <c r="U118">
        <f t="shared" si="31"/>
        <v>31</v>
      </c>
      <c r="V118">
        <f t="shared" si="32"/>
        <v>50</v>
      </c>
      <c r="W118">
        <f t="shared" si="33"/>
        <v>15.348718806716279</v>
      </c>
      <c r="X118">
        <f t="shared" si="34"/>
        <v>50</v>
      </c>
      <c r="Y118">
        <f t="shared" si="35"/>
        <v>20.589854989189423</v>
      </c>
      <c r="AA118">
        <f t="shared" si="36"/>
        <v>62</v>
      </c>
      <c r="AB118">
        <f t="shared" si="37"/>
        <v>100</v>
      </c>
      <c r="AC118">
        <f t="shared" si="38"/>
        <v>30.697437613432559</v>
      </c>
      <c r="AD118">
        <f t="shared" si="39"/>
        <v>100</v>
      </c>
      <c r="AE118">
        <f t="shared" si="40"/>
        <v>41.179709978378845</v>
      </c>
      <c r="AG118" s="109">
        <f t="shared" si="41"/>
        <v>44645</v>
      </c>
      <c r="AH118">
        <f>'Water Stuff'!I88*1000</f>
        <v>620</v>
      </c>
      <c r="AI118">
        <f>'Water Stuff'!Q88*1000</f>
        <v>620</v>
      </c>
      <c r="AJ118">
        <f>'Water Stuff'!Y88*1000</f>
        <v>620</v>
      </c>
      <c r="AK118">
        <f>'Water Stuff'!AG88*1000</f>
        <v>620</v>
      </c>
      <c r="AL118">
        <f>'Water Stuff'!AO88*1000</f>
        <v>620</v>
      </c>
    </row>
    <row r="119" spans="1:38">
      <c r="A119" s="109">
        <f>'Water Stuff'!F89</f>
        <v>44646</v>
      </c>
      <c r="B119">
        <f>IF( 'Water Stuff'!G89*1000 &gt;= 'Water Stuff'!$B$6*1000, 'Water Stuff'!$B$6*1000, 'Water Stuff'!G89*1000)</f>
        <v>40</v>
      </c>
      <c r="C119">
        <f>IF( 'Water Stuff'!O89*1000 &gt;= 'Water Stuff'!$B$6*1000, 'Water Stuff'!$B$6*1000, 'Water Stuff'!O89*1000)</f>
        <v>6640.0000000000009</v>
      </c>
      <c r="D119">
        <f>IF( 'Water Stuff'!W89*1000 &gt;= 'Water Stuff'!$B$6*1000, 'Water Stuff'!$B$6*1000, 'Water Stuff'!W89*1000)</f>
        <v>0</v>
      </c>
      <c r="E119">
        <f>IF( 'Water Stuff'!AE89*1000 &gt;= 'Water Stuff'!$B$6*1000, 'Water Stuff'!$B$6*1000, 'Water Stuff'!AE89*1000)</f>
        <v>7680.9471331378318</v>
      </c>
      <c r="F119">
        <f>IF('Water Stuff'!AM89*1000&gt;='Water Stuff'!$B$6*1000,'Water Stuff'!$B$6*1000,'Water Stuff'!AM89*1000)</f>
        <v>1721.3766622187766</v>
      </c>
      <c r="I119">
        <f t="shared" si="21"/>
        <v>0.4</v>
      </c>
      <c r="J119">
        <f t="shared" si="22"/>
        <v>66.40000000000002</v>
      </c>
      <c r="K119">
        <f t="shared" si="23"/>
        <v>0</v>
      </c>
      <c r="L119">
        <f t="shared" si="24"/>
        <v>76.809471331378319</v>
      </c>
      <c r="M119">
        <f t="shared" si="25"/>
        <v>17.213766622187766</v>
      </c>
      <c r="O119">
        <f t="shared" si="26"/>
        <v>8.0000000000000002E-3</v>
      </c>
      <c r="P119">
        <f t="shared" si="27"/>
        <v>1.3280000000000005</v>
      </c>
      <c r="Q119">
        <f t="shared" si="28"/>
        <v>0</v>
      </c>
      <c r="R119">
        <f t="shared" si="29"/>
        <v>1.5361894266275662</v>
      </c>
      <c r="S119">
        <f t="shared" si="30"/>
        <v>0.3442753324437553</v>
      </c>
      <c r="U119">
        <f t="shared" si="31"/>
        <v>0.2</v>
      </c>
      <c r="V119">
        <f t="shared" si="32"/>
        <v>33.200000000000003</v>
      </c>
      <c r="W119">
        <f t="shared" si="33"/>
        <v>0</v>
      </c>
      <c r="X119">
        <f t="shared" si="34"/>
        <v>38.404735665689159</v>
      </c>
      <c r="Y119">
        <f t="shared" si="35"/>
        <v>8.6068833110938829</v>
      </c>
      <c r="AA119">
        <f t="shared" si="36"/>
        <v>0.4</v>
      </c>
      <c r="AB119">
        <f t="shared" si="37"/>
        <v>66.400000000000006</v>
      </c>
      <c r="AC119">
        <f t="shared" si="38"/>
        <v>0</v>
      </c>
      <c r="AD119">
        <f t="shared" si="39"/>
        <v>76.809471331378319</v>
      </c>
      <c r="AE119">
        <f t="shared" si="40"/>
        <v>17.213766622187766</v>
      </c>
      <c r="AG119" s="109">
        <f t="shared" si="41"/>
        <v>44646</v>
      </c>
      <c r="AH119">
        <f>'Water Stuff'!I89*1000</f>
        <v>620</v>
      </c>
      <c r="AI119">
        <f>'Water Stuff'!Q89*1000</f>
        <v>620</v>
      </c>
      <c r="AJ119">
        <f>'Water Stuff'!Y89*1000</f>
        <v>620</v>
      </c>
      <c r="AK119">
        <f>'Water Stuff'!AG89*1000</f>
        <v>620</v>
      </c>
      <c r="AL119">
        <f>'Water Stuff'!AO89*1000</f>
        <v>620</v>
      </c>
    </row>
    <row r="120" spans="1:38">
      <c r="A120" s="109">
        <f>'Water Stuff'!F90</f>
        <v>44647</v>
      </c>
      <c r="B120">
        <f>IF( 'Water Stuff'!G90*1000 &gt;= 'Water Stuff'!$B$6*1000, 'Water Stuff'!$B$6*1000, 'Water Stuff'!G90*1000)</f>
        <v>880.00000000000011</v>
      </c>
      <c r="C120">
        <f>IF( 'Water Stuff'!O90*1000 &gt;= 'Water Stuff'!$B$6*1000, 'Water Stuff'!$B$6*1000, 'Water Stuff'!O90*1000)</f>
        <v>5240</v>
      </c>
      <c r="D120">
        <f>IF( 'Water Stuff'!W90*1000 &gt;= 'Water Stuff'!$B$6*1000, 'Water Stuff'!$B$6*1000, 'Water Stuff'!W90*1000)</f>
        <v>25.097477670321478</v>
      </c>
      <c r="E120">
        <f>IF( 'Water Stuff'!AE90*1000 &gt;= 'Water Stuff'!$B$6*1000, 'Water Stuff'!$B$6*1000, 'Water Stuff'!AE90*1000)</f>
        <v>4239.4750348759981</v>
      </c>
      <c r="F120">
        <f>IF('Water Stuff'!AM90*1000&gt;='Water Stuff'!$B$6*1000,'Water Stuff'!$B$6*1000,'Water Stuff'!AM90*1000)</f>
        <v>267.17714392705579</v>
      </c>
      <c r="I120">
        <f t="shared" si="21"/>
        <v>8.8000000000000025</v>
      </c>
      <c r="J120">
        <f t="shared" si="22"/>
        <v>52.4</v>
      </c>
      <c r="K120">
        <f t="shared" si="23"/>
        <v>0.25097477670321477</v>
      </c>
      <c r="L120">
        <f t="shared" si="24"/>
        <v>42.394750348759985</v>
      </c>
      <c r="M120">
        <f t="shared" si="25"/>
        <v>2.6717714392705578</v>
      </c>
      <c r="O120">
        <f t="shared" si="26"/>
        <v>0.17600000000000005</v>
      </c>
      <c r="P120">
        <f t="shared" si="27"/>
        <v>1.048</v>
      </c>
      <c r="Q120">
        <f t="shared" si="28"/>
        <v>5.0194955340642959E-3</v>
      </c>
      <c r="R120">
        <f t="shared" si="29"/>
        <v>0.84789500697519959</v>
      </c>
      <c r="S120">
        <f t="shared" si="30"/>
        <v>5.343542878541116E-2</v>
      </c>
      <c r="U120">
        <f t="shared" si="31"/>
        <v>4.4000000000000004</v>
      </c>
      <c r="V120">
        <f t="shared" si="32"/>
        <v>26.2</v>
      </c>
      <c r="W120">
        <f t="shared" si="33"/>
        <v>0.12548738835160739</v>
      </c>
      <c r="X120">
        <f t="shared" si="34"/>
        <v>21.197375174379992</v>
      </c>
      <c r="Y120">
        <f t="shared" si="35"/>
        <v>1.3358857196352789</v>
      </c>
      <c r="AA120">
        <f t="shared" si="36"/>
        <v>8.8000000000000007</v>
      </c>
      <c r="AB120">
        <f t="shared" si="37"/>
        <v>52.4</v>
      </c>
      <c r="AC120">
        <f t="shared" si="38"/>
        <v>0.25097477670321477</v>
      </c>
      <c r="AD120">
        <f t="shared" si="39"/>
        <v>42.394750348759985</v>
      </c>
      <c r="AE120">
        <f t="shared" si="40"/>
        <v>2.6717714392705578</v>
      </c>
      <c r="AG120" s="109">
        <f t="shared" si="41"/>
        <v>44647</v>
      </c>
      <c r="AH120">
        <f>'Water Stuff'!I90*1000</f>
        <v>620</v>
      </c>
      <c r="AI120">
        <f>'Water Stuff'!Q90*1000</f>
        <v>620</v>
      </c>
      <c r="AJ120">
        <f>'Water Stuff'!Y90*1000</f>
        <v>620</v>
      </c>
      <c r="AK120">
        <f>'Water Stuff'!AG90*1000</f>
        <v>620</v>
      </c>
      <c r="AL120">
        <f>'Water Stuff'!AO90*1000</f>
        <v>620</v>
      </c>
    </row>
    <row r="121" spans="1:38">
      <c r="A121" s="109">
        <f>'Water Stuff'!F91</f>
        <v>44648</v>
      </c>
      <c r="B121">
        <f>IF( 'Water Stuff'!G91*1000 &gt;= 'Water Stuff'!$B$6*1000, 'Water Stuff'!$B$6*1000, 'Water Stuff'!G91*1000)</f>
        <v>4720</v>
      </c>
      <c r="C121">
        <f>IF( 'Water Stuff'!O91*1000 &gt;= 'Water Stuff'!$B$6*1000, 'Water Stuff'!$B$6*1000, 'Water Stuff'!O91*1000)</f>
        <v>10000</v>
      </c>
      <c r="D121">
        <f>IF( 'Water Stuff'!W91*1000 &gt;= 'Water Stuff'!$B$6*1000, 'Water Stuff'!$B$6*1000, 'Water Stuff'!W91*1000)</f>
        <v>4739.514869804806</v>
      </c>
      <c r="E121">
        <f>IF( 'Water Stuff'!AE91*1000 &gt;= 'Water Stuff'!$B$6*1000, 'Water Stuff'!$B$6*1000, 'Water Stuff'!AE91*1000)</f>
        <v>10000</v>
      </c>
      <c r="F121">
        <f>IF('Water Stuff'!AM91*1000&gt;='Water Stuff'!$B$6*1000,'Water Stuff'!$B$6*1000,'Water Stuff'!AM91*1000)</f>
        <v>4342.9626963984119</v>
      </c>
      <c r="I121">
        <f t="shared" si="21"/>
        <v>47.2</v>
      </c>
      <c r="J121">
        <f t="shared" si="22"/>
        <v>100</v>
      </c>
      <c r="K121">
        <f t="shared" si="23"/>
        <v>47.395148698048061</v>
      </c>
      <c r="L121">
        <f t="shared" si="24"/>
        <v>100</v>
      </c>
      <c r="M121">
        <f t="shared" si="25"/>
        <v>43.42962696398412</v>
      </c>
      <c r="O121">
        <f t="shared" si="26"/>
        <v>0.94399999999999995</v>
      </c>
      <c r="P121">
        <f t="shared" si="27"/>
        <v>2</v>
      </c>
      <c r="Q121">
        <f t="shared" si="28"/>
        <v>0.94790297396096113</v>
      </c>
      <c r="R121">
        <f t="shared" si="29"/>
        <v>2</v>
      </c>
      <c r="S121">
        <f t="shared" si="30"/>
        <v>0.86859253927968239</v>
      </c>
      <c r="U121">
        <f t="shared" si="31"/>
        <v>23.6</v>
      </c>
      <c r="V121">
        <f t="shared" si="32"/>
        <v>50</v>
      </c>
      <c r="W121">
        <f t="shared" si="33"/>
        <v>23.69757434902403</v>
      </c>
      <c r="X121">
        <f t="shared" si="34"/>
        <v>50</v>
      </c>
      <c r="Y121">
        <f t="shared" si="35"/>
        <v>21.71481348199206</v>
      </c>
      <c r="AA121">
        <f t="shared" si="36"/>
        <v>47.2</v>
      </c>
      <c r="AB121">
        <f t="shared" si="37"/>
        <v>100</v>
      </c>
      <c r="AC121">
        <f t="shared" si="38"/>
        <v>47.395148698048061</v>
      </c>
      <c r="AD121">
        <f t="shared" si="39"/>
        <v>100</v>
      </c>
      <c r="AE121">
        <f t="shared" si="40"/>
        <v>43.42962696398412</v>
      </c>
      <c r="AG121" s="109">
        <f t="shared" si="41"/>
        <v>44648</v>
      </c>
      <c r="AH121">
        <f>'Water Stuff'!I91*1000</f>
        <v>620</v>
      </c>
      <c r="AI121">
        <f>'Water Stuff'!Q91*1000</f>
        <v>620</v>
      </c>
      <c r="AJ121">
        <f>'Water Stuff'!Y91*1000</f>
        <v>620</v>
      </c>
      <c r="AK121">
        <f>'Water Stuff'!AG91*1000</f>
        <v>620</v>
      </c>
      <c r="AL121">
        <f>'Water Stuff'!AO91*1000</f>
        <v>620</v>
      </c>
    </row>
    <row r="122" spans="1:38">
      <c r="A122" s="109">
        <f>'Water Stuff'!F92</f>
        <v>44649</v>
      </c>
      <c r="B122">
        <f>IF( 'Water Stuff'!G92*1000 &gt;= 'Water Stuff'!$B$6*1000, 'Water Stuff'!$B$6*1000, 'Water Stuff'!G92*1000)</f>
        <v>8320</v>
      </c>
      <c r="C122">
        <f>IF( 'Water Stuff'!O92*1000 &gt;= 'Water Stuff'!$B$6*1000, 'Water Stuff'!$B$6*1000, 'Water Stuff'!O92*1000)</f>
        <v>2000</v>
      </c>
      <c r="D122">
        <f>IF( 'Water Stuff'!W92*1000 &gt;= 'Water Stuff'!$B$6*1000, 'Water Stuff'!$B$6*1000, 'Water Stuff'!W92*1000)</f>
        <v>7396.8684896840587</v>
      </c>
      <c r="E122">
        <f>IF( 'Water Stuff'!AE92*1000 &gt;= 'Water Stuff'!$B$6*1000, 'Water Stuff'!$B$6*1000, 'Water Stuff'!AE92*1000)</f>
        <v>407.83372257972161</v>
      </c>
      <c r="F122">
        <f>IF('Water Stuff'!AM92*1000&gt;='Water Stuff'!$B$6*1000,'Water Stuff'!$B$6*1000,'Water Stuff'!AM92*1000)</f>
        <v>4691.9921719231115</v>
      </c>
      <c r="I122">
        <f t="shared" si="21"/>
        <v>83.2</v>
      </c>
      <c r="J122">
        <f t="shared" si="22"/>
        <v>20</v>
      </c>
      <c r="K122">
        <f t="shared" si="23"/>
        <v>73.968684896840585</v>
      </c>
      <c r="L122">
        <f t="shared" si="24"/>
        <v>4.0783372257972159</v>
      </c>
      <c r="M122">
        <f t="shared" si="25"/>
        <v>46.91992171923112</v>
      </c>
      <c r="O122">
        <f t="shared" si="26"/>
        <v>1.6639999999999999</v>
      </c>
      <c r="P122">
        <f t="shared" si="27"/>
        <v>0.4</v>
      </c>
      <c r="Q122">
        <f t="shared" si="28"/>
        <v>1.4793736979368117</v>
      </c>
      <c r="R122">
        <f t="shared" si="29"/>
        <v>8.1566744515944326E-2</v>
      </c>
      <c r="S122">
        <f t="shared" si="30"/>
        <v>0.93839843438462234</v>
      </c>
      <c r="U122">
        <f t="shared" si="31"/>
        <v>41.6</v>
      </c>
      <c r="V122">
        <f t="shared" si="32"/>
        <v>10</v>
      </c>
      <c r="W122">
        <f t="shared" si="33"/>
        <v>36.984342448420293</v>
      </c>
      <c r="X122">
        <f t="shared" si="34"/>
        <v>2.039168612898608</v>
      </c>
      <c r="Y122">
        <f t="shared" si="35"/>
        <v>23.45996085961556</v>
      </c>
      <c r="AA122">
        <f t="shared" si="36"/>
        <v>83.2</v>
      </c>
      <c r="AB122">
        <f t="shared" si="37"/>
        <v>20</v>
      </c>
      <c r="AC122">
        <f t="shared" si="38"/>
        <v>73.968684896840585</v>
      </c>
      <c r="AD122">
        <f t="shared" si="39"/>
        <v>4.0783372257972159</v>
      </c>
      <c r="AE122">
        <f t="shared" si="40"/>
        <v>46.91992171923112</v>
      </c>
      <c r="AG122" s="109">
        <f t="shared" si="41"/>
        <v>44649</v>
      </c>
      <c r="AH122">
        <f>'Water Stuff'!I92*1000</f>
        <v>620</v>
      </c>
      <c r="AI122">
        <f>'Water Stuff'!Q92*1000</f>
        <v>620</v>
      </c>
      <c r="AJ122">
        <f>'Water Stuff'!Y92*1000</f>
        <v>620</v>
      </c>
      <c r="AK122">
        <f>'Water Stuff'!AG92*1000</f>
        <v>620</v>
      </c>
      <c r="AL122">
        <f>'Water Stuff'!AO92*1000</f>
        <v>620</v>
      </c>
    </row>
    <row r="123" spans="1:38">
      <c r="A123" s="109">
        <f>'Water Stuff'!F93</f>
        <v>44650</v>
      </c>
      <c r="B123">
        <f>IF( 'Water Stuff'!G93*1000 &gt;= 'Water Stuff'!$B$6*1000, 'Water Stuff'!$B$6*1000, 'Water Stuff'!G93*1000)</f>
        <v>600</v>
      </c>
      <c r="C123">
        <f>IF( 'Water Stuff'!O93*1000 &gt;= 'Water Stuff'!$B$6*1000, 'Water Stuff'!$B$6*1000, 'Water Stuff'!O93*1000)</f>
        <v>7540.0000000000009</v>
      </c>
      <c r="D123">
        <f>IF( 'Water Stuff'!W93*1000 &gt;= 'Water Stuff'!$B$6*1000, 'Water Stuff'!$B$6*1000, 'Water Stuff'!W93*1000)</f>
        <v>0</v>
      </c>
      <c r="E123">
        <f>IF( 'Water Stuff'!AE93*1000 &gt;= 'Water Stuff'!$B$6*1000, 'Water Stuff'!$B$6*1000, 'Water Stuff'!AE93*1000)</f>
        <v>4789.7577491582242</v>
      </c>
      <c r="F123">
        <f>IF('Water Stuff'!AM93*1000&gt;='Water Stuff'!$B$6*1000,'Water Stuff'!$B$6*1000,'Water Stuff'!AM93*1000)</f>
        <v>0</v>
      </c>
      <c r="I123">
        <f t="shared" si="21"/>
        <v>6</v>
      </c>
      <c r="J123">
        <f t="shared" si="22"/>
        <v>75.40000000000002</v>
      </c>
      <c r="K123">
        <f t="shared" si="23"/>
        <v>0</v>
      </c>
      <c r="L123">
        <f t="shared" si="24"/>
        <v>47.89757749158224</v>
      </c>
      <c r="M123">
        <f t="shared" si="25"/>
        <v>0</v>
      </c>
      <c r="O123">
        <f t="shared" si="26"/>
        <v>0.12</v>
      </c>
      <c r="P123">
        <f t="shared" si="27"/>
        <v>1.5080000000000005</v>
      </c>
      <c r="Q123">
        <f t="shared" si="28"/>
        <v>0</v>
      </c>
      <c r="R123">
        <f t="shared" si="29"/>
        <v>0.95795154983164477</v>
      </c>
      <c r="S123">
        <f t="shared" si="30"/>
        <v>0</v>
      </c>
      <c r="U123">
        <f t="shared" si="31"/>
        <v>3</v>
      </c>
      <c r="V123">
        <f t="shared" si="32"/>
        <v>37.700000000000003</v>
      </c>
      <c r="W123">
        <f t="shared" si="33"/>
        <v>0</v>
      </c>
      <c r="X123">
        <f t="shared" si="34"/>
        <v>23.94878874579112</v>
      </c>
      <c r="Y123">
        <f t="shared" si="35"/>
        <v>0</v>
      </c>
      <c r="AA123">
        <f t="shared" si="36"/>
        <v>6</v>
      </c>
      <c r="AB123">
        <f t="shared" si="37"/>
        <v>75.400000000000006</v>
      </c>
      <c r="AC123">
        <f t="shared" si="38"/>
        <v>0</v>
      </c>
      <c r="AD123">
        <f t="shared" si="39"/>
        <v>47.89757749158224</v>
      </c>
      <c r="AE123">
        <f t="shared" si="40"/>
        <v>0</v>
      </c>
      <c r="AG123" s="109">
        <f t="shared" si="41"/>
        <v>44650</v>
      </c>
      <c r="AH123">
        <f>'Water Stuff'!I93*1000</f>
        <v>620</v>
      </c>
      <c r="AI123">
        <f>'Water Stuff'!Q93*1000</f>
        <v>620</v>
      </c>
      <c r="AJ123">
        <f>'Water Stuff'!Y93*1000</f>
        <v>620</v>
      </c>
      <c r="AK123">
        <f>'Water Stuff'!AG93*1000</f>
        <v>620</v>
      </c>
      <c r="AL123">
        <f>'Water Stuff'!AO93*1000</f>
        <v>620</v>
      </c>
    </row>
    <row r="124" spans="1:38">
      <c r="A124" s="109">
        <f>'Water Stuff'!F94</f>
        <v>44651</v>
      </c>
      <c r="B124">
        <f>IF( 'Water Stuff'!G94*1000 &gt;= 'Water Stuff'!$B$6*1000, 'Water Stuff'!$B$6*1000, 'Water Stuff'!G94*1000)</f>
        <v>0</v>
      </c>
      <c r="C124">
        <f>IF( 'Water Stuff'!O94*1000 &gt;= 'Water Stuff'!$B$6*1000, 'Water Stuff'!$B$6*1000, 'Water Stuff'!O94*1000)</f>
        <v>2320</v>
      </c>
      <c r="D124">
        <f>IF( 'Water Stuff'!W94*1000 &gt;= 'Water Stuff'!$B$6*1000, 'Water Stuff'!$B$6*1000, 'Water Stuff'!W94*1000)</f>
        <v>1219.5601119174694</v>
      </c>
      <c r="E124">
        <f>IF( 'Water Stuff'!AE94*1000 &gt;= 'Water Stuff'!$B$6*1000, 'Water Stuff'!$B$6*1000, 'Water Stuff'!AE94*1000)</f>
        <v>2693.29983108326</v>
      </c>
      <c r="F124">
        <f>IF('Water Stuff'!AM94*1000&gt;='Water Stuff'!$B$6*1000,'Water Stuff'!$B$6*1000,'Water Stuff'!AM94*1000)</f>
        <v>1343.2343789158469</v>
      </c>
      <c r="I124">
        <f t="shared" si="21"/>
        <v>0</v>
      </c>
      <c r="J124">
        <f t="shared" si="22"/>
        <v>23.2</v>
      </c>
      <c r="K124">
        <f t="shared" si="23"/>
        <v>12.195601119174695</v>
      </c>
      <c r="L124">
        <f t="shared" si="24"/>
        <v>26.932998310832598</v>
      </c>
      <c r="M124">
        <f t="shared" si="25"/>
        <v>13.43234378915847</v>
      </c>
      <c r="O124">
        <f t="shared" si="26"/>
        <v>0</v>
      </c>
      <c r="P124">
        <f t="shared" si="27"/>
        <v>0.46400000000000002</v>
      </c>
      <c r="Q124">
        <f t="shared" si="28"/>
        <v>0.24391202238349388</v>
      </c>
      <c r="R124">
        <f t="shared" si="29"/>
        <v>0.53865996621665202</v>
      </c>
      <c r="S124">
        <f t="shared" si="30"/>
        <v>0.26864687578316937</v>
      </c>
      <c r="U124">
        <f t="shared" si="31"/>
        <v>0</v>
      </c>
      <c r="V124">
        <f t="shared" si="32"/>
        <v>11.6</v>
      </c>
      <c r="W124">
        <f t="shared" si="33"/>
        <v>6.0978005595873475</v>
      </c>
      <c r="X124">
        <f t="shared" si="34"/>
        <v>13.466499155416301</v>
      </c>
      <c r="Y124">
        <f t="shared" si="35"/>
        <v>6.7161718945792348</v>
      </c>
      <c r="AA124">
        <f t="shared" si="36"/>
        <v>0</v>
      </c>
      <c r="AB124">
        <f t="shared" si="37"/>
        <v>23.2</v>
      </c>
      <c r="AC124">
        <f t="shared" si="38"/>
        <v>12.195601119174695</v>
      </c>
      <c r="AD124">
        <f t="shared" si="39"/>
        <v>26.932998310832602</v>
      </c>
      <c r="AE124">
        <f t="shared" si="40"/>
        <v>13.43234378915847</v>
      </c>
      <c r="AG124" s="109">
        <f t="shared" si="41"/>
        <v>44651</v>
      </c>
      <c r="AH124">
        <f>'Water Stuff'!I94*1000</f>
        <v>620</v>
      </c>
      <c r="AI124">
        <f>'Water Stuff'!Q94*1000</f>
        <v>620</v>
      </c>
      <c r="AJ124">
        <f>'Water Stuff'!Y94*1000</f>
        <v>620</v>
      </c>
      <c r="AK124">
        <f>'Water Stuff'!AG94*1000</f>
        <v>620</v>
      </c>
      <c r="AL124">
        <f>'Water Stuff'!AO94*1000</f>
        <v>620</v>
      </c>
    </row>
    <row r="125" spans="1:38">
      <c r="A125" s="109">
        <f>'Water Stuff'!F95</f>
        <v>44652</v>
      </c>
      <c r="B125">
        <f>IF( 'Water Stuff'!G95*1000 &gt;= 'Water Stuff'!$B$6*1000, 'Water Stuff'!$B$6*1000, 'Water Stuff'!G95*1000)</f>
        <v>0</v>
      </c>
      <c r="C125">
        <f>IF( 'Water Stuff'!O95*1000 &gt;= 'Water Stuff'!$B$6*1000, 'Water Stuff'!$B$6*1000, 'Water Stuff'!O95*1000)</f>
        <v>0</v>
      </c>
      <c r="D125">
        <f>IF( 'Water Stuff'!W95*1000 &gt;= 'Water Stuff'!$B$6*1000, 'Water Stuff'!$B$6*1000, 'Water Stuff'!W95*1000)</f>
        <v>0</v>
      </c>
      <c r="E125">
        <f>IF( 'Water Stuff'!AE95*1000 &gt;= 'Water Stuff'!$B$6*1000, 'Water Stuff'!$B$6*1000, 'Water Stuff'!AE95*1000)</f>
        <v>0</v>
      </c>
      <c r="F125">
        <f>IF('Water Stuff'!AM95*1000&gt;='Water Stuff'!$B$6*1000,'Water Stuff'!$B$6*1000,'Water Stuff'!AM95*1000)</f>
        <v>0</v>
      </c>
      <c r="I125">
        <f t="shared" si="21"/>
        <v>0</v>
      </c>
      <c r="J125">
        <f t="shared" si="22"/>
        <v>0</v>
      </c>
      <c r="K125">
        <f t="shared" si="23"/>
        <v>0</v>
      </c>
      <c r="L125">
        <f t="shared" si="24"/>
        <v>0</v>
      </c>
      <c r="M125">
        <f t="shared" si="25"/>
        <v>0</v>
      </c>
      <c r="O125">
        <f t="shared" si="26"/>
        <v>0</v>
      </c>
      <c r="P125">
        <f t="shared" si="27"/>
        <v>0</v>
      </c>
      <c r="Q125">
        <f t="shared" si="28"/>
        <v>0</v>
      </c>
      <c r="R125">
        <f t="shared" si="29"/>
        <v>0</v>
      </c>
      <c r="S125">
        <f t="shared" si="30"/>
        <v>0</v>
      </c>
      <c r="U125">
        <f t="shared" si="31"/>
        <v>0</v>
      </c>
      <c r="V125">
        <f t="shared" si="32"/>
        <v>0</v>
      </c>
      <c r="W125">
        <f t="shared" si="33"/>
        <v>0</v>
      </c>
      <c r="X125">
        <f t="shared" si="34"/>
        <v>0</v>
      </c>
      <c r="Y125">
        <f t="shared" si="35"/>
        <v>0</v>
      </c>
      <c r="AA125">
        <f t="shared" si="36"/>
        <v>0</v>
      </c>
      <c r="AB125">
        <f t="shared" si="37"/>
        <v>0</v>
      </c>
      <c r="AC125">
        <f t="shared" si="38"/>
        <v>0</v>
      </c>
      <c r="AD125">
        <f t="shared" si="39"/>
        <v>0</v>
      </c>
      <c r="AE125">
        <f t="shared" si="40"/>
        <v>0</v>
      </c>
      <c r="AG125" s="109">
        <f t="shared" si="41"/>
        <v>44652</v>
      </c>
      <c r="AH125">
        <f>'Water Stuff'!I95*1000</f>
        <v>620</v>
      </c>
      <c r="AI125">
        <f>'Water Stuff'!Q95*1000</f>
        <v>620</v>
      </c>
      <c r="AJ125">
        <f>'Water Stuff'!Y95*1000</f>
        <v>620</v>
      </c>
      <c r="AK125">
        <f>'Water Stuff'!AG95*1000</f>
        <v>620</v>
      </c>
      <c r="AL125">
        <f>'Water Stuff'!AO95*1000</f>
        <v>620</v>
      </c>
    </row>
    <row r="126" spans="1:38">
      <c r="A126" s="109">
        <f>'Water Stuff'!F96</f>
        <v>44653</v>
      </c>
      <c r="B126">
        <f>IF( 'Water Stuff'!G96*1000 &gt;= 'Water Stuff'!$B$6*1000, 'Water Stuff'!$B$6*1000, 'Water Stuff'!G96*1000)</f>
        <v>1120</v>
      </c>
      <c r="C126">
        <f>IF( 'Water Stuff'!O96*1000 &gt;= 'Water Stuff'!$B$6*1000, 'Water Stuff'!$B$6*1000, 'Water Stuff'!O96*1000)</f>
        <v>6740.0000000000009</v>
      </c>
      <c r="D126">
        <f>IF( 'Water Stuff'!W96*1000 &gt;= 'Water Stuff'!$B$6*1000, 'Water Stuff'!$B$6*1000, 'Water Stuff'!W96*1000)</f>
        <v>898.94935669706479</v>
      </c>
      <c r="E126">
        <f>IF( 'Water Stuff'!AE96*1000 &gt;= 'Water Stuff'!$B$6*1000, 'Water Stuff'!$B$6*1000, 'Water Stuff'!AE96*1000)</f>
        <v>5294.7791403435021</v>
      </c>
      <c r="F126">
        <f>IF('Water Stuff'!AM96*1000&gt;='Water Stuff'!$B$6*1000,'Water Stuff'!$B$6*1000,'Water Stuff'!AM96*1000)</f>
        <v>29.252886324259819</v>
      </c>
      <c r="I126">
        <f t="shared" si="21"/>
        <v>11.2</v>
      </c>
      <c r="J126">
        <f t="shared" si="22"/>
        <v>67.40000000000002</v>
      </c>
      <c r="K126">
        <f t="shared" si="23"/>
        <v>8.9894935669706477</v>
      </c>
      <c r="L126">
        <f t="shared" si="24"/>
        <v>52.947791403435026</v>
      </c>
      <c r="M126">
        <f t="shared" si="25"/>
        <v>0.29252886324259814</v>
      </c>
      <c r="O126">
        <f t="shared" si="26"/>
        <v>0.224</v>
      </c>
      <c r="P126">
        <f t="shared" si="27"/>
        <v>1.3480000000000005</v>
      </c>
      <c r="Q126">
        <f t="shared" si="28"/>
        <v>0.17978987133941296</v>
      </c>
      <c r="R126">
        <f t="shared" si="29"/>
        <v>1.0589558280687006</v>
      </c>
      <c r="S126">
        <f t="shared" si="30"/>
        <v>5.8505772648519624E-3</v>
      </c>
      <c r="U126">
        <f t="shared" si="31"/>
        <v>5.6000000000000005</v>
      </c>
      <c r="V126">
        <f t="shared" si="32"/>
        <v>33.700000000000003</v>
      </c>
      <c r="W126">
        <f t="shared" si="33"/>
        <v>4.4947467834853239</v>
      </c>
      <c r="X126">
        <f t="shared" si="34"/>
        <v>26.47389570171751</v>
      </c>
      <c r="Y126">
        <f t="shared" si="35"/>
        <v>0.1462644316212991</v>
      </c>
      <c r="AA126">
        <f t="shared" si="36"/>
        <v>11.200000000000001</v>
      </c>
      <c r="AB126">
        <f t="shared" si="37"/>
        <v>67.400000000000006</v>
      </c>
      <c r="AC126">
        <f t="shared" si="38"/>
        <v>8.9894935669706477</v>
      </c>
      <c r="AD126">
        <f t="shared" si="39"/>
        <v>52.947791403435019</v>
      </c>
      <c r="AE126">
        <f t="shared" si="40"/>
        <v>0.29252886324259819</v>
      </c>
      <c r="AG126" s="109">
        <f t="shared" si="41"/>
        <v>44653</v>
      </c>
      <c r="AH126">
        <f>'Water Stuff'!I96*1000</f>
        <v>620</v>
      </c>
      <c r="AI126">
        <f>'Water Stuff'!Q96*1000</f>
        <v>620</v>
      </c>
      <c r="AJ126">
        <f>'Water Stuff'!Y96*1000</f>
        <v>620</v>
      </c>
      <c r="AK126">
        <f>'Water Stuff'!AG96*1000</f>
        <v>620</v>
      </c>
      <c r="AL126">
        <f>'Water Stuff'!AO96*1000</f>
        <v>620</v>
      </c>
    </row>
    <row r="127" spans="1:38">
      <c r="A127" s="109">
        <f>'Water Stuff'!F97</f>
        <v>44654</v>
      </c>
      <c r="B127">
        <f>IF( 'Water Stuff'!G97*1000 &gt;= 'Water Stuff'!$B$6*1000, 'Water Stuff'!$B$6*1000, 'Water Stuff'!G97*1000)</f>
        <v>4079.9999999999991</v>
      </c>
      <c r="C127">
        <f>IF( 'Water Stuff'!O97*1000 &gt;= 'Water Stuff'!$B$6*1000, 'Water Stuff'!$B$6*1000, 'Water Stuff'!O97*1000)</f>
        <v>1800</v>
      </c>
      <c r="D127">
        <f>IF( 'Water Stuff'!W97*1000 &gt;= 'Water Stuff'!$B$6*1000, 'Water Stuff'!$B$6*1000, 'Water Stuff'!W97*1000)</f>
        <v>2691.7046106085481</v>
      </c>
      <c r="E127">
        <f>IF( 'Water Stuff'!AE97*1000 &gt;= 'Water Stuff'!$B$6*1000, 'Water Stuff'!$B$6*1000, 'Water Stuff'!AE97*1000)</f>
        <v>0</v>
      </c>
      <c r="F127">
        <f>IF('Water Stuff'!AM97*1000&gt;='Water Stuff'!$B$6*1000,'Water Stuff'!$B$6*1000,'Water Stuff'!AM97*1000)</f>
        <v>4452.7367553051699</v>
      </c>
      <c r="I127">
        <f t="shared" si="21"/>
        <v>40.79999999999999</v>
      </c>
      <c r="J127">
        <f t="shared" si="22"/>
        <v>18</v>
      </c>
      <c r="K127">
        <f t="shared" si="23"/>
        <v>26.917046106085479</v>
      </c>
      <c r="L127">
        <f t="shared" si="24"/>
        <v>0</v>
      </c>
      <c r="M127">
        <f t="shared" si="25"/>
        <v>44.527367553051697</v>
      </c>
      <c r="O127">
        <f t="shared" si="26"/>
        <v>0.81599999999999973</v>
      </c>
      <c r="P127">
        <f t="shared" si="27"/>
        <v>0.36</v>
      </c>
      <c r="Q127">
        <f t="shared" si="28"/>
        <v>0.53834092212170959</v>
      </c>
      <c r="R127">
        <f t="shared" si="29"/>
        <v>0</v>
      </c>
      <c r="S127">
        <f t="shared" si="30"/>
        <v>0.890547351061034</v>
      </c>
      <c r="U127">
        <f t="shared" si="31"/>
        <v>20.399999999999995</v>
      </c>
      <c r="V127">
        <f t="shared" si="32"/>
        <v>9</v>
      </c>
      <c r="W127">
        <f t="shared" si="33"/>
        <v>13.458523053042741</v>
      </c>
      <c r="X127">
        <f t="shared" si="34"/>
        <v>0</v>
      </c>
      <c r="Y127">
        <f t="shared" si="35"/>
        <v>22.263683776525848</v>
      </c>
      <c r="AA127">
        <f t="shared" si="36"/>
        <v>40.79999999999999</v>
      </c>
      <c r="AB127">
        <f t="shared" si="37"/>
        <v>18</v>
      </c>
      <c r="AC127">
        <f t="shared" si="38"/>
        <v>26.917046106085483</v>
      </c>
      <c r="AD127">
        <f t="shared" si="39"/>
        <v>0</v>
      </c>
      <c r="AE127">
        <f t="shared" si="40"/>
        <v>44.527367553051697</v>
      </c>
      <c r="AG127" s="109">
        <f t="shared" si="41"/>
        <v>44654</v>
      </c>
      <c r="AH127">
        <f>'Water Stuff'!I97*1000</f>
        <v>620</v>
      </c>
      <c r="AI127">
        <f>'Water Stuff'!Q97*1000</f>
        <v>620</v>
      </c>
      <c r="AJ127">
        <f>'Water Stuff'!Y97*1000</f>
        <v>620</v>
      </c>
      <c r="AK127">
        <f>'Water Stuff'!AG97*1000</f>
        <v>620</v>
      </c>
      <c r="AL127">
        <f>'Water Stuff'!AO97*1000</f>
        <v>620</v>
      </c>
    </row>
    <row r="128" spans="1:38">
      <c r="A128" s="109">
        <f>'Water Stuff'!F98</f>
        <v>44655</v>
      </c>
      <c r="B128">
        <f>IF( 'Water Stuff'!G98*1000 &gt;= 'Water Stuff'!$B$6*1000, 'Water Stuff'!$B$6*1000, 'Water Stuff'!G98*1000)</f>
        <v>520</v>
      </c>
      <c r="C128">
        <f>IF( 'Water Stuff'!O98*1000 &gt;= 'Water Stuff'!$B$6*1000, 'Water Stuff'!$B$6*1000, 'Water Stuff'!O98*1000)</f>
        <v>1680</v>
      </c>
      <c r="D128">
        <f>IF( 'Water Stuff'!W98*1000 &gt;= 'Water Stuff'!$B$6*1000, 'Water Stuff'!$B$6*1000, 'Water Stuff'!W98*1000)</f>
        <v>1617.5169400175182</v>
      </c>
      <c r="E128">
        <f>IF( 'Water Stuff'!AE98*1000 &gt;= 'Water Stuff'!$B$6*1000, 'Water Stuff'!$B$6*1000, 'Water Stuff'!AE98*1000)</f>
        <v>1403.0290408400456</v>
      </c>
      <c r="F128">
        <f>IF('Water Stuff'!AM98*1000&gt;='Water Stuff'!$B$6*1000,'Water Stuff'!$B$6*1000,'Water Stuff'!AM98*1000)</f>
        <v>639.25923670127281</v>
      </c>
      <c r="I128">
        <f t="shared" si="21"/>
        <v>5.2</v>
      </c>
      <c r="J128">
        <f t="shared" si="22"/>
        <v>16.8</v>
      </c>
      <c r="K128">
        <f t="shared" si="23"/>
        <v>16.175169400175182</v>
      </c>
      <c r="L128">
        <f t="shared" si="24"/>
        <v>14.030290408400456</v>
      </c>
      <c r="M128">
        <f t="shared" si="25"/>
        <v>6.3925923670127283</v>
      </c>
      <c r="O128">
        <f t="shared" si="26"/>
        <v>0.104</v>
      </c>
      <c r="P128">
        <f t="shared" si="27"/>
        <v>0.33600000000000002</v>
      </c>
      <c r="Q128">
        <f t="shared" si="28"/>
        <v>0.32350338800350364</v>
      </c>
      <c r="R128">
        <f t="shared" si="29"/>
        <v>0.28060580816800912</v>
      </c>
      <c r="S128">
        <f t="shared" si="30"/>
        <v>0.12785184734025457</v>
      </c>
      <c r="U128">
        <f t="shared" si="31"/>
        <v>2.6</v>
      </c>
      <c r="V128">
        <f t="shared" si="32"/>
        <v>8.4</v>
      </c>
      <c r="W128">
        <f t="shared" si="33"/>
        <v>8.0875847000875911</v>
      </c>
      <c r="X128">
        <f t="shared" si="34"/>
        <v>7.0151452042002278</v>
      </c>
      <c r="Y128">
        <f t="shared" si="35"/>
        <v>3.1962961835063641</v>
      </c>
      <c r="AA128">
        <f t="shared" si="36"/>
        <v>5.2</v>
      </c>
      <c r="AB128">
        <f t="shared" si="37"/>
        <v>16.8</v>
      </c>
      <c r="AC128">
        <f t="shared" si="38"/>
        <v>16.175169400175182</v>
      </c>
      <c r="AD128">
        <f t="shared" si="39"/>
        <v>14.030290408400456</v>
      </c>
      <c r="AE128">
        <f t="shared" si="40"/>
        <v>6.3925923670127283</v>
      </c>
      <c r="AG128" s="109">
        <f t="shared" si="41"/>
        <v>44655</v>
      </c>
      <c r="AH128">
        <f>'Water Stuff'!I98*1000</f>
        <v>620</v>
      </c>
      <c r="AI128">
        <f>'Water Stuff'!Q98*1000</f>
        <v>620</v>
      </c>
      <c r="AJ128">
        <f>'Water Stuff'!Y98*1000</f>
        <v>620</v>
      </c>
      <c r="AK128">
        <f>'Water Stuff'!AG98*1000</f>
        <v>620</v>
      </c>
      <c r="AL128">
        <f>'Water Stuff'!AO98*1000</f>
        <v>620</v>
      </c>
    </row>
    <row r="129" spans="1:38">
      <c r="A129" s="109">
        <f>'Water Stuff'!F99</f>
        <v>44656</v>
      </c>
      <c r="B129">
        <f>IF( 'Water Stuff'!G99*1000 &gt;= 'Water Stuff'!$B$6*1000, 'Water Stuff'!$B$6*1000, 'Water Stuff'!G99*1000)</f>
        <v>3180</v>
      </c>
      <c r="C129">
        <f>IF( 'Water Stuff'!O99*1000 &gt;= 'Water Stuff'!$B$6*1000, 'Water Stuff'!$B$6*1000, 'Water Stuff'!O99*1000)</f>
        <v>120</v>
      </c>
      <c r="D129">
        <f>IF( 'Water Stuff'!W99*1000 &gt;= 'Water Stuff'!$B$6*1000, 'Water Stuff'!$B$6*1000, 'Water Stuff'!W99*1000)</f>
        <v>4025.2334083431592</v>
      </c>
      <c r="E129">
        <f>IF( 'Water Stuff'!AE99*1000 &gt;= 'Water Stuff'!$B$6*1000, 'Water Stuff'!$B$6*1000, 'Water Stuff'!AE99*1000)</f>
        <v>0</v>
      </c>
      <c r="F129">
        <f>IF('Water Stuff'!AM99*1000&gt;='Water Stuff'!$B$6*1000,'Water Stuff'!$B$6*1000,'Water Stuff'!AM99*1000)</f>
        <v>5569.7859713428716</v>
      </c>
      <c r="I129">
        <f t="shared" si="21"/>
        <v>31.8</v>
      </c>
      <c r="J129">
        <f t="shared" si="22"/>
        <v>1.2</v>
      </c>
      <c r="K129">
        <f t="shared" si="23"/>
        <v>40.252334083431592</v>
      </c>
      <c r="L129">
        <f t="shared" si="24"/>
        <v>0</v>
      </c>
      <c r="M129">
        <f t="shared" si="25"/>
        <v>55.697859713428713</v>
      </c>
      <c r="O129">
        <f t="shared" si="26"/>
        <v>0.63600000000000001</v>
      </c>
      <c r="P129">
        <f t="shared" si="27"/>
        <v>2.4E-2</v>
      </c>
      <c r="Q129">
        <f t="shared" si="28"/>
        <v>0.80504668166863191</v>
      </c>
      <c r="R129">
        <f t="shared" si="29"/>
        <v>0</v>
      </c>
      <c r="S129">
        <f t="shared" si="30"/>
        <v>1.1139571942685742</v>
      </c>
      <c r="U129">
        <f t="shared" si="31"/>
        <v>15.9</v>
      </c>
      <c r="V129">
        <f t="shared" si="32"/>
        <v>0.6</v>
      </c>
      <c r="W129">
        <f t="shared" si="33"/>
        <v>20.126167041715796</v>
      </c>
      <c r="X129">
        <f t="shared" si="34"/>
        <v>0</v>
      </c>
      <c r="Y129">
        <f t="shared" si="35"/>
        <v>27.84892985671436</v>
      </c>
      <c r="AA129">
        <f t="shared" si="36"/>
        <v>31.8</v>
      </c>
      <c r="AB129">
        <f t="shared" si="37"/>
        <v>1.2</v>
      </c>
      <c r="AC129">
        <f t="shared" si="38"/>
        <v>40.252334083431592</v>
      </c>
      <c r="AD129">
        <f t="shared" si="39"/>
        <v>0</v>
      </c>
      <c r="AE129">
        <f t="shared" si="40"/>
        <v>55.69785971342872</v>
      </c>
      <c r="AG129" s="109">
        <f t="shared" si="41"/>
        <v>44656</v>
      </c>
      <c r="AH129">
        <f>'Water Stuff'!I99*1000</f>
        <v>620</v>
      </c>
      <c r="AI129">
        <f>'Water Stuff'!Q99*1000</f>
        <v>620</v>
      </c>
      <c r="AJ129">
        <f>'Water Stuff'!Y99*1000</f>
        <v>620</v>
      </c>
      <c r="AK129">
        <f>'Water Stuff'!AG99*1000</f>
        <v>620</v>
      </c>
      <c r="AL129">
        <f>'Water Stuff'!AO99*1000</f>
        <v>620</v>
      </c>
    </row>
    <row r="130" spans="1:38">
      <c r="A130" s="109">
        <f>'Water Stuff'!F100</f>
        <v>44657</v>
      </c>
      <c r="B130">
        <f>IF( 'Water Stuff'!G100*1000 &gt;= 'Water Stuff'!$B$6*1000, 'Water Stuff'!$B$6*1000, 'Water Stuff'!G100*1000)</f>
        <v>1880</v>
      </c>
      <c r="C130">
        <f>IF( 'Water Stuff'!O100*1000 &gt;= 'Water Stuff'!$B$6*1000, 'Water Stuff'!$B$6*1000, 'Water Stuff'!O100*1000)</f>
        <v>0</v>
      </c>
      <c r="D130">
        <f>IF( 'Water Stuff'!W100*1000 &gt;= 'Water Stuff'!$B$6*1000, 'Water Stuff'!$B$6*1000, 'Water Stuff'!W100*1000)</f>
        <v>0</v>
      </c>
      <c r="E130">
        <f>IF( 'Water Stuff'!AE100*1000 &gt;= 'Water Stuff'!$B$6*1000, 'Water Stuff'!$B$6*1000, 'Water Stuff'!AE100*1000)</f>
        <v>0</v>
      </c>
      <c r="F130">
        <f>IF('Water Stuff'!AM100*1000&gt;='Water Stuff'!$B$6*1000,'Water Stuff'!$B$6*1000,'Water Stuff'!AM100*1000)</f>
        <v>0</v>
      </c>
      <c r="I130">
        <f t="shared" si="21"/>
        <v>18.8</v>
      </c>
      <c r="J130">
        <f t="shared" si="22"/>
        <v>0</v>
      </c>
      <c r="K130">
        <f t="shared" si="23"/>
        <v>0</v>
      </c>
      <c r="L130">
        <f t="shared" si="24"/>
        <v>0</v>
      </c>
      <c r="M130">
        <f t="shared" si="25"/>
        <v>0</v>
      </c>
      <c r="O130">
        <f t="shared" si="26"/>
        <v>0.376</v>
      </c>
      <c r="P130">
        <f t="shared" si="27"/>
        <v>0</v>
      </c>
      <c r="Q130">
        <f t="shared" si="28"/>
        <v>0</v>
      </c>
      <c r="R130">
        <f t="shared" si="29"/>
        <v>0</v>
      </c>
      <c r="S130">
        <f t="shared" si="30"/>
        <v>0</v>
      </c>
      <c r="U130">
        <f t="shared" si="31"/>
        <v>9.4</v>
      </c>
      <c r="V130">
        <f t="shared" si="32"/>
        <v>0</v>
      </c>
      <c r="W130">
        <f t="shared" si="33"/>
        <v>0</v>
      </c>
      <c r="X130">
        <f t="shared" si="34"/>
        <v>0</v>
      </c>
      <c r="Y130">
        <f t="shared" si="35"/>
        <v>0</v>
      </c>
      <c r="AA130">
        <f t="shared" si="36"/>
        <v>18.8</v>
      </c>
      <c r="AB130">
        <f t="shared" si="37"/>
        <v>0</v>
      </c>
      <c r="AC130">
        <f t="shared" si="38"/>
        <v>0</v>
      </c>
      <c r="AD130">
        <f t="shared" si="39"/>
        <v>0</v>
      </c>
      <c r="AE130">
        <f t="shared" si="40"/>
        <v>0</v>
      </c>
      <c r="AG130" s="109">
        <f t="shared" si="41"/>
        <v>44657</v>
      </c>
      <c r="AH130">
        <f>'Water Stuff'!I100*1000</f>
        <v>620</v>
      </c>
      <c r="AI130">
        <f>'Water Stuff'!Q100*1000</f>
        <v>620</v>
      </c>
      <c r="AJ130">
        <f>'Water Stuff'!Y100*1000</f>
        <v>620</v>
      </c>
      <c r="AK130">
        <f>'Water Stuff'!AG100*1000</f>
        <v>620</v>
      </c>
      <c r="AL130">
        <f>'Water Stuff'!AO100*1000</f>
        <v>620</v>
      </c>
    </row>
    <row r="131" spans="1:38">
      <c r="A131" s="109">
        <f>'Water Stuff'!F101</f>
        <v>44658</v>
      </c>
      <c r="B131">
        <f>IF( 'Water Stuff'!G101*1000 &gt;= 'Water Stuff'!$B$6*1000, 'Water Stuff'!$B$6*1000, 'Water Stuff'!G101*1000)</f>
        <v>2720</v>
      </c>
      <c r="C131">
        <f>IF( 'Water Stuff'!O101*1000 &gt;= 'Water Stuff'!$B$6*1000, 'Water Stuff'!$B$6*1000, 'Water Stuff'!O101*1000)</f>
        <v>0</v>
      </c>
      <c r="D131">
        <f>IF( 'Water Stuff'!W101*1000 &gt;= 'Water Stuff'!$B$6*1000, 'Water Stuff'!$B$6*1000, 'Water Stuff'!W101*1000)</f>
        <v>1366.0004200741923</v>
      </c>
      <c r="E131">
        <f>IF( 'Water Stuff'!AE101*1000 &gt;= 'Water Stuff'!$B$6*1000, 'Water Stuff'!$B$6*1000, 'Water Stuff'!AE101*1000)</f>
        <v>299.72097775250222</v>
      </c>
      <c r="F131">
        <f>IF('Water Stuff'!AM101*1000&gt;='Water Stuff'!$B$6*1000,'Water Stuff'!$B$6*1000,'Water Stuff'!AM101*1000)</f>
        <v>0</v>
      </c>
      <c r="I131">
        <f t="shared" si="21"/>
        <v>27.2</v>
      </c>
      <c r="J131">
        <f t="shared" si="22"/>
        <v>0</v>
      </c>
      <c r="K131">
        <f t="shared" si="23"/>
        <v>13.660004200741923</v>
      </c>
      <c r="L131">
        <f t="shared" si="24"/>
        <v>2.9972097775250224</v>
      </c>
      <c r="M131">
        <f t="shared" si="25"/>
        <v>0</v>
      </c>
      <c r="O131">
        <f t="shared" si="26"/>
        <v>0.54400000000000004</v>
      </c>
      <c r="P131">
        <f t="shared" si="27"/>
        <v>0</v>
      </c>
      <c r="Q131">
        <f t="shared" si="28"/>
        <v>0.27320008401483847</v>
      </c>
      <c r="R131">
        <f t="shared" si="29"/>
        <v>5.9944195550500443E-2</v>
      </c>
      <c r="S131">
        <f t="shared" si="30"/>
        <v>0</v>
      </c>
      <c r="U131">
        <f t="shared" si="31"/>
        <v>13.6</v>
      </c>
      <c r="V131">
        <f t="shared" si="32"/>
        <v>0</v>
      </c>
      <c r="W131">
        <f t="shared" si="33"/>
        <v>6.8300021003709617</v>
      </c>
      <c r="X131">
        <f t="shared" si="34"/>
        <v>1.4986048887625112</v>
      </c>
      <c r="Y131">
        <f t="shared" si="35"/>
        <v>0</v>
      </c>
      <c r="AA131">
        <f t="shared" si="36"/>
        <v>27.2</v>
      </c>
      <c r="AB131">
        <f t="shared" si="37"/>
        <v>0</v>
      </c>
      <c r="AC131">
        <f t="shared" si="38"/>
        <v>13.660004200741923</v>
      </c>
      <c r="AD131">
        <f t="shared" si="39"/>
        <v>2.9972097775250224</v>
      </c>
      <c r="AE131">
        <f t="shared" si="40"/>
        <v>0</v>
      </c>
      <c r="AG131" s="109">
        <f t="shared" si="41"/>
        <v>44658</v>
      </c>
      <c r="AH131">
        <f>'Water Stuff'!I101*1000</f>
        <v>620</v>
      </c>
      <c r="AI131">
        <f>'Water Stuff'!Q101*1000</f>
        <v>620</v>
      </c>
      <c r="AJ131">
        <f>'Water Stuff'!Y101*1000</f>
        <v>620</v>
      </c>
      <c r="AK131">
        <f>'Water Stuff'!AG101*1000</f>
        <v>620</v>
      </c>
      <c r="AL131">
        <f>'Water Stuff'!AO101*1000</f>
        <v>620</v>
      </c>
    </row>
    <row r="132" spans="1:38">
      <c r="A132" s="109">
        <f>'Water Stuff'!F102</f>
        <v>44659</v>
      </c>
      <c r="B132">
        <f>IF( 'Water Stuff'!G102*1000 &gt;= 'Water Stuff'!$B$6*1000, 'Water Stuff'!$B$6*1000, 'Water Stuff'!G102*1000)</f>
        <v>1120</v>
      </c>
      <c r="C132">
        <f>IF( 'Water Stuff'!O102*1000 &gt;= 'Water Stuff'!$B$6*1000, 'Water Stuff'!$B$6*1000, 'Water Stuff'!O102*1000)</f>
        <v>0</v>
      </c>
      <c r="D132">
        <f>IF( 'Water Stuff'!W102*1000 &gt;= 'Water Stuff'!$B$6*1000, 'Water Stuff'!$B$6*1000, 'Water Stuff'!W102*1000)</f>
        <v>1028.3897634148564</v>
      </c>
      <c r="E132">
        <f>IF( 'Water Stuff'!AE102*1000 &gt;= 'Water Stuff'!$B$6*1000, 'Water Stuff'!$B$6*1000, 'Water Stuff'!AE102*1000)</f>
        <v>0</v>
      </c>
      <c r="F132">
        <f>IF('Water Stuff'!AM102*1000&gt;='Water Stuff'!$B$6*1000,'Water Stuff'!$B$6*1000,'Water Stuff'!AM102*1000)</f>
        <v>2623.6384983693342</v>
      </c>
      <c r="I132">
        <f t="shared" si="21"/>
        <v>11.2</v>
      </c>
      <c r="J132">
        <f t="shared" si="22"/>
        <v>0</v>
      </c>
      <c r="K132">
        <f t="shared" si="23"/>
        <v>10.283897634148563</v>
      </c>
      <c r="L132">
        <f t="shared" si="24"/>
        <v>0</v>
      </c>
      <c r="M132">
        <f t="shared" si="25"/>
        <v>26.236384983693345</v>
      </c>
      <c r="O132">
        <f t="shared" si="26"/>
        <v>0.224</v>
      </c>
      <c r="P132">
        <f t="shared" si="27"/>
        <v>0</v>
      </c>
      <c r="Q132">
        <f t="shared" si="28"/>
        <v>0.20567795268297126</v>
      </c>
      <c r="R132">
        <f t="shared" si="29"/>
        <v>0</v>
      </c>
      <c r="S132">
        <f t="shared" si="30"/>
        <v>0.5247276996738669</v>
      </c>
      <c r="U132">
        <f t="shared" si="31"/>
        <v>5.6000000000000005</v>
      </c>
      <c r="V132">
        <f t="shared" si="32"/>
        <v>0</v>
      </c>
      <c r="W132">
        <f t="shared" si="33"/>
        <v>5.1419488170742822</v>
      </c>
      <c r="X132">
        <f t="shared" si="34"/>
        <v>0</v>
      </c>
      <c r="Y132">
        <f t="shared" si="35"/>
        <v>13.118192491846671</v>
      </c>
      <c r="AA132">
        <f t="shared" si="36"/>
        <v>11.200000000000001</v>
      </c>
      <c r="AB132">
        <f t="shared" si="37"/>
        <v>0</v>
      </c>
      <c r="AC132">
        <f t="shared" si="38"/>
        <v>10.283897634148564</v>
      </c>
      <c r="AD132">
        <f t="shared" si="39"/>
        <v>0</v>
      </c>
      <c r="AE132">
        <f t="shared" si="40"/>
        <v>26.236384983693341</v>
      </c>
      <c r="AG132" s="109">
        <f t="shared" si="41"/>
        <v>44659</v>
      </c>
      <c r="AH132">
        <f>'Water Stuff'!I102*1000</f>
        <v>620</v>
      </c>
      <c r="AI132">
        <f>'Water Stuff'!Q102*1000</f>
        <v>620</v>
      </c>
      <c r="AJ132">
        <f>'Water Stuff'!Y102*1000</f>
        <v>620</v>
      </c>
      <c r="AK132">
        <f>'Water Stuff'!AG102*1000</f>
        <v>620</v>
      </c>
      <c r="AL132">
        <f>'Water Stuff'!AO102*1000</f>
        <v>620</v>
      </c>
    </row>
    <row r="133" spans="1:38">
      <c r="A133" s="109">
        <f>'Water Stuff'!F103</f>
        <v>44660</v>
      </c>
      <c r="B133">
        <f>IF( 'Water Stuff'!G103*1000 &gt;= 'Water Stuff'!$B$6*1000, 'Water Stuff'!$B$6*1000, 'Water Stuff'!G103*1000)</f>
        <v>0</v>
      </c>
      <c r="C133">
        <f>IF( 'Water Stuff'!O103*1000 &gt;= 'Water Stuff'!$B$6*1000, 'Water Stuff'!$B$6*1000, 'Water Stuff'!O103*1000)</f>
        <v>640</v>
      </c>
      <c r="D133">
        <f>IF( 'Water Stuff'!W103*1000 &gt;= 'Water Stuff'!$B$6*1000, 'Water Stuff'!$B$6*1000, 'Water Stuff'!W103*1000)</f>
        <v>0</v>
      </c>
      <c r="E133">
        <f>IF( 'Water Stuff'!AE103*1000 &gt;= 'Water Stuff'!$B$6*1000, 'Water Stuff'!$B$6*1000, 'Water Stuff'!AE103*1000)</f>
        <v>0</v>
      </c>
      <c r="F133">
        <f>IF('Water Stuff'!AM103*1000&gt;='Water Stuff'!$B$6*1000,'Water Stuff'!$B$6*1000,'Water Stuff'!AM103*1000)</f>
        <v>0</v>
      </c>
      <c r="I133">
        <f t="shared" si="21"/>
        <v>0</v>
      </c>
      <c r="J133">
        <f t="shared" si="22"/>
        <v>6.4</v>
      </c>
      <c r="K133">
        <f t="shared" si="23"/>
        <v>0</v>
      </c>
      <c r="L133">
        <f t="shared" si="24"/>
        <v>0</v>
      </c>
      <c r="M133">
        <f t="shared" si="25"/>
        <v>0</v>
      </c>
      <c r="O133">
        <f t="shared" si="26"/>
        <v>0</v>
      </c>
      <c r="P133">
        <f t="shared" si="27"/>
        <v>0.128</v>
      </c>
      <c r="Q133">
        <f t="shared" si="28"/>
        <v>0</v>
      </c>
      <c r="R133">
        <f t="shared" si="29"/>
        <v>0</v>
      </c>
      <c r="S133">
        <f t="shared" si="30"/>
        <v>0</v>
      </c>
      <c r="U133">
        <f t="shared" si="31"/>
        <v>0</v>
      </c>
      <c r="V133">
        <f t="shared" si="32"/>
        <v>3.2</v>
      </c>
      <c r="W133">
        <f t="shared" si="33"/>
        <v>0</v>
      </c>
      <c r="X133">
        <f t="shared" si="34"/>
        <v>0</v>
      </c>
      <c r="Y133">
        <f t="shared" si="35"/>
        <v>0</v>
      </c>
      <c r="AA133">
        <f t="shared" si="36"/>
        <v>0</v>
      </c>
      <c r="AB133">
        <f t="shared" si="37"/>
        <v>6.4</v>
      </c>
      <c r="AC133">
        <f t="shared" si="38"/>
        <v>0</v>
      </c>
      <c r="AD133">
        <f t="shared" si="39"/>
        <v>0</v>
      </c>
      <c r="AE133">
        <f t="shared" si="40"/>
        <v>0</v>
      </c>
      <c r="AG133" s="109">
        <f t="shared" si="41"/>
        <v>44660</v>
      </c>
      <c r="AH133">
        <f>'Water Stuff'!I103*1000</f>
        <v>620</v>
      </c>
      <c r="AI133">
        <f>'Water Stuff'!Q103*1000</f>
        <v>620</v>
      </c>
      <c r="AJ133">
        <f>'Water Stuff'!Y103*1000</f>
        <v>620</v>
      </c>
      <c r="AK133">
        <f>'Water Stuff'!AG103*1000</f>
        <v>620</v>
      </c>
      <c r="AL133">
        <f>'Water Stuff'!AO103*1000</f>
        <v>620</v>
      </c>
    </row>
    <row r="134" spans="1:38">
      <c r="A134" s="109">
        <f>'Water Stuff'!F104</f>
        <v>44661</v>
      </c>
      <c r="B134">
        <f>IF( 'Water Stuff'!G104*1000 &gt;= 'Water Stuff'!$B$6*1000, 'Water Stuff'!$B$6*1000, 'Water Stuff'!G104*1000)</f>
        <v>3320.0000000000005</v>
      </c>
      <c r="C134">
        <f>IF( 'Water Stuff'!O104*1000 &gt;= 'Water Stuff'!$B$6*1000, 'Water Stuff'!$B$6*1000, 'Water Stuff'!O104*1000)</f>
        <v>8040.0000000000009</v>
      </c>
      <c r="D134">
        <f>IF( 'Water Stuff'!W104*1000 &gt;= 'Water Stuff'!$B$6*1000, 'Water Stuff'!$B$6*1000, 'Water Stuff'!W104*1000)</f>
        <v>715.35485876194173</v>
      </c>
      <c r="E134">
        <f>IF( 'Water Stuff'!AE104*1000 &gt;= 'Water Stuff'!$B$6*1000, 'Water Stuff'!$B$6*1000, 'Water Stuff'!AE104*1000)</f>
        <v>9745.1438691104759</v>
      </c>
      <c r="F134">
        <f>IF('Water Stuff'!AM104*1000&gt;='Water Stuff'!$B$6*1000,'Water Stuff'!$B$6*1000,'Water Stuff'!AM104*1000)</f>
        <v>0</v>
      </c>
      <c r="I134">
        <f t="shared" si="21"/>
        <v>33.20000000000001</v>
      </c>
      <c r="J134">
        <f t="shared" si="22"/>
        <v>80.40000000000002</v>
      </c>
      <c r="K134">
        <f t="shared" si="23"/>
        <v>7.1535485876194169</v>
      </c>
      <c r="L134">
        <f t="shared" si="24"/>
        <v>97.451438691104755</v>
      </c>
      <c r="M134">
        <f t="shared" si="25"/>
        <v>0</v>
      </c>
      <c r="O134">
        <f t="shared" si="26"/>
        <v>0.66400000000000026</v>
      </c>
      <c r="P134">
        <f t="shared" si="27"/>
        <v>1.6080000000000005</v>
      </c>
      <c r="Q134">
        <f t="shared" si="28"/>
        <v>0.14307097175238834</v>
      </c>
      <c r="R134">
        <f t="shared" si="29"/>
        <v>1.9490287738220953</v>
      </c>
      <c r="S134">
        <f t="shared" si="30"/>
        <v>0</v>
      </c>
      <c r="U134">
        <f t="shared" si="31"/>
        <v>16.600000000000001</v>
      </c>
      <c r="V134">
        <f t="shared" si="32"/>
        <v>40.200000000000003</v>
      </c>
      <c r="W134">
        <f t="shared" si="33"/>
        <v>3.5767742938097089</v>
      </c>
      <c r="X134">
        <f t="shared" si="34"/>
        <v>48.725719345552378</v>
      </c>
      <c r="Y134">
        <f t="shared" si="35"/>
        <v>0</v>
      </c>
      <c r="AA134">
        <f t="shared" si="36"/>
        <v>33.200000000000003</v>
      </c>
      <c r="AB134">
        <f t="shared" si="37"/>
        <v>80.400000000000006</v>
      </c>
      <c r="AC134">
        <f t="shared" si="38"/>
        <v>7.1535485876194178</v>
      </c>
      <c r="AD134">
        <f t="shared" si="39"/>
        <v>97.451438691104755</v>
      </c>
      <c r="AE134">
        <f t="shared" si="40"/>
        <v>0</v>
      </c>
      <c r="AG134" s="109">
        <f t="shared" si="41"/>
        <v>44661</v>
      </c>
      <c r="AH134">
        <f>'Water Stuff'!I104*1000</f>
        <v>620</v>
      </c>
      <c r="AI134">
        <f>'Water Stuff'!Q104*1000</f>
        <v>620</v>
      </c>
      <c r="AJ134">
        <f>'Water Stuff'!Y104*1000</f>
        <v>620</v>
      </c>
      <c r="AK134">
        <f>'Water Stuff'!AG104*1000</f>
        <v>620</v>
      </c>
      <c r="AL134">
        <f>'Water Stuff'!AO104*1000</f>
        <v>620</v>
      </c>
    </row>
    <row r="135" spans="1:38">
      <c r="A135" s="109">
        <f>'Water Stuff'!F105</f>
        <v>44662</v>
      </c>
      <c r="B135">
        <f>IF( 'Water Stuff'!G105*1000 &gt;= 'Water Stuff'!$B$6*1000, 'Water Stuff'!$B$6*1000, 'Water Stuff'!G105*1000)</f>
        <v>0</v>
      </c>
      <c r="C135">
        <f>IF( 'Water Stuff'!O105*1000 &gt;= 'Water Stuff'!$B$6*1000, 'Water Stuff'!$B$6*1000, 'Water Stuff'!O105*1000)</f>
        <v>1839.9999999999998</v>
      </c>
      <c r="D135">
        <f>IF( 'Water Stuff'!W105*1000 &gt;= 'Water Stuff'!$B$6*1000, 'Water Stuff'!$B$6*1000, 'Water Stuff'!W105*1000)</f>
        <v>0</v>
      </c>
      <c r="E135">
        <f>IF( 'Water Stuff'!AE105*1000 &gt;= 'Water Stuff'!$B$6*1000, 'Water Stuff'!$B$6*1000, 'Water Stuff'!AE105*1000)</f>
        <v>708.06655839193979</v>
      </c>
      <c r="F135">
        <f>IF('Water Stuff'!AM105*1000&gt;='Water Stuff'!$B$6*1000,'Water Stuff'!$B$6*1000,'Water Stuff'!AM105*1000)</f>
        <v>0</v>
      </c>
      <c r="I135">
        <f t="shared" si="21"/>
        <v>0</v>
      </c>
      <c r="J135">
        <f t="shared" si="22"/>
        <v>18.399999999999995</v>
      </c>
      <c r="K135">
        <f t="shared" si="23"/>
        <v>0</v>
      </c>
      <c r="L135">
        <f t="shared" si="24"/>
        <v>7.0806655839193979</v>
      </c>
      <c r="M135">
        <f t="shared" si="25"/>
        <v>0</v>
      </c>
      <c r="O135">
        <f t="shared" si="26"/>
        <v>0</v>
      </c>
      <c r="P135">
        <f t="shared" si="27"/>
        <v>0.36799999999999988</v>
      </c>
      <c r="Q135">
        <f t="shared" si="28"/>
        <v>0</v>
      </c>
      <c r="R135">
        <f t="shared" si="29"/>
        <v>0.14161331167838795</v>
      </c>
      <c r="S135">
        <f t="shared" si="30"/>
        <v>0</v>
      </c>
      <c r="U135">
        <f t="shared" si="31"/>
        <v>0</v>
      </c>
      <c r="V135">
        <f t="shared" si="32"/>
        <v>9.1999999999999993</v>
      </c>
      <c r="W135">
        <f t="shared" si="33"/>
        <v>0</v>
      </c>
      <c r="X135">
        <f t="shared" si="34"/>
        <v>3.540332791959699</v>
      </c>
      <c r="Y135">
        <f t="shared" si="35"/>
        <v>0</v>
      </c>
      <c r="AA135">
        <f t="shared" si="36"/>
        <v>0</v>
      </c>
      <c r="AB135">
        <f t="shared" si="37"/>
        <v>18.399999999999999</v>
      </c>
      <c r="AC135">
        <f t="shared" si="38"/>
        <v>0</v>
      </c>
      <c r="AD135">
        <f t="shared" si="39"/>
        <v>7.0806655839193979</v>
      </c>
      <c r="AE135">
        <f t="shared" si="40"/>
        <v>0</v>
      </c>
      <c r="AG135" s="109">
        <f t="shared" si="41"/>
        <v>44662</v>
      </c>
      <c r="AH135">
        <f>'Water Stuff'!I105*1000</f>
        <v>620</v>
      </c>
      <c r="AI135">
        <f>'Water Stuff'!Q105*1000</f>
        <v>620</v>
      </c>
      <c r="AJ135">
        <f>'Water Stuff'!Y105*1000</f>
        <v>620</v>
      </c>
      <c r="AK135">
        <f>'Water Stuff'!AG105*1000</f>
        <v>620</v>
      </c>
      <c r="AL135">
        <f>'Water Stuff'!AO105*1000</f>
        <v>620</v>
      </c>
    </row>
    <row r="136" spans="1:38">
      <c r="A136" s="109">
        <f>'Water Stuff'!F106</f>
        <v>44663</v>
      </c>
      <c r="B136">
        <f>IF( 'Water Stuff'!G106*1000 &gt;= 'Water Stuff'!$B$6*1000, 'Water Stuff'!$B$6*1000, 'Water Stuff'!G106*1000)</f>
        <v>0</v>
      </c>
      <c r="C136">
        <f>IF( 'Water Stuff'!O106*1000 &gt;= 'Water Stuff'!$B$6*1000, 'Water Stuff'!$B$6*1000, 'Water Stuff'!O106*1000)</f>
        <v>4880</v>
      </c>
      <c r="D136">
        <f>IF( 'Water Stuff'!W106*1000 &gt;= 'Water Stuff'!$B$6*1000, 'Water Stuff'!$B$6*1000, 'Water Stuff'!W106*1000)</f>
        <v>0</v>
      </c>
      <c r="E136">
        <f>IF( 'Water Stuff'!AE106*1000 &gt;= 'Water Stuff'!$B$6*1000, 'Water Stuff'!$B$6*1000, 'Water Stuff'!AE106*1000)</f>
        <v>4004.0674684828882</v>
      </c>
      <c r="F136">
        <f>IF('Water Stuff'!AM106*1000&gt;='Water Stuff'!$B$6*1000,'Water Stuff'!$B$6*1000,'Water Stuff'!AM106*1000)</f>
        <v>1295.0216314153402</v>
      </c>
      <c r="I136">
        <f t="shared" si="21"/>
        <v>0</v>
      </c>
      <c r="J136">
        <f t="shared" si="22"/>
        <v>48.8</v>
      </c>
      <c r="K136">
        <f t="shared" si="23"/>
        <v>0</v>
      </c>
      <c r="L136">
        <f t="shared" si="24"/>
        <v>40.040674684828879</v>
      </c>
      <c r="M136">
        <f t="shared" si="25"/>
        <v>12.950216314153401</v>
      </c>
      <c r="O136">
        <f t="shared" si="26"/>
        <v>0</v>
      </c>
      <c r="P136">
        <f t="shared" si="27"/>
        <v>0.97599999999999998</v>
      </c>
      <c r="Q136">
        <f t="shared" si="28"/>
        <v>0</v>
      </c>
      <c r="R136">
        <f t="shared" si="29"/>
        <v>0.80081349369657751</v>
      </c>
      <c r="S136">
        <f t="shared" si="30"/>
        <v>0.25900432628306808</v>
      </c>
      <c r="U136">
        <f t="shared" si="31"/>
        <v>0</v>
      </c>
      <c r="V136">
        <f t="shared" si="32"/>
        <v>24.400000000000002</v>
      </c>
      <c r="W136">
        <f t="shared" si="33"/>
        <v>0</v>
      </c>
      <c r="X136">
        <f t="shared" si="34"/>
        <v>20.020337342414443</v>
      </c>
      <c r="Y136">
        <f t="shared" si="35"/>
        <v>6.4751081570767006</v>
      </c>
      <c r="AA136">
        <f t="shared" si="36"/>
        <v>0</v>
      </c>
      <c r="AB136">
        <f t="shared" si="37"/>
        <v>48.800000000000004</v>
      </c>
      <c r="AC136">
        <f t="shared" si="38"/>
        <v>0</v>
      </c>
      <c r="AD136">
        <f t="shared" si="39"/>
        <v>40.040674684828886</v>
      </c>
      <c r="AE136">
        <f t="shared" si="40"/>
        <v>12.950216314153401</v>
      </c>
      <c r="AG136" s="109">
        <f t="shared" si="41"/>
        <v>44663</v>
      </c>
      <c r="AH136">
        <f>'Water Stuff'!I106*1000</f>
        <v>620</v>
      </c>
      <c r="AI136">
        <f>'Water Stuff'!Q106*1000</f>
        <v>620</v>
      </c>
      <c r="AJ136">
        <f>'Water Stuff'!Y106*1000</f>
        <v>620</v>
      </c>
      <c r="AK136">
        <f>'Water Stuff'!AG106*1000</f>
        <v>620</v>
      </c>
      <c r="AL136">
        <f>'Water Stuff'!AO106*1000</f>
        <v>620</v>
      </c>
    </row>
    <row r="137" spans="1:38">
      <c r="A137" s="109">
        <f>'Water Stuff'!F107</f>
        <v>44664</v>
      </c>
      <c r="B137">
        <f>IF( 'Water Stuff'!G107*1000 &gt;= 'Water Stuff'!$B$6*1000, 'Water Stuff'!$B$6*1000, 'Water Stuff'!G107*1000)</f>
        <v>0</v>
      </c>
      <c r="C137">
        <f>IF( 'Water Stuff'!O107*1000 &gt;= 'Water Stuff'!$B$6*1000, 'Water Stuff'!$B$6*1000, 'Water Stuff'!O107*1000)</f>
        <v>3240</v>
      </c>
      <c r="D137">
        <f>IF( 'Water Stuff'!W107*1000 &gt;= 'Water Stuff'!$B$6*1000, 'Water Stuff'!$B$6*1000, 'Water Stuff'!W107*1000)</f>
        <v>0</v>
      </c>
      <c r="E137">
        <f>IF( 'Water Stuff'!AE107*1000 &gt;= 'Water Stuff'!$B$6*1000, 'Water Stuff'!$B$6*1000, 'Water Stuff'!AE107*1000)</f>
        <v>1450.3903364352395</v>
      </c>
      <c r="F137">
        <f>IF('Water Stuff'!AM107*1000&gt;='Water Stuff'!$B$6*1000,'Water Stuff'!$B$6*1000,'Water Stuff'!AM107*1000)</f>
        <v>844.41742668494135</v>
      </c>
      <c r="I137">
        <f t="shared" si="21"/>
        <v>0</v>
      </c>
      <c r="J137">
        <f t="shared" si="22"/>
        <v>32.4</v>
      </c>
      <c r="K137">
        <f t="shared" si="23"/>
        <v>0</v>
      </c>
      <c r="L137">
        <f t="shared" si="24"/>
        <v>14.503903364352395</v>
      </c>
      <c r="M137">
        <f t="shared" si="25"/>
        <v>8.444174266849414</v>
      </c>
      <c r="O137">
        <f t="shared" si="26"/>
        <v>0</v>
      </c>
      <c r="P137">
        <f t="shared" si="27"/>
        <v>0.64800000000000002</v>
      </c>
      <c r="Q137">
        <f t="shared" si="28"/>
        <v>0</v>
      </c>
      <c r="R137">
        <f t="shared" si="29"/>
        <v>0.29007806728704794</v>
      </c>
      <c r="S137">
        <f t="shared" si="30"/>
        <v>0.16888348533698827</v>
      </c>
      <c r="U137">
        <f t="shared" si="31"/>
        <v>0</v>
      </c>
      <c r="V137">
        <f t="shared" si="32"/>
        <v>16.2</v>
      </c>
      <c r="W137">
        <f t="shared" si="33"/>
        <v>0</v>
      </c>
      <c r="X137">
        <f t="shared" si="34"/>
        <v>7.2519516821761982</v>
      </c>
      <c r="Y137">
        <f t="shared" si="35"/>
        <v>4.222087133424707</v>
      </c>
      <c r="AA137">
        <f t="shared" si="36"/>
        <v>0</v>
      </c>
      <c r="AB137">
        <f t="shared" si="37"/>
        <v>32.4</v>
      </c>
      <c r="AC137">
        <f t="shared" si="38"/>
        <v>0</v>
      </c>
      <c r="AD137">
        <f t="shared" si="39"/>
        <v>14.503903364352396</v>
      </c>
      <c r="AE137">
        <f t="shared" si="40"/>
        <v>8.444174266849414</v>
      </c>
      <c r="AG137" s="109">
        <f t="shared" si="41"/>
        <v>44664</v>
      </c>
      <c r="AH137">
        <f>'Water Stuff'!I107*1000</f>
        <v>620</v>
      </c>
      <c r="AI137">
        <f>'Water Stuff'!Q107*1000</f>
        <v>620</v>
      </c>
      <c r="AJ137">
        <f>'Water Stuff'!Y107*1000</f>
        <v>620</v>
      </c>
      <c r="AK137">
        <f>'Water Stuff'!AG107*1000</f>
        <v>620</v>
      </c>
      <c r="AL137">
        <f>'Water Stuff'!AO107*1000</f>
        <v>620</v>
      </c>
    </row>
    <row r="138" spans="1:38">
      <c r="A138" s="109">
        <f>'Water Stuff'!F108</f>
        <v>44665</v>
      </c>
      <c r="B138">
        <f>IF( 'Water Stuff'!G108*1000 &gt;= 'Water Stuff'!$B$6*1000, 'Water Stuff'!$B$6*1000, 'Water Stuff'!G108*1000)</f>
        <v>2960</v>
      </c>
      <c r="C138">
        <f>IF( 'Water Stuff'!O108*1000 &gt;= 'Water Stuff'!$B$6*1000, 'Water Stuff'!$B$6*1000, 'Water Stuff'!O108*1000)</f>
        <v>300</v>
      </c>
      <c r="D138">
        <f>IF( 'Water Stuff'!W108*1000 &gt;= 'Water Stuff'!$B$6*1000, 'Water Stuff'!$B$6*1000, 'Water Stuff'!W108*1000)</f>
        <v>2860.236636771278</v>
      </c>
      <c r="E138">
        <f>IF( 'Water Stuff'!AE108*1000 &gt;= 'Water Stuff'!$B$6*1000, 'Water Stuff'!$B$6*1000, 'Water Stuff'!AE108*1000)</f>
        <v>0</v>
      </c>
      <c r="F138">
        <f>IF('Water Stuff'!AM108*1000&gt;='Water Stuff'!$B$6*1000,'Water Stuff'!$B$6*1000,'Water Stuff'!AM108*1000)</f>
        <v>1928.2503310488814</v>
      </c>
      <c r="I138">
        <f t="shared" si="21"/>
        <v>29.6</v>
      </c>
      <c r="J138">
        <f t="shared" si="22"/>
        <v>3</v>
      </c>
      <c r="K138">
        <f t="shared" si="23"/>
        <v>28.602366367712779</v>
      </c>
      <c r="L138">
        <f t="shared" si="24"/>
        <v>0</v>
      </c>
      <c r="M138">
        <f t="shared" si="25"/>
        <v>19.282503310488813</v>
      </c>
      <c r="O138">
        <f t="shared" si="26"/>
        <v>0.59199999999999997</v>
      </c>
      <c r="P138">
        <f t="shared" si="27"/>
        <v>0.06</v>
      </c>
      <c r="Q138">
        <f t="shared" si="28"/>
        <v>0.57204732735425556</v>
      </c>
      <c r="R138">
        <f t="shared" si="29"/>
        <v>0</v>
      </c>
      <c r="S138">
        <f t="shared" si="30"/>
        <v>0.38565006620977632</v>
      </c>
      <c r="U138">
        <f t="shared" si="31"/>
        <v>14.8</v>
      </c>
      <c r="V138">
        <f t="shared" si="32"/>
        <v>1.5</v>
      </c>
      <c r="W138">
        <f t="shared" si="33"/>
        <v>14.30118318385639</v>
      </c>
      <c r="X138">
        <f t="shared" si="34"/>
        <v>0</v>
      </c>
      <c r="Y138">
        <f t="shared" si="35"/>
        <v>9.6412516552444067</v>
      </c>
      <c r="AA138">
        <f t="shared" si="36"/>
        <v>29.6</v>
      </c>
      <c r="AB138">
        <f t="shared" si="37"/>
        <v>3</v>
      </c>
      <c r="AC138">
        <f t="shared" si="38"/>
        <v>28.602366367712779</v>
      </c>
      <c r="AD138">
        <f t="shared" si="39"/>
        <v>0</v>
      </c>
      <c r="AE138">
        <f t="shared" si="40"/>
        <v>19.282503310488813</v>
      </c>
      <c r="AG138" s="109">
        <f t="shared" si="41"/>
        <v>44665</v>
      </c>
      <c r="AH138">
        <f>'Water Stuff'!I108*1000</f>
        <v>620</v>
      </c>
      <c r="AI138">
        <f>'Water Stuff'!Q108*1000</f>
        <v>620</v>
      </c>
      <c r="AJ138">
        <f>'Water Stuff'!Y108*1000</f>
        <v>620</v>
      </c>
      <c r="AK138">
        <f>'Water Stuff'!AG108*1000</f>
        <v>620</v>
      </c>
      <c r="AL138">
        <f>'Water Stuff'!AO108*1000</f>
        <v>620</v>
      </c>
    </row>
    <row r="139" spans="1:38">
      <c r="A139" s="109">
        <f>'Water Stuff'!F109</f>
        <v>44666</v>
      </c>
      <c r="B139">
        <f>IF( 'Water Stuff'!G109*1000 &gt;= 'Water Stuff'!$B$6*1000, 'Water Stuff'!$B$6*1000, 'Water Stuff'!G109*1000)</f>
        <v>4160</v>
      </c>
      <c r="C139">
        <f>IF( 'Water Stuff'!O109*1000 &gt;= 'Water Stuff'!$B$6*1000, 'Water Stuff'!$B$6*1000, 'Water Stuff'!O109*1000)</f>
        <v>7440.0000000000009</v>
      </c>
      <c r="D139">
        <f>IF( 'Water Stuff'!W109*1000 &gt;= 'Water Stuff'!$B$6*1000, 'Water Stuff'!$B$6*1000, 'Water Stuff'!W109*1000)</f>
        <v>4572.3924181472521</v>
      </c>
      <c r="E139">
        <f>IF( 'Water Stuff'!AE109*1000 &gt;= 'Water Stuff'!$B$6*1000, 'Water Stuff'!$B$6*1000, 'Water Stuff'!AE109*1000)</f>
        <v>8320.5462302474407</v>
      </c>
      <c r="F139">
        <f>IF('Water Stuff'!AM109*1000&gt;='Water Stuff'!$B$6*1000,'Water Stuff'!$B$6*1000,'Water Stuff'!AM109*1000)</f>
        <v>2647.3467697943579</v>
      </c>
      <c r="I139">
        <f t="shared" si="21"/>
        <v>41.6</v>
      </c>
      <c r="J139">
        <f t="shared" si="22"/>
        <v>74.40000000000002</v>
      </c>
      <c r="K139">
        <f t="shared" si="23"/>
        <v>45.723924181472526</v>
      </c>
      <c r="L139">
        <f t="shared" si="24"/>
        <v>83.205462302474402</v>
      </c>
      <c r="M139">
        <f t="shared" si="25"/>
        <v>26.47346769794358</v>
      </c>
      <c r="O139">
        <f t="shared" si="26"/>
        <v>0.83199999999999996</v>
      </c>
      <c r="P139">
        <f t="shared" si="27"/>
        <v>1.4880000000000004</v>
      </c>
      <c r="Q139">
        <f t="shared" si="28"/>
        <v>0.91447848362945061</v>
      </c>
      <c r="R139">
        <f t="shared" si="29"/>
        <v>1.6641092460494882</v>
      </c>
      <c r="S139">
        <f t="shared" si="30"/>
        <v>0.52946935395887162</v>
      </c>
      <c r="U139">
        <f t="shared" si="31"/>
        <v>20.8</v>
      </c>
      <c r="V139">
        <f t="shared" si="32"/>
        <v>37.200000000000003</v>
      </c>
      <c r="W139">
        <f t="shared" si="33"/>
        <v>22.86196209073626</v>
      </c>
      <c r="X139">
        <f t="shared" si="34"/>
        <v>41.602731151237201</v>
      </c>
      <c r="Y139">
        <f t="shared" si="35"/>
        <v>13.23673384897179</v>
      </c>
      <c r="AA139">
        <f t="shared" si="36"/>
        <v>41.6</v>
      </c>
      <c r="AB139">
        <f t="shared" si="37"/>
        <v>74.400000000000006</v>
      </c>
      <c r="AC139">
        <f t="shared" si="38"/>
        <v>45.723924181472519</v>
      </c>
      <c r="AD139">
        <f t="shared" si="39"/>
        <v>83.205462302474402</v>
      </c>
      <c r="AE139">
        <f t="shared" si="40"/>
        <v>26.47346769794358</v>
      </c>
      <c r="AG139" s="109">
        <f t="shared" si="41"/>
        <v>44666</v>
      </c>
      <c r="AH139">
        <f>'Water Stuff'!I109*1000</f>
        <v>620</v>
      </c>
      <c r="AI139">
        <f>'Water Stuff'!Q109*1000</f>
        <v>620</v>
      </c>
      <c r="AJ139">
        <f>'Water Stuff'!Y109*1000</f>
        <v>620</v>
      </c>
      <c r="AK139">
        <f>'Water Stuff'!AG109*1000</f>
        <v>620</v>
      </c>
      <c r="AL139">
        <f>'Water Stuff'!AO109*1000</f>
        <v>620</v>
      </c>
    </row>
    <row r="140" spans="1:38">
      <c r="A140" s="109">
        <f>'Water Stuff'!F110</f>
        <v>44667</v>
      </c>
      <c r="B140">
        <f>IF( 'Water Stuff'!G110*1000 &gt;= 'Water Stuff'!$B$6*1000, 'Water Stuff'!$B$6*1000, 'Water Stuff'!G110*1000)</f>
        <v>7480</v>
      </c>
      <c r="C140">
        <f>IF( 'Water Stuff'!O110*1000 &gt;= 'Water Stuff'!$B$6*1000, 'Water Stuff'!$B$6*1000, 'Water Stuff'!O110*1000)</f>
        <v>600</v>
      </c>
      <c r="D140">
        <f>IF( 'Water Stuff'!W110*1000 &gt;= 'Water Stuff'!$B$6*1000, 'Water Stuff'!$B$6*1000, 'Water Stuff'!W110*1000)</f>
        <v>5981.0607970723604</v>
      </c>
      <c r="E140">
        <f>IF( 'Water Stuff'!AE110*1000 &gt;= 'Water Stuff'!$B$6*1000, 'Water Stuff'!$B$6*1000, 'Water Stuff'!AE110*1000)</f>
        <v>0</v>
      </c>
      <c r="F140">
        <f>IF('Water Stuff'!AM110*1000&gt;='Water Stuff'!$B$6*1000,'Water Stuff'!$B$6*1000,'Water Stuff'!AM110*1000)</f>
        <v>5749.7005943025461</v>
      </c>
      <c r="I140">
        <f t="shared" si="21"/>
        <v>74.8</v>
      </c>
      <c r="J140">
        <f t="shared" si="22"/>
        <v>6</v>
      </c>
      <c r="K140">
        <f t="shared" si="23"/>
        <v>59.810607970723609</v>
      </c>
      <c r="L140">
        <f t="shared" si="24"/>
        <v>0</v>
      </c>
      <c r="M140">
        <f t="shared" si="25"/>
        <v>57.497005943025464</v>
      </c>
      <c r="O140">
        <f t="shared" si="26"/>
        <v>1.496</v>
      </c>
      <c r="P140">
        <f t="shared" si="27"/>
        <v>0.12</v>
      </c>
      <c r="Q140">
        <f t="shared" si="28"/>
        <v>1.1962121594144723</v>
      </c>
      <c r="R140">
        <f t="shared" si="29"/>
        <v>0</v>
      </c>
      <c r="S140">
        <f t="shared" si="30"/>
        <v>1.1499401188605094</v>
      </c>
      <c r="U140">
        <f t="shared" si="31"/>
        <v>37.4</v>
      </c>
      <c r="V140">
        <f t="shared" si="32"/>
        <v>3</v>
      </c>
      <c r="W140">
        <f t="shared" si="33"/>
        <v>29.905303985361801</v>
      </c>
      <c r="X140">
        <f t="shared" si="34"/>
        <v>0</v>
      </c>
      <c r="Y140">
        <f t="shared" si="35"/>
        <v>28.748502971512732</v>
      </c>
      <c r="AA140">
        <f t="shared" si="36"/>
        <v>74.8</v>
      </c>
      <c r="AB140">
        <f t="shared" si="37"/>
        <v>6</v>
      </c>
      <c r="AC140">
        <f t="shared" si="38"/>
        <v>59.810607970723602</v>
      </c>
      <c r="AD140">
        <f t="shared" si="39"/>
        <v>0</v>
      </c>
      <c r="AE140">
        <f t="shared" si="40"/>
        <v>57.497005943025464</v>
      </c>
      <c r="AG140" s="109">
        <f t="shared" si="41"/>
        <v>44667</v>
      </c>
      <c r="AH140">
        <f>'Water Stuff'!I110*1000</f>
        <v>620</v>
      </c>
      <c r="AI140">
        <f>'Water Stuff'!Q110*1000</f>
        <v>620</v>
      </c>
      <c r="AJ140">
        <f>'Water Stuff'!Y110*1000</f>
        <v>620</v>
      </c>
      <c r="AK140">
        <f>'Water Stuff'!AG110*1000</f>
        <v>620</v>
      </c>
      <c r="AL140">
        <f>'Water Stuff'!AO110*1000</f>
        <v>620</v>
      </c>
    </row>
    <row r="141" spans="1:38">
      <c r="A141" s="109">
        <f>'Water Stuff'!F111</f>
        <v>44668</v>
      </c>
      <c r="B141">
        <f>IF( 'Water Stuff'!G111*1000 &gt;= 'Water Stuff'!$B$6*1000, 'Water Stuff'!$B$6*1000, 'Water Stuff'!G111*1000)</f>
        <v>1960.0000000000002</v>
      </c>
      <c r="C141">
        <f>IF( 'Water Stuff'!O111*1000 &gt;= 'Water Stuff'!$B$6*1000, 'Water Stuff'!$B$6*1000, 'Water Stuff'!O111*1000)</f>
        <v>0</v>
      </c>
      <c r="D141">
        <f>IF( 'Water Stuff'!W111*1000 &gt;= 'Water Stuff'!$B$6*1000, 'Water Stuff'!$B$6*1000, 'Water Stuff'!W111*1000)</f>
        <v>0</v>
      </c>
      <c r="E141">
        <f>IF( 'Water Stuff'!AE111*1000 &gt;= 'Water Stuff'!$B$6*1000, 'Water Stuff'!$B$6*1000, 'Water Stuff'!AE111*1000)</f>
        <v>973.9081195115906</v>
      </c>
      <c r="F141">
        <f>IF('Water Stuff'!AM111*1000&gt;='Water Stuff'!$B$6*1000,'Water Stuff'!$B$6*1000,'Water Stuff'!AM111*1000)</f>
        <v>0</v>
      </c>
      <c r="I141">
        <f t="shared" si="21"/>
        <v>19.600000000000005</v>
      </c>
      <c r="J141">
        <f t="shared" si="22"/>
        <v>0</v>
      </c>
      <c r="K141">
        <f t="shared" si="23"/>
        <v>0</v>
      </c>
      <c r="L141">
        <f t="shared" si="24"/>
        <v>9.7390811951159062</v>
      </c>
      <c r="M141">
        <f t="shared" si="25"/>
        <v>0</v>
      </c>
      <c r="O141">
        <f t="shared" si="26"/>
        <v>0.39200000000000013</v>
      </c>
      <c r="P141">
        <f t="shared" si="27"/>
        <v>0</v>
      </c>
      <c r="Q141">
        <f t="shared" si="28"/>
        <v>0</v>
      </c>
      <c r="R141">
        <f t="shared" si="29"/>
        <v>0.19478162390231812</v>
      </c>
      <c r="S141">
        <f t="shared" si="30"/>
        <v>0</v>
      </c>
      <c r="U141">
        <f t="shared" si="31"/>
        <v>9.8000000000000007</v>
      </c>
      <c r="V141">
        <f t="shared" si="32"/>
        <v>0</v>
      </c>
      <c r="W141">
        <f t="shared" si="33"/>
        <v>0</v>
      </c>
      <c r="X141">
        <f t="shared" si="34"/>
        <v>4.8695405975579531</v>
      </c>
      <c r="Y141">
        <f t="shared" si="35"/>
        <v>0</v>
      </c>
      <c r="AA141">
        <f t="shared" si="36"/>
        <v>19.600000000000001</v>
      </c>
      <c r="AB141">
        <f t="shared" si="37"/>
        <v>0</v>
      </c>
      <c r="AC141">
        <f t="shared" si="38"/>
        <v>0</v>
      </c>
      <c r="AD141">
        <f t="shared" si="39"/>
        <v>9.7390811951159062</v>
      </c>
      <c r="AE141">
        <f t="shared" si="40"/>
        <v>0</v>
      </c>
      <c r="AG141" s="109">
        <f t="shared" si="41"/>
        <v>44668</v>
      </c>
      <c r="AH141">
        <f>'Water Stuff'!I111*1000</f>
        <v>620</v>
      </c>
      <c r="AI141">
        <f>'Water Stuff'!Q111*1000</f>
        <v>620</v>
      </c>
      <c r="AJ141">
        <f>'Water Stuff'!Y111*1000</f>
        <v>620</v>
      </c>
      <c r="AK141">
        <f>'Water Stuff'!AG111*1000</f>
        <v>620</v>
      </c>
      <c r="AL141">
        <f>'Water Stuff'!AO111*1000</f>
        <v>620</v>
      </c>
    </row>
    <row r="142" spans="1:38">
      <c r="A142" s="109">
        <f>'Water Stuff'!F112</f>
        <v>44669</v>
      </c>
      <c r="B142">
        <f>IF( 'Water Stuff'!G112*1000 &gt;= 'Water Stuff'!$B$6*1000, 'Water Stuff'!$B$6*1000, 'Water Stuff'!G112*1000)</f>
        <v>380</v>
      </c>
      <c r="C142">
        <f>IF( 'Water Stuff'!O112*1000 &gt;= 'Water Stuff'!$B$6*1000, 'Water Stuff'!$B$6*1000, 'Water Stuff'!O112*1000)</f>
        <v>0</v>
      </c>
      <c r="D142">
        <f>IF( 'Water Stuff'!W112*1000 &gt;= 'Water Stuff'!$B$6*1000, 'Water Stuff'!$B$6*1000, 'Water Stuff'!W112*1000)</f>
        <v>0</v>
      </c>
      <c r="E142">
        <f>IF( 'Water Stuff'!AE112*1000 &gt;= 'Water Stuff'!$B$6*1000, 'Water Stuff'!$B$6*1000, 'Water Stuff'!AE112*1000)</f>
        <v>0</v>
      </c>
      <c r="F142">
        <f>IF('Water Stuff'!AM112*1000&gt;='Water Stuff'!$B$6*1000,'Water Stuff'!$B$6*1000,'Water Stuff'!AM112*1000)</f>
        <v>1190.8564051651022</v>
      </c>
      <c r="I142">
        <f t="shared" si="21"/>
        <v>3.8</v>
      </c>
      <c r="J142">
        <f t="shared" si="22"/>
        <v>0</v>
      </c>
      <c r="K142">
        <f t="shared" si="23"/>
        <v>0</v>
      </c>
      <c r="L142">
        <f t="shared" si="24"/>
        <v>0</v>
      </c>
      <c r="M142">
        <f t="shared" si="25"/>
        <v>11.908564051651021</v>
      </c>
      <c r="O142">
        <f t="shared" si="26"/>
        <v>7.5999999999999998E-2</v>
      </c>
      <c r="P142">
        <f t="shared" si="27"/>
        <v>0</v>
      </c>
      <c r="Q142">
        <f t="shared" si="28"/>
        <v>0</v>
      </c>
      <c r="R142">
        <f t="shared" si="29"/>
        <v>0</v>
      </c>
      <c r="S142">
        <f t="shared" si="30"/>
        <v>0.23817128103302043</v>
      </c>
      <c r="U142">
        <f t="shared" si="31"/>
        <v>1.9000000000000001</v>
      </c>
      <c r="V142">
        <f t="shared" si="32"/>
        <v>0</v>
      </c>
      <c r="W142">
        <f t="shared" si="33"/>
        <v>0</v>
      </c>
      <c r="X142">
        <f t="shared" si="34"/>
        <v>0</v>
      </c>
      <c r="Y142">
        <f t="shared" si="35"/>
        <v>5.9542820258255107</v>
      </c>
      <c r="AA142">
        <f t="shared" si="36"/>
        <v>3.8000000000000003</v>
      </c>
      <c r="AB142">
        <f t="shared" si="37"/>
        <v>0</v>
      </c>
      <c r="AC142">
        <f t="shared" si="38"/>
        <v>0</v>
      </c>
      <c r="AD142">
        <f t="shared" si="39"/>
        <v>0</v>
      </c>
      <c r="AE142">
        <f t="shared" si="40"/>
        <v>11.908564051651021</v>
      </c>
      <c r="AG142" s="109">
        <f t="shared" si="41"/>
        <v>44669</v>
      </c>
      <c r="AH142">
        <f>'Water Stuff'!I112*1000</f>
        <v>620</v>
      </c>
      <c r="AI142">
        <f>'Water Stuff'!Q112*1000</f>
        <v>620</v>
      </c>
      <c r="AJ142">
        <f>'Water Stuff'!Y112*1000</f>
        <v>620</v>
      </c>
      <c r="AK142">
        <f>'Water Stuff'!AG112*1000</f>
        <v>620</v>
      </c>
      <c r="AL142">
        <f>'Water Stuff'!AO112*1000</f>
        <v>620</v>
      </c>
    </row>
    <row r="143" spans="1:38">
      <c r="A143" s="109">
        <f>'Water Stuff'!F113</f>
        <v>44670</v>
      </c>
      <c r="B143">
        <f>IF( 'Water Stuff'!G113*1000 &gt;= 'Water Stuff'!$B$6*1000, 'Water Stuff'!$B$6*1000, 'Water Stuff'!G113*1000)</f>
        <v>4200</v>
      </c>
      <c r="C143">
        <f>IF( 'Water Stuff'!O113*1000 &gt;= 'Water Stuff'!$B$6*1000, 'Water Stuff'!$B$6*1000, 'Water Stuff'!O113*1000)</f>
        <v>0</v>
      </c>
      <c r="D143">
        <f>IF( 'Water Stuff'!W113*1000 &gt;= 'Water Stuff'!$B$6*1000, 'Water Stuff'!$B$6*1000, 'Water Stuff'!W113*1000)</f>
        <v>3185.7479766396123</v>
      </c>
      <c r="E143">
        <f>IF( 'Water Stuff'!AE113*1000 &gt;= 'Water Stuff'!$B$6*1000, 'Water Stuff'!$B$6*1000, 'Water Stuff'!AE113*1000)</f>
        <v>0</v>
      </c>
      <c r="F143">
        <f>IF('Water Stuff'!AM113*1000&gt;='Water Stuff'!$B$6*1000,'Water Stuff'!$B$6*1000,'Water Stuff'!AM113*1000)</f>
        <v>805.18431017676482</v>
      </c>
      <c r="I143">
        <f t="shared" si="21"/>
        <v>42</v>
      </c>
      <c r="J143">
        <f t="shared" si="22"/>
        <v>0</v>
      </c>
      <c r="K143">
        <f t="shared" si="23"/>
        <v>31.857479766396121</v>
      </c>
      <c r="L143">
        <f t="shared" si="24"/>
        <v>0</v>
      </c>
      <c r="M143">
        <f t="shared" si="25"/>
        <v>8.0518431017676484</v>
      </c>
      <c r="O143">
        <f t="shared" si="26"/>
        <v>0.84</v>
      </c>
      <c r="P143">
        <f t="shared" si="27"/>
        <v>0</v>
      </c>
      <c r="Q143">
        <f t="shared" si="28"/>
        <v>0.63714959532792248</v>
      </c>
      <c r="R143">
        <f t="shared" si="29"/>
        <v>0</v>
      </c>
      <c r="S143">
        <f t="shared" si="30"/>
        <v>0.16103686203535295</v>
      </c>
      <c r="U143">
        <f t="shared" si="31"/>
        <v>21</v>
      </c>
      <c r="V143">
        <f t="shared" si="32"/>
        <v>0</v>
      </c>
      <c r="W143">
        <f t="shared" si="33"/>
        <v>15.928739883198062</v>
      </c>
      <c r="X143">
        <f t="shared" si="34"/>
        <v>0</v>
      </c>
      <c r="Y143">
        <f t="shared" si="35"/>
        <v>4.0259215508838242</v>
      </c>
      <c r="AA143">
        <f t="shared" si="36"/>
        <v>42</v>
      </c>
      <c r="AB143">
        <f t="shared" si="37"/>
        <v>0</v>
      </c>
      <c r="AC143">
        <f t="shared" si="38"/>
        <v>31.857479766396125</v>
      </c>
      <c r="AD143">
        <f t="shared" si="39"/>
        <v>0</v>
      </c>
      <c r="AE143">
        <f t="shared" si="40"/>
        <v>8.0518431017676484</v>
      </c>
      <c r="AG143" s="109">
        <f t="shared" si="41"/>
        <v>44670</v>
      </c>
      <c r="AH143">
        <f>'Water Stuff'!I113*1000</f>
        <v>620</v>
      </c>
      <c r="AI143">
        <f>'Water Stuff'!Q113*1000</f>
        <v>620</v>
      </c>
      <c r="AJ143">
        <f>'Water Stuff'!Y113*1000</f>
        <v>620</v>
      </c>
      <c r="AK143">
        <f>'Water Stuff'!AG113*1000</f>
        <v>620</v>
      </c>
      <c r="AL143">
        <f>'Water Stuff'!AO113*1000</f>
        <v>620</v>
      </c>
    </row>
    <row r="144" spans="1:38">
      <c r="A144" s="109">
        <f>'Water Stuff'!F114</f>
        <v>44671</v>
      </c>
      <c r="B144">
        <f>IF( 'Water Stuff'!G114*1000 &gt;= 'Water Stuff'!$B$6*1000, 'Water Stuff'!$B$6*1000, 'Water Stuff'!G114*1000)</f>
        <v>6000</v>
      </c>
      <c r="C144">
        <f>IF( 'Water Stuff'!O114*1000 &gt;= 'Water Stuff'!$B$6*1000, 'Water Stuff'!$B$6*1000, 'Water Stuff'!O114*1000)</f>
        <v>220.00000000000003</v>
      </c>
      <c r="D144">
        <f>IF( 'Water Stuff'!W114*1000 &gt;= 'Water Stuff'!$B$6*1000, 'Water Stuff'!$B$6*1000, 'Water Stuff'!W114*1000)</f>
        <v>6033.8807964540447</v>
      </c>
      <c r="E144">
        <f>IF( 'Water Stuff'!AE114*1000 &gt;= 'Water Stuff'!$B$6*1000, 'Water Stuff'!$B$6*1000, 'Water Stuff'!AE114*1000)</f>
        <v>0</v>
      </c>
      <c r="F144">
        <f>IF('Water Stuff'!AM114*1000&gt;='Water Stuff'!$B$6*1000,'Water Stuff'!$B$6*1000,'Water Stuff'!AM114*1000)</f>
        <v>7448.5181579605824</v>
      </c>
      <c r="I144">
        <f t="shared" si="21"/>
        <v>60</v>
      </c>
      <c r="J144">
        <f t="shared" si="22"/>
        <v>2.2000000000000006</v>
      </c>
      <c r="K144">
        <f t="shared" si="23"/>
        <v>60.33880796454045</v>
      </c>
      <c r="L144">
        <f t="shared" si="24"/>
        <v>0</v>
      </c>
      <c r="M144">
        <f t="shared" si="25"/>
        <v>74.485181579605822</v>
      </c>
      <c r="O144">
        <f t="shared" si="26"/>
        <v>1.2</v>
      </c>
      <c r="P144">
        <f t="shared" si="27"/>
        <v>4.4000000000000011E-2</v>
      </c>
      <c r="Q144">
        <f t="shared" si="28"/>
        <v>1.2067761592908088</v>
      </c>
      <c r="R144">
        <f t="shared" si="29"/>
        <v>0</v>
      </c>
      <c r="S144">
        <f t="shared" si="30"/>
        <v>1.4897036315921164</v>
      </c>
      <c r="U144">
        <f t="shared" si="31"/>
        <v>30</v>
      </c>
      <c r="V144">
        <f t="shared" si="32"/>
        <v>1.1000000000000001</v>
      </c>
      <c r="W144">
        <f t="shared" si="33"/>
        <v>30.169403982270225</v>
      </c>
      <c r="X144">
        <f t="shared" si="34"/>
        <v>0</v>
      </c>
      <c r="Y144">
        <f t="shared" si="35"/>
        <v>37.242590789802911</v>
      </c>
      <c r="AA144">
        <f t="shared" si="36"/>
        <v>60</v>
      </c>
      <c r="AB144">
        <f t="shared" si="37"/>
        <v>2.2000000000000002</v>
      </c>
      <c r="AC144">
        <f t="shared" si="38"/>
        <v>60.33880796454045</v>
      </c>
      <c r="AD144">
        <f t="shared" si="39"/>
        <v>0</v>
      </c>
      <c r="AE144">
        <f t="shared" si="40"/>
        <v>74.485181579605822</v>
      </c>
      <c r="AG144" s="109">
        <f t="shared" si="41"/>
        <v>44671</v>
      </c>
      <c r="AH144">
        <f>'Water Stuff'!I114*1000</f>
        <v>620</v>
      </c>
      <c r="AI144">
        <f>'Water Stuff'!Q114*1000</f>
        <v>620</v>
      </c>
      <c r="AJ144">
        <f>'Water Stuff'!Y114*1000</f>
        <v>620</v>
      </c>
      <c r="AK144">
        <f>'Water Stuff'!AG114*1000</f>
        <v>620</v>
      </c>
      <c r="AL144">
        <f>'Water Stuff'!AO114*1000</f>
        <v>620</v>
      </c>
    </row>
    <row r="145" spans="1:38">
      <c r="A145" s="109">
        <f>'Water Stuff'!F115</f>
        <v>44672</v>
      </c>
      <c r="B145">
        <f>IF( 'Water Stuff'!G115*1000 &gt;= 'Water Stuff'!$B$6*1000, 'Water Stuff'!$B$6*1000, 'Water Stuff'!G115*1000)</f>
        <v>0</v>
      </c>
      <c r="C145">
        <f>IF( 'Water Stuff'!O115*1000 &gt;= 'Water Stuff'!$B$6*1000, 'Water Stuff'!$B$6*1000, 'Water Stuff'!O115*1000)</f>
        <v>80</v>
      </c>
      <c r="D145">
        <f>IF( 'Water Stuff'!W115*1000 &gt;= 'Water Stuff'!$B$6*1000, 'Water Stuff'!$B$6*1000, 'Water Stuff'!W115*1000)</f>
        <v>1741.9976132109948</v>
      </c>
      <c r="E145">
        <f>IF( 'Water Stuff'!AE115*1000 &gt;= 'Water Stuff'!$B$6*1000, 'Water Stuff'!$B$6*1000, 'Water Stuff'!AE115*1000)</f>
        <v>0</v>
      </c>
      <c r="F145">
        <f>IF('Water Stuff'!AM115*1000&gt;='Water Stuff'!$B$6*1000,'Water Stuff'!$B$6*1000,'Water Stuff'!AM115*1000)</f>
        <v>0</v>
      </c>
      <c r="I145">
        <f t="shared" si="21"/>
        <v>0</v>
      </c>
      <c r="J145">
        <f t="shared" si="22"/>
        <v>0.8</v>
      </c>
      <c r="K145">
        <f t="shared" si="23"/>
        <v>17.419976132109948</v>
      </c>
      <c r="L145">
        <f t="shared" si="24"/>
        <v>0</v>
      </c>
      <c r="M145">
        <f t="shared" si="25"/>
        <v>0</v>
      </c>
      <c r="O145">
        <f t="shared" si="26"/>
        <v>0</v>
      </c>
      <c r="P145">
        <f t="shared" si="27"/>
        <v>1.6E-2</v>
      </c>
      <c r="Q145">
        <f t="shared" si="28"/>
        <v>0.34839952264219898</v>
      </c>
      <c r="R145">
        <f t="shared" si="29"/>
        <v>0</v>
      </c>
      <c r="S145">
        <f t="shared" si="30"/>
        <v>0</v>
      </c>
      <c r="U145">
        <f t="shared" si="31"/>
        <v>0</v>
      </c>
      <c r="V145">
        <f t="shared" si="32"/>
        <v>0.4</v>
      </c>
      <c r="W145">
        <f t="shared" si="33"/>
        <v>8.709988066054974</v>
      </c>
      <c r="X145">
        <f t="shared" si="34"/>
        <v>0</v>
      </c>
      <c r="Y145">
        <f t="shared" si="35"/>
        <v>0</v>
      </c>
      <c r="AA145">
        <f t="shared" si="36"/>
        <v>0</v>
      </c>
      <c r="AB145">
        <f t="shared" si="37"/>
        <v>0.8</v>
      </c>
      <c r="AC145">
        <f t="shared" si="38"/>
        <v>17.419976132109948</v>
      </c>
      <c r="AD145">
        <f t="shared" si="39"/>
        <v>0</v>
      </c>
      <c r="AE145">
        <f t="shared" si="40"/>
        <v>0</v>
      </c>
      <c r="AG145" s="109">
        <f t="shared" si="41"/>
        <v>44672</v>
      </c>
      <c r="AH145">
        <f>'Water Stuff'!I115*1000</f>
        <v>620</v>
      </c>
      <c r="AI145">
        <f>'Water Stuff'!Q115*1000</f>
        <v>620</v>
      </c>
      <c r="AJ145">
        <f>'Water Stuff'!Y115*1000</f>
        <v>620</v>
      </c>
      <c r="AK145">
        <f>'Water Stuff'!AG115*1000</f>
        <v>620</v>
      </c>
      <c r="AL145">
        <f>'Water Stuff'!AO115*1000</f>
        <v>620</v>
      </c>
    </row>
    <row r="146" spans="1:38">
      <c r="A146" s="109">
        <f>'Water Stuff'!F116</f>
        <v>44673</v>
      </c>
      <c r="B146">
        <f>IF( 'Water Stuff'!G116*1000 &gt;= 'Water Stuff'!$B$6*1000, 'Water Stuff'!$B$6*1000, 'Water Stuff'!G116*1000)</f>
        <v>880.00000000000011</v>
      </c>
      <c r="C146">
        <f>IF( 'Water Stuff'!O116*1000 &gt;= 'Water Stuff'!$B$6*1000, 'Water Stuff'!$B$6*1000, 'Water Stuff'!O116*1000)</f>
        <v>1639.9999999999998</v>
      </c>
      <c r="D146">
        <f>IF( 'Water Stuff'!W116*1000 &gt;= 'Water Stuff'!$B$6*1000, 'Water Stuff'!$B$6*1000, 'Water Stuff'!W116*1000)</f>
        <v>0</v>
      </c>
      <c r="E146">
        <f>IF( 'Water Stuff'!AE116*1000 &gt;= 'Water Stuff'!$B$6*1000, 'Water Stuff'!$B$6*1000, 'Water Stuff'!AE116*1000)</f>
        <v>821.9751337661769</v>
      </c>
      <c r="F146">
        <f>IF('Water Stuff'!AM116*1000&gt;='Water Stuff'!$B$6*1000,'Water Stuff'!$B$6*1000,'Water Stuff'!AM116*1000)</f>
        <v>0</v>
      </c>
      <c r="I146">
        <f t="shared" si="21"/>
        <v>8.8000000000000025</v>
      </c>
      <c r="J146">
        <f t="shared" si="22"/>
        <v>16.399999999999995</v>
      </c>
      <c r="K146">
        <f t="shared" si="23"/>
        <v>0</v>
      </c>
      <c r="L146">
        <f t="shared" si="24"/>
        <v>8.2197513376617675</v>
      </c>
      <c r="M146">
        <f t="shared" si="25"/>
        <v>0</v>
      </c>
      <c r="O146">
        <f t="shared" si="26"/>
        <v>0.17600000000000005</v>
      </c>
      <c r="P146">
        <f t="shared" si="27"/>
        <v>0.3279999999999999</v>
      </c>
      <c r="Q146">
        <f t="shared" si="28"/>
        <v>0</v>
      </c>
      <c r="R146">
        <f t="shared" si="29"/>
        <v>0.16439502675323536</v>
      </c>
      <c r="S146">
        <f t="shared" si="30"/>
        <v>0</v>
      </c>
      <c r="U146">
        <f t="shared" si="31"/>
        <v>4.4000000000000004</v>
      </c>
      <c r="V146">
        <f t="shared" si="32"/>
        <v>8.1999999999999993</v>
      </c>
      <c r="W146">
        <f t="shared" si="33"/>
        <v>0</v>
      </c>
      <c r="X146">
        <f t="shared" si="34"/>
        <v>4.1098756688308846</v>
      </c>
      <c r="Y146">
        <f t="shared" si="35"/>
        <v>0</v>
      </c>
      <c r="AA146">
        <f t="shared" si="36"/>
        <v>8.8000000000000007</v>
      </c>
      <c r="AB146">
        <f t="shared" si="37"/>
        <v>16.399999999999999</v>
      </c>
      <c r="AC146">
        <f t="shared" si="38"/>
        <v>0</v>
      </c>
      <c r="AD146">
        <f t="shared" si="39"/>
        <v>8.2197513376617692</v>
      </c>
      <c r="AE146">
        <f t="shared" si="40"/>
        <v>0</v>
      </c>
      <c r="AG146" s="109">
        <f t="shared" si="41"/>
        <v>44673</v>
      </c>
      <c r="AH146">
        <f>'Water Stuff'!I116*1000</f>
        <v>620</v>
      </c>
      <c r="AI146">
        <f>'Water Stuff'!Q116*1000</f>
        <v>620</v>
      </c>
      <c r="AJ146">
        <f>'Water Stuff'!Y116*1000</f>
        <v>620</v>
      </c>
      <c r="AK146">
        <f>'Water Stuff'!AG116*1000</f>
        <v>620</v>
      </c>
      <c r="AL146">
        <f>'Water Stuff'!AO116*1000</f>
        <v>620</v>
      </c>
    </row>
    <row r="147" spans="1:38">
      <c r="A147" s="109">
        <f>'Water Stuff'!F117</f>
        <v>44674</v>
      </c>
      <c r="B147">
        <f>IF( 'Water Stuff'!G117*1000 &gt;= 'Water Stuff'!$B$6*1000, 'Water Stuff'!$B$6*1000, 'Water Stuff'!G117*1000)</f>
        <v>2560</v>
      </c>
      <c r="C147">
        <f>IF( 'Water Stuff'!O117*1000 &gt;= 'Water Stuff'!$B$6*1000, 'Water Stuff'!$B$6*1000, 'Water Stuff'!O117*1000)</f>
        <v>1680</v>
      </c>
      <c r="D147">
        <f>IF( 'Water Stuff'!W117*1000 &gt;= 'Water Stuff'!$B$6*1000, 'Water Stuff'!$B$6*1000, 'Water Stuff'!W117*1000)</f>
        <v>0</v>
      </c>
      <c r="E147">
        <f>IF( 'Water Stuff'!AE117*1000 &gt;= 'Water Stuff'!$B$6*1000, 'Water Stuff'!$B$6*1000, 'Water Stuff'!AE117*1000)</f>
        <v>63.476498615699484</v>
      </c>
      <c r="F147">
        <f>IF('Water Stuff'!AM117*1000&gt;='Water Stuff'!$B$6*1000,'Water Stuff'!$B$6*1000,'Water Stuff'!AM117*1000)</f>
        <v>0</v>
      </c>
      <c r="I147">
        <f t="shared" si="21"/>
        <v>25.6</v>
      </c>
      <c r="J147">
        <f t="shared" si="22"/>
        <v>16.8</v>
      </c>
      <c r="K147">
        <f t="shared" si="23"/>
        <v>0</v>
      </c>
      <c r="L147">
        <f t="shared" si="24"/>
        <v>0.63476498615699484</v>
      </c>
      <c r="M147">
        <f t="shared" si="25"/>
        <v>0</v>
      </c>
      <c r="O147">
        <f t="shared" si="26"/>
        <v>0.51200000000000001</v>
      </c>
      <c r="P147">
        <f t="shared" si="27"/>
        <v>0.33600000000000002</v>
      </c>
      <c r="Q147">
        <f t="shared" si="28"/>
        <v>0</v>
      </c>
      <c r="R147">
        <f t="shared" si="29"/>
        <v>1.2695299723139897E-2</v>
      </c>
      <c r="S147">
        <f t="shared" si="30"/>
        <v>0</v>
      </c>
      <c r="U147">
        <f t="shared" si="31"/>
        <v>12.8</v>
      </c>
      <c r="V147">
        <f t="shared" si="32"/>
        <v>8.4</v>
      </c>
      <c r="W147">
        <f t="shared" si="33"/>
        <v>0</v>
      </c>
      <c r="X147">
        <f t="shared" si="34"/>
        <v>0.31738249307849742</v>
      </c>
      <c r="Y147">
        <f t="shared" si="35"/>
        <v>0</v>
      </c>
      <c r="AA147">
        <f t="shared" si="36"/>
        <v>25.6</v>
      </c>
      <c r="AB147">
        <f t="shared" si="37"/>
        <v>16.8</v>
      </c>
      <c r="AC147">
        <f t="shared" si="38"/>
        <v>0</v>
      </c>
      <c r="AD147">
        <f t="shared" si="39"/>
        <v>0.63476498615699484</v>
      </c>
      <c r="AE147">
        <f t="shared" si="40"/>
        <v>0</v>
      </c>
      <c r="AG147" s="109">
        <f t="shared" si="41"/>
        <v>44674</v>
      </c>
      <c r="AH147">
        <f>'Water Stuff'!I117*1000</f>
        <v>620</v>
      </c>
      <c r="AI147">
        <f>'Water Stuff'!Q117*1000</f>
        <v>620</v>
      </c>
      <c r="AJ147">
        <f>'Water Stuff'!Y117*1000</f>
        <v>620</v>
      </c>
      <c r="AK147">
        <f>'Water Stuff'!AG117*1000</f>
        <v>620</v>
      </c>
      <c r="AL147">
        <f>'Water Stuff'!AO117*1000</f>
        <v>620</v>
      </c>
    </row>
    <row r="148" spans="1:38">
      <c r="A148" s="109">
        <f>'Water Stuff'!F118</f>
        <v>44675</v>
      </c>
      <c r="B148">
        <f>IF( 'Water Stuff'!G118*1000 &gt;= 'Water Stuff'!$B$6*1000, 'Water Stuff'!$B$6*1000, 'Water Stuff'!G118*1000)</f>
        <v>5200</v>
      </c>
      <c r="C148">
        <f>IF( 'Water Stuff'!O118*1000 &gt;= 'Water Stuff'!$B$6*1000, 'Water Stuff'!$B$6*1000, 'Water Stuff'!O118*1000)</f>
        <v>360</v>
      </c>
      <c r="D148">
        <f>IF( 'Water Stuff'!W118*1000 &gt;= 'Water Stuff'!$B$6*1000, 'Water Stuff'!$B$6*1000, 'Water Stuff'!W118*1000)</f>
        <v>2205.2829737145616</v>
      </c>
      <c r="E148">
        <f>IF( 'Water Stuff'!AE118*1000 &gt;= 'Water Stuff'!$B$6*1000, 'Water Stuff'!$B$6*1000, 'Water Stuff'!AE118*1000)</f>
        <v>0</v>
      </c>
      <c r="F148">
        <f>IF('Water Stuff'!AM118*1000&gt;='Water Stuff'!$B$6*1000,'Water Stuff'!$B$6*1000,'Water Stuff'!AM118*1000)</f>
        <v>424.89830026089061</v>
      </c>
      <c r="I148">
        <f t="shared" si="21"/>
        <v>52</v>
      </c>
      <c r="J148">
        <f t="shared" si="22"/>
        <v>3.6</v>
      </c>
      <c r="K148">
        <f t="shared" si="23"/>
        <v>22.052829737145618</v>
      </c>
      <c r="L148">
        <f t="shared" si="24"/>
        <v>0</v>
      </c>
      <c r="M148">
        <f t="shared" si="25"/>
        <v>4.2489830026089059</v>
      </c>
      <c r="O148">
        <f t="shared" si="26"/>
        <v>1.04</v>
      </c>
      <c r="P148">
        <f t="shared" si="27"/>
        <v>7.1999999999999995E-2</v>
      </c>
      <c r="Q148">
        <f t="shared" si="28"/>
        <v>0.44105659474291237</v>
      </c>
      <c r="R148">
        <f t="shared" si="29"/>
        <v>0</v>
      </c>
      <c r="S148">
        <f t="shared" si="30"/>
        <v>8.4979660052178121E-2</v>
      </c>
      <c r="U148">
        <f t="shared" si="31"/>
        <v>26</v>
      </c>
      <c r="V148">
        <f t="shared" si="32"/>
        <v>1.8</v>
      </c>
      <c r="W148">
        <f t="shared" si="33"/>
        <v>11.026414868572809</v>
      </c>
      <c r="X148">
        <f t="shared" si="34"/>
        <v>0</v>
      </c>
      <c r="Y148">
        <f t="shared" si="35"/>
        <v>2.124491501304453</v>
      </c>
      <c r="AA148">
        <f t="shared" si="36"/>
        <v>52</v>
      </c>
      <c r="AB148">
        <f t="shared" si="37"/>
        <v>3.6</v>
      </c>
      <c r="AC148">
        <f t="shared" si="38"/>
        <v>22.052829737145618</v>
      </c>
      <c r="AD148">
        <f t="shared" si="39"/>
        <v>0</v>
      </c>
      <c r="AE148">
        <f t="shared" si="40"/>
        <v>4.2489830026089059</v>
      </c>
      <c r="AG148" s="109">
        <f t="shared" si="41"/>
        <v>44675</v>
      </c>
      <c r="AH148">
        <f>'Water Stuff'!I118*1000</f>
        <v>620</v>
      </c>
      <c r="AI148">
        <f>'Water Stuff'!Q118*1000</f>
        <v>620</v>
      </c>
      <c r="AJ148">
        <f>'Water Stuff'!Y118*1000</f>
        <v>620</v>
      </c>
      <c r="AK148">
        <f>'Water Stuff'!AG118*1000</f>
        <v>620</v>
      </c>
      <c r="AL148">
        <f>'Water Stuff'!AO118*1000</f>
        <v>620</v>
      </c>
    </row>
    <row r="149" spans="1:38">
      <c r="A149" s="109">
        <f>'Water Stuff'!F119</f>
        <v>44676</v>
      </c>
      <c r="B149">
        <f>IF( 'Water Stuff'!G119*1000 &gt;= 'Water Stuff'!$B$6*1000, 'Water Stuff'!$B$6*1000, 'Water Stuff'!G119*1000)</f>
        <v>360</v>
      </c>
      <c r="C149">
        <f>IF( 'Water Stuff'!O119*1000 &gt;= 'Water Stuff'!$B$6*1000, 'Water Stuff'!$B$6*1000, 'Water Stuff'!O119*1000)</f>
        <v>0</v>
      </c>
      <c r="D149">
        <f>IF( 'Water Stuff'!W119*1000 &gt;= 'Water Stuff'!$B$6*1000, 'Water Stuff'!$B$6*1000, 'Water Stuff'!W119*1000)</f>
        <v>0</v>
      </c>
      <c r="E149">
        <f>IF( 'Water Stuff'!AE119*1000 &gt;= 'Water Stuff'!$B$6*1000, 'Water Stuff'!$B$6*1000, 'Water Stuff'!AE119*1000)</f>
        <v>0</v>
      </c>
      <c r="F149">
        <f>IF('Water Stuff'!AM119*1000&gt;='Water Stuff'!$B$6*1000,'Water Stuff'!$B$6*1000,'Water Stuff'!AM119*1000)</f>
        <v>573.09481045649488</v>
      </c>
      <c r="I149">
        <f t="shared" si="21"/>
        <v>3.6</v>
      </c>
      <c r="J149">
        <f t="shared" si="22"/>
        <v>0</v>
      </c>
      <c r="K149">
        <f t="shared" si="23"/>
        <v>0</v>
      </c>
      <c r="L149">
        <f t="shared" si="24"/>
        <v>0</v>
      </c>
      <c r="M149">
        <f t="shared" si="25"/>
        <v>5.7309481045649493</v>
      </c>
      <c r="O149">
        <f t="shared" si="26"/>
        <v>7.1999999999999995E-2</v>
      </c>
      <c r="P149">
        <f t="shared" si="27"/>
        <v>0</v>
      </c>
      <c r="Q149">
        <f t="shared" si="28"/>
        <v>0</v>
      </c>
      <c r="R149">
        <f t="shared" si="29"/>
        <v>0</v>
      </c>
      <c r="S149">
        <f t="shared" si="30"/>
        <v>0.11461896209129899</v>
      </c>
      <c r="U149">
        <f t="shared" si="31"/>
        <v>1.8</v>
      </c>
      <c r="V149">
        <f t="shared" si="32"/>
        <v>0</v>
      </c>
      <c r="W149">
        <f t="shared" si="33"/>
        <v>0</v>
      </c>
      <c r="X149">
        <f t="shared" si="34"/>
        <v>0</v>
      </c>
      <c r="Y149">
        <f t="shared" si="35"/>
        <v>2.8654740522824746</v>
      </c>
      <c r="AA149">
        <f t="shared" si="36"/>
        <v>3.6</v>
      </c>
      <c r="AB149">
        <f t="shared" si="37"/>
        <v>0</v>
      </c>
      <c r="AC149">
        <f t="shared" si="38"/>
        <v>0</v>
      </c>
      <c r="AD149">
        <f t="shared" si="39"/>
        <v>0</v>
      </c>
      <c r="AE149">
        <f t="shared" si="40"/>
        <v>5.7309481045649493</v>
      </c>
      <c r="AG149" s="109">
        <f t="shared" si="41"/>
        <v>44676</v>
      </c>
      <c r="AH149">
        <f>'Water Stuff'!I119*1000</f>
        <v>620</v>
      </c>
      <c r="AI149">
        <f>'Water Stuff'!Q119*1000</f>
        <v>620</v>
      </c>
      <c r="AJ149">
        <f>'Water Stuff'!Y119*1000</f>
        <v>620</v>
      </c>
      <c r="AK149">
        <f>'Water Stuff'!AG119*1000</f>
        <v>620</v>
      </c>
      <c r="AL149">
        <f>'Water Stuff'!AO119*1000</f>
        <v>620</v>
      </c>
    </row>
    <row r="150" spans="1:38">
      <c r="A150" s="109">
        <f>'Water Stuff'!F120</f>
        <v>44677</v>
      </c>
      <c r="B150">
        <f>IF( 'Water Stuff'!G120*1000 &gt;= 'Water Stuff'!$B$6*1000, 'Water Stuff'!$B$6*1000, 'Water Stuff'!G120*1000)</f>
        <v>7000</v>
      </c>
      <c r="C150">
        <f>IF( 'Water Stuff'!O120*1000 &gt;= 'Water Stuff'!$B$6*1000, 'Water Stuff'!$B$6*1000, 'Water Stuff'!O120*1000)</f>
        <v>840</v>
      </c>
      <c r="D150">
        <f>IF( 'Water Stuff'!W120*1000 &gt;= 'Water Stuff'!$B$6*1000, 'Water Stuff'!$B$6*1000, 'Water Stuff'!W120*1000)</f>
        <v>6902.8271834177513</v>
      </c>
      <c r="E150">
        <f>IF( 'Water Stuff'!AE120*1000 &gt;= 'Water Stuff'!$B$6*1000, 'Water Stuff'!$B$6*1000, 'Water Stuff'!AE120*1000)</f>
        <v>1141.7365632378501</v>
      </c>
      <c r="F150">
        <f>IF('Water Stuff'!AM120*1000&gt;='Water Stuff'!$B$6*1000,'Water Stuff'!$B$6*1000,'Water Stuff'!AM120*1000)</f>
        <v>4834.3064888069002</v>
      </c>
      <c r="I150">
        <f t="shared" si="21"/>
        <v>70</v>
      </c>
      <c r="J150">
        <f t="shared" si="22"/>
        <v>8.4</v>
      </c>
      <c r="K150">
        <f t="shared" si="23"/>
        <v>69.028271834177517</v>
      </c>
      <c r="L150">
        <f t="shared" si="24"/>
        <v>11.4173656323785</v>
      </c>
      <c r="M150">
        <f t="shared" si="25"/>
        <v>48.343064888069001</v>
      </c>
      <c r="O150">
        <f t="shared" si="26"/>
        <v>1.4</v>
      </c>
      <c r="P150">
        <f t="shared" si="27"/>
        <v>0.16800000000000001</v>
      </c>
      <c r="Q150">
        <f t="shared" si="28"/>
        <v>1.3805654366835503</v>
      </c>
      <c r="R150">
        <f t="shared" si="29"/>
        <v>0.22834731264757002</v>
      </c>
      <c r="S150">
        <f t="shared" si="30"/>
        <v>0.96686129776137997</v>
      </c>
      <c r="U150">
        <f t="shared" si="31"/>
        <v>35</v>
      </c>
      <c r="V150">
        <f t="shared" si="32"/>
        <v>4.2</v>
      </c>
      <c r="W150">
        <f t="shared" si="33"/>
        <v>34.514135917088758</v>
      </c>
      <c r="X150">
        <f t="shared" si="34"/>
        <v>5.7086828161892509</v>
      </c>
      <c r="Y150">
        <f t="shared" si="35"/>
        <v>24.171532444034501</v>
      </c>
      <c r="AA150">
        <f t="shared" si="36"/>
        <v>70</v>
      </c>
      <c r="AB150">
        <f t="shared" si="37"/>
        <v>8.4</v>
      </c>
      <c r="AC150">
        <f t="shared" si="38"/>
        <v>69.028271834177517</v>
      </c>
      <c r="AD150">
        <f t="shared" si="39"/>
        <v>11.417365632378502</v>
      </c>
      <c r="AE150">
        <f t="shared" si="40"/>
        <v>48.343064888069001</v>
      </c>
      <c r="AG150" s="109">
        <f t="shared" si="41"/>
        <v>44677</v>
      </c>
      <c r="AH150">
        <f>'Water Stuff'!I120*1000</f>
        <v>620</v>
      </c>
      <c r="AI150">
        <f>'Water Stuff'!Q120*1000</f>
        <v>620</v>
      </c>
      <c r="AJ150">
        <f>'Water Stuff'!Y120*1000</f>
        <v>620</v>
      </c>
      <c r="AK150">
        <f>'Water Stuff'!AG120*1000</f>
        <v>620</v>
      </c>
      <c r="AL150">
        <f>'Water Stuff'!AO120*1000</f>
        <v>620</v>
      </c>
    </row>
    <row r="151" spans="1:38">
      <c r="A151" s="109">
        <f>'Water Stuff'!F121</f>
        <v>44678</v>
      </c>
      <c r="B151">
        <f>IF( 'Water Stuff'!G121*1000 &gt;= 'Water Stuff'!$B$6*1000, 'Water Stuff'!$B$6*1000, 'Water Stuff'!G121*1000)</f>
        <v>1440</v>
      </c>
      <c r="C151">
        <f>IF( 'Water Stuff'!O121*1000 &gt;= 'Water Stuff'!$B$6*1000, 'Water Stuff'!$B$6*1000, 'Water Stuff'!O121*1000)</f>
        <v>4480</v>
      </c>
      <c r="D151">
        <f>IF( 'Water Stuff'!W121*1000 &gt;= 'Water Stuff'!$B$6*1000, 'Water Stuff'!$B$6*1000, 'Water Stuff'!W121*1000)</f>
        <v>2322.6544901247321</v>
      </c>
      <c r="E151">
        <f>IF( 'Water Stuff'!AE121*1000 &gt;= 'Water Stuff'!$B$6*1000, 'Water Stuff'!$B$6*1000, 'Water Stuff'!AE121*1000)</f>
        <v>4507.997694359924</v>
      </c>
      <c r="F151">
        <f>IF('Water Stuff'!AM121*1000&gt;='Water Stuff'!$B$6*1000,'Water Stuff'!$B$6*1000,'Water Stuff'!AM121*1000)</f>
        <v>3629.647723380564</v>
      </c>
      <c r="I151">
        <f t="shared" si="21"/>
        <v>14.4</v>
      </c>
      <c r="J151">
        <f t="shared" si="22"/>
        <v>44.8</v>
      </c>
      <c r="K151">
        <f t="shared" si="23"/>
        <v>23.226544901247323</v>
      </c>
      <c r="L151">
        <f t="shared" si="24"/>
        <v>45.079976943599242</v>
      </c>
      <c r="M151">
        <f t="shared" si="25"/>
        <v>36.296477233805646</v>
      </c>
      <c r="O151">
        <f t="shared" si="26"/>
        <v>0.28799999999999998</v>
      </c>
      <c r="P151">
        <f t="shared" si="27"/>
        <v>0.89600000000000002</v>
      </c>
      <c r="Q151">
        <f t="shared" si="28"/>
        <v>0.4645308980249464</v>
      </c>
      <c r="R151">
        <f t="shared" si="29"/>
        <v>0.90159953887198485</v>
      </c>
      <c r="S151">
        <f t="shared" si="30"/>
        <v>0.72592954467611281</v>
      </c>
      <c r="U151">
        <f t="shared" si="31"/>
        <v>7.2</v>
      </c>
      <c r="V151">
        <f t="shared" si="32"/>
        <v>22.400000000000002</v>
      </c>
      <c r="W151">
        <f t="shared" si="33"/>
        <v>11.613272450623661</v>
      </c>
      <c r="X151">
        <f t="shared" si="34"/>
        <v>22.539988471799621</v>
      </c>
      <c r="Y151">
        <f t="shared" si="35"/>
        <v>18.14823861690282</v>
      </c>
      <c r="AA151">
        <f t="shared" si="36"/>
        <v>14.4</v>
      </c>
      <c r="AB151">
        <f t="shared" si="37"/>
        <v>44.800000000000004</v>
      </c>
      <c r="AC151">
        <f t="shared" si="38"/>
        <v>23.226544901247323</v>
      </c>
      <c r="AD151">
        <f t="shared" si="39"/>
        <v>45.079976943599242</v>
      </c>
      <c r="AE151">
        <f t="shared" si="40"/>
        <v>36.296477233805639</v>
      </c>
      <c r="AG151" s="109">
        <f t="shared" si="41"/>
        <v>44678</v>
      </c>
      <c r="AH151">
        <f>'Water Stuff'!I121*1000</f>
        <v>620</v>
      </c>
      <c r="AI151">
        <f>'Water Stuff'!Q121*1000</f>
        <v>620</v>
      </c>
      <c r="AJ151">
        <f>'Water Stuff'!Y121*1000</f>
        <v>620</v>
      </c>
      <c r="AK151">
        <f>'Water Stuff'!AG121*1000</f>
        <v>620</v>
      </c>
      <c r="AL151">
        <f>'Water Stuff'!AO121*1000</f>
        <v>620</v>
      </c>
    </row>
    <row r="152" spans="1:38">
      <c r="A152" s="109">
        <f>'Water Stuff'!F122</f>
        <v>44679</v>
      </c>
      <c r="B152">
        <f>IF( 'Water Stuff'!G122*1000 &gt;= 'Water Stuff'!$B$6*1000, 'Water Stuff'!$B$6*1000, 'Water Stuff'!G122*1000)</f>
        <v>160</v>
      </c>
      <c r="C152">
        <f>IF( 'Water Stuff'!O122*1000 &gt;= 'Water Stuff'!$B$6*1000, 'Water Stuff'!$B$6*1000, 'Water Stuff'!O122*1000)</f>
        <v>3080</v>
      </c>
      <c r="D152">
        <f>IF( 'Water Stuff'!W122*1000 &gt;= 'Water Stuff'!$B$6*1000, 'Water Stuff'!$B$6*1000, 'Water Stuff'!W122*1000)</f>
        <v>0</v>
      </c>
      <c r="E152">
        <f>IF( 'Water Stuff'!AE122*1000 &gt;= 'Water Stuff'!$B$6*1000, 'Water Stuff'!$B$6*1000, 'Water Stuff'!AE122*1000)</f>
        <v>4033.0385855078043</v>
      </c>
      <c r="F152">
        <f>IF('Water Stuff'!AM122*1000&gt;='Water Stuff'!$B$6*1000,'Water Stuff'!$B$6*1000,'Water Stuff'!AM122*1000)</f>
        <v>0</v>
      </c>
      <c r="I152">
        <f t="shared" si="21"/>
        <v>1.6</v>
      </c>
      <c r="J152">
        <f t="shared" si="22"/>
        <v>30.8</v>
      </c>
      <c r="K152">
        <f t="shared" si="23"/>
        <v>0</v>
      </c>
      <c r="L152">
        <f t="shared" si="24"/>
        <v>40.330385855078042</v>
      </c>
      <c r="M152">
        <f t="shared" si="25"/>
        <v>0</v>
      </c>
      <c r="O152">
        <f t="shared" si="26"/>
        <v>3.2000000000000001E-2</v>
      </c>
      <c r="P152">
        <f t="shared" si="27"/>
        <v>0.61599999999999999</v>
      </c>
      <c r="Q152">
        <f t="shared" si="28"/>
        <v>0</v>
      </c>
      <c r="R152">
        <f t="shared" si="29"/>
        <v>0.80660771710156087</v>
      </c>
      <c r="S152">
        <f t="shared" si="30"/>
        <v>0</v>
      </c>
      <c r="U152">
        <f t="shared" si="31"/>
        <v>0.8</v>
      </c>
      <c r="V152">
        <f t="shared" si="32"/>
        <v>15.4</v>
      </c>
      <c r="W152">
        <f t="shared" si="33"/>
        <v>0</v>
      </c>
      <c r="X152">
        <f t="shared" si="34"/>
        <v>20.165192927539021</v>
      </c>
      <c r="Y152">
        <f t="shared" si="35"/>
        <v>0</v>
      </c>
      <c r="AA152">
        <f t="shared" si="36"/>
        <v>1.6</v>
      </c>
      <c r="AB152">
        <f t="shared" si="37"/>
        <v>30.8</v>
      </c>
      <c r="AC152">
        <f t="shared" si="38"/>
        <v>0</v>
      </c>
      <c r="AD152">
        <f t="shared" si="39"/>
        <v>40.330385855078042</v>
      </c>
      <c r="AE152">
        <f t="shared" si="40"/>
        <v>0</v>
      </c>
      <c r="AG152" s="109">
        <f t="shared" si="41"/>
        <v>44679</v>
      </c>
      <c r="AH152">
        <f>'Water Stuff'!I122*1000</f>
        <v>620</v>
      </c>
      <c r="AI152">
        <f>'Water Stuff'!Q122*1000</f>
        <v>620</v>
      </c>
      <c r="AJ152">
        <f>'Water Stuff'!Y122*1000</f>
        <v>620</v>
      </c>
      <c r="AK152">
        <f>'Water Stuff'!AG122*1000</f>
        <v>620</v>
      </c>
      <c r="AL152">
        <f>'Water Stuff'!AO122*1000</f>
        <v>620</v>
      </c>
    </row>
    <row r="153" spans="1:38">
      <c r="A153" s="109">
        <f>'Water Stuff'!F123</f>
        <v>44680</v>
      </c>
      <c r="B153">
        <f>IF( 'Water Stuff'!G123*1000 &gt;= 'Water Stuff'!$B$6*1000, 'Water Stuff'!$B$6*1000, 'Water Stuff'!G123*1000)</f>
        <v>20</v>
      </c>
      <c r="C153">
        <f>IF( 'Water Stuff'!O123*1000 &gt;= 'Water Stuff'!$B$6*1000, 'Water Stuff'!$B$6*1000, 'Water Stuff'!O123*1000)</f>
        <v>5520</v>
      </c>
      <c r="D153">
        <f>IF( 'Water Stuff'!W123*1000 &gt;= 'Water Stuff'!$B$6*1000, 'Water Stuff'!$B$6*1000, 'Water Stuff'!W123*1000)</f>
        <v>1127.4393274333986</v>
      </c>
      <c r="E153">
        <f>IF( 'Water Stuff'!AE123*1000 &gt;= 'Water Stuff'!$B$6*1000, 'Water Stuff'!$B$6*1000, 'Water Stuff'!AE123*1000)</f>
        <v>2672.3923654649079</v>
      </c>
      <c r="F153">
        <f>IF('Water Stuff'!AM123*1000&gt;='Water Stuff'!$B$6*1000,'Water Stuff'!$B$6*1000,'Water Stuff'!AM123*1000)</f>
        <v>1385.7718456386913</v>
      </c>
      <c r="I153">
        <f t="shared" si="21"/>
        <v>0.2</v>
      </c>
      <c r="J153">
        <f t="shared" si="22"/>
        <v>55.2</v>
      </c>
      <c r="K153">
        <f t="shared" si="23"/>
        <v>11.274393274333987</v>
      </c>
      <c r="L153">
        <f t="shared" si="24"/>
        <v>26.723923654649081</v>
      </c>
      <c r="M153">
        <f t="shared" si="25"/>
        <v>13.857718456386912</v>
      </c>
      <c r="O153">
        <f t="shared" si="26"/>
        <v>4.0000000000000001E-3</v>
      </c>
      <c r="P153">
        <f t="shared" si="27"/>
        <v>1.1040000000000001</v>
      </c>
      <c r="Q153">
        <f t="shared" si="28"/>
        <v>0.22548786548667971</v>
      </c>
      <c r="R153">
        <f t="shared" si="29"/>
        <v>0.53447847309298158</v>
      </c>
      <c r="S153">
        <f t="shared" si="30"/>
        <v>0.27715436912773828</v>
      </c>
      <c r="U153">
        <f t="shared" si="31"/>
        <v>0.1</v>
      </c>
      <c r="V153">
        <f t="shared" si="32"/>
        <v>27.6</v>
      </c>
      <c r="W153">
        <f t="shared" si="33"/>
        <v>5.6371966371669933</v>
      </c>
      <c r="X153">
        <f t="shared" si="34"/>
        <v>13.36196182732454</v>
      </c>
      <c r="Y153">
        <f t="shared" si="35"/>
        <v>6.9288592281934562</v>
      </c>
      <c r="AA153">
        <f t="shared" si="36"/>
        <v>0.2</v>
      </c>
      <c r="AB153">
        <f t="shared" si="37"/>
        <v>55.2</v>
      </c>
      <c r="AC153">
        <f t="shared" si="38"/>
        <v>11.274393274333987</v>
      </c>
      <c r="AD153">
        <f t="shared" si="39"/>
        <v>26.723923654649081</v>
      </c>
      <c r="AE153">
        <f t="shared" si="40"/>
        <v>13.857718456386912</v>
      </c>
      <c r="AG153" s="109">
        <f t="shared" si="41"/>
        <v>44680</v>
      </c>
      <c r="AH153">
        <f>'Water Stuff'!I123*1000</f>
        <v>620</v>
      </c>
      <c r="AI153">
        <f>'Water Stuff'!Q123*1000</f>
        <v>620</v>
      </c>
      <c r="AJ153">
        <f>'Water Stuff'!Y123*1000</f>
        <v>620</v>
      </c>
      <c r="AK153">
        <f>'Water Stuff'!AG123*1000</f>
        <v>620</v>
      </c>
      <c r="AL153">
        <f>'Water Stuff'!AO123*1000</f>
        <v>620</v>
      </c>
    </row>
    <row r="154" spans="1:38">
      <c r="A154" s="109">
        <f>'Water Stuff'!F124</f>
        <v>44681</v>
      </c>
      <c r="B154">
        <f>IF( 'Water Stuff'!G124*1000 &gt;= 'Water Stuff'!$B$6*1000, 'Water Stuff'!$B$6*1000, 'Water Stuff'!G124*1000)</f>
        <v>0</v>
      </c>
      <c r="C154">
        <f>IF( 'Water Stuff'!O124*1000 &gt;= 'Water Stuff'!$B$6*1000, 'Water Stuff'!$B$6*1000, 'Water Stuff'!O124*1000)</f>
        <v>960</v>
      </c>
      <c r="D154">
        <f>IF( 'Water Stuff'!W124*1000 &gt;= 'Water Stuff'!$B$6*1000, 'Water Stuff'!$B$6*1000, 'Water Stuff'!W124*1000)</f>
        <v>0</v>
      </c>
      <c r="E154">
        <f>IF( 'Water Stuff'!AE124*1000 &gt;= 'Water Stuff'!$B$6*1000, 'Water Stuff'!$B$6*1000, 'Water Stuff'!AE124*1000)</f>
        <v>2031.3010771900858</v>
      </c>
      <c r="F154">
        <f>IF('Water Stuff'!AM124*1000&gt;='Water Stuff'!$B$6*1000,'Water Stuff'!$B$6*1000,'Water Stuff'!AM124*1000)</f>
        <v>767.61189539077077</v>
      </c>
      <c r="I154">
        <f t="shared" si="21"/>
        <v>0</v>
      </c>
      <c r="J154">
        <f t="shared" si="22"/>
        <v>9.6</v>
      </c>
      <c r="K154">
        <f t="shared" si="23"/>
        <v>0</v>
      </c>
      <c r="L154">
        <f t="shared" si="24"/>
        <v>20.31301077190086</v>
      </c>
      <c r="M154">
        <f t="shared" si="25"/>
        <v>7.6761189539077073</v>
      </c>
      <c r="O154">
        <f t="shared" si="26"/>
        <v>0</v>
      </c>
      <c r="P154">
        <f t="shared" si="27"/>
        <v>0.192</v>
      </c>
      <c r="Q154">
        <f t="shared" si="28"/>
        <v>0</v>
      </c>
      <c r="R154">
        <f t="shared" si="29"/>
        <v>0.40626021543801721</v>
      </c>
      <c r="S154">
        <f t="shared" si="30"/>
        <v>0.15352237907815416</v>
      </c>
      <c r="U154">
        <f t="shared" si="31"/>
        <v>0</v>
      </c>
      <c r="V154">
        <f t="shared" si="32"/>
        <v>4.8</v>
      </c>
      <c r="W154">
        <f t="shared" si="33"/>
        <v>0</v>
      </c>
      <c r="X154">
        <f t="shared" si="34"/>
        <v>10.15650538595043</v>
      </c>
      <c r="Y154">
        <f t="shared" si="35"/>
        <v>3.8380594769538541</v>
      </c>
      <c r="AA154">
        <f t="shared" si="36"/>
        <v>0</v>
      </c>
      <c r="AB154">
        <f t="shared" si="37"/>
        <v>9.6</v>
      </c>
      <c r="AC154">
        <f t="shared" si="38"/>
        <v>0</v>
      </c>
      <c r="AD154">
        <f t="shared" si="39"/>
        <v>20.31301077190086</v>
      </c>
      <c r="AE154">
        <f t="shared" si="40"/>
        <v>7.6761189539077082</v>
      </c>
      <c r="AG154" s="109">
        <f t="shared" si="41"/>
        <v>44681</v>
      </c>
      <c r="AH154">
        <f>'Water Stuff'!I124*1000</f>
        <v>620</v>
      </c>
      <c r="AI154">
        <f>'Water Stuff'!Q124*1000</f>
        <v>620</v>
      </c>
      <c r="AJ154">
        <f>'Water Stuff'!Y124*1000</f>
        <v>620</v>
      </c>
      <c r="AK154">
        <f>'Water Stuff'!AG124*1000</f>
        <v>620</v>
      </c>
      <c r="AL154">
        <f>'Water Stuff'!AO124*1000</f>
        <v>620</v>
      </c>
    </row>
    <row r="155" spans="1:38">
      <c r="A155" s="109">
        <f>'Water Stuff'!F125</f>
        <v>44682</v>
      </c>
      <c r="B155">
        <f>IF( 'Water Stuff'!G125*1000 &gt;= 'Water Stuff'!$B$6*1000, 'Water Stuff'!$B$6*1000, 'Water Stuff'!G125*1000)</f>
        <v>0</v>
      </c>
      <c r="C155">
        <f>IF( 'Water Stuff'!O125*1000 &gt;= 'Water Stuff'!$B$6*1000, 'Water Stuff'!$B$6*1000, 'Water Stuff'!O125*1000)</f>
        <v>160</v>
      </c>
      <c r="D155">
        <f>IF( 'Water Stuff'!W125*1000 &gt;= 'Water Stuff'!$B$6*1000, 'Water Stuff'!$B$6*1000, 'Water Stuff'!W125*1000)</f>
        <v>541.32729457115124</v>
      </c>
      <c r="E155">
        <f>IF( 'Water Stuff'!AE125*1000 &gt;= 'Water Stuff'!$B$6*1000, 'Water Stuff'!$B$6*1000, 'Water Stuff'!AE125*1000)</f>
        <v>80.555113125858483</v>
      </c>
      <c r="F155">
        <f>IF('Water Stuff'!AM125*1000&gt;='Water Stuff'!$B$6*1000,'Water Stuff'!$B$6*1000,'Water Stuff'!AM125*1000)</f>
        <v>1291.2394026716995</v>
      </c>
      <c r="I155">
        <f t="shared" si="21"/>
        <v>0</v>
      </c>
      <c r="J155">
        <f t="shared" si="22"/>
        <v>1.6</v>
      </c>
      <c r="K155">
        <f t="shared" si="23"/>
        <v>5.4132729457115127</v>
      </c>
      <c r="L155">
        <f t="shared" si="24"/>
        <v>0.80555113125858491</v>
      </c>
      <c r="M155">
        <f t="shared" si="25"/>
        <v>12.912394026716994</v>
      </c>
      <c r="O155">
        <f t="shared" si="26"/>
        <v>0</v>
      </c>
      <c r="P155">
        <f t="shared" si="27"/>
        <v>3.2000000000000001E-2</v>
      </c>
      <c r="Q155">
        <f t="shared" si="28"/>
        <v>0.10826545891423026</v>
      </c>
      <c r="R155">
        <f t="shared" si="29"/>
        <v>1.6111022625171698E-2</v>
      </c>
      <c r="S155">
        <f t="shared" si="30"/>
        <v>0.25824788053433984</v>
      </c>
      <c r="U155">
        <f t="shared" si="31"/>
        <v>0</v>
      </c>
      <c r="V155">
        <f t="shared" si="32"/>
        <v>0.8</v>
      </c>
      <c r="W155">
        <f t="shared" si="33"/>
        <v>2.7066364728557564</v>
      </c>
      <c r="X155">
        <f t="shared" si="34"/>
        <v>0.4027755656292924</v>
      </c>
      <c r="Y155">
        <f t="shared" si="35"/>
        <v>6.4561970133584978</v>
      </c>
      <c r="AA155">
        <f t="shared" si="36"/>
        <v>0</v>
      </c>
      <c r="AB155">
        <f t="shared" si="37"/>
        <v>1.6</v>
      </c>
      <c r="AC155">
        <f t="shared" si="38"/>
        <v>5.4132729457115127</v>
      </c>
      <c r="AD155">
        <f t="shared" si="39"/>
        <v>0.8055511312585848</v>
      </c>
      <c r="AE155">
        <f t="shared" si="40"/>
        <v>12.912394026716996</v>
      </c>
      <c r="AG155" s="109">
        <f t="shared" si="41"/>
        <v>44682</v>
      </c>
      <c r="AH155">
        <f>'Water Stuff'!I125*1000</f>
        <v>620</v>
      </c>
      <c r="AI155">
        <f>'Water Stuff'!Q125*1000</f>
        <v>620</v>
      </c>
      <c r="AJ155">
        <f>'Water Stuff'!Y125*1000</f>
        <v>620</v>
      </c>
      <c r="AK155">
        <f>'Water Stuff'!AG125*1000</f>
        <v>620</v>
      </c>
      <c r="AL155">
        <f>'Water Stuff'!AO125*1000</f>
        <v>620</v>
      </c>
    </row>
    <row r="156" spans="1:38">
      <c r="A156" s="109">
        <f>'Water Stuff'!F126</f>
        <v>44683</v>
      </c>
      <c r="B156">
        <f>IF( 'Water Stuff'!G126*1000 &gt;= 'Water Stuff'!$B$6*1000, 'Water Stuff'!$B$6*1000, 'Water Stuff'!G126*1000)</f>
        <v>400</v>
      </c>
      <c r="C156">
        <f>IF( 'Water Stuff'!O126*1000 &gt;= 'Water Stuff'!$B$6*1000, 'Water Stuff'!$B$6*1000, 'Water Stuff'!O126*1000)</f>
        <v>0</v>
      </c>
      <c r="D156">
        <f>IF( 'Water Stuff'!W126*1000 &gt;= 'Water Stuff'!$B$6*1000, 'Water Stuff'!$B$6*1000, 'Water Stuff'!W126*1000)</f>
        <v>1752.4805774596771</v>
      </c>
      <c r="E156">
        <f>IF( 'Water Stuff'!AE126*1000 &gt;= 'Water Stuff'!$B$6*1000, 'Water Stuff'!$B$6*1000, 'Water Stuff'!AE126*1000)</f>
        <v>1665.2585333120119</v>
      </c>
      <c r="F156">
        <f>IF('Water Stuff'!AM126*1000&gt;='Water Stuff'!$B$6*1000,'Water Stuff'!$B$6*1000,'Water Stuff'!AM126*1000)</f>
        <v>0</v>
      </c>
      <c r="I156">
        <f t="shared" si="21"/>
        <v>4</v>
      </c>
      <c r="J156">
        <f t="shared" si="22"/>
        <v>0</v>
      </c>
      <c r="K156">
        <f t="shared" si="23"/>
        <v>17.524805774596771</v>
      </c>
      <c r="L156">
        <f t="shared" si="24"/>
        <v>16.652585333120118</v>
      </c>
      <c r="M156">
        <f t="shared" si="25"/>
        <v>0</v>
      </c>
      <c r="O156">
        <f t="shared" si="26"/>
        <v>0.08</v>
      </c>
      <c r="P156">
        <f t="shared" si="27"/>
        <v>0</v>
      </c>
      <c r="Q156">
        <f t="shared" si="28"/>
        <v>0.35049611549193543</v>
      </c>
      <c r="R156">
        <f t="shared" si="29"/>
        <v>0.33305170666240236</v>
      </c>
      <c r="S156">
        <f t="shared" si="30"/>
        <v>0</v>
      </c>
      <c r="U156">
        <f t="shared" si="31"/>
        <v>2</v>
      </c>
      <c r="V156">
        <f t="shared" si="32"/>
        <v>0</v>
      </c>
      <c r="W156">
        <f t="shared" si="33"/>
        <v>8.7624028872983857</v>
      </c>
      <c r="X156">
        <f t="shared" si="34"/>
        <v>8.3262926665600592</v>
      </c>
      <c r="Y156">
        <f t="shared" si="35"/>
        <v>0</v>
      </c>
      <c r="AA156">
        <f t="shared" si="36"/>
        <v>4</v>
      </c>
      <c r="AB156">
        <f t="shared" si="37"/>
        <v>0</v>
      </c>
      <c r="AC156">
        <f t="shared" si="38"/>
        <v>17.524805774596771</v>
      </c>
      <c r="AD156">
        <f t="shared" si="39"/>
        <v>16.652585333120118</v>
      </c>
      <c r="AE156">
        <f t="shared" si="40"/>
        <v>0</v>
      </c>
      <c r="AG156" s="109">
        <f t="shared" si="41"/>
        <v>44683</v>
      </c>
      <c r="AH156">
        <f>'Water Stuff'!I126*1000</f>
        <v>620</v>
      </c>
      <c r="AI156">
        <f>'Water Stuff'!Q126*1000</f>
        <v>620</v>
      </c>
      <c r="AJ156">
        <f>'Water Stuff'!Y126*1000</f>
        <v>620</v>
      </c>
      <c r="AK156">
        <f>'Water Stuff'!AG126*1000</f>
        <v>620</v>
      </c>
      <c r="AL156">
        <f>'Water Stuff'!AO126*1000</f>
        <v>620</v>
      </c>
    </row>
    <row r="157" spans="1:38">
      <c r="A157" s="109">
        <f>'Water Stuff'!F127</f>
        <v>44684</v>
      </c>
      <c r="B157">
        <f>IF( 'Water Stuff'!G127*1000 &gt;= 'Water Stuff'!$B$6*1000, 'Water Stuff'!$B$6*1000, 'Water Stuff'!G127*1000)</f>
        <v>919.99999999999989</v>
      </c>
      <c r="C157">
        <f>IF( 'Water Stuff'!O127*1000 &gt;= 'Water Stuff'!$B$6*1000, 'Water Stuff'!$B$6*1000, 'Water Stuff'!O127*1000)</f>
        <v>0</v>
      </c>
      <c r="D157">
        <f>IF( 'Water Stuff'!W127*1000 &gt;= 'Water Stuff'!$B$6*1000, 'Water Stuff'!$B$6*1000, 'Water Stuff'!W127*1000)</f>
        <v>0</v>
      </c>
      <c r="E157">
        <f>IF( 'Water Stuff'!AE127*1000 &gt;= 'Water Stuff'!$B$6*1000, 'Water Stuff'!$B$6*1000, 'Water Stuff'!AE127*1000)</f>
        <v>1711.2662652276601</v>
      </c>
      <c r="F157">
        <f>IF('Water Stuff'!AM127*1000&gt;='Water Stuff'!$B$6*1000,'Water Stuff'!$B$6*1000,'Water Stuff'!AM127*1000)</f>
        <v>0</v>
      </c>
      <c r="I157">
        <f t="shared" si="21"/>
        <v>9.1999999999999975</v>
      </c>
      <c r="J157">
        <f t="shared" si="22"/>
        <v>0</v>
      </c>
      <c r="K157">
        <f t="shared" si="23"/>
        <v>0</v>
      </c>
      <c r="L157">
        <f t="shared" si="24"/>
        <v>17.112662652276601</v>
      </c>
      <c r="M157">
        <f t="shared" si="25"/>
        <v>0</v>
      </c>
      <c r="O157">
        <f t="shared" si="26"/>
        <v>0.18399999999999994</v>
      </c>
      <c r="P157">
        <f t="shared" si="27"/>
        <v>0</v>
      </c>
      <c r="Q157">
        <f t="shared" si="28"/>
        <v>0</v>
      </c>
      <c r="R157">
        <f t="shared" si="29"/>
        <v>0.342253253045532</v>
      </c>
      <c r="S157">
        <f t="shared" si="30"/>
        <v>0</v>
      </c>
      <c r="U157">
        <f t="shared" si="31"/>
        <v>4.5999999999999996</v>
      </c>
      <c r="V157">
        <f t="shared" si="32"/>
        <v>0</v>
      </c>
      <c r="W157">
        <f t="shared" si="33"/>
        <v>0</v>
      </c>
      <c r="X157">
        <f t="shared" si="34"/>
        <v>8.5563313261383005</v>
      </c>
      <c r="Y157">
        <f t="shared" si="35"/>
        <v>0</v>
      </c>
      <c r="AA157">
        <f t="shared" si="36"/>
        <v>9.1999999999999993</v>
      </c>
      <c r="AB157">
        <f t="shared" si="37"/>
        <v>0</v>
      </c>
      <c r="AC157">
        <f t="shared" si="38"/>
        <v>0</v>
      </c>
      <c r="AD157">
        <f t="shared" si="39"/>
        <v>17.112662652276601</v>
      </c>
      <c r="AE157">
        <f t="shared" si="40"/>
        <v>0</v>
      </c>
      <c r="AG157" s="109">
        <f t="shared" si="41"/>
        <v>44684</v>
      </c>
      <c r="AH157">
        <f>'Water Stuff'!I127*1000</f>
        <v>620</v>
      </c>
      <c r="AI157">
        <f>'Water Stuff'!Q127*1000</f>
        <v>620</v>
      </c>
      <c r="AJ157">
        <f>'Water Stuff'!Y127*1000</f>
        <v>620</v>
      </c>
      <c r="AK157">
        <f>'Water Stuff'!AG127*1000</f>
        <v>620</v>
      </c>
      <c r="AL157">
        <f>'Water Stuff'!AO127*1000</f>
        <v>620</v>
      </c>
    </row>
    <row r="158" spans="1:38">
      <c r="A158" s="109">
        <f>'Water Stuff'!F128</f>
        <v>44685</v>
      </c>
      <c r="B158">
        <f>IF( 'Water Stuff'!G128*1000 &gt;= 'Water Stuff'!$B$6*1000, 'Water Stuff'!$B$6*1000, 'Water Stuff'!G128*1000)</f>
        <v>760</v>
      </c>
      <c r="C158">
        <f>IF( 'Water Stuff'!O128*1000 &gt;= 'Water Stuff'!$B$6*1000, 'Water Stuff'!$B$6*1000, 'Water Stuff'!O128*1000)</f>
        <v>3960</v>
      </c>
      <c r="D158">
        <f>IF( 'Water Stuff'!W128*1000 &gt;= 'Water Stuff'!$B$6*1000, 'Water Stuff'!$B$6*1000, 'Water Stuff'!W128*1000)</f>
        <v>2206.8521849309282</v>
      </c>
      <c r="E158">
        <f>IF( 'Water Stuff'!AE128*1000 &gt;= 'Water Stuff'!$B$6*1000, 'Water Stuff'!$B$6*1000, 'Water Stuff'!AE128*1000)</f>
        <v>2006.1527923552799</v>
      </c>
      <c r="F158">
        <f>IF('Water Stuff'!AM128*1000&gt;='Water Stuff'!$B$6*1000,'Water Stuff'!$B$6*1000,'Water Stuff'!AM128*1000)</f>
        <v>2166.205052338662</v>
      </c>
      <c r="I158">
        <f t="shared" si="21"/>
        <v>7.6</v>
      </c>
      <c r="J158">
        <f t="shared" si="22"/>
        <v>39.6</v>
      </c>
      <c r="K158">
        <f t="shared" si="23"/>
        <v>22.068521849309285</v>
      </c>
      <c r="L158">
        <f t="shared" si="24"/>
        <v>20.061527923552799</v>
      </c>
      <c r="M158">
        <f t="shared" si="25"/>
        <v>21.662050523386622</v>
      </c>
      <c r="O158">
        <f t="shared" si="26"/>
        <v>0.152</v>
      </c>
      <c r="P158">
        <f t="shared" si="27"/>
        <v>0.79200000000000004</v>
      </c>
      <c r="Q158">
        <f t="shared" si="28"/>
        <v>0.44137043698618572</v>
      </c>
      <c r="R158">
        <f t="shared" si="29"/>
        <v>0.40123055847105599</v>
      </c>
      <c r="S158">
        <f t="shared" si="30"/>
        <v>0.43324101046773239</v>
      </c>
      <c r="U158">
        <f t="shared" si="31"/>
        <v>3.8000000000000003</v>
      </c>
      <c r="V158">
        <f t="shared" si="32"/>
        <v>19.8</v>
      </c>
      <c r="W158">
        <f t="shared" si="33"/>
        <v>11.034260924654641</v>
      </c>
      <c r="X158">
        <f t="shared" si="34"/>
        <v>10.030763961776399</v>
      </c>
      <c r="Y158">
        <f t="shared" si="35"/>
        <v>10.831025261693311</v>
      </c>
      <c r="AA158">
        <f t="shared" si="36"/>
        <v>7.6000000000000005</v>
      </c>
      <c r="AB158">
        <f t="shared" si="37"/>
        <v>39.6</v>
      </c>
      <c r="AC158">
        <f t="shared" si="38"/>
        <v>22.068521849309281</v>
      </c>
      <c r="AD158">
        <f t="shared" si="39"/>
        <v>20.061527923552799</v>
      </c>
      <c r="AE158">
        <f t="shared" si="40"/>
        <v>21.662050523386622</v>
      </c>
      <c r="AG158" s="109">
        <f t="shared" si="41"/>
        <v>44685</v>
      </c>
      <c r="AH158">
        <f>'Water Stuff'!I128*1000</f>
        <v>620</v>
      </c>
      <c r="AI158">
        <f>'Water Stuff'!Q128*1000</f>
        <v>620</v>
      </c>
      <c r="AJ158">
        <f>'Water Stuff'!Y128*1000</f>
        <v>620</v>
      </c>
      <c r="AK158">
        <f>'Water Stuff'!AG128*1000</f>
        <v>620</v>
      </c>
      <c r="AL158">
        <f>'Water Stuff'!AO128*1000</f>
        <v>620</v>
      </c>
    </row>
    <row r="159" spans="1:38">
      <c r="A159" s="109">
        <f>'Water Stuff'!F129</f>
        <v>44686</v>
      </c>
      <c r="B159">
        <f>IF( 'Water Stuff'!G129*1000 &gt;= 'Water Stuff'!$B$6*1000, 'Water Stuff'!$B$6*1000, 'Water Stuff'!G129*1000)</f>
        <v>0</v>
      </c>
      <c r="C159">
        <f>IF( 'Water Stuff'!O129*1000 &gt;= 'Water Stuff'!$B$6*1000, 'Water Stuff'!$B$6*1000, 'Water Stuff'!O129*1000)</f>
        <v>80</v>
      </c>
      <c r="D159">
        <f>IF( 'Water Stuff'!W129*1000 &gt;= 'Water Stuff'!$B$6*1000, 'Water Stuff'!$B$6*1000, 'Water Stuff'!W129*1000)</f>
        <v>0</v>
      </c>
      <c r="E159">
        <f>IF( 'Water Stuff'!AE129*1000 &gt;= 'Water Stuff'!$B$6*1000, 'Water Stuff'!$B$6*1000, 'Water Stuff'!AE129*1000)</f>
        <v>0</v>
      </c>
      <c r="F159">
        <f>IF('Water Stuff'!AM129*1000&gt;='Water Stuff'!$B$6*1000,'Water Stuff'!$B$6*1000,'Water Stuff'!AM129*1000)</f>
        <v>0</v>
      </c>
      <c r="I159">
        <f t="shared" si="21"/>
        <v>0</v>
      </c>
      <c r="J159">
        <f t="shared" si="22"/>
        <v>0.8</v>
      </c>
      <c r="K159">
        <f t="shared" si="23"/>
        <v>0</v>
      </c>
      <c r="L159">
        <f t="shared" si="24"/>
        <v>0</v>
      </c>
      <c r="M159">
        <f t="shared" si="25"/>
        <v>0</v>
      </c>
      <c r="O159">
        <f t="shared" si="26"/>
        <v>0</v>
      </c>
      <c r="P159">
        <f t="shared" si="27"/>
        <v>1.6E-2</v>
      </c>
      <c r="Q159">
        <f t="shared" si="28"/>
        <v>0</v>
      </c>
      <c r="R159">
        <f t="shared" si="29"/>
        <v>0</v>
      </c>
      <c r="S159">
        <f t="shared" si="30"/>
        <v>0</v>
      </c>
      <c r="U159">
        <f t="shared" si="31"/>
        <v>0</v>
      </c>
      <c r="V159">
        <f t="shared" si="32"/>
        <v>0.4</v>
      </c>
      <c r="W159">
        <f t="shared" si="33"/>
        <v>0</v>
      </c>
      <c r="X159">
        <f t="shared" si="34"/>
        <v>0</v>
      </c>
      <c r="Y159">
        <f t="shared" si="35"/>
        <v>0</v>
      </c>
      <c r="AA159">
        <f t="shared" si="36"/>
        <v>0</v>
      </c>
      <c r="AB159">
        <f t="shared" si="37"/>
        <v>0.8</v>
      </c>
      <c r="AC159">
        <f t="shared" si="38"/>
        <v>0</v>
      </c>
      <c r="AD159">
        <f t="shared" si="39"/>
        <v>0</v>
      </c>
      <c r="AE159">
        <f t="shared" si="40"/>
        <v>0</v>
      </c>
      <c r="AG159" s="109">
        <f t="shared" si="41"/>
        <v>44686</v>
      </c>
      <c r="AH159">
        <f>'Water Stuff'!I129*1000</f>
        <v>620</v>
      </c>
      <c r="AI159">
        <f>'Water Stuff'!Q129*1000</f>
        <v>620</v>
      </c>
      <c r="AJ159">
        <f>'Water Stuff'!Y129*1000</f>
        <v>620</v>
      </c>
      <c r="AK159">
        <f>'Water Stuff'!AG129*1000</f>
        <v>620</v>
      </c>
      <c r="AL159">
        <f>'Water Stuff'!AO129*1000</f>
        <v>620</v>
      </c>
    </row>
    <row r="160" spans="1:38">
      <c r="A160" s="109">
        <f>'Water Stuff'!F130</f>
        <v>44687</v>
      </c>
      <c r="B160">
        <f>IF( 'Water Stuff'!G130*1000 &gt;= 'Water Stuff'!$B$6*1000, 'Water Stuff'!$B$6*1000, 'Water Stuff'!G130*1000)</f>
        <v>0</v>
      </c>
      <c r="C160">
        <f>IF( 'Water Stuff'!O130*1000 &gt;= 'Water Stuff'!$B$6*1000, 'Water Stuff'!$B$6*1000, 'Water Stuff'!O130*1000)</f>
        <v>0</v>
      </c>
      <c r="D160">
        <f>IF( 'Water Stuff'!W130*1000 &gt;= 'Water Stuff'!$B$6*1000, 'Water Stuff'!$B$6*1000, 'Water Stuff'!W130*1000)</f>
        <v>0</v>
      </c>
      <c r="E160">
        <f>IF( 'Water Stuff'!AE130*1000 &gt;= 'Water Stuff'!$B$6*1000, 'Water Stuff'!$B$6*1000, 'Water Stuff'!AE130*1000)</f>
        <v>0</v>
      </c>
      <c r="F160">
        <f>IF('Water Stuff'!AM130*1000&gt;='Water Stuff'!$B$6*1000,'Water Stuff'!$B$6*1000,'Water Stuff'!AM130*1000)</f>
        <v>0</v>
      </c>
      <c r="I160">
        <f t="shared" si="21"/>
        <v>0</v>
      </c>
      <c r="J160">
        <f t="shared" si="22"/>
        <v>0</v>
      </c>
      <c r="K160">
        <f t="shared" si="23"/>
        <v>0</v>
      </c>
      <c r="L160">
        <f t="shared" si="24"/>
        <v>0</v>
      </c>
      <c r="M160">
        <f t="shared" si="25"/>
        <v>0</v>
      </c>
      <c r="O160">
        <f t="shared" si="26"/>
        <v>0</v>
      </c>
      <c r="P160">
        <f t="shared" si="27"/>
        <v>0</v>
      </c>
      <c r="Q160">
        <f t="shared" si="28"/>
        <v>0</v>
      </c>
      <c r="R160">
        <f t="shared" si="29"/>
        <v>0</v>
      </c>
      <c r="S160">
        <f t="shared" si="30"/>
        <v>0</v>
      </c>
      <c r="U160">
        <f t="shared" si="31"/>
        <v>0</v>
      </c>
      <c r="V160">
        <f t="shared" si="32"/>
        <v>0</v>
      </c>
      <c r="W160">
        <f t="shared" si="33"/>
        <v>0</v>
      </c>
      <c r="X160">
        <f t="shared" si="34"/>
        <v>0</v>
      </c>
      <c r="Y160">
        <f t="shared" si="35"/>
        <v>0</v>
      </c>
      <c r="AA160">
        <f t="shared" si="36"/>
        <v>0</v>
      </c>
      <c r="AB160">
        <f t="shared" si="37"/>
        <v>0</v>
      </c>
      <c r="AC160">
        <f t="shared" si="38"/>
        <v>0</v>
      </c>
      <c r="AD160">
        <f t="shared" si="39"/>
        <v>0</v>
      </c>
      <c r="AE160">
        <f t="shared" si="40"/>
        <v>0</v>
      </c>
      <c r="AG160" s="109">
        <f t="shared" si="41"/>
        <v>44687</v>
      </c>
      <c r="AH160">
        <f>'Water Stuff'!I130*1000</f>
        <v>620</v>
      </c>
      <c r="AI160">
        <f>'Water Stuff'!Q130*1000</f>
        <v>620</v>
      </c>
      <c r="AJ160">
        <f>'Water Stuff'!Y130*1000</f>
        <v>620</v>
      </c>
      <c r="AK160">
        <f>'Water Stuff'!AG130*1000</f>
        <v>620</v>
      </c>
      <c r="AL160">
        <f>'Water Stuff'!AO130*1000</f>
        <v>620</v>
      </c>
    </row>
    <row r="161" spans="1:38">
      <c r="A161" s="109">
        <f>'Water Stuff'!F131</f>
        <v>44688</v>
      </c>
      <c r="B161">
        <f>IF( 'Water Stuff'!G131*1000 &gt;= 'Water Stuff'!$B$6*1000, 'Water Stuff'!$B$6*1000, 'Water Stuff'!G131*1000)</f>
        <v>0</v>
      </c>
      <c r="C161">
        <f>IF( 'Water Stuff'!O131*1000 &gt;= 'Water Stuff'!$B$6*1000, 'Water Stuff'!$B$6*1000, 'Water Stuff'!O131*1000)</f>
        <v>0</v>
      </c>
      <c r="D161">
        <f>IF( 'Water Stuff'!W131*1000 &gt;= 'Water Stuff'!$B$6*1000, 'Water Stuff'!$B$6*1000, 'Water Stuff'!W131*1000)</f>
        <v>0</v>
      </c>
      <c r="E161">
        <f>IF( 'Water Stuff'!AE131*1000 &gt;= 'Water Stuff'!$B$6*1000, 'Water Stuff'!$B$6*1000, 'Water Stuff'!AE131*1000)</f>
        <v>0</v>
      </c>
      <c r="F161">
        <f>IF('Water Stuff'!AM131*1000&gt;='Water Stuff'!$B$6*1000,'Water Stuff'!$B$6*1000,'Water Stuff'!AM131*1000)</f>
        <v>0</v>
      </c>
      <c r="I161">
        <f t="shared" si="21"/>
        <v>0</v>
      </c>
      <c r="J161">
        <f t="shared" si="22"/>
        <v>0</v>
      </c>
      <c r="K161">
        <f t="shared" si="23"/>
        <v>0</v>
      </c>
      <c r="L161">
        <f t="shared" si="24"/>
        <v>0</v>
      </c>
      <c r="M161">
        <f t="shared" si="25"/>
        <v>0</v>
      </c>
      <c r="O161">
        <f t="shared" si="26"/>
        <v>0</v>
      </c>
      <c r="P161">
        <f t="shared" si="27"/>
        <v>0</v>
      </c>
      <c r="Q161">
        <f t="shared" si="28"/>
        <v>0</v>
      </c>
      <c r="R161">
        <f t="shared" si="29"/>
        <v>0</v>
      </c>
      <c r="S161">
        <f t="shared" si="30"/>
        <v>0</v>
      </c>
      <c r="U161">
        <f t="shared" si="31"/>
        <v>0</v>
      </c>
      <c r="V161">
        <f t="shared" si="32"/>
        <v>0</v>
      </c>
      <c r="W161">
        <f t="shared" si="33"/>
        <v>0</v>
      </c>
      <c r="X161">
        <f t="shared" si="34"/>
        <v>0</v>
      </c>
      <c r="Y161">
        <f t="shared" si="35"/>
        <v>0</v>
      </c>
      <c r="AA161">
        <f t="shared" si="36"/>
        <v>0</v>
      </c>
      <c r="AB161">
        <f t="shared" si="37"/>
        <v>0</v>
      </c>
      <c r="AC161">
        <f t="shared" si="38"/>
        <v>0</v>
      </c>
      <c r="AD161">
        <f t="shared" si="39"/>
        <v>0</v>
      </c>
      <c r="AE161">
        <f t="shared" si="40"/>
        <v>0</v>
      </c>
      <c r="AG161" s="109">
        <f t="shared" si="41"/>
        <v>44688</v>
      </c>
      <c r="AH161">
        <f>'Water Stuff'!I131*1000</f>
        <v>620</v>
      </c>
      <c r="AI161">
        <f>'Water Stuff'!Q131*1000</f>
        <v>620</v>
      </c>
      <c r="AJ161">
        <f>'Water Stuff'!Y131*1000</f>
        <v>620</v>
      </c>
      <c r="AK161">
        <f>'Water Stuff'!AG131*1000</f>
        <v>620</v>
      </c>
      <c r="AL161">
        <f>'Water Stuff'!AO131*1000</f>
        <v>620</v>
      </c>
    </row>
    <row r="162" spans="1:38">
      <c r="A162" s="109">
        <f>'Water Stuff'!F132</f>
        <v>44689</v>
      </c>
      <c r="B162">
        <f>IF( 'Water Stuff'!G132*1000 &gt;= 'Water Stuff'!$B$6*1000, 'Water Stuff'!$B$6*1000, 'Water Stuff'!G132*1000)</f>
        <v>0</v>
      </c>
      <c r="C162">
        <f>IF( 'Water Stuff'!O132*1000 &gt;= 'Water Stuff'!$B$6*1000, 'Water Stuff'!$B$6*1000, 'Water Stuff'!O132*1000)</f>
        <v>0</v>
      </c>
      <c r="D162">
        <f>IF( 'Water Stuff'!W132*1000 &gt;= 'Water Stuff'!$B$6*1000, 'Water Stuff'!$B$6*1000, 'Water Stuff'!W132*1000)</f>
        <v>1166.6972611714596</v>
      </c>
      <c r="E162">
        <f>IF( 'Water Stuff'!AE132*1000 &gt;= 'Water Stuff'!$B$6*1000, 'Water Stuff'!$B$6*1000, 'Water Stuff'!AE132*1000)</f>
        <v>0</v>
      </c>
      <c r="F162">
        <f>IF('Water Stuff'!AM132*1000&gt;='Water Stuff'!$B$6*1000,'Water Stuff'!$B$6*1000,'Water Stuff'!AM132*1000)</f>
        <v>1280.9048479923763</v>
      </c>
      <c r="I162">
        <f t="shared" si="21"/>
        <v>0</v>
      </c>
      <c r="J162">
        <f t="shared" si="22"/>
        <v>0</v>
      </c>
      <c r="K162">
        <f t="shared" si="23"/>
        <v>11.666972611714595</v>
      </c>
      <c r="L162">
        <f t="shared" si="24"/>
        <v>0</v>
      </c>
      <c r="M162">
        <f t="shared" si="25"/>
        <v>12.809048479923764</v>
      </c>
      <c r="O162">
        <f t="shared" si="26"/>
        <v>0</v>
      </c>
      <c r="P162">
        <f t="shared" si="27"/>
        <v>0</v>
      </c>
      <c r="Q162">
        <f t="shared" si="28"/>
        <v>0.23333945223429192</v>
      </c>
      <c r="R162">
        <f t="shared" si="29"/>
        <v>0</v>
      </c>
      <c r="S162">
        <f t="shared" si="30"/>
        <v>0.25618096959847525</v>
      </c>
      <c r="U162">
        <f t="shared" si="31"/>
        <v>0</v>
      </c>
      <c r="V162">
        <f t="shared" si="32"/>
        <v>0</v>
      </c>
      <c r="W162">
        <f t="shared" si="33"/>
        <v>5.8334863058572983</v>
      </c>
      <c r="X162">
        <f t="shared" si="34"/>
        <v>0</v>
      </c>
      <c r="Y162">
        <f t="shared" si="35"/>
        <v>6.4045242399618818</v>
      </c>
      <c r="AA162">
        <f t="shared" si="36"/>
        <v>0</v>
      </c>
      <c r="AB162">
        <f t="shared" si="37"/>
        <v>0</v>
      </c>
      <c r="AC162">
        <f t="shared" si="38"/>
        <v>11.666972611714597</v>
      </c>
      <c r="AD162">
        <f t="shared" si="39"/>
        <v>0</v>
      </c>
      <c r="AE162">
        <f t="shared" si="40"/>
        <v>12.809048479923764</v>
      </c>
      <c r="AG162" s="109">
        <f t="shared" si="41"/>
        <v>44689</v>
      </c>
      <c r="AH162">
        <f>'Water Stuff'!I132*1000</f>
        <v>620</v>
      </c>
      <c r="AI162">
        <f>'Water Stuff'!Q132*1000</f>
        <v>620</v>
      </c>
      <c r="AJ162">
        <f>'Water Stuff'!Y132*1000</f>
        <v>620</v>
      </c>
      <c r="AK162">
        <f>'Water Stuff'!AG132*1000</f>
        <v>620</v>
      </c>
      <c r="AL162">
        <f>'Water Stuff'!AO132*1000</f>
        <v>620</v>
      </c>
    </row>
    <row r="163" spans="1:38">
      <c r="A163" s="109">
        <f>'Water Stuff'!F133</f>
        <v>44690</v>
      </c>
      <c r="B163">
        <f>IF( 'Water Stuff'!G133*1000 &gt;= 'Water Stuff'!$B$6*1000, 'Water Stuff'!$B$6*1000, 'Water Stuff'!G133*1000)</f>
        <v>0</v>
      </c>
      <c r="C163">
        <f>IF( 'Water Stuff'!O133*1000 &gt;= 'Water Stuff'!$B$6*1000, 'Water Stuff'!$B$6*1000, 'Water Stuff'!O133*1000)</f>
        <v>0</v>
      </c>
      <c r="D163">
        <f>IF( 'Water Stuff'!W133*1000 &gt;= 'Water Stuff'!$B$6*1000, 'Water Stuff'!$B$6*1000, 'Water Stuff'!W133*1000)</f>
        <v>1363.6347436762792</v>
      </c>
      <c r="E163">
        <f>IF( 'Water Stuff'!AE133*1000 &gt;= 'Water Stuff'!$B$6*1000, 'Water Stuff'!$B$6*1000, 'Water Stuff'!AE133*1000)</f>
        <v>0</v>
      </c>
      <c r="F163">
        <f>IF('Water Stuff'!AM133*1000&gt;='Water Stuff'!$B$6*1000,'Water Stuff'!$B$6*1000,'Water Stuff'!AM133*1000)</f>
        <v>2581.1263284901161</v>
      </c>
      <c r="I163">
        <f t="shared" ref="I163:I226" si="42">10*B163/1000</f>
        <v>0</v>
      </c>
      <c r="J163">
        <f t="shared" ref="J163:J226" si="43">10*C163/1000</f>
        <v>0</v>
      </c>
      <c r="K163">
        <f t="shared" ref="K163:K226" si="44">10*D163/1000</f>
        <v>13.636347436762792</v>
      </c>
      <c r="L163">
        <f t="shared" ref="L163:L226" si="45">10*E163/1000</f>
        <v>0</v>
      </c>
      <c r="M163">
        <f t="shared" ref="M163:M226" si="46">10*F163/1000</f>
        <v>25.811263284901159</v>
      </c>
      <c r="O163">
        <f t="shared" ref="O163:O226" si="47">I163*(100/5)/1000</f>
        <v>0</v>
      </c>
      <c r="P163">
        <f t="shared" ref="P163:P226" si="48">J163*100/5/1000</f>
        <v>0</v>
      </c>
      <c r="Q163">
        <f t="shared" ref="Q163:Q226" si="49">K163*100/5/1000</f>
        <v>0.27272694873525588</v>
      </c>
      <c r="R163">
        <f t="shared" ref="R163:R226" si="50">L163*100/5/1000</f>
        <v>0</v>
      </c>
      <c r="S163">
        <f t="shared" ref="S163:S226" si="51">M163*100/5/1000</f>
        <v>0.51622526569802318</v>
      </c>
      <c r="U163">
        <f t="shared" ref="U163:U226" si="52">$U$10/$L$12/1000*B163</f>
        <v>0</v>
      </c>
      <c r="V163">
        <f t="shared" ref="V163:V226" si="53">$U$10/$L$12/1000*C163</f>
        <v>0</v>
      </c>
      <c r="W163">
        <f t="shared" ref="W163:W226" si="54">$U$10/$L$12/1000*D163</f>
        <v>6.818173718381396</v>
      </c>
      <c r="X163">
        <f t="shared" ref="X163:X226" si="55">$U$10/$L$12/1000*E163</f>
        <v>0</v>
      </c>
      <c r="Y163">
        <f t="shared" ref="Y163:Y226" si="56">$U$10/$L$12/1000*F163</f>
        <v>12.905631642450581</v>
      </c>
      <c r="AA163">
        <f t="shared" ref="AA163:AA226" si="57">$U$14*U163</f>
        <v>0</v>
      </c>
      <c r="AB163">
        <f t="shared" ref="AB163:AB226" si="58">$U$14*V163</f>
        <v>0</v>
      </c>
      <c r="AC163">
        <f t="shared" ref="AC163:AC226" si="59">$U$14*W163</f>
        <v>13.636347436762792</v>
      </c>
      <c r="AD163">
        <f t="shared" ref="AD163:AD226" si="60">$U$14*X163</f>
        <v>0</v>
      </c>
      <c r="AE163">
        <f t="shared" ref="AE163:AE226" si="61">$U$14*Y163</f>
        <v>25.811263284901163</v>
      </c>
      <c r="AG163" s="109">
        <f t="shared" ref="AG163:AG226" si="62">A163</f>
        <v>44690</v>
      </c>
      <c r="AH163">
        <f>'Water Stuff'!I133*1000</f>
        <v>620</v>
      </c>
      <c r="AI163">
        <f>'Water Stuff'!Q133*1000</f>
        <v>620</v>
      </c>
      <c r="AJ163">
        <f>'Water Stuff'!Y133*1000</f>
        <v>620</v>
      </c>
      <c r="AK163">
        <f>'Water Stuff'!AG133*1000</f>
        <v>620</v>
      </c>
      <c r="AL163">
        <f>'Water Stuff'!AO133*1000</f>
        <v>620</v>
      </c>
    </row>
    <row r="164" spans="1:38">
      <c r="A164" s="109">
        <f>'Water Stuff'!F134</f>
        <v>44691</v>
      </c>
      <c r="B164">
        <f>IF( 'Water Stuff'!G134*1000 &gt;= 'Water Stuff'!$B$6*1000, 'Water Stuff'!$B$6*1000, 'Water Stuff'!G134*1000)</f>
        <v>40</v>
      </c>
      <c r="C164">
        <f>IF( 'Water Stuff'!O134*1000 &gt;= 'Water Stuff'!$B$6*1000, 'Water Stuff'!$B$6*1000, 'Water Stuff'!O134*1000)</f>
        <v>80</v>
      </c>
      <c r="D164">
        <f>IF( 'Water Stuff'!W134*1000 &gt;= 'Water Stuff'!$B$6*1000, 'Water Stuff'!$B$6*1000, 'Water Stuff'!W134*1000)</f>
        <v>1697.4428090681163</v>
      </c>
      <c r="E164">
        <f>IF( 'Water Stuff'!AE134*1000 &gt;= 'Water Stuff'!$B$6*1000, 'Water Stuff'!$B$6*1000, 'Water Stuff'!AE134*1000)</f>
        <v>1336.1844554718016</v>
      </c>
      <c r="F164">
        <f>IF('Water Stuff'!AM134*1000&gt;='Water Stuff'!$B$6*1000,'Water Stuff'!$B$6*1000,'Water Stuff'!AM134*1000)</f>
        <v>1417.2257116378953</v>
      </c>
      <c r="I164">
        <f t="shared" si="42"/>
        <v>0.4</v>
      </c>
      <c r="J164">
        <f t="shared" si="43"/>
        <v>0.8</v>
      </c>
      <c r="K164">
        <f t="shared" si="44"/>
        <v>16.974428090681162</v>
      </c>
      <c r="L164">
        <f t="shared" si="45"/>
        <v>13.361844554718017</v>
      </c>
      <c r="M164">
        <f t="shared" si="46"/>
        <v>14.172257116378953</v>
      </c>
      <c r="O164">
        <f t="shared" si="47"/>
        <v>8.0000000000000002E-3</v>
      </c>
      <c r="P164">
        <f t="shared" si="48"/>
        <v>1.6E-2</v>
      </c>
      <c r="Q164">
        <f t="shared" si="49"/>
        <v>0.3394885618136233</v>
      </c>
      <c r="R164">
        <f t="shared" si="50"/>
        <v>0.26723689109436033</v>
      </c>
      <c r="S164">
        <f t="shared" si="51"/>
        <v>0.28344514232757906</v>
      </c>
      <c r="U164">
        <f t="shared" si="52"/>
        <v>0.2</v>
      </c>
      <c r="V164">
        <f t="shared" si="53"/>
        <v>0.4</v>
      </c>
      <c r="W164">
        <f t="shared" si="54"/>
        <v>8.4872140453405809</v>
      </c>
      <c r="X164">
        <f t="shared" si="55"/>
        <v>6.6809222773590085</v>
      </c>
      <c r="Y164">
        <f t="shared" si="56"/>
        <v>7.0861285581894764</v>
      </c>
      <c r="AA164">
        <f t="shared" si="57"/>
        <v>0.4</v>
      </c>
      <c r="AB164">
        <f t="shared" si="58"/>
        <v>0.8</v>
      </c>
      <c r="AC164">
        <f t="shared" si="59"/>
        <v>16.974428090681162</v>
      </c>
      <c r="AD164">
        <f t="shared" si="60"/>
        <v>13.361844554718017</v>
      </c>
      <c r="AE164">
        <f t="shared" si="61"/>
        <v>14.172257116378953</v>
      </c>
      <c r="AG164" s="109">
        <f t="shared" si="62"/>
        <v>44691</v>
      </c>
      <c r="AH164">
        <f>'Water Stuff'!I134*1000</f>
        <v>620</v>
      </c>
      <c r="AI164">
        <f>'Water Stuff'!Q134*1000</f>
        <v>620</v>
      </c>
      <c r="AJ164">
        <f>'Water Stuff'!Y134*1000</f>
        <v>620</v>
      </c>
      <c r="AK164">
        <f>'Water Stuff'!AG134*1000</f>
        <v>620</v>
      </c>
      <c r="AL164">
        <f>'Water Stuff'!AO134*1000</f>
        <v>620</v>
      </c>
    </row>
    <row r="165" spans="1:38">
      <c r="A165" s="109">
        <f>'Water Stuff'!F135</f>
        <v>44692</v>
      </c>
      <c r="B165">
        <f>IF( 'Water Stuff'!G135*1000 &gt;= 'Water Stuff'!$B$6*1000, 'Water Stuff'!$B$6*1000, 'Water Stuff'!G135*1000)</f>
        <v>0</v>
      </c>
      <c r="C165">
        <f>IF( 'Water Stuff'!O135*1000 &gt;= 'Water Stuff'!$B$6*1000, 'Water Stuff'!$B$6*1000, 'Water Stuff'!O135*1000)</f>
        <v>0</v>
      </c>
      <c r="D165">
        <f>IF( 'Water Stuff'!W135*1000 &gt;= 'Water Stuff'!$B$6*1000, 'Water Stuff'!$B$6*1000, 'Water Stuff'!W135*1000)</f>
        <v>983.01690968277296</v>
      </c>
      <c r="E165">
        <f>IF( 'Water Stuff'!AE135*1000 &gt;= 'Water Stuff'!$B$6*1000, 'Water Stuff'!$B$6*1000, 'Water Stuff'!AE135*1000)</f>
        <v>0</v>
      </c>
      <c r="F165">
        <f>IF('Water Stuff'!AM135*1000&gt;='Water Stuff'!$B$6*1000,'Water Stuff'!$B$6*1000,'Water Stuff'!AM135*1000)</f>
        <v>0</v>
      </c>
      <c r="I165">
        <f t="shared" si="42"/>
        <v>0</v>
      </c>
      <c r="J165">
        <f t="shared" si="43"/>
        <v>0</v>
      </c>
      <c r="K165">
        <f t="shared" si="44"/>
        <v>9.8301690968277295</v>
      </c>
      <c r="L165">
        <f t="shared" si="45"/>
        <v>0</v>
      </c>
      <c r="M165">
        <f t="shared" si="46"/>
        <v>0</v>
      </c>
      <c r="O165">
        <f t="shared" si="47"/>
        <v>0</v>
      </c>
      <c r="P165">
        <f t="shared" si="48"/>
        <v>0</v>
      </c>
      <c r="Q165">
        <f t="shared" si="49"/>
        <v>0.19660338193655461</v>
      </c>
      <c r="R165">
        <f t="shared" si="50"/>
        <v>0</v>
      </c>
      <c r="S165">
        <f t="shared" si="51"/>
        <v>0</v>
      </c>
      <c r="U165">
        <f t="shared" si="52"/>
        <v>0</v>
      </c>
      <c r="V165">
        <f t="shared" si="53"/>
        <v>0</v>
      </c>
      <c r="W165">
        <f t="shared" si="54"/>
        <v>4.9150845484138648</v>
      </c>
      <c r="X165">
        <f t="shared" si="55"/>
        <v>0</v>
      </c>
      <c r="Y165">
        <f t="shared" si="56"/>
        <v>0</v>
      </c>
      <c r="AA165">
        <f t="shared" si="57"/>
        <v>0</v>
      </c>
      <c r="AB165">
        <f t="shared" si="58"/>
        <v>0</v>
      </c>
      <c r="AC165">
        <f t="shared" si="59"/>
        <v>9.8301690968277295</v>
      </c>
      <c r="AD165">
        <f t="shared" si="60"/>
        <v>0</v>
      </c>
      <c r="AE165">
        <f t="shared" si="61"/>
        <v>0</v>
      </c>
      <c r="AG165" s="109">
        <f t="shared" si="62"/>
        <v>44692</v>
      </c>
      <c r="AH165">
        <f>'Water Stuff'!I135*1000</f>
        <v>620</v>
      </c>
      <c r="AI165">
        <f>'Water Stuff'!Q135*1000</f>
        <v>620</v>
      </c>
      <c r="AJ165">
        <f>'Water Stuff'!Y135*1000</f>
        <v>620</v>
      </c>
      <c r="AK165">
        <f>'Water Stuff'!AG135*1000</f>
        <v>620</v>
      </c>
      <c r="AL165">
        <f>'Water Stuff'!AO135*1000</f>
        <v>620</v>
      </c>
    </row>
    <row r="166" spans="1:38">
      <c r="A166" s="109">
        <f>'Water Stuff'!F136</f>
        <v>44693</v>
      </c>
      <c r="B166">
        <f>IF( 'Water Stuff'!G136*1000 &gt;= 'Water Stuff'!$B$6*1000, 'Water Stuff'!$B$6*1000, 'Water Stuff'!G136*1000)</f>
        <v>40</v>
      </c>
      <c r="C166">
        <f>IF( 'Water Stuff'!O136*1000 &gt;= 'Water Stuff'!$B$6*1000, 'Water Stuff'!$B$6*1000, 'Water Stuff'!O136*1000)</f>
        <v>0</v>
      </c>
      <c r="D166">
        <f>IF( 'Water Stuff'!W136*1000 &gt;= 'Water Stuff'!$B$6*1000, 'Water Stuff'!$B$6*1000, 'Water Stuff'!W136*1000)</f>
        <v>0</v>
      </c>
      <c r="E166">
        <f>IF( 'Water Stuff'!AE136*1000 &gt;= 'Water Stuff'!$B$6*1000, 'Water Stuff'!$B$6*1000, 'Water Stuff'!AE136*1000)</f>
        <v>0</v>
      </c>
      <c r="F166">
        <f>IF('Water Stuff'!AM136*1000&gt;='Water Stuff'!$B$6*1000,'Water Stuff'!$B$6*1000,'Water Stuff'!AM136*1000)</f>
        <v>0</v>
      </c>
      <c r="I166">
        <f t="shared" si="42"/>
        <v>0.4</v>
      </c>
      <c r="J166">
        <f t="shared" si="43"/>
        <v>0</v>
      </c>
      <c r="K166">
        <f t="shared" si="44"/>
        <v>0</v>
      </c>
      <c r="L166">
        <f t="shared" si="45"/>
        <v>0</v>
      </c>
      <c r="M166">
        <f t="shared" si="46"/>
        <v>0</v>
      </c>
      <c r="O166">
        <f t="shared" si="47"/>
        <v>8.0000000000000002E-3</v>
      </c>
      <c r="P166">
        <f t="shared" si="48"/>
        <v>0</v>
      </c>
      <c r="Q166">
        <f t="shared" si="49"/>
        <v>0</v>
      </c>
      <c r="R166">
        <f t="shared" si="50"/>
        <v>0</v>
      </c>
      <c r="S166">
        <f t="shared" si="51"/>
        <v>0</v>
      </c>
      <c r="U166">
        <f t="shared" si="52"/>
        <v>0.2</v>
      </c>
      <c r="V166">
        <f t="shared" si="53"/>
        <v>0</v>
      </c>
      <c r="W166">
        <f t="shared" si="54"/>
        <v>0</v>
      </c>
      <c r="X166">
        <f t="shared" si="55"/>
        <v>0</v>
      </c>
      <c r="Y166">
        <f t="shared" si="56"/>
        <v>0</v>
      </c>
      <c r="AA166">
        <f t="shared" si="57"/>
        <v>0.4</v>
      </c>
      <c r="AB166">
        <f t="shared" si="58"/>
        <v>0</v>
      </c>
      <c r="AC166">
        <f t="shared" si="59"/>
        <v>0</v>
      </c>
      <c r="AD166">
        <f t="shared" si="60"/>
        <v>0</v>
      </c>
      <c r="AE166">
        <f t="shared" si="61"/>
        <v>0</v>
      </c>
      <c r="AG166" s="109">
        <f t="shared" si="62"/>
        <v>44693</v>
      </c>
      <c r="AH166">
        <f>'Water Stuff'!I136*1000</f>
        <v>620</v>
      </c>
      <c r="AI166">
        <f>'Water Stuff'!Q136*1000</f>
        <v>620</v>
      </c>
      <c r="AJ166">
        <f>'Water Stuff'!Y136*1000</f>
        <v>620</v>
      </c>
      <c r="AK166">
        <f>'Water Stuff'!AG136*1000</f>
        <v>620</v>
      </c>
      <c r="AL166">
        <f>'Water Stuff'!AO136*1000</f>
        <v>620</v>
      </c>
    </row>
    <row r="167" spans="1:38">
      <c r="A167" s="109">
        <f>'Water Stuff'!F137</f>
        <v>44694</v>
      </c>
      <c r="B167">
        <f>IF( 'Water Stuff'!G137*1000 &gt;= 'Water Stuff'!$B$6*1000, 'Water Stuff'!$B$6*1000, 'Water Stuff'!G137*1000)</f>
        <v>0</v>
      </c>
      <c r="C167">
        <f>IF( 'Water Stuff'!O137*1000 &gt;= 'Water Stuff'!$B$6*1000, 'Water Stuff'!$B$6*1000, 'Water Stuff'!O137*1000)</f>
        <v>0</v>
      </c>
      <c r="D167">
        <f>IF( 'Water Stuff'!W137*1000 &gt;= 'Water Stuff'!$B$6*1000, 'Water Stuff'!$B$6*1000, 'Water Stuff'!W137*1000)</f>
        <v>1313.2563916554368</v>
      </c>
      <c r="E167">
        <f>IF( 'Water Stuff'!AE137*1000 &gt;= 'Water Stuff'!$B$6*1000, 'Water Stuff'!$B$6*1000, 'Water Stuff'!AE137*1000)</f>
        <v>0</v>
      </c>
      <c r="F167">
        <f>IF('Water Stuff'!AM137*1000&gt;='Water Stuff'!$B$6*1000,'Water Stuff'!$B$6*1000,'Water Stuff'!AM137*1000)</f>
        <v>2137.0334140167097</v>
      </c>
      <c r="I167">
        <f t="shared" si="42"/>
        <v>0</v>
      </c>
      <c r="J167">
        <f t="shared" si="43"/>
        <v>0</v>
      </c>
      <c r="K167">
        <f t="shared" si="44"/>
        <v>13.132563916554369</v>
      </c>
      <c r="L167">
        <f t="shared" si="45"/>
        <v>0</v>
      </c>
      <c r="M167">
        <f t="shared" si="46"/>
        <v>21.370334140167099</v>
      </c>
      <c r="O167">
        <f t="shared" si="47"/>
        <v>0</v>
      </c>
      <c r="P167">
        <f t="shared" si="48"/>
        <v>0</v>
      </c>
      <c r="Q167">
        <f t="shared" si="49"/>
        <v>0.26265127833108737</v>
      </c>
      <c r="R167">
        <f t="shared" si="50"/>
        <v>0</v>
      </c>
      <c r="S167">
        <f t="shared" si="51"/>
        <v>0.42740668280334193</v>
      </c>
      <c r="U167">
        <f t="shared" si="52"/>
        <v>0</v>
      </c>
      <c r="V167">
        <f t="shared" si="53"/>
        <v>0</v>
      </c>
      <c r="W167">
        <f t="shared" si="54"/>
        <v>6.5662819582771839</v>
      </c>
      <c r="X167">
        <f t="shared" si="55"/>
        <v>0</v>
      </c>
      <c r="Y167">
        <f t="shared" si="56"/>
        <v>10.685167070083549</v>
      </c>
      <c r="AA167">
        <f t="shared" si="57"/>
        <v>0</v>
      </c>
      <c r="AB167">
        <f t="shared" si="58"/>
        <v>0</v>
      </c>
      <c r="AC167">
        <f t="shared" si="59"/>
        <v>13.132563916554368</v>
      </c>
      <c r="AD167">
        <f t="shared" si="60"/>
        <v>0</v>
      </c>
      <c r="AE167">
        <f t="shared" si="61"/>
        <v>21.370334140167099</v>
      </c>
      <c r="AG167" s="109">
        <f t="shared" si="62"/>
        <v>44694</v>
      </c>
      <c r="AH167">
        <f>'Water Stuff'!I137*1000</f>
        <v>620</v>
      </c>
      <c r="AI167">
        <f>'Water Stuff'!Q137*1000</f>
        <v>620</v>
      </c>
      <c r="AJ167">
        <f>'Water Stuff'!Y137*1000</f>
        <v>620</v>
      </c>
      <c r="AK167">
        <f>'Water Stuff'!AG137*1000</f>
        <v>620</v>
      </c>
      <c r="AL167">
        <f>'Water Stuff'!AO137*1000</f>
        <v>620</v>
      </c>
    </row>
    <row r="168" spans="1:38">
      <c r="A168" s="109">
        <f>'Water Stuff'!F138</f>
        <v>44695</v>
      </c>
      <c r="B168">
        <f>IF( 'Water Stuff'!G138*1000 &gt;= 'Water Stuff'!$B$6*1000, 'Water Stuff'!$B$6*1000, 'Water Stuff'!G138*1000)</f>
        <v>0</v>
      </c>
      <c r="C168">
        <f>IF( 'Water Stuff'!O138*1000 &gt;= 'Water Stuff'!$B$6*1000, 'Water Stuff'!$B$6*1000, 'Water Stuff'!O138*1000)</f>
        <v>0</v>
      </c>
      <c r="D168">
        <f>IF( 'Water Stuff'!W138*1000 &gt;= 'Water Stuff'!$B$6*1000, 'Water Stuff'!$B$6*1000, 'Water Stuff'!W138*1000)</f>
        <v>0</v>
      </c>
      <c r="E168">
        <f>IF( 'Water Stuff'!AE138*1000 &gt;= 'Water Stuff'!$B$6*1000, 'Water Stuff'!$B$6*1000, 'Water Stuff'!AE138*1000)</f>
        <v>1591.2616075788821</v>
      </c>
      <c r="F168">
        <f>IF('Water Stuff'!AM138*1000&gt;='Water Stuff'!$B$6*1000,'Water Stuff'!$B$6*1000,'Water Stuff'!AM138*1000)</f>
        <v>0</v>
      </c>
      <c r="I168">
        <f t="shared" si="42"/>
        <v>0</v>
      </c>
      <c r="J168">
        <f t="shared" si="43"/>
        <v>0</v>
      </c>
      <c r="K168">
        <f t="shared" si="44"/>
        <v>0</v>
      </c>
      <c r="L168">
        <f t="shared" si="45"/>
        <v>15.91261607578882</v>
      </c>
      <c r="M168">
        <f t="shared" si="46"/>
        <v>0</v>
      </c>
      <c r="O168">
        <f t="shared" si="47"/>
        <v>0</v>
      </c>
      <c r="P168">
        <f t="shared" si="48"/>
        <v>0</v>
      </c>
      <c r="Q168">
        <f t="shared" si="49"/>
        <v>0</v>
      </c>
      <c r="R168">
        <f t="shared" si="50"/>
        <v>0.31825232151577643</v>
      </c>
      <c r="S168">
        <f t="shared" si="51"/>
        <v>0</v>
      </c>
      <c r="U168">
        <f t="shared" si="52"/>
        <v>0</v>
      </c>
      <c r="V168">
        <f t="shared" si="53"/>
        <v>0</v>
      </c>
      <c r="W168">
        <f t="shared" si="54"/>
        <v>0</v>
      </c>
      <c r="X168">
        <f t="shared" si="55"/>
        <v>7.9563080378944111</v>
      </c>
      <c r="Y168">
        <f t="shared" si="56"/>
        <v>0</v>
      </c>
      <c r="AA168">
        <f t="shared" si="57"/>
        <v>0</v>
      </c>
      <c r="AB168">
        <f t="shared" si="58"/>
        <v>0</v>
      </c>
      <c r="AC168">
        <f t="shared" si="59"/>
        <v>0</v>
      </c>
      <c r="AD168">
        <f t="shared" si="60"/>
        <v>15.912616075788822</v>
      </c>
      <c r="AE168">
        <f t="shared" si="61"/>
        <v>0</v>
      </c>
      <c r="AG168" s="109">
        <f t="shared" si="62"/>
        <v>44695</v>
      </c>
      <c r="AH168">
        <f>'Water Stuff'!I138*1000</f>
        <v>620</v>
      </c>
      <c r="AI168">
        <f>'Water Stuff'!Q138*1000</f>
        <v>620</v>
      </c>
      <c r="AJ168">
        <f>'Water Stuff'!Y138*1000</f>
        <v>620</v>
      </c>
      <c r="AK168">
        <f>'Water Stuff'!AG138*1000</f>
        <v>620</v>
      </c>
      <c r="AL168">
        <f>'Water Stuff'!AO138*1000</f>
        <v>620</v>
      </c>
    </row>
    <row r="169" spans="1:38">
      <c r="A169" s="109">
        <f>'Water Stuff'!F139</f>
        <v>44696</v>
      </c>
      <c r="B169">
        <f>IF( 'Water Stuff'!G139*1000 &gt;= 'Water Stuff'!$B$6*1000, 'Water Stuff'!$B$6*1000, 'Water Stuff'!G139*1000)</f>
        <v>0</v>
      </c>
      <c r="C169">
        <f>IF( 'Water Stuff'!O139*1000 &gt;= 'Water Stuff'!$B$6*1000, 'Water Stuff'!$B$6*1000, 'Water Stuff'!O139*1000)</f>
        <v>0</v>
      </c>
      <c r="D169">
        <f>IF( 'Water Stuff'!W139*1000 &gt;= 'Water Stuff'!$B$6*1000, 'Water Stuff'!$B$6*1000, 'Water Stuff'!W139*1000)</f>
        <v>0</v>
      </c>
      <c r="E169">
        <f>IF( 'Water Stuff'!AE139*1000 &gt;= 'Water Stuff'!$B$6*1000, 'Water Stuff'!$B$6*1000, 'Water Stuff'!AE139*1000)</f>
        <v>0</v>
      </c>
      <c r="F169">
        <f>IF('Water Stuff'!AM139*1000&gt;='Water Stuff'!$B$6*1000,'Water Stuff'!$B$6*1000,'Water Stuff'!AM139*1000)</f>
        <v>0</v>
      </c>
      <c r="I169">
        <f t="shared" si="42"/>
        <v>0</v>
      </c>
      <c r="J169">
        <f t="shared" si="43"/>
        <v>0</v>
      </c>
      <c r="K169">
        <f t="shared" si="44"/>
        <v>0</v>
      </c>
      <c r="L169">
        <f t="shared" si="45"/>
        <v>0</v>
      </c>
      <c r="M169">
        <f t="shared" si="46"/>
        <v>0</v>
      </c>
      <c r="O169">
        <f t="shared" si="47"/>
        <v>0</v>
      </c>
      <c r="P169">
        <f t="shared" si="48"/>
        <v>0</v>
      </c>
      <c r="Q169">
        <f t="shared" si="49"/>
        <v>0</v>
      </c>
      <c r="R169">
        <f t="shared" si="50"/>
        <v>0</v>
      </c>
      <c r="S169">
        <f t="shared" si="51"/>
        <v>0</v>
      </c>
      <c r="U169">
        <f t="shared" si="52"/>
        <v>0</v>
      </c>
      <c r="V169">
        <f t="shared" si="53"/>
        <v>0</v>
      </c>
      <c r="W169">
        <f t="shared" si="54"/>
        <v>0</v>
      </c>
      <c r="X169">
        <f t="shared" si="55"/>
        <v>0</v>
      </c>
      <c r="Y169">
        <f t="shared" si="56"/>
        <v>0</v>
      </c>
      <c r="AA169">
        <f t="shared" si="57"/>
        <v>0</v>
      </c>
      <c r="AB169">
        <f t="shared" si="58"/>
        <v>0</v>
      </c>
      <c r="AC169">
        <f t="shared" si="59"/>
        <v>0</v>
      </c>
      <c r="AD169">
        <f t="shared" si="60"/>
        <v>0</v>
      </c>
      <c r="AE169">
        <f t="shared" si="61"/>
        <v>0</v>
      </c>
      <c r="AG169" s="109">
        <f t="shared" si="62"/>
        <v>44696</v>
      </c>
      <c r="AH169">
        <f>'Water Stuff'!I139*1000</f>
        <v>620</v>
      </c>
      <c r="AI169">
        <f>'Water Stuff'!Q139*1000</f>
        <v>620</v>
      </c>
      <c r="AJ169">
        <f>'Water Stuff'!Y139*1000</f>
        <v>620</v>
      </c>
      <c r="AK169">
        <f>'Water Stuff'!AG139*1000</f>
        <v>620</v>
      </c>
      <c r="AL169">
        <f>'Water Stuff'!AO139*1000</f>
        <v>620</v>
      </c>
    </row>
    <row r="170" spans="1:38">
      <c r="A170" s="109">
        <f>'Water Stuff'!F140</f>
        <v>44697</v>
      </c>
      <c r="B170">
        <f>IF( 'Water Stuff'!G140*1000 &gt;= 'Water Stuff'!$B$6*1000, 'Water Stuff'!$B$6*1000, 'Water Stuff'!G140*1000)</f>
        <v>560</v>
      </c>
      <c r="C170">
        <f>IF( 'Water Stuff'!O140*1000 &gt;= 'Water Stuff'!$B$6*1000, 'Water Stuff'!$B$6*1000, 'Water Stuff'!O140*1000)</f>
        <v>40</v>
      </c>
      <c r="D170">
        <f>IF( 'Water Stuff'!W140*1000 &gt;= 'Water Stuff'!$B$6*1000, 'Water Stuff'!$B$6*1000, 'Water Stuff'!W140*1000)</f>
        <v>496.15866747127325</v>
      </c>
      <c r="E170">
        <f>IF( 'Water Stuff'!AE140*1000 &gt;= 'Water Stuff'!$B$6*1000, 'Water Stuff'!$B$6*1000, 'Water Stuff'!AE140*1000)</f>
        <v>0</v>
      </c>
      <c r="F170">
        <f>IF('Water Stuff'!AM140*1000&gt;='Water Stuff'!$B$6*1000,'Water Stuff'!$B$6*1000,'Water Stuff'!AM140*1000)</f>
        <v>0</v>
      </c>
      <c r="I170">
        <f t="shared" si="42"/>
        <v>5.6</v>
      </c>
      <c r="J170">
        <f t="shared" si="43"/>
        <v>0.4</v>
      </c>
      <c r="K170">
        <f t="shared" si="44"/>
        <v>4.9615866747127333</v>
      </c>
      <c r="L170">
        <f t="shared" si="45"/>
        <v>0</v>
      </c>
      <c r="M170">
        <f t="shared" si="46"/>
        <v>0</v>
      </c>
      <c r="O170">
        <f t="shared" si="47"/>
        <v>0.112</v>
      </c>
      <c r="P170">
        <f t="shared" si="48"/>
        <v>8.0000000000000002E-3</v>
      </c>
      <c r="Q170">
        <f t="shared" si="49"/>
        <v>9.9231733494254654E-2</v>
      </c>
      <c r="R170">
        <f t="shared" si="50"/>
        <v>0</v>
      </c>
      <c r="S170">
        <f t="shared" si="51"/>
        <v>0</v>
      </c>
      <c r="U170">
        <f t="shared" si="52"/>
        <v>2.8000000000000003</v>
      </c>
      <c r="V170">
        <f t="shared" si="53"/>
        <v>0.2</v>
      </c>
      <c r="W170">
        <f t="shared" si="54"/>
        <v>2.4807933373563662</v>
      </c>
      <c r="X170">
        <f t="shared" si="55"/>
        <v>0</v>
      </c>
      <c r="Y170">
        <f t="shared" si="56"/>
        <v>0</v>
      </c>
      <c r="AA170">
        <f t="shared" si="57"/>
        <v>5.6000000000000005</v>
      </c>
      <c r="AB170">
        <f t="shared" si="58"/>
        <v>0.4</v>
      </c>
      <c r="AC170">
        <f t="shared" si="59"/>
        <v>4.9615866747127324</v>
      </c>
      <c r="AD170">
        <f t="shared" si="60"/>
        <v>0</v>
      </c>
      <c r="AE170">
        <f t="shared" si="61"/>
        <v>0</v>
      </c>
      <c r="AG170" s="109">
        <f t="shared" si="62"/>
        <v>44697</v>
      </c>
      <c r="AH170">
        <f>'Water Stuff'!I140*1000</f>
        <v>620</v>
      </c>
      <c r="AI170">
        <f>'Water Stuff'!Q140*1000</f>
        <v>620</v>
      </c>
      <c r="AJ170">
        <f>'Water Stuff'!Y140*1000</f>
        <v>620</v>
      </c>
      <c r="AK170">
        <f>'Water Stuff'!AG140*1000</f>
        <v>620</v>
      </c>
      <c r="AL170">
        <f>'Water Stuff'!AO140*1000</f>
        <v>620</v>
      </c>
    </row>
    <row r="171" spans="1:38">
      <c r="A171" s="109">
        <f>'Water Stuff'!F141</f>
        <v>44698</v>
      </c>
      <c r="B171">
        <f>IF( 'Water Stuff'!G141*1000 &gt;= 'Water Stuff'!$B$6*1000, 'Water Stuff'!$B$6*1000, 'Water Stuff'!G141*1000)</f>
        <v>0</v>
      </c>
      <c r="C171">
        <f>IF( 'Water Stuff'!O141*1000 &gt;= 'Water Stuff'!$B$6*1000, 'Water Stuff'!$B$6*1000, 'Water Stuff'!O141*1000)</f>
        <v>0</v>
      </c>
      <c r="D171">
        <f>IF( 'Water Stuff'!W141*1000 &gt;= 'Water Stuff'!$B$6*1000, 'Water Stuff'!$B$6*1000, 'Water Stuff'!W141*1000)</f>
        <v>0</v>
      </c>
      <c r="E171">
        <f>IF( 'Water Stuff'!AE141*1000 &gt;= 'Water Stuff'!$B$6*1000, 'Water Stuff'!$B$6*1000, 'Water Stuff'!AE141*1000)</f>
        <v>0</v>
      </c>
      <c r="F171">
        <f>IF('Water Stuff'!AM141*1000&gt;='Water Stuff'!$B$6*1000,'Water Stuff'!$B$6*1000,'Water Stuff'!AM141*1000)</f>
        <v>0</v>
      </c>
      <c r="I171">
        <f t="shared" si="42"/>
        <v>0</v>
      </c>
      <c r="J171">
        <f t="shared" si="43"/>
        <v>0</v>
      </c>
      <c r="K171">
        <f t="shared" si="44"/>
        <v>0</v>
      </c>
      <c r="L171">
        <f t="shared" si="45"/>
        <v>0</v>
      </c>
      <c r="M171">
        <f t="shared" si="46"/>
        <v>0</v>
      </c>
      <c r="O171">
        <f t="shared" si="47"/>
        <v>0</v>
      </c>
      <c r="P171">
        <f t="shared" si="48"/>
        <v>0</v>
      </c>
      <c r="Q171">
        <f t="shared" si="49"/>
        <v>0</v>
      </c>
      <c r="R171">
        <f t="shared" si="50"/>
        <v>0</v>
      </c>
      <c r="S171">
        <f t="shared" si="51"/>
        <v>0</v>
      </c>
      <c r="U171">
        <f t="shared" si="52"/>
        <v>0</v>
      </c>
      <c r="V171">
        <f t="shared" si="53"/>
        <v>0</v>
      </c>
      <c r="W171">
        <f t="shared" si="54"/>
        <v>0</v>
      </c>
      <c r="X171">
        <f t="shared" si="55"/>
        <v>0</v>
      </c>
      <c r="Y171">
        <f t="shared" si="56"/>
        <v>0</v>
      </c>
      <c r="AA171">
        <f t="shared" si="57"/>
        <v>0</v>
      </c>
      <c r="AB171">
        <f t="shared" si="58"/>
        <v>0</v>
      </c>
      <c r="AC171">
        <f t="shared" si="59"/>
        <v>0</v>
      </c>
      <c r="AD171">
        <f t="shared" si="60"/>
        <v>0</v>
      </c>
      <c r="AE171">
        <f t="shared" si="61"/>
        <v>0</v>
      </c>
      <c r="AG171" s="109">
        <f t="shared" si="62"/>
        <v>44698</v>
      </c>
      <c r="AH171">
        <f>'Water Stuff'!I141*1000</f>
        <v>620</v>
      </c>
      <c r="AI171">
        <f>'Water Stuff'!Q141*1000</f>
        <v>620</v>
      </c>
      <c r="AJ171">
        <f>'Water Stuff'!Y141*1000</f>
        <v>620</v>
      </c>
      <c r="AK171">
        <f>'Water Stuff'!AG141*1000</f>
        <v>620</v>
      </c>
      <c r="AL171">
        <f>'Water Stuff'!AO141*1000</f>
        <v>620</v>
      </c>
    </row>
    <row r="172" spans="1:38">
      <c r="A172" s="109">
        <f>'Water Stuff'!F142</f>
        <v>44699</v>
      </c>
      <c r="B172">
        <f>IF( 'Water Stuff'!G142*1000 &gt;= 'Water Stuff'!$B$6*1000, 'Water Stuff'!$B$6*1000, 'Water Stuff'!G142*1000)</f>
        <v>0</v>
      </c>
      <c r="C172">
        <f>IF( 'Water Stuff'!O142*1000 &gt;= 'Water Stuff'!$B$6*1000, 'Water Stuff'!$B$6*1000, 'Water Stuff'!O142*1000)</f>
        <v>0</v>
      </c>
      <c r="D172">
        <f>IF( 'Water Stuff'!W142*1000 &gt;= 'Water Stuff'!$B$6*1000, 'Water Stuff'!$B$6*1000, 'Water Stuff'!W142*1000)</f>
        <v>1269.618419078239</v>
      </c>
      <c r="E172">
        <f>IF( 'Water Stuff'!AE142*1000 &gt;= 'Water Stuff'!$B$6*1000, 'Water Stuff'!$B$6*1000, 'Water Stuff'!AE142*1000)</f>
        <v>0</v>
      </c>
      <c r="F172">
        <f>IF('Water Stuff'!AM142*1000&gt;='Water Stuff'!$B$6*1000,'Water Stuff'!$B$6*1000,'Water Stuff'!AM142*1000)</f>
        <v>1275.6470699668482</v>
      </c>
      <c r="I172">
        <f t="shared" si="42"/>
        <v>0</v>
      </c>
      <c r="J172">
        <f t="shared" si="43"/>
        <v>0</v>
      </c>
      <c r="K172">
        <f t="shared" si="44"/>
        <v>12.69618419078239</v>
      </c>
      <c r="L172">
        <f t="shared" si="45"/>
        <v>0</v>
      </c>
      <c r="M172">
        <f t="shared" si="46"/>
        <v>12.756470699668482</v>
      </c>
      <c r="O172">
        <f t="shared" si="47"/>
        <v>0</v>
      </c>
      <c r="P172">
        <f t="shared" si="48"/>
        <v>0</v>
      </c>
      <c r="Q172">
        <f t="shared" si="49"/>
        <v>0.25392368381564778</v>
      </c>
      <c r="R172">
        <f t="shared" si="50"/>
        <v>0</v>
      </c>
      <c r="S172">
        <f t="shared" si="51"/>
        <v>0.25512941399336964</v>
      </c>
      <c r="U172">
        <f t="shared" si="52"/>
        <v>0</v>
      </c>
      <c r="V172">
        <f t="shared" si="53"/>
        <v>0</v>
      </c>
      <c r="W172">
        <f t="shared" si="54"/>
        <v>6.3480920953911948</v>
      </c>
      <c r="X172">
        <f t="shared" si="55"/>
        <v>0</v>
      </c>
      <c r="Y172">
        <f t="shared" si="56"/>
        <v>6.3782353498342417</v>
      </c>
      <c r="AA172">
        <f t="shared" si="57"/>
        <v>0</v>
      </c>
      <c r="AB172">
        <f t="shared" si="58"/>
        <v>0</v>
      </c>
      <c r="AC172">
        <f t="shared" si="59"/>
        <v>12.69618419078239</v>
      </c>
      <c r="AD172">
        <f t="shared" si="60"/>
        <v>0</v>
      </c>
      <c r="AE172">
        <f t="shared" si="61"/>
        <v>12.756470699668483</v>
      </c>
      <c r="AG172" s="109">
        <f t="shared" si="62"/>
        <v>44699</v>
      </c>
      <c r="AH172">
        <f>'Water Stuff'!I142*1000</f>
        <v>620</v>
      </c>
      <c r="AI172">
        <f>'Water Stuff'!Q142*1000</f>
        <v>620</v>
      </c>
      <c r="AJ172">
        <f>'Water Stuff'!Y142*1000</f>
        <v>620</v>
      </c>
      <c r="AK172">
        <f>'Water Stuff'!AG142*1000</f>
        <v>620</v>
      </c>
      <c r="AL172">
        <f>'Water Stuff'!AO142*1000</f>
        <v>620</v>
      </c>
    </row>
    <row r="173" spans="1:38">
      <c r="A173" s="109">
        <f>'Water Stuff'!F143</f>
        <v>44700</v>
      </c>
      <c r="B173">
        <f>IF( 'Water Stuff'!G143*1000 &gt;= 'Water Stuff'!$B$6*1000, 'Water Stuff'!$B$6*1000, 'Water Stuff'!G143*1000)</f>
        <v>0</v>
      </c>
      <c r="C173">
        <f>IF( 'Water Stuff'!O143*1000 &gt;= 'Water Stuff'!$B$6*1000, 'Water Stuff'!$B$6*1000, 'Water Stuff'!O143*1000)</f>
        <v>0</v>
      </c>
      <c r="D173">
        <f>IF( 'Water Stuff'!W143*1000 &gt;= 'Water Stuff'!$B$6*1000, 'Water Stuff'!$B$6*1000, 'Water Stuff'!W143*1000)</f>
        <v>1771.8017351385442</v>
      </c>
      <c r="E173">
        <f>IF( 'Water Stuff'!AE143*1000 &gt;= 'Water Stuff'!$B$6*1000, 'Water Stuff'!$B$6*1000, 'Water Stuff'!AE143*1000)</f>
        <v>1005.2059189729367</v>
      </c>
      <c r="F173">
        <f>IF('Water Stuff'!AM143*1000&gt;='Water Stuff'!$B$6*1000,'Water Stuff'!$B$6*1000,'Water Stuff'!AM143*1000)</f>
        <v>973.90718902437857</v>
      </c>
      <c r="I173">
        <f t="shared" si="42"/>
        <v>0</v>
      </c>
      <c r="J173">
        <f t="shared" si="43"/>
        <v>0</v>
      </c>
      <c r="K173">
        <f t="shared" si="44"/>
        <v>17.718017351385441</v>
      </c>
      <c r="L173">
        <f t="shared" si="45"/>
        <v>10.052059189729366</v>
      </c>
      <c r="M173">
        <f t="shared" si="46"/>
        <v>9.7390718902437854</v>
      </c>
      <c r="O173">
        <f t="shared" si="47"/>
        <v>0</v>
      </c>
      <c r="P173">
        <f t="shared" si="48"/>
        <v>0</v>
      </c>
      <c r="Q173">
        <f t="shared" si="49"/>
        <v>0.3543603470277088</v>
      </c>
      <c r="R173">
        <f t="shared" si="50"/>
        <v>0.20104118379458732</v>
      </c>
      <c r="S173">
        <f t="shared" si="51"/>
        <v>0.1947814378048757</v>
      </c>
      <c r="U173">
        <f t="shared" si="52"/>
        <v>0</v>
      </c>
      <c r="V173">
        <f t="shared" si="53"/>
        <v>0</v>
      </c>
      <c r="W173">
        <f t="shared" si="54"/>
        <v>8.8590086756927207</v>
      </c>
      <c r="X173">
        <f t="shared" si="55"/>
        <v>5.026029594864684</v>
      </c>
      <c r="Y173">
        <f t="shared" si="56"/>
        <v>4.8695359451218927</v>
      </c>
      <c r="AA173">
        <f t="shared" si="57"/>
        <v>0</v>
      </c>
      <c r="AB173">
        <f t="shared" si="58"/>
        <v>0</v>
      </c>
      <c r="AC173">
        <f t="shared" si="59"/>
        <v>17.718017351385441</v>
      </c>
      <c r="AD173">
        <f t="shared" si="60"/>
        <v>10.052059189729368</v>
      </c>
      <c r="AE173">
        <f t="shared" si="61"/>
        <v>9.7390718902437854</v>
      </c>
      <c r="AG173" s="109">
        <f t="shared" si="62"/>
        <v>44700</v>
      </c>
      <c r="AH173">
        <f>'Water Stuff'!I143*1000</f>
        <v>620</v>
      </c>
      <c r="AI173">
        <f>'Water Stuff'!Q143*1000</f>
        <v>620</v>
      </c>
      <c r="AJ173">
        <f>'Water Stuff'!Y143*1000</f>
        <v>620</v>
      </c>
      <c r="AK173">
        <f>'Water Stuff'!AG143*1000</f>
        <v>620</v>
      </c>
      <c r="AL173">
        <f>'Water Stuff'!AO143*1000</f>
        <v>620</v>
      </c>
    </row>
    <row r="174" spans="1:38">
      <c r="A174" s="109">
        <f>'Water Stuff'!F144</f>
        <v>44701</v>
      </c>
      <c r="B174">
        <f>IF( 'Water Stuff'!G144*1000 &gt;= 'Water Stuff'!$B$6*1000, 'Water Stuff'!$B$6*1000, 'Water Stuff'!G144*1000)</f>
        <v>0</v>
      </c>
      <c r="C174">
        <f>IF( 'Water Stuff'!O144*1000 &gt;= 'Water Stuff'!$B$6*1000, 'Water Stuff'!$B$6*1000, 'Water Stuff'!O144*1000)</f>
        <v>0</v>
      </c>
      <c r="D174">
        <f>IF( 'Water Stuff'!W144*1000 &gt;= 'Water Stuff'!$B$6*1000, 'Water Stuff'!$B$6*1000, 'Water Stuff'!W144*1000)</f>
        <v>438.19046797469019</v>
      </c>
      <c r="E174">
        <f>IF( 'Water Stuff'!AE144*1000 &gt;= 'Water Stuff'!$B$6*1000, 'Water Stuff'!$B$6*1000, 'Water Stuff'!AE144*1000)</f>
        <v>0</v>
      </c>
      <c r="F174">
        <f>IF('Water Stuff'!AM144*1000&gt;='Water Stuff'!$B$6*1000,'Water Stuff'!$B$6*1000,'Water Stuff'!AM144*1000)</f>
        <v>1258.3743523476403</v>
      </c>
      <c r="I174">
        <f t="shared" si="42"/>
        <v>0</v>
      </c>
      <c r="J174">
        <f t="shared" si="43"/>
        <v>0</v>
      </c>
      <c r="K174">
        <f t="shared" si="44"/>
        <v>4.3819046797469019</v>
      </c>
      <c r="L174">
        <f t="shared" si="45"/>
        <v>0</v>
      </c>
      <c r="M174">
        <f t="shared" si="46"/>
        <v>12.583743523476404</v>
      </c>
      <c r="O174">
        <f t="shared" si="47"/>
        <v>0</v>
      </c>
      <c r="P174">
        <f t="shared" si="48"/>
        <v>0</v>
      </c>
      <c r="Q174">
        <f t="shared" si="49"/>
        <v>8.7638093594938044E-2</v>
      </c>
      <c r="R174">
        <f t="shared" si="50"/>
        <v>0</v>
      </c>
      <c r="S174">
        <f t="shared" si="51"/>
        <v>0.25167487046952808</v>
      </c>
      <c r="U174">
        <f t="shared" si="52"/>
        <v>0</v>
      </c>
      <c r="V174">
        <f t="shared" si="53"/>
        <v>0</v>
      </c>
      <c r="W174">
        <f t="shared" si="54"/>
        <v>2.1909523398734509</v>
      </c>
      <c r="X174">
        <f t="shared" si="55"/>
        <v>0</v>
      </c>
      <c r="Y174">
        <f t="shared" si="56"/>
        <v>6.2918717617382018</v>
      </c>
      <c r="AA174">
        <f t="shared" si="57"/>
        <v>0</v>
      </c>
      <c r="AB174">
        <f t="shared" si="58"/>
        <v>0</v>
      </c>
      <c r="AC174">
        <f t="shared" si="59"/>
        <v>4.3819046797469019</v>
      </c>
      <c r="AD174">
        <f t="shared" si="60"/>
        <v>0</v>
      </c>
      <c r="AE174">
        <f t="shared" si="61"/>
        <v>12.583743523476404</v>
      </c>
      <c r="AG174" s="109">
        <f t="shared" si="62"/>
        <v>44701</v>
      </c>
      <c r="AH174">
        <f>'Water Stuff'!I144*1000</f>
        <v>620</v>
      </c>
      <c r="AI174">
        <f>'Water Stuff'!Q144*1000</f>
        <v>620</v>
      </c>
      <c r="AJ174">
        <f>'Water Stuff'!Y144*1000</f>
        <v>620</v>
      </c>
      <c r="AK174">
        <f>'Water Stuff'!AG144*1000</f>
        <v>620</v>
      </c>
      <c r="AL174">
        <f>'Water Stuff'!AO144*1000</f>
        <v>620</v>
      </c>
    </row>
    <row r="175" spans="1:38">
      <c r="A175" s="109">
        <f>'Water Stuff'!F145</f>
        <v>44702</v>
      </c>
      <c r="B175">
        <f>IF( 'Water Stuff'!G145*1000 &gt;= 'Water Stuff'!$B$6*1000, 'Water Stuff'!$B$6*1000, 'Water Stuff'!G145*1000)</f>
        <v>1639.9999999999998</v>
      </c>
      <c r="C175">
        <f>IF( 'Water Stuff'!O145*1000 &gt;= 'Water Stuff'!$B$6*1000, 'Water Stuff'!$B$6*1000, 'Water Stuff'!O145*1000)</f>
        <v>0</v>
      </c>
      <c r="D175">
        <f>IF( 'Water Stuff'!W145*1000 &gt;= 'Water Stuff'!$B$6*1000, 'Water Stuff'!$B$6*1000, 'Water Stuff'!W145*1000)</f>
        <v>2221.6589762759359</v>
      </c>
      <c r="E175">
        <f>IF( 'Water Stuff'!AE145*1000 &gt;= 'Water Stuff'!$B$6*1000, 'Water Stuff'!$B$6*1000, 'Water Stuff'!AE145*1000)</f>
        <v>0</v>
      </c>
      <c r="F175">
        <f>IF('Water Stuff'!AM145*1000&gt;='Water Stuff'!$B$6*1000,'Water Stuff'!$B$6*1000,'Water Stuff'!AM145*1000)</f>
        <v>2311.5429893930841</v>
      </c>
      <c r="I175">
        <f t="shared" si="42"/>
        <v>16.399999999999995</v>
      </c>
      <c r="J175">
        <f t="shared" si="43"/>
        <v>0</v>
      </c>
      <c r="K175">
        <f t="shared" si="44"/>
        <v>22.216589762759359</v>
      </c>
      <c r="L175">
        <f t="shared" si="45"/>
        <v>0</v>
      </c>
      <c r="M175">
        <f t="shared" si="46"/>
        <v>23.115429893930841</v>
      </c>
      <c r="O175">
        <f t="shared" si="47"/>
        <v>0.3279999999999999</v>
      </c>
      <c r="P175">
        <f t="shared" si="48"/>
        <v>0</v>
      </c>
      <c r="Q175">
        <f t="shared" si="49"/>
        <v>0.44433179525518718</v>
      </c>
      <c r="R175">
        <f t="shared" si="50"/>
        <v>0</v>
      </c>
      <c r="S175">
        <f t="shared" si="51"/>
        <v>0.46230859787861683</v>
      </c>
      <c r="U175">
        <f t="shared" si="52"/>
        <v>8.1999999999999993</v>
      </c>
      <c r="V175">
        <f t="shared" si="53"/>
        <v>0</v>
      </c>
      <c r="W175">
        <f t="shared" si="54"/>
        <v>11.108294881379679</v>
      </c>
      <c r="X175">
        <f t="shared" si="55"/>
        <v>0</v>
      </c>
      <c r="Y175">
        <f t="shared" si="56"/>
        <v>11.557714946965421</v>
      </c>
      <c r="AA175">
        <f t="shared" si="57"/>
        <v>16.399999999999999</v>
      </c>
      <c r="AB175">
        <f t="shared" si="58"/>
        <v>0</v>
      </c>
      <c r="AC175">
        <f t="shared" si="59"/>
        <v>22.216589762759359</v>
      </c>
      <c r="AD175">
        <f t="shared" si="60"/>
        <v>0</v>
      </c>
      <c r="AE175">
        <f t="shared" si="61"/>
        <v>23.115429893930841</v>
      </c>
      <c r="AG175" s="109">
        <f t="shared" si="62"/>
        <v>44702</v>
      </c>
      <c r="AH175">
        <f>'Water Stuff'!I145*1000</f>
        <v>620</v>
      </c>
      <c r="AI175">
        <f>'Water Stuff'!Q145*1000</f>
        <v>620</v>
      </c>
      <c r="AJ175">
        <f>'Water Stuff'!Y145*1000</f>
        <v>620</v>
      </c>
      <c r="AK175">
        <f>'Water Stuff'!AG145*1000</f>
        <v>620</v>
      </c>
      <c r="AL175">
        <f>'Water Stuff'!AO145*1000</f>
        <v>620</v>
      </c>
    </row>
    <row r="176" spans="1:38">
      <c r="A176" s="109">
        <f>'Water Stuff'!F146</f>
        <v>44703</v>
      </c>
      <c r="B176">
        <f>IF( 'Water Stuff'!G146*1000 &gt;= 'Water Stuff'!$B$6*1000, 'Water Stuff'!$B$6*1000, 'Water Stuff'!G146*1000)</f>
        <v>5920</v>
      </c>
      <c r="C176">
        <f>IF( 'Water Stuff'!O146*1000 &gt;= 'Water Stuff'!$B$6*1000, 'Water Stuff'!$B$6*1000, 'Water Stuff'!O146*1000)</f>
        <v>40</v>
      </c>
      <c r="D176">
        <f>IF( 'Water Stuff'!W146*1000 &gt;= 'Water Stuff'!$B$6*1000, 'Water Stuff'!$B$6*1000, 'Water Stuff'!W146*1000)</f>
        <v>5879.4732873726343</v>
      </c>
      <c r="E176">
        <f>IF( 'Water Stuff'!AE146*1000 &gt;= 'Water Stuff'!$B$6*1000, 'Water Stuff'!$B$6*1000, 'Water Stuff'!AE146*1000)</f>
        <v>0</v>
      </c>
      <c r="F176">
        <f>IF('Water Stuff'!AM146*1000&gt;='Water Stuff'!$B$6*1000,'Water Stuff'!$B$6*1000,'Water Stuff'!AM146*1000)</f>
        <v>6646.8951780022917</v>
      </c>
      <c r="I176">
        <f t="shared" si="42"/>
        <v>59.2</v>
      </c>
      <c r="J176">
        <f t="shared" si="43"/>
        <v>0.4</v>
      </c>
      <c r="K176">
        <f t="shared" si="44"/>
        <v>58.794732873726346</v>
      </c>
      <c r="L176">
        <f t="shared" si="45"/>
        <v>0</v>
      </c>
      <c r="M176">
        <f t="shared" si="46"/>
        <v>66.46895178002292</v>
      </c>
      <c r="O176">
        <f t="shared" si="47"/>
        <v>1.1839999999999999</v>
      </c>
      <c r="P176">
        <f t="shared" si="48"/>
        <v>8.0000000000000002E-3</v>
      </c>
      <c r="Q176">
        <f t="shared" si="49"/>
        <v>1.1758946574745268</v>
      </c>
      <c r="R176">
        <f t="shared" si="50"/>
        <v>0</v>
      </c>
      <c r="S176">
        <f t="shared" si="51"/>
        <v>1.3293790356004584</v>
      </c>
      <c r="U176">
        <f t="shared" si="52"/>
        <v>29.6</v>
      </c>
      <c r="V176">
        <f t="shared" si="53"/>
        <v>0.2</v>
      </c>
      <c r="W176">
        <f t="shared" si="54"/>
        <v>29.397366436863173</v>
      </c>
      <c r="X176">
        <f t="shared" si="55"/>
        <v>0</v>
      </c>
      <c r="Y176">
        <f t="shared" si="56"/>
        <v>33.23447589001146</v>
      </c>
      <c r="AA176">
        <f t="shared" si="57"/>
        <v>59.2</v>
      </c>
      <c r="AB176">
        <f t="shared" si="58"/>
        <v>0.4</v>
      </c>
      <c r="AC176">
        <f t="shared" si="59"/>
        <v>58.794732873726346</v>
      </c>
      <c r="AD176">
        <f t="shared" si="60"/>
        <v>0</v>
      </c>
      <c r="AE176">
        <f t="shared" si="61"/>
        <v>66.46895178002292</v>
      </c>
      <c r="AG176" s="109">
        <f t="shared" si="62"/>
        <v>44703</v>
      </c>
      <c r="AH176">
        <f>'Water Stuff'!I146*1000</f>
        <v>620</v>
      </c>
      <c r="AI176">
        <f>'Water Stuff'!Q146*1000</f>
        <v>620</v>
      </c>
      <c r="AJ176">
        <f>'Water Stuff'!Y146*1000</f>
        <v>620</v>
      </c>
      <c r="AK176">
        <f>'Water Stuff'!AG146*1000</f>
        <v>620</v>
      </c>
      <c r="AL176">
        <f>'Water Stuff'!AO146*1000</f>
        <v>620</v>
      </c>
    </row>
    <row r="177" spans="1:38">
      <c r="A177" s="109">
        <f>'Water Stuff'!F147</f>
        <v>44704</v>
      </c>
      <c r="B177">
        <f>IF( 'Water Stuff'!G147*1000 &gt;= 'Water Stuff'!$B$6*1000, 'Water Stuff'!$B$6*1000, 'Water Stuff'!G147*1000)</f>
        <v>160</v>
      </c>
      <c r="C177">
        <f>IF( 'Water Stuff'!O147*1000 &gt;= 'Water Stuff'!$B$6*1000, 'Water Stuff'!$B$6*1000, 'Water Stuff'!O147*1000)</f>
        <v>40</v>
      </c>
      <c r="D177">
        <f>IF( 'Water Stuff'!W147*1000 &gt;= 'Water Stuff'!$B$6*1000, 'Water Stuff'!$B$6*1000, 'Water Stuff'!W147*1000)</f>
        <v>1152.7130861391797</v>
      </c>
      <c r="E177">
        <f>IF( 'Water Stuff'!AE147*1000 &gt;= 'Water Stuff'!$B$6*1000, 'Water Stuff'!$B$6*1000, 'Water Stuff'!AE147*1000)</f>
        <v>332.11925343357638</v>
      </c>
      <c r="F177">
        <f>IF('Water Stuff'!AM147*1000&gt;='Water Stuff'!$B$6*1000,'Water Stuff'!$B$6*1000,'Water Stuff'!AM147*1000)</f>
        <v>0</v>
      </c>
      <c r="I177">
        <f t="shared" si="42"/>
        <v>1.6</v>
      </c>
      <c r="J177">
        <f t="shared" si="43"/>
        <v>0.4</v>
      </c>
      <c r="K177">
        <f t="shared" si="44"/>
        <v>11.527130861391797</v>
      </c>
      <c r="L177">
        <f t="shared" si="45"/>
        <v>3.321192534335764</v>
      </c>
      <c r="M177">
        <f t="shared" si="46"/>
        <v>0</v>
      </c>
      <c r="O177">
        <f t="shared" si="47"/>
        <v>3.2000000000000001E-2</v>
      </c>
      <c r="P177">
        <f t="shared" si="48"/>
        <v>8.0000000000000002E-3</v>
      </c>
      <c r="Q177">
        <f t="shared" si="49"/>
        <v>0.23054261722783592</v>
      </c>
      <c r="R177">
        <f t="shared" si="50"/>
        <v>6.6423850686715274E-2</v>
      </c>
      <c r="S177">
        <f t="shared" si="51"/>
        <v>0</v>
      </c>
      <c r="U177">
        <f t="shared" si="52"/>
        <v>0.8</v>
      </c>
      <c r="V177">
        <f t="shared" si="53"/>
        <v>0.2</v>
      </c>
      <c r="W177">
        <f t="shared" si="54"/>
        <v>5.7635654306958983</v>
      </c>
      <c r="X177">
        <f t="shared" si="55"/>
        <v>1.660596267167882</v>
      </c>
      <c r="Y177">
        <f t="shared" si="56"/>
        <v>0</v>
      </c>
      <c r="AA177">
        <f t="shared" si="57"/>
        <v>1.6</v>
      </c>
      <c r="AB177">
        <f t="shared" si="58"/>
        <v>0.4</v>
      </c>
      <c r="AC177">
        <f t="shared" si="59"/>
        <v>11.527130861391797</v>
      </c>
      <c r="AD177">
        <f t="shared" si="60"/>
        <v>3.321192534335764</v>
      </c>
      <c r="AE177">
        <f t="shared" si="61"/>
        <v>0</v>
      </c>
      <c r="AG177" s="109">
        <f t="shared" si="62"/>
        <v>44704</v>
      </c>
      <c r="AH177">
        <f>'Water Stuff'!I147*1000</f>
        <v>620</v>
      </c>
      <c r="AI177">
        <f>'Water Stuff'!Q147*1000</f>
        <v>620</v>
      </c>
      <c r="AJ177">
        <f>'Water Stuff'!Y147*1000</f>
        <v>620</v>
      </c>
      <c r="AK177">
        <f>'Water Stuff'!AG147*1000</f>
        <v>620</v>
      </c>
      <c r="AL177">
        <f>'Water Stuff'!AO147*1000</f>
        <v>620</v>
      </c>
    </row>
    <row r="178" spans="1:38">
      <c r="A178" s="109">
        <f>'Water Stuff'!F148</f>
        <v>44705</v>
      </c>
      <c r="B178">
        <f>IF( 'Water Stuff'!G148*1000 &gt;= 'Water Stuff'!$B$6*1000, 'Water Stuff'!$B$6*1000, 'Water Stuff'!G148*1000)</f>
        <v>1040</v>
      </c>
      <c r="C178">
        <f>IF( 'Water Stuff'!O148*1000 &gt;= 'Water Stuff'!$B$6*1000, 'Water Stuff'!$B$6*1000, 'Water Stuff'!O148*1000)</f>
        <v>0</v>
      </c>
      <c r="D178">
        <f>IF( 'Water Stuff'!W148*1000 &gt;= 'Water Stuff'!$B$6*1000, 'Water Stuff'!$B$6*1000, 'Water Stuff'!W148*1000)</f>
        <v>0</v>
      </c>
      <c r="E178">
        <f>IF( 'Water Stuff'!AE148*1000 &gt;= 'Water Stuff'!$B$6*1000, 'Water Stuff'!$B$6*1000, 'Water Stuff'!AE148*1000)</f>
        <v>0</v>
      </c>
      <c r="F178">
        <f>IF('Water Stuff'!AM148*1000&gt;='Water Stuff'!$B$6*1000,'Water Stuff'!$B$6*1000,'Water Stuff'!AM148*1000)</f>
        <v>0</v>
      </c>
      <c r="I178">
        <f t="shared" si="42"/>
        <v>10.4</v>
      </c>
      <c r="J178">
        <f t="shared" si="43"/>
        <v>0</v>
      </c>
      <c r="K178">
        <f t="shared" si="44"/>
        <v>0</v>
      </c>
      <c r="L178">
        <f t="shared" si="45"/>
        <v>0</v>
      </c>
      <c r="M178">
        <f t="shared" si="46"/>
        <v>0</v>
      </c>
      <c r="O178">
        <f t="shared" si="47"/>
        <v>0.20799999999999999</v>
      </c>
      <c r="P178">
        <f t="shared" si="48"/>
        <v>0</v>
      </c>
      <c r="Q178">
        <f t="shared" si="49"/>
        <v>0</v>
      </c>
      <c r="R178">
        <f t="shared" si="50"/>
        <v>0</v>
      </c>
      <c r="S178">
        <f t="shared" si="51"/>
        <v>0</v>
      </c>
      <c r="U178">
        <f t="shared" si="52"/>
        <v>5.2</v>
      </c>
      <c r="V178">
        <f t="shared" si="53"/>
        <v>0</v>
      </c>
      <c r="W178">
        <f t="shared" si="54"/>
        <v>0</v>
      </c>
      <c r="X178">
        <f t="shared" si="55"/>
        <v>0</v>
      </c>
      <c r="Y178">
        <f t="shared" si="56"/>
        <v>0</v>
      </c>
      <c r="AA178">
        <f t="shared" si="57"/>
        <v>10.4</v>
      </c>
      <c r="AB178">
        <f t="shared" si="58"/>
        <v>0</v>
      </c>
      <c r="AC178">
        <f t="shared" si="59"/>
        <v>0</v>
      </c>
      <c r="AD178">
        <f t="shared" si="60"/>
        <v>0</v>
      </c>
      <c r="AE178">
        <f t="shared" si="61"/>
        <v>0</v>
      </c>
      <c r="AG178" s="109">
        <f t="shared" si="62"/>
        <v>44705</v>
      </c>
      <c r="AH178">
        <f>'Water Stuff'!I148*1000</f>
        <v>620</v>
      </c>
      <c r="AI178">
        <f>'Water Stuff'!Q148*1000</f>
        <v>620</v>
      </c>
      <c r="AJ178">
        <f>'Water Stuff'!Y148*1000</f>
        <v>620</v>
      </c>
      <c r="AK178">
        <f>'Water Stuff'!AG148*1000</f>
        <v>620</v>
      </c>
      <c r="AL178">
        <f>'Water Stuff'!AO148*1000</f>
        <v>620</v>
      </c>
    </row>
    <row r="179" spans="1:38">
      <c r="A179" s="109">
        <f>'Water Stuff'!F149</f>
        <v>44706</v>
      </c>
      <c r="B179">
        <f>IF( 'Water Stuff'!G149*1000 &gt;= 'Water Stuff'!$B$6*1000, 'Water Stuff'!$B$6*1000, 'Water Stuff'!G149*1000)</f>
        <v>4680</v>
      </c>
      <c r="C179">
        <f>IF( 'Water Stuff'!O149*1000 &gt;= 'Water Stuff'!$B$6*1000, 'Water Stuff'!$B$6*1000, 'Water Stuff'!O149*1000)</f>
        <v>0</v>
      </c>
      <c r="D179">
        <f>IF( 'Water Stuff'!W149*1000 &gt;= 'Water Stuff'!$B$6*1000, 'Water Stuff'!$B$6*1000, 'Water Stuff'!W149*1000)</f>
        <v>3111.9440766379221</v>
      </c>
      <c r="E179">
        <f>IF( 'Water Stuff'!AE149*1000 &gt;= 'Water Stuff'!$B$6*1000, 'Water Stuff'!$B$6*1000, 'Water Stuff'!AE149*1000)</f>
        <v>0</v>
      </c>
      <c r="F179">
        <f>IF('Water Stuff'!AM149*1000&gt;='Water Stuff'!$B$6*1000,'Water Stuff'!$B$6*1000,'Water Stuff'!AM149*1000)</f>
        <v>2104.3466103388419</v>
      </c>
      <c r="I179">
        <f t="shared" si="42"/>
        <v>46.8</v>
      </c>
      <c r="J179">
        <f t="shared" si="43"/>
        <v>0</v>
      </c>
      <c r="K179">
        <f t="shared" si="44"/>
        <v>31.119440766379224</v>
      </c>
      <c r="L179">
        <f t="shared" si="45"/>
        <v>0</v>
      </c>
      <c r="M179">
        <f t="shared" si="46"/>
        <v>21.043466103388418</v>
      </c>
      <c r="O179">
        <f t="shared" si="47"/>
        <v>0.93600000000000005</v>
      </c>
      <c r="P179">
        <f t="shared" si="48"/>
        <v>0</v>
      </c>
      <c r="Q179">
        <f t="shared" si="49"/>
        <v>0.6223888153275845</v>
      </c>
      <c r="R179">
        <f t="shared" si="50"/>
        <v>0</v>
      </c>
      <c r="S179">
        <f t="shared" si="51"/>
        <v>0.42086932206776839</v>
      </c>
      <c r="U179">
        <f t="shared" si="52"/>
        <v>23.400000000000002</v>
      </c>
      <c r="V179">
        <f t="shared" si="53"/>
        <v>0</v>
      </c>
      <c r="W179">
        <f t="shared" si="54"/>
        <v>15.55972038318961</v>
      </c>
      <c r="X179">
        <f t="shared" si="55"/>
        <v>0</v>
      </c>
      <c r="Y179">
        <f t="shared" si="56"/>
        <v>10.521733051694209</v>
      </c>
      <c r="AA179">
        <f t="shared" si="57"/>
        <v>46.800000000000004</v>
      </c>
      <c r="AB179">
        <f t="shared" si="58"/>
        <v>0</v>
      </c>
      <c r="AC179">
        <f t="shared" si="59"/>
        <v>31.119440766379221</v>
      </c>
      <c r="AD179">
        <f t="shared" si="60"/>
        <v>0</v>
      </c>
      <c r="AE179">
        <f t="shared" si="61"/>
        <v>21.043466103388418</v>
      </c>
      <c r="AG179" s="109">
        <f t="shared" si="62"/>
        <v>44706</v>
      </c>
      <c r="AH179">
        <f>'Water Stuff'!I149*1000</f>
        <v>620</v>
      </c>
      <c r="AI179">
        <f>'Water Stuff'!Q149*1000</f>
        <v>620</v>
      </c>
      <c r="AJ179">
        <f>'Water Stuff'!Y149*1000</f>
        <v>620</v>
      </c>
      <c r="AK179">
        <f>'Water Stuff'!AG149*1000</f>
        <v>620</v>
      </c>
      <c r="AL179">
        <f>'Water Stuff'!AO149*1000</f>
        <v>620</v>
      </c>
    </row>
    <row r="180" spans="1:38">
      <c r="A180" s="109">
        <f>'Water Stuff'!F150</f>
        <v>44707</v>
      </c>
      <c r="B180">
        <f>IF( 'Water Stuff'!G150*1000 &gt;= 'Water Stuff'!$B$6*1000, 'Water Stuff'!$B$6*1000, 'Water Stuff'!G150*1000)</f>
        <v>0</v>
      </c>
      <c r="C180">
        <f>IF( 'Water Stuff'!O150*1000 &gt;= 'Water Stuff'!$B$6*1000, 'Water Stuff'!$B$6*1000, 'Water Stuff'!O150*1000)</f>
        <v>0</v>
      </c>
      <c r="D180">
        <f>IF( 'Water Stuff'!W150*1000 &gt;= 'Water Stuff'!$B$6*1000, 'Water Stuff'!$B$6*1000, 'Water Stuff'!W150*1000)</f>
        <v>0</v>
      </c>
      <c r="E180">
        <f>IF( 'Water Stuff'!AE150*1000 &gt;= 'Water Stuff'!$B$6*1000, 'Water Stuff'!$B$6*1000, 'Water Stuff'!AE150*1000)</f>
        <v>0</v>
      </c>
      <c r="F180">
        <f>IF('Water Stuff'!AM150*1000&gt;='Water Stuff'!$B$6*1000,'Water Stuff'!$B$6*1000,'Water Stuff'!AM150*1000)</f>
        <v>565.05746179591699</v>
      </c>
      <c r="I180">
        <f t="shared" si="42"/>
        <v>0</v>
      </c>
      <c r="J180">
        <f t="shared" si="43"/>
        <v>0</v>
      </c>
      <c r="K180">
        <f t="shared" si="44"/>
        <v>0</v>
      </c>
      <c r="L180">
        <f t="shared" si="45"/>
        <v>0</v>
      </c>
      <c r="M180">
        <f t="shared" si="46"/>
        <v>5.6505746179591698</v>
      </c>
      <c r="O180">
        <f t="shared" si="47"/>
        <v>0</v>
      </c>
      <c r="P180">
        <f t="shared" si="48"/>
        <v>0</v>
      </c>
      <c r="Q180">
        <f t="shared" si="49"/>
        <v>0</v>
      </c>
      <c r="R180">
        <f t="shared" si="50"/>
        <v>0</v>
      </c>
      <c r="S180">
        <f t="shared" si="51"/>
        <v>0.1130114923591834</v>
      </c>
      <c r="U180">
        <f t="shared" si="52"/>
        <v>0</v>
      </c>
      <c r="V180">
        <f t="shared" si="53"/>
        <v>0</v>
      </c>
      <c r="W180">
        <f t="shared" si="54"/>
        <v>0</v>
      </c>
      <c r="X180">
        <f t="shared" si="55"/>
        <v>0</v>
      </c>
      <c r="Y180">
        <f t="shared" si="56"/>
        <v>2.8252873089795849</v>
      </c>
      <c r="AA180">
        <f t="shared" si="57"/>
        <v>0</v>
      </c>
      <c r="AB180">
        <f t="shared" si="58"/>
        <v>0</v>
      </c>
      <c r="AC180">
        <f t="shared" si="59"/>
        <v>0</v>
      </c>
      <c r="AD180">
        <f t="shared" si="60"/>
        <v>0</v>
      </c>
      <c r="AE180">
        <f t="shared" si="61"/>
        <v>5.6505746179591698</v>
      </c>
      <c r="AG180" s="109">
        <f t="shared" si="62"/>
        <v>44707</v>
      </c>
      <c r="AH180">
        <f>'Water Stuff'!I150*1000</f>
        <v>620</v>
      </c>
      <c r="AI180">
        <f>'Water Stuff'!Q150*1000</f>
        <v>620</v>
      </c>
      <c r="AJ180">
        <f>'Water Stuff'!Y150*1000</f>
        <v>620</v>
      </c>
      <c r="AK180">
        <f>'Water Stuff'!AG150*1000</f>
        <v>620</v>
      </c>
      <c r="AL180">
        <f>'Water Stuff'!AO150*1000</f>
        <v>620</v>
      </c>
    </row>
    <row r="181" spans="1:38">
      <c r="A181" s="109">
        <f>'Water Stuff'!F151</f>
        <v>44708</v>
      </c>
      <c r="B181">
        <f>IF( 'Water Stuff'!G151*1000 &gt;= 'Water Stuff'!$B$6*1000, 'Water Stuff'!$B$6*1000, 'Water Stuff'!G151*1000)</f>
        <v>880.00000000000011</v>
      </c>
      <c r="C181">
        <f>IF( 'Water Stuff'!O151*1000 &gt;= 'Water Stuff'!$B$6*1000, 'Water Stuff'!$B$6*1000, 'Water Stuff'!O151*1000)</f>
        <v>0</v>
      </c>
      <c r="D181">
        <f>IF( 'Water Stuff'!W151*1000 &gt;= 'Water Stuff'!$B$6*1000, 'Water Stuff'!$B$6*1000, 'Water Stuff'!W151*1000)</f>
        <v>2198.4858713160961</v>
      </c>
      <c r="E181">
        <f>IF( 'Water Stuff'!AE151*1000 &gt;= 'Water Stuff'!$B$6*1000, 'Water Stuff'!$B$6*1000, 'Water Stuff'!AE151*1000)</f>
        <v>601.7622540894024</v>
      </c>
      <c r="F181">
        <f>IF('Water Stuff'!AM151*1000&gt;='Water Stuff'!$B$6*1000,'Water Stuff'!$B$6*1000,'Water Stuff'!AM151*1000)</f>
        <v>869.50202028699732</v>
      </c>
      <c r="I181">
        <f t="shared" si="42"/>
        <v>8.8000000000000025</v>
      </c>
      <c r="J181">
        <f t="shared" si="43"/>
        <v>0</v>
      </c>
      <c r="K181">
        <f t="shared" si="44"/>
        <v>21.984858713160961</v>
      </c>
      <c r="L181">
        <f t="shared" si="45"/>
        <v>6.0176225408940249</v>
      </c>
      <c r="M181">
        <f t="shared" si="46"/>
        <v>8.6950202028699728</v>
      </c>
      <c r="O181">
        <f t="shared" si="47"/>
        <v>0.17600000000000005</v>
      </c>
      <c r="P181">
        <f t="shared" si="48"/>
        <v>0</v>
      </c>
      <c r="Q181">
        <f t="shared" si="49"/>
        <v>0.43969717426321919</v>
      </c>
      <c r="R181">
        <f t="shared" si="50"/>
        <v>0.12035245081788051</v>
      </c>
      <c r="S181">
        <f t="shared" si="51"/>
        <v>0.17390040405739948</v>
      </c>
      <c r="U181">
        <f t="shared" si="52"/>
        <v>4.4000000000000004</v>
      </c>
      <c r="V181">
        <f t="shared" si="53"/>
        <v>0</v>
      </c>
      <c r="W181">
        <f t="shared" si="54"/>
        <v>10.99242935658048</v>
      </c>
      <c r="X181">
        <f t="shared" si="55"/>
        <v>3.008811270447012</v>
      </c>
      <c r="Y181">
        <f t="shared" si="56"/>
        <v>4.3475101014349864</v>
      </c>
      <c r="AA181">
        <f t="shared" si="57"/>
        <v>8.8000000000000007</v>
      </c>
      <c r="AB181">
        <f t="shared" si="58"/>
        <v>0</v>
      </c>
      <c r="AC181">
        <f t="shared" si="59"/>
        <v>21.984858713160961</v>
      </c>
      <c r="AD181">
        <f t="shared" si="60"/>
        <v>6.017622540894024</v>
      </c>
      <c r="AE181">
        <f t="shared" si="61"/>
        <v>8.6950202028699728</v>
      </c>
      <c r="AG181" s="109">
        <f t="shared" si="62"/>
        <v>44708</v>
      </c>
      <c r="AH181">
        <f>'Water Stuff'!I151*1000</f>
        <v>620</v>
      </c>
      <c r="AI181">
        <f>'Water Stuff'!Q151*1000</f>
        <v>620</v>
      </c>
      <c r="AJ181">
        <f>'Water Stuff'!Y151*1000</f>
        <v>620</v>
      </c>
      <c r="AK181">
        <f>'Water Stuff'!AG151*1000</f>
        <v>620</v>
      </c>
      <c r="AL181">
        <f>'Water Stuff'!AO151*1000</f>
        <v>620</v>
      </c>
    </row>
    <row r="182" spans="1:38">
      <c r="A182" s="109">
        <f>'Water Stuff'!F152</f>
        <v>44709</v>
      </c>
      <c r="B182">
        <f>IF( 'Water Stuff'!G152*1000 &gt;= 'Water Stuff'!$B$6*1000, 'Water Stuff'!$B$6*1000, 'Water Stuff'!G152*1000)</f>
        <v>0</v>
      </c>
      <c r="C182">
        <f>IF( 'Water Stuff'!O152*1000 &gt;= 'Water Stuff'!$B$6*1000, 'Water Stuff'!$B$6*1000, 'Water Stuff'!O152*1000)</f>
        <v>0</v>
      </c>
      <c r="D182">
        <f>IF( 'Water Stuff'!W152*1000 &gt;= 'Water Stuff'!$B$6*1000, 'Water Stuff'!$B$6*1000, 'Water Stuff'!W152*1000)</f>
        <v>0</v>
      </c>
      <c r="E182">
        <f>IF( 'Water Stuff'!AE152*1000 &gt;= 'Water Stuff'!$B$6*1000, 'Water Stuff'!$B$6*1000, 'Water Stuff'!AE152*1000)</f>
        <v>281.905423645935</v>
      </c>
      <c r="F182">
        <f>IF('Water Stuff'!AM152*1000&gt;='Water Stuff'!$B$6*1000,'Water Stuff'!$B$6*1000,'Water Stuff'!AM152*1000)</f>
        <v>0</v>
      </c>
      <c r="I182">
        <f t="shared" si="42"/>
        <v>0</v>
      </c>
      <c r="J182">
        <f t="shared" si="43"/>
        <v>0</v>
      </c>
      <c r="K182">
        <f t="shared" si="44"/>
        <v>0</v>
      </c>
      <c r="L182">
        <f t="shared" si="45"/>
        <v>2.8190542364593503</v>
      </c>
      <c r="M182">
        <f t="shared" si="46"/>
        <v>0</v>
      </c>
      <c r="O182">
        <f t="shared" si="47"/>
        <v>0</v>
      </c>
      <c r="P182">
        <f t="shared" si="48"/>
        <v>0</v>
      </c>
      <c r="Q182">
        <f t="shared" si="49"/>
        <v>0</v>
      </c>
      <c r="R182">
        <f t="shared" si="50"/>
        <v>5.6381084729187E-2</v>
      </c>
      <c r="S182">
        <f t="shared" si="51"/>
        <v>0</v>
      </c>
      <c r="U182">
        <f t="shared" si="52"/>
        <v>0</v>
      </c>
      <c r="V182">
        <f t="shared" si="53"/>
        <v>0</v>
      </c>
      <c r="W182">
        <f t="shared" si="54"/>
        <v>0</v>
      </c>
      <c r="X182">
        <f t="shared" si="55"/>
        <v>1.4095271182296751</v>
      </c>
      <c r="Y182">
        <f t="shared" si="56"/>
        <v>0</v>
      </c>
      <c r="AA182">
        <f t="shared" si="57"/>
        <v>0</v>
      </c>
      <c r="AB182">
        <f t="shared" si="58"/>
        <v>0</v>
      </c>
      <c r="AC182">
        <f t="shared" si="59"/>
        <v>0</v>
      </c>
      <c r="AD182">
        <f t="shared" si="60"/>
        <v>2.8190542364593503</v>
      </c>
      <c r="AE182">
        <f t="shared" si="61"/>
        <v>0</v>
      </c>
      <c r="AG182" s="109">
        <f t="shared" si="62"/>
        <v>44709</v>
      </c>
      <c r="AH182">
        <f>'Water Stuff'!I152*1000</f>
        <v>620</v>
      </c>
      <c r="AI182">
        <f>'Water Stuff'!Q152*1000</f>
        <v>620</v>
      </c>
      <c r="AJ182">
        <f>'Water Stuff'!Y152*1000</f>
        <v>620</v>
      </c>
      <c r="AK182">
        <f>'Water Stuff'!AG152*1000</f>
        <v>620</v>
      </c>
      <c r="AL182">
        <f>'Water Stuff'!AO152*1000</f>
        <v>620</v>
      </c>
    </row>
    <row r="183" spans="1:38">
      <c r="A183" s="109">
        <f>'Water Stuff'!F153</f>
        <v>44710</v>
      </c>
      <c r="B183">
        <f>IF( 'Water Stuff'!G153*1000 &gt;= 'Water Stuff'!$B$6*1000, 'Water Stuff'!$B$6*1000, 'Water Stuff'!G153*1000)</f>
        <v>0</v>
      </c>
      <c r="C183">
        <f>IF( 'Water Stuff'!O153*1000 &gt;= 'Water Stuff'!$B$6*1000, 'Water Stuff'!$B$6*1000, 'Water Stuff'!O153*1000)</f>
        <v>0</v>
      </c>
      <c r="D183">
        <f>IF( 'Water Stuff'!W153*1000 &gt;= 'Water Stuff'!$B$6*1000, 'Water Stuff'!$B$6*1000, 'Water Stuff'!W153*1000)</f>
        <v>0</v>
      </c>
      <c r="E183">
        <f>IF( 'Water Stuff'!AE153*1000 &gt;= 'Water Stuff'!$B$6*1000, 'Water Stuff'!$B$6*1000, 'Water Stuff'!AE153*1000)</f>
        <v>848.64042434746375</v>
      </c>
      <c r="F183">
        <f>IF('Water Stuff'!AM153*1000&gt;='Water Stuff'!$B$6*1000,'Water Stuff'!$B$6*1000,'Water Stuff'!AM153*1000)</f>
        <v>0</v>
      </c>
      <c r="I183">
        <f t="shared" si="42"/>
        <v>0</v>
      </c>
      <c r="J183">
        <f t="shared" si="43"/>
        <v>0</v>
      </c>
      <c r="K183">
        <f t="shared" si="44"/>
        <v>0</v>
      </c>
      <c r="L183">
        <f t="shared" si="45"/>
        <v>8.4864042434746363</v>
      </c>
      <c r="M183">
        <f t="shared" si="46"/>
        <v>0</v>
      </c>
      <c r="O183">
        <f t="shared" si="47"/>
        <v>0</v>
      </c>
      <c r="P183">
        <f t="shared" si="48"/>
        <v>0</v>
      </c>
      <c r="Q183">
        <f t="shared" si="49"/>
        <v>0</v>
      </c>
      <c r="R183">
        <f t="shared" si="50"/>
        <v>0.16972808486949273</v>
      </c>
      <c r="S183">
        <f t="shared" si="51"/>
        <v>0</v>
      </c>
      <c r="U183">
        <f t="shared" si="52"/>
        <v>0</v>
      </c>
      <c r="V183">
        <f t="shared" si="53"/>
        <v>0</v>
      </c>
      <c r="W183">
        <f t="shared" si="54"/>
        <v>0</v>
      </c>
      <c r="X183">
        <f t="shared" si="55"/>
        <v>4.243202121737319</v>
      </c>
      <c r="Y183">
        <f t="shared" si="56"/>
        <v>0</v>
      </c>
      <c r="AA183">
        <f t="shared" si="57"/>
        <v>0</v>
      </c>
      <c r="AB183">
        <f t="shared" si="58"/>
        <v>0</v>
      </c>
      <c r="AC183">
        <f t="shared" si="59"/>
        <v>0</v>
      </c>
      <c r="AD183">
        <f t="shared" si="60"/>
        <v>8.4864042434746381</v>
      </c>
      <c r="AE183">
        <f t="shared" si="61"/>
        <v>0</v>
      </c>
      <c r="AG183" s="109">
        <f t="shared" si="62"/>
        <v>44710</v>
      </c>
      <c r="AH183">
        <f>'Water Stuff'!I153*1000</f>
        <v>620</v>
      </c>
      <c r="AI183">
        <f>'Water Stuff'!Q153*1000</f>
        <v>620</v>
      </c>
      <c r="AJ183">
        <f>'Water Stuff'!Y153*1000</f>
        <v>620</v>
      </c>
      <c r="AK183">
        <f>'Water Stuff'!AG153*1000</f>
        <v>620</v>
      </c>
      <c r="AL183">
        <f>'Water Stuff'!AO153*1000</f>
        <v>620</v>
      </c>
    </row>
    <row r="184" spans="1:38">
      <c r="A184" s="109">
        <f>'Water Stuff'!F154</f>
        <v>44711</v>
      </c>
      <c r="B184">
        <f>IF( 'Water Stuff'!G154*1000 &gt;= 'Water Stuff'!$B$6*1000, 'Water Stuff'!$B$6*1000, 'Water Stuff'!G154*1000)</f>
        <v>0</v>
      </c>
      <c r="C184">
        <f>IF( 'Water Stuff'!O154*1000 &gt;= 'Water Stuff'!$B$6*1000, 'Water Stuff'!$B$6*1000, 'Water Stuff'!O154*1000)</f>
        <v>0</v>
      </c>
      <c r="D184">
        <f>IF( 'Water Stuff'!W154*1000 &gt;= 'Water Stuff'!$B$6*1000, 'Water Stuff'!$B$6*1000, 'Water Stuff'!W154*1000)</f>
        <v>0</v>
      </c>
      <c r="E184">
        <f>IF( 'Water Stuff'!AE154*1000 &gt;= 'Water Stuff'!$B$6*1000, 'Water Stuff'!$B$6*1000, 'Water Stuff'!AE154*1000)</f>
        <v>1543.6179799794668</v>
      </c>
      <c r="F184">
        <f>IF('Water Stuff'!AM154*1000&gt;='Water Stuff'!$B$6*1000,'Water Stuff'!$B$6*1000,'Water Stuff'!AM154*1000)</f>
        <v>0</v>
      </c>
      <c r="I184">
        <f t="shared" si="42"/>
        <v>0</v>
      </c>
      <c r="J184">
        <f t="shared" si="43"/>
        <v>0</v>
      </c>
      <c r="K184">
        <f t="shared" si="44"/>
        <v>0</v>
      </c>
      <c r="L184">
        <f t="shared" si="45"/>
        <v>15.436179799794667</v>
      </c>
      <c r="M184">
        <f t="shared" si="46"/>
        <v>0</v>
      </c>
      <c r="O184">
        <f t="shared" si="47"/>
        <v>0</v>
      </c>
      <c r="P184">
        <f t="shared" si="48"/>
        <v>0</v>
      </c>
      <c r="Q184">
        <f t="shared" si="49"/>
        <v>0</v>
      </c>
      <c r="R184">
        <f t="shared" si="50"/>
        <v>0.30872359599589333</v>
      </c>
      <c r="S184">
        <f t="shared" si="51"/>
        <v>0</v>
      </c>
      <c r="U184">
        <f t="shared" si="52"/>
        <v>0</v>
      </c>
      <c r="V184">
        <f t="shared" si="53"/>
        <v>0</v>
      </c>
      <c r="W184">
        <f t="shared" si="54"/>
        <v>0</v>
      </c>
      <c r="X184">
        <f t="shared" si="55"/>
        <v>7.7180898998973344</v>
      </c>
      <c r="Y184">
        <f t="shared" si="56"/>
        <v>0</v>
      </c>
      <c r="AA184">
        <f t="shared" si="57"/>
        <v>0</v>
      </c>
      <c r="AB184">
        <f t="shared" si="58"/>
        <v>0</v>
      </c>
      <c r="AC184">
        <f t="shared" si="59"/>
        <v>0</v>
      </c>
      <c r="AD184">
        <f t="shared" si="60"/>
        <v>15.436179799794669</v>
      </c>
      <c r="AE184">
        <f t="shared" si="61"/>
        <v>0</v>
      </c>
      <c r="AG184" s="109">
        <f t="shared" si="62"/>
        <v>44711</v>
      </c>
      <c r="AH184">
        <f>'Water Stuff'!I154*1000</f>
        <v>620</v>
      </c>
      <c r="AI184">
        <f>'Water Stuff'!Q154*1000</f>
        <v>620</v>
      </c>
      <c r="AJ184">
        <f>'Water Stuff'!Y154*1000</f>
        <v>620</v>
      </c>
      <c r="AK184">
        <f>'Water Stuff'!AG154*1000</f>
        <v>620</v>
      </c>
      <c r="AL184">
        <f>'Water Stuff'!AO154*1000</f>
        <v>620</v>
      </c>
    </row>
    <row r="185" spans="1:38">
      <c r="A185" s="109">
        <f>'Water Stuff'!F155</f>
        <v>44712</v>
      </c>
      <c r="B185">
        <f>IF( 'Water Stuff'!G155*1000 &gt;= 'Water Stuff'!$B$6*1000, 'Water Stuff'!$B$6*1000, 'Water Stuff'!G155*1000)</f>
        <v>0</v>
      </c>
      <c r="C185">
        <f>IF( 'Water Stuff'!O155*1000 &gt;= 'Water Stuff'!$B$6*1000, 'Water Stuff'!$B$6*1000, 'Water Stuff'!O155*1000)</f>
        <v>0</v>
      </c>
      <c r="D185">
        <f>IF( 'Water Stuff'!W155*1000 &gt;= 'Water Stuff'!$B$6*1000, 'Water Stuff'!$B$6*1000, 'Water Stuff'!W155*1000)</f>
        <v>211.99333931967658</v>
      </c>
      <c r="E185">
        <f>IF( 'Water Stuff'!AE155*1000 &gt;= 'Water Stuff'!$B$6*1000, 'Water Stuff'!$B$6*1000, 'Water Stuff'!AE155*1000)</f>
        <v>0</v>
      </c>
      <c r="F185">
        <f>IF('Water Stuff'!AM155*1000&gt;='Water Stuff'!$B$6*1000,'Water Stuff'!$B$6*1000,'Water Stuff'!AM155*1000)</f>
        <v>446.962461734633</v>
      </c>
      <c r="I185">
        <f t="shared" si="42"/>
        <v>0</v>
      </c>
      <c r="J185">
        <f t="shared" si="43"/>
        <v>0</v>
      </c>
      <c r="K185">
        <f t="shared" si="44"/>
        <v>2.1199333931967659</v>
      </c>
      <c r="L185">
        <f t="shared" si="45"/>
        <v>0</v>
      </c>
      <c r="M185">
        <f t="shared" si="46"/>
        <v>4.4696246173463292</v>
      </c>
      <c r="O185">
        <f t="shared" si="47"/>
        <v>0</v>
      </c>
      <c r="P185">
        <f t="shared" si="48"/>
        <v>0</v>
      </c>
      <c r="Q185">
        <f t="shared" si="49"/>
        <v>4.2398667863935313E-2</v>
      </c>
      <c r="R185">
        <f t="shared" si="50"/>
        <v>0</v>
      </c>
      <c r="S185">
        <f t="shared" si="51"/>
        <v>8.9392492346926589E-2</v>
      </c>
      <c r="U185">
        <f t="shared" si="52"/>
        <v>0</v>
      </c>
      <c r="V185">
        <f t="shared" si="53"/>
        <v>0</v>
      </c>
      <c r="W185">
        <f t="shared" si="54"/>
        <v>1.0599666965983829</v>
      </c>
      <c r="X185">
        <f t="shared" si="55"/>
        <v>0</v>
      </c>
      <c r="Y185">
        <f t="shared" si="56"/>
        <v>2.234812308673165</v>
      </c>
      <c r="AA185">
        <f t="shared" si="57"/>
        <v>0</v>
      </c>
      <c r="AB185">
        <f t="shared" si="58"/>
        <v>0</v>
      </c>
      <c r="AC185">
        <f t="shared" si="59"/>
        <v>2.1199333931967659</v>
      </c>
      <c r="AD185">
        <f t="shared" si="60"/>
        <v>0</v>
      </c>
      <c r="AE185">
        <f t="shared" si="61"/>
        <v>4.4696246173463301</v>
      </c>
      <c r="AG185" s="109">
        <f t="shared" si="62"/>
        <v>44712</v>
      </c>
      <c r="AH185">
        <f>'Water Stuff'!I155*1000</f>
        <v>620</v>
      </c>
      <c r="AI185">
        <f>'Water Stuff'!Q155*1000</f>
        <v>620</v>
      </c>
      <c r="AJ185">
        <f>'Water Stuff'!Y155*1000</f>
        <v>620</v>
      </c>
      <c r="AK185">
        <f>'Water Stuff'!AG155*1000</f>
        <v>620</v>
      </c>
      <c r="AL185">
        <f>'Water Stuff'!AO155*1000</f>
        <v>620</v>
      </c>
    </row>
    <row r="186" spans="1:38">
      <c r="A186" s="109">
        <f>'Water Stuff'!F156</f>
        <v>44713</v>
      </c>
      <c r="B186">
        <f>IF( 'Water Stuff'!G156*1000 &gt;= 'Water Stuff'!$B$6*1000, 'Water Stuff'!$B$6*1000, 'Water Stuff'!G156*1000)</f>
        <v>0</v>
      </c>
      <c r="C186">
        <f>IF( 'Water Stuff'!O156*1000 &gt;= 'Water Stuff'!$B$6*1000, 'Water Stuff'!$B$6*1000, 'Water Stuff'!O156*1000)</f>
        <v>1480</v>
      </c>
      <c r="D186">
        <f>IF( 'Water Stuff'!W156*1000 &gt;= 'Water Stuff'!$B$6*1000, 'Water Stuff'!$B$6*1000, 'Water Stuff'!W156*1000)</f>
        <v>1516.2873345358385</v>
      </c>
      <c r="E186">
        <f>IF( 'Water Stuff'!AE156*1000 &gt;= 'Water Stuff'!$B$6*1000, 'Water Stuff'!$B$6*1000, 'Water Stuff'!AE156*1000)</f>
        <v>2936.2958827011043</v>
      </c>
      <c r="F186">
        <f>IF('Water Stuff'!AM156*1000&gt;='Water Stuff'!$B$6*1000,'Water Stuff'!$B$6*1000,'Water Stuff'!AM156*1000)</f>
        <v>2799.3280527133161</v>
      </c>
      <c r="I186">
        <f t="shared" si="42"/>
        <v>0</v>
      </c>
      <c r="J186">
        <f t="shared" si="43"/>
        <v>14.8</v>
      </c>
      <c r="K186">
        <f t="shared" si="44"/>
        <v>15.162873345358385</v>
      </c>
      <c r="L186">
        <f t="shared" si="45"/>
        <v>29.362958827011042</v>
      </c>
      <c r="M186">
        <f t="shared" si="46"/>
        <v>27.993280527133159</v>
      </c>
      <c r="O186">
        <f t="shared" si="47"/>
        <v>0</v>
      </c>
      <c r="P186">
        <f t="shared" si="48"/>
        <v>0.29599999999999999</v>
      </c>
      <c r="Q186">
        <f t="shared" si="49"/>
        <v>0.30325746690716765</v>
      </c>
      <c r="R186">
        <f t="shared" si="50"/>
        <v>0.58725917654022086</v>
      </c>
      <c r="S186">
        <f t="shared" si="51"/>
        <v>0.55986561054266326</v>
      </c>
      <c r="U186">
        <f t="shared" si="52"/>
        <v>0</v>
      </c>
      <c r="V186">
        <f t="shared" si="53"/>
        <v>7.4</v>
      </c>
      <c r="W186">
        <f t="shared" si="54"/>
        <v>7.5814366726791924</v>
      </c>
      <c r="X186">
        <f t="shared" si="55"/>
        <v>14.681479413505523</v>
      </c>
      <c r="Y186">
        <f t="shared" si="56"/>
        <v>13.996640263566581</v>
      </c>
      <c r="AA186">
        <f t="shared" si="57"/>
        <v>0</v>
      </c>
      <c r="AB186">
        <f t="shared" si="58"/>
        <v>14.8</v>
      </c>
      <c r="AC186">
        <f t="shared" si="59"/>
        <v>15.162873345358385</v>
      </c>
      <c r="AD186">
        <f t="shared" si="60"/>
        <v>29.362958827011045</v>
      </c>
      <c r="AE186">
        <f t="shared" si="61"/>
        <v>27.993280527133162</v>
      </c>
      <c r="AG186" s="109">
        <f t="shared" si="62"/>
        <v>44713</v>
      </c>
      <c r="AH186">
        <f>'Water Stuff'!I156*1000</f>
        <v>620</v>
      </c>
      <c r="AI186">
        <f>'Water Stuff'!Q156*1000</f>
        <v>620</v>
      </c>
      <c r="AJ186">
        <f>'Water Stuff'!Y156*1000</f>
        <v>620</v>
      </c>
      <c r="AK186">
        <f>'Water Stuff'!AG156*1000</f>
        <v>620</v>
      </c>
      <c r="AL186">
        <f>'Water Stuff'!AO156*1000</f>
        <v>620</v>
      </c>
    </row>
    <row r="187" spans="1:38">
      <c r="A187" s="109">
        <f>'Water Stuff'!F157</f>
        <v>44714</v>
      </c>
      <c r="B187">
        <f>IF( 'Water Stuff'!G157*1000 &gt;= 'Water Stuff'!$B$6*1000, 'Water Stuff'!$B$6*1000, 'Water Stuff'!G157*1000)</f>
        <v>0</v>
      </c>
      <c r="C187">
        <f>IF( 'Water Stuff'!O157*1000 &gt;= 'Water Stuff'!$B$6*1000, 'Water Stuff'!$B$6*1000, 'Water Stuff'!O157*1000)</f>
        <v>560</v>
      </c>
      <c r="D187">
        <f>IF( 'Water Stuff'!W157*1000 &gt;= 'Water Stuff'!$B$6*1000, 'Water Stuff'!$B$6*1000, 'Water Stuff'!W157*1000)</f>
        <v>712.79091446137761</v>
      </c>
      <c r="E187">
        <f>IF( 'Water Stuff'!AE157*1000 &gt;= 'Water Stuff'!$B$6*1000, 'Water Stuff'!$B$6*1000, 'Water Stuff'!AE157*1000)</f>
        <v>0</v>
      </c>
      <c r="F187">
        <f>IF('Water Stuff'!AM157*1000&gt;='Water Stuff'!$B$6*1000,'Water Stuff'!$B$6*1000,'Water Stuff'!AM157*1000)</f>
        <v>798.92056127550518</v>
      </c>
      <c r="I187">
        <f t="shared" si="42"/>
        <v>0</v>
      </c>
      <c r="J187">
        <f t="shared" si="43"/>
        <v>5.6</v>
      </c>
      <c r="K187">
        <f t="shared" si="44"/>
        <v>7.1279091446137759</v>
      </c>
      <c r="L187">
        <f t="shared" si="45"/>
        <v>0</v>
      </c>
      <c r="M187">
        <f t="shared" si="46"/>
        <v>7.9892056127550513</v>
      </c>
      <c r="O187">
        <f t="shared" si="47"/>
        <v>0</v>
      </c>
      <c r="P187">
        <f t="shared" si="48"/>
        <v>0.112</v>
      </c>
      <c r="Q187">
        <f t="shared" si="49"/>
        <v>0.14255818289227551</v>
      </c>
      <c r="R187">
        <f t="shared" si="50"/>
        <v>0</v>
      </c>
      <c r="S187">
        <f t="shared" si="51"/>
        <v>0.15978411225510103</v>
      </c>
      <c r="U187">
        <f t="shared" si="52"/>
        <v>0</v>
      </c>
      <c r="V187">
        <f t="shared" si="53"/>
        <v>2.8000000000000003</v>
      </c>
      <c r="W187">
        <f t="shared" si="54"/>
        <v>3.5639545723068879</v>
      </c>
      <c r="X187">
        <f t="shared" si="55"/>
        <v>0</v>
      </c>
      <c r="Y187">
        <f t="shared" si="56"/>
        <v>3.9946028063775261</v>
      </c>
      <c r="AA187">
        <f t="shared" si="57"/>
        <v>0</v>
      </c>
      <c r="AB187">
        <f t="shared" si="58"/>
        <v>5.6000000000000005</v>
      </c>
      <c r="AC187">
        <f t="shared" si="59"/>
        <v>7.1279091446137759</v>
      </c>
      <c r="AD187">
        <f t="shared" si="60"/>
        <v>0</v>
      </c>
      <c r="AE187">
        <f t="shared" si="61"/>
        <v>7.9892056127550521</v>
      </c>
      <c r="AG187" s="109">
        <f t="shared" si="62"/>
        <v>44714</v>
      </c>
      <c r="AH187">
        <f>'Water Stuff'!I157*1000</f>
        <v>620</v>
      </c>
      <c r="AI187">
        <f>'Water Stuff'!Q157*1000</f>
        <v>620</v>
      </c>
      <c r="AJ187">
        <f>'Water Stuff'!Y157*1000</f>
        <v>620</v>
      </c>
      <c r="AK187">
        <f>'Water Stuff'!AG157*1000</f>
        <v>620</v>
      </c>
      <c r="AL187">
        <f>'Water Stuff'!AO157*1000</f>
        <v>620</v>
      </c>
    </row>
    <row r="188" spans="1:38">
      <c r="A188" s="109">
        <f>'Water Stuff'!F158</f>
        <v>44715</v>
      </c>
      <c r="B188">
        <f>IF( 'Water Stuff'!G158*1000 &gt;= 'Water Stuff'!$B$6*1000, 'Water Stuff'!$B$6*1000, 'Water Stuff'!G158*1000)</f>
        <v>0</v>
      </c>
      <c r="C188">
        <f>IF( 'Water Stuff'!O158*1000 &gt;= 'Water Stuff'!$B$6*1000, 'Water Stuff'!$B$6*1000, 'Water Stuff'!O158*1000)</f>
        <v>0</v>
      </c>
      <c r="D188">
        <f>IF( 'Water Stuff'!W158*1000 &gt;= 'Water Stuff'!$B$6*1000, 'Water Stuff'!$B$6*1000, 'Water Stuff'!W158*1000)</f>
        <v>0</v>
      </c>
      <c r="E188">
        <f>IF( 'Water Stuff'!AE158*1000 &gt;= 'Water Stuff'!$B$6*1000, 'Water Stuff'!$B$6*1000, 'Water Stuff'!AE158*1000)</f>
        <v>0</v>
      </c>
      <c r="F188">
        <f>IF('Water Stuff'!AM158*1000&gt;='Water Stuff'!$B$6*1000,'Water Stuff'!$B$6*1000,'Water Stuff'!AM158*1000)</f>
        <v>0</v>
      </c>
      <c r="I188">
        <f t="shared" si="42"/>
        <v>0</v>
      </c>
      <c r="J188">
        <f t="shared" si="43"/>
        <v>0</v>
      </c>
      <c r="K188">
        <f t="shared" si="44"/>
        <v>0</v>
      </c>
      <c r="L188">
        <f t="shared" si="45"/>
        <v>0</v>
      </c>
      <c r="M188">
        <f t="shared" si="46"/>
        <v>0</v>
      </c>
      <c r="O188">
        <f t="shared" si="47"/>
        <v>0</v>
      </c>
      <c r="P188">
        <f t="shared" si="48"/>
        <v>0</v>
      </c>
      <c r="Q188">
        <f t="shared" si="49"/>
        <v>0</v>
      </c>
      <c r="R188">
        <f t="shared" si="50"/>
        <v>0</v>
      </c>
      <c r="S188">
        <f t="shared" si="51"/>
        <v>0</v>
      </c>
      <c r="U188">
        <f t="shared" si="52"/>
        <v>0</v>
      </c>
      <c r="V188">
        <f t="shared" si="53"/>
        <v>0</v>
      </c>
      <c r="W188">
        <f t="shared" si="54"/>
        <v>0</v>
      </c>
      <c r="X188">
        <f t="shared" si="55"/>
        <v>0</v>
      </c>
      <c r="Y188">
        <f t="shared" si="56"/>
        <v>0</v>
      </c>
      <c r="AA188">
        <f t="shared" si="57"/>
        <v>0</v>
      </c>
      <c r="AB188">
        <f t="shared" si="58"/>
        <v>0</v>
      </c>
      <c r="AC188">
        <f t="shared" si="59"/>
        <v>0</v>
      </c>
      <c r="AD188">
        <f t="shared" si="60"/>
        <v>0</v>
      </c>
      <c r="AE188">
        <f t="shared" si="61"/>
        <v>0</v>
      </c>
      <c r="AG188" s="109">
        <f t="shared" si="62"/>
        <v>44715</v>
      </c>
      <c r="AH188">
        <f>'Water Stuff'!I158*1000</f>
        <v>620</v>
      </c>
      <c r="AI188">
        <f>'Water Stuff'!Q158*1000</f>
        <v>620</v>
      </c>
      <c r="AJ188">
        <f>'Water Stuff'!Y158*1000</f>
        <v>620</v>
      </c>
      <c r="AK188">
        <f>'Water Stuff'!AG158*1000</f>
        <v>620</v>
      </c>
      <c r="AL188">
        <f>'Water Stuff'!AO158*1000</f>
        <v>620</v>
      </c>
    </row>
    <row r="189" spans="1:38">
      <c r="A189" s="109">
        <f>'Water Stuff'!F159</f>
        <v>44716</v>
      </c>
      <c r="B189">
        <f>IF( 'Water Stuff'!G159*1000 &gt;= 'Water Stuff'!$B$6*1000, 'Water Stuff'!$B$6*1000, 'Water Stuff'!G159*1000)</f>
        <v>0</v>
      </c>
      <c r="C189">
        <f>IF( 'Water Stuff'!O159*1000 &gt;= 'Water Stuff'!$B$6*1000, 'Water Stuff'!$B$6*1000, 'Water Stuff'!O159*1000)</f>
        <v>0</v>
      </c>
      <c r="D189">
        <f>IF( 'Water Stuff'!W159*1000 &gt;= 'Water Stuff'!$B$6*1000, 'Water Stuff'!$B$6*1000, 'Water Stuff'!W159*1000)</f>
        <v>0</v>
      </c>
      <c r="E189">
        <f>IF( 'Water Stuff'!AE159*1000 &gt;= 'Water Stuff'!$B$6*1000, 'Water Stuff'!$B$6*1000, 'Water Stuff'!AE159*1000)</f>
        <v>1195.8888449752403</v>
      </c>
      <c r="F189">
        <f>IF('Water Stuff'!AM159*1000&gt;='Water Stuff'!$B$6*1000,'Water Stuff'!$B$6*1000,'Water Stuff'!AM159*1000)</f>
        <v>360.59615545426703</v>
      </c>
      <c r="I189">
        <f t="shared" si="42"/>
        <v>0</v>
      </c>
      <c r="J189">
        <f t="shared" si="43"/>
        <v>0</v>
      </c>
      <c r="K189">
        <f t="shared" si="44"/>
        <v>0</v>
      </c>
      <c r="L189">
        <f t="shared" si="45"/>
        <v>11.958888449752402</v>
      </c>
      <c r="M189">
        <f t="shared" si="46"/>
        <v>3.6059615545426706</v>
      </c>
      <c r="O189">
        <f t="shared" si="47"/>
        <v>0</v>
      </c>
      <c r="P189">
        <f t="shared" si="48"/>
        <v>0</v>
      </c>
      <c r="Q189">
        <f t="shared" si="49"/>
        <v>0</v>
      </c>
      <c r="R189">
        <f t="shared" si="50"/>
        <v>0.23917776899504806</v>
      </c>
      <c r="S189">
        <f t="shared" si="51"/>
        <v>7.2119231090853414E-2</v>
      </c>
      <c r="U189">
        <f t="shared" si="52"/>
        <v>0</v>
      </c>
      <c r="V189">
        <f t="shared" si="53"/>
        <v>0</v>
      </c>
      <c r="W189">
        <f t="shared" si="54"/>
        <v>0</v>
      </c>
      <c r="X189">
        <f t="shared" si="55"/>
        <v>5.9794442248762021</v>
      </c>
      <c r="Y189">
        <f t="shared" si="56"/>
        <v>1.8029807772713351</v>
      </c>
      <c r="AA189">
        <f t="shared" si="57"/>
        <v>0</v>
      </c>
      <c r="AB189">
        <f t="shared" si="58"/>
        <v>0</v>
      </c>
      <c r="AC189">
        <f t="shared" si="59"/>
        <v>0</v>
      </c>
      <c r="AD189">
        <f t="shared" si="60"/>
        <v>11.958888449752404</v>
      </c>
      <c r="AE189">
        <f t="shared" si="61"/>
        <v>3.6059615545426702</v>
      </c>
      <c r="AG189" s="109">
        <f t="shared" si="62"/>
        <v>44716</v>
      </c>
      <c r="AH189">
        <f>'Water Stuff'!I159*1000</f>
        <v>620</v>
      </c>
      <c r="AI189">
        <f>'Water Stuff'!Q159*1000</f>
        <v>620</v>
      </c>
      <c r="AJ189">
        <f>'Water Stuff'!Y159*1000</f>
        <v>620</v>
      </c>
      <c r="AK189">
        <f>'Water Stuff'!AG159*1000</f>
        <v>620</v>
      </c>
      <c r="AL189">
        <f>'Water Stuff'!AO159*1000</f>
        <v>620</v>
      </c>
    </row>
    <row r="190" spans="1:38">
      <c r="A190" s="109">
        <f>'Water Stuff'!F160</f>
        <v>44717</v>
      </c>
      <c r="B190">
        <f>IF( 'Water Stuff'!G160*1000 &gt;= 'Water Stuff'!$B$6*1000, 'Water Stuff'!$B$6*1000, 'Water Stuff'!G160*1000)</f>
        <v>0</v>
      </c>
      <c r="C190">
        <f>IF( 'Water Stuff'!O160*1000 &gt;= 'Water Stuff'!$B$6*1000, 'Water Stuff'!$B$6*1000, 'Water Stuff'!O160*1000)</f>
        <v>0</v>
      </c>
      <c r="D190">
        <f>IF( 'Water Stuff'!W160*1000 &gt;= 'Water Stuff'!$B$6*1000, 'Water Stuff'!$B$6*1000, 'Water Stuff'!W160*1000)</f>
        <v>0</v>
      </c>
      <c r="E190">
        <f>IF( 'Water Stuff'!AE160*1000 &gt;= 'Water Stuff'!$B$6*1000, 'Water Stuff'!$B$6*1000, 'Water Stuff'!AE160*1000)</f>
        <v>0</v>
      </c>
      <c r="F190">
        <f>IF('Water Stuff'!AM160*1000&gt;='Water Stuff'!$B$6*1000,'Water Stuff'!$B$6*1000,'Water Stuff'!AM160*1000)</f>
        <v>0</v>
      </c>
      <c r="I190">
        <f t="shared" si="42"/>
        <v>0</v>
      </c>
      <c r="J190">
        <f t="shared" si="43"/>
        <v>0</v>
      </c>
      <c r="K190">
        <f t="shared" si="44"/>
        <v>0</v>
      </c>
      <c r="L190">
        <f t="shared" si="45"/>
        <v>0</v>
      </c>
      <c r="M190">
        <f t="shared" si="46"/>
        <v>0</v>
      </c>
      <c r="O190">
        <f t="shared" si="47"/>
        <v>0</v>
      </c>
      <c r="P190">
        <f t="shared" si="48"/>
        <v>0</v>
      </c>
      <c r="Q190">
        <f t="shared" si="49"/>
        <v>0</v>
      </c>
      <c r="R190">
        <f t="shared" si="50"/>
        <v>0</v>
      </c>
      <c r="S190">
        <f t="shared" si="51"/>
        <v>0</v>
      </c>
      <c r="U190">
        <f t="shared" si="52"/>
        <v>0</v>
      </c>
      <c r="V190">
        <f t="shared" si="53"/>
        <v>0</v>
      </c>
      <c r="W190">
        <f t="shared" si="54"/>
        <v>0</v>
      </c>
      <c r="X190">
        <f t="shared" si="55"/>
        <v>0</v>
      </c>
      <c r="Y190">
        <f t="shared" si="56"/>
        <v>0</v>
      </c>
      <c r="AA190">
        <f t="shared" si="57"/>
        <v>0</v>
      </c>
      <c r="AB190">
        <f t="shared" si="58"/>
        <v>0</v>
      </c>
      <c r="AC190">
        <f t="shared" si="59"/>
        <v>0</v>
      </c>
      <c r="AD190">
        <f t="shared" si="60"/>
        <v>0</v>
      </c>
      <c r="AE190">
        <f t="shared" si="61"/>
        <v>0</v>
      </c>
      <c r="AG190" s="109">
        <f t="shared" si="62"/>
        <v>44717</v>
      </c>
      <c r="AH190">
        <f>'Water Stuff'!I160*1000</f>
        <v>620</v>
      </c>
      <c r="AI190">
        <f>'Water Stuff'!Q160*1000</f>
        <v>620</v>
      </c>
      <c r="AJ190">
        <f>'Water Stuff'!Y160*1000</f>
        <v>620</v>
      </c>
      <c r="AK190">
        <f>'Water Stuff'!AG160*1000</f>
        <v>620</v>
      </c>
      <c r="AL190">
        <f>'Water Stuff'!AO160*1000</f>
        <v>620</v>
      </c>
    </row>
    <row r="191" spans="1:38">
      <c r="A191" s="109">
        <f>'Water Stuff'!F161</f>
        <v>44718</v>
      </c>
      <c r="B191">
        <f>IF( 'Water Stuff'!G161*1000 &gt;= 'Water Stuff'!$B$6*1000, 'Water Stuff'!$B$6*1000, 'Water Stuff'!G161*1000)</f>
        <v>0</v>
      </c>
      <c r="C191">
        <f>IF( 'Water Stuff'!O161*1000 &gt;= 'Water Stuff'!$B$6*1000, 'Water Stuff'!$B$6*1000, 'Water Stuff'!O161*1000)</f>
        <v>0</v>
      </c>
      <c r="D191">
        <f>IF( 'Water Stuff'!W161*1000 &gt;= 'Water Stuff'!$B$6*1000, 'Water Stuff'!$B$6*1000, 'Water Stuff'!W161*1000)</f>
        <v>0</v>
      </c>
      <c r="E191">
        <f>IF( 'Water Stuff'!AE161*1000 &gt;= 'Water Stuff'!$B$6*1000, 'Water Stuff'!$B$6*1000, 'Water Stuff'!AE161*1000)</f>
        <v>0</v>
      </c>
      <c r="F191">
        <f>IF('Water Stuff'!AM161*1000&gt;='Water Stuff'!$B$6*1000,'Water Stuff'!$B$6*1000,'Water Stuff'!AM161*1000)</f>
        <v>0</v>
      </c>
      <c r="I191">
        <f t="shared" si="42"/>
        <v>0</v>
      </c>
      <c r="J191">
        <f t="shared" si="43"/>
        <v>0</v>
      </c>
      <c r="K191">
        <f t="shared" si="44"/>
        <v>0</v>
      </c>
      <c r="L191">
        <f t="shared" si="45"/>
        <v>0</v>
      </c>
      <c r="M191">
        <f t="shared" si="46"/>
        <v>0</v>
      </c>
      <c r="O191">
        <f t="shared" si="47"/>
        <v>0</v>
      </c>
      <c r="P191">
        <f t="shared" si="48"/>
        <v>0</v>
      </c>
      <c r="Q191">
        <f t="shared" si="49"/>
        <v>0</v>
      </c>
      <c r="R191">
        <f t="shared" si="50"/>
        <v>0</v>
      </c>
      <c r="S191">
        <f t="shared" si="51"/>
        <v>0</v>
      </c>
      <c r="U191">
        <f t="shared" si="52"/>
        <v>0</v>
      </c>
      <c r="V191">
        <f t="shared" si="53"/>
        <v>0</v>
      </c>
      <c r="W191">
        <f t="shared" si="54"/>
        <v>0</v>
      </c>
      <c r="X191">
        <f t="shared" si="55"/>
        <v>0</v>
      </c>
      <c r="Y191">
        <f t="shared" si="56"/>
        <v>0</v>
      </c>
      <c r="AA191">
        <f t="shared" si="57"/>
        <v>0</v>
      </c>
      <c r="AB191">
        <f t="shared" si="58"/>
        <v>0</v>
      </c>
      <c r="AC191">
        <f t="shared" si="59"/>
        <v>0</v>
      </c>
      <c r="AD191">
        <f t="shared" si="60"/>
        <v>0</v>
      </c>
      <c r="AE191">
        <f t="shared" si="61"/>
        <v>0</v>
      </c>
      <c r="AG191" s="109">
        <f t="shared" si="62"/>
        <v>44718</v>
      </c>
      <c r="AH191">
        <f>'Water Stuff'!I161*1000</f>
        <v>620</v>
      </c>
      <c r="AI191">
        <f>'Water Stuff'!Q161*1000</f>
        <v>620</v>
      </c>
      <c r="AJ191">
        <f>'Water Stuff'!Y161*1000</f>
        <v>620</v>
      </c>
      <c r="AK191">
        <f>'Water Stuff'!AG161*1000</f>
        <v>620</v>
      </c>
      <c r="AL191">
        <f>'Water Stuff'!AO161*1000</f>
        <v>620</v>
      </c>
    </row>
    <row r="192" spans="1:38">
      <c r="A192" s="109">
        <f>'Water Stuff'!F162</f>
        <v>44719</v>
      </c>
      <c r="B192">
        <f>IF( 'Water Stuff'!G162*1000 &gt;= 'Water Stuff'!$B$6*1000, 'Water Stuff'!$B$6*1000, 'Water Stuff'!G162*1000)</f>
        <v>0</v>
      </c>
      <c r="C192">
        <f>IF( 'Water Stuff'!O162*1000 &gt;= 'Water Stuff'!$B$6*1000, 'Water Stuff'!$B$6*1000, 'Water Stuff'!O162*1000)</f>
        <v>0</v>
      </c>
      <c r="D192">
        <f>IF( 'Water Stuff'!W162*1000 &gt;= 'Water Stuff'!$B$6*1000, 'Water Stuff'!$B$6*1000, 'Water Stuff'!W162*1000)</f>
        <v>0</v>
      </c>
      <c r="E192">
        <f>IF( 'Water Stuff'!AE162*1000 &gt;= 'Water Stuff'!$B$6*1000, 'Water Stuff'!$B$6*1000, 'Water Stuff'!AE162*1000)</f>
        <v>918.82953970395749</v>
      </c>
      <c r="F192">
        <f>IF('Water Stuff'!AM162*1000&gt;='Water Stuff'!$B$6*1000,'Water Stuff'!$B$6*1000,'Water Stuff'!AM162*1000)</f>
        <v>0</v>
      </c>
      <c r="I192">
        <f t="shared" si="42"/>
        <v>0</v>
      </c>
      <c r="J192">
        <f t="shared" si="43"/>
        <v>0</v>
      </c>
      <c r="K192">
        <f t="shared" si="44"/>
        <v>0</v>
      </c>
      <c r="L192">
        <f t="shared" si="45"/>
        <v>9.1882953970395764</v>
      </c>
      <c r="M192">
        <f t="shared" si="46"/>
        <v>0</v>
      </c>
      <c r="O192">
        <f t="shared" si="47"/>
        <v>0</v>
      </c>
      <c r="P192">
        <f t="shared" si="48"/>
        <v>0</v>
      </c>
      <c r="Q192">
        <f t="shared" si="49"/>
        <v>0</v>
      </c>
      <c r="R192">
        <f t="shared" si="50"/>
        <v>0.18376590794079153</v>
      </c>
      <c r="S192">
        <f t="shared" si="51"/>
        <v>0</v>
      </c>
      <c r="U192">
        <f t="shared" si="52"/>
        <v>0</v>
      </c>
      <c r="V192">
        <f t="shared" si="53"/>
        <v>0</v>
      </c>
      <c r="W192">
        <f t="shared" si="54"/>
        <v>0</v>
      </c>
      <c r="X192">
        <f t="shared" si="55"/>
        <v>4.5941476985197873</v>
      </c>
      <c r="Y192">
        <f t="shared" si="56"/>
        <v>0</v>
      </c>
      <c r="AA192">
        <f t="shared" si="57"/>
        <v>0</v>
      </c>
      <c r="AB192">
        <f t="shared" si="58"/>
        <v>0</v>
      </c>
      <c r="AC192">
        <f t="shared" si="59"/>
        <v>0</v>
      </c>
      <c r="AD192">
        <f t="shared" si="60"/>
        <v>9.1882953970395747</v>
      </c>
      <c r="AE192">
        <f t="shared" si="61"/>
        <v>0</v>
      </c>
      <c r="AG192" s="109">
        <f t="shared" si="62"/>
        <v>44719</v>
      </c>
      <c r="AH192">
        <f>'Water Stuff'!I162*1000</f>
        <v>620</v>
      </c>
      <c r="AI192">
        <f>'Water Stuff'!Q162*1000</f>
        <v>620</v>
      </c>
      <c r="AJ192">
        <f>'Water Stuff'!Y162*1000</f>
        <v>620</v>
      </c>
      <c r="AK192">
        <f>'Water Stuff'!AG162*1000</f>
        <v>620</v>
      </c>
      <c r="AL192">
        <f>'Water Stuff'!AO162*1000</f>
        <v>620</v>
      </c>
    </row>
    <row r="193" spans="1:38">
      <c r="A193" s="109">
        <f>'Water Stuff'!F163</f>
        <v>44720</v>
      </c>
      <c r="B193">
        <f>IF( 'Water Stuff'!G163*1000 &gt;= 'Water Stuff'!$B$6*1000, 'Water Stuff'!$B$6*1000, 'Water Stuff'!G163*1000)</f>
        <v>40</v>
      </c>
      <c r="C193">
        <f>IF( 'Water Stuff'!O163*1000 &gt;= 'Water Stuff'!$B$6*1000, 'Water Stuff'!$B$6*1000, 'Water Stuff'!O163*1000)</f>
        <v>0</v>
      </c>
      <c r="D193">
        <f>IF( 'Water Stuff'!W163*1000 &gt;= 'Water Stuff'!$B$6*1000, 'Water Stuff'!$B$6*1000, 'Water Stuff'!W163*1000)</f>
        <v>0</v>
      </c>
      <c r="E193">
        <f>IF( 'Water Stuff'!AE163*1000 &gt;= 'Water Stuff'!$B$6*1000, 'Water Stuff'!$B$6*1000, 'Water Stuff'!AE163*1000)</f>
        <v>0</v>
      </c>
      <c r="F193">
        <f>IF('Water Stuff'!AM163*1000&gt;='Water Stuff'!$B$6*1000,'Water Stuff'!$B$6*1000,'Water Stuff'!AM163*1000)</f>
        <v>0</v>
      </c>
      <c r="I193">
        <f t="shared" si="42"/>
        <v>0.4</v>
      </c>
      <c r="J193">
        <f t="shared" si="43"/>
        <v>0</v>
      </c>
      <c r="K193">
        <f t="shared" si="44"/>
        <v>0</v>
      </c>
      <c r="L193">
        <f t="shared" si="45"/>
        <v>0</v>
      </c>
      <c r="M193">
        <f t="shared" si="46"/>
        <v>0</v>
      </c>
      <c r="O193">
        <f t="shared" si="47"/>
        <v>8.0000000000000002E-3</v>
      </c>
      <c r="P193">
        <f t="shared" si="48"/>
        <v>0</v>
      </c>
      <c r="Q193">
        <f t="shared" si="49"/>
        <v>0</v>
      </c>
      <c r="R193">
        <f t="shared" si="50"/>
        <v>0</v>
      </c>
      <c r="S193">
        <f t="shared" si="51"/>
        <v>0</v>
      </c>
      <c r="U193">
        <f t="shared" si="52"/>
        <v>0.2</v>
      </c>
      <c r="V193">
        <f t="shared" si="53"/>
        <v>0</v>
      </c>
      <c r="W193">
        <f t="shared" si="54"/>
        <v>0</v>
      </c>
      <c r="X193">
        <f t="shared" si="55"/>
        <v>0</v>
      </c>
      <c r="Y193">
        <f t="shared" si="56"/>
        <v>0</v>
      </c>
      <c r="AA193">
        <f t="shared" si="57"/>
        <v>0.4</v>
      </c>
      <c r="AB193">
        <f t="shared" si="58"/>
        <v>0</v>
      </c>
      <c r="AC193">
        <f t="shared" si="59"/>
        <v>0</v>
      </c>
      <c r="AD193">
        <f t="shared" si="60"/>
        <v>0</v>
      </c>
      <c r="AE193">
        <f t="shared" si="61"/>
        <v>0</v>
      </c>
      <c r="AG193" s="109">
        <f t="shared" si="62"/>
        <v>44720</v>
      </c>
      <c r="AH193">
        <f>'Water Stuff'!I163*1000</f>
        <v>620</v>
      </c>
      <c r="AI193">
        <f>'Water Stuff'!Q163*1000</f>
        <v>620</v>
      </c>
      <c r="AJ193">
        <f>'Water Stuff'!Y163*1000</f>
        <v>620</v>
      </c>
      <c r="AK193">
        <f>'Water Stuff'!AG163*1000</f>
        <v>620</v>
      </c>
      <c r="AL193">
        <f>'Water Stuff'!AO163*1000</f>
        <v>620</v>
      </c>
    </row>
    <row r="194" spans="1:38">
      <c r="A194" s="109">
        <f>'Water Stuff'!F164</f>
        <v>44721</v>
      </c>
      <c r="B194">
        <f>IF( 'Water Stuff'!G164*1000 &gt;= 'Water Stuff'!$B$6*1000, 'Water Stuff'!$B$6*1000, 'Water Stuff'!G164*1000)</f>
        <v>0</v>
      </c>
      <c r="C194">
        <f>IF( 'Water Stuff'!O164*1000 &gt;= 'Water Stuff'!$B$6*1000, 'Water Stuff'!$B$6*1000, 'Water Stuff'!O164*1000)</f>
        <v>0</v>
      </c>
      <c r="D194">
        <f>IF( 'Water Stuff'!W164*1000 &gt;= 'Water Stuff'!$B$6*1000, 'Water Stuff'!$B$6*1000, 'Water Stuff'!W164*1000)</f>
        <v>0</v>
      </c>
      <c r="E194">
        <f>IF( 'Water Stuff'!AE164*1000 &gt;= 'Water Stuff'!$B$6*1000, 'Water Stuff'!$B$6*1000, 'Water Stuff'!AE164*1000)</f>
        <v>1541.1007198971988</v>
      </c>
      <c r="F194">
        <f>IF('Water Stuff'!AM164*1000&gt;='Water Stuff'!$B$6*1000,'Water Stuff'!$B$6*1000,'Water Stuff'!AM164*1000)</f>
        <v>0</v>
      </c>
      <c r="I194">
        <f t="shared" si="42"/>
        <v>0</v>
      </c>
      <c r="J194">
        <f t="shared" si="43"/>
        <v>0</v>
      </c>
      <c r="K194">
        <f t="shared" si="44"/>
        <v>0</v>
      </c>
      <c r="L194">
        <f t="shared" si="45"/>
        <v>15.411007198971987</v>
      </c>
      <c r="M194">
        <f t="shared" si="46"/>
        <v>0</v>
      </c>
      <c r="O194">
        <f t="shared" si="47"/>
        <v>0</v>
      </c>
      <c r="P194">
        <f t="shared" si="48"/>
        <v>0</v>
      </c>
      <c r="Q194">
        <f t="shared" si="49"/>
        <v>0</v>
      </c>
      <c r="R194">
        <f t="shared" si="50"/>
        <v>0.30822014397943975</v>
      </c>
      <c r="S194">
        <f t="shared" si="51"/>
        <v>0</v>
      </c>
      <c r="U194">
        <f t="shared" si="52"/>
        <v>0</v>
      </c>
      <c r="V194">
        <f t="shared" si="53"/>
        <v>0</v>
      </c>
      <c r="W194">
        <f t="shared" si="54"/>
        <v>0</v>
      </c>
      <c r="X194">
        <f t="shared" si="55"/>
        <v>7.7055035994859944</v>
      </c>
      <c r="Y194">
        <f t="shared" si="56"/>
        <v>0</v>
      </c>
      <c r="AA194">
        <f t="shared" si="57"/>
        <v>0</v>
      </c>
      <c r="AB194">
        <f t="shared" si="58"/>
        <v>0</v>
      </c>
      <c r="AC194">
        <f t="shared" si="59"/>
        <v>0</v>
      </c>
      <c r="AD194">
        <f t="shared" si="60"/>
        <v>15.411007198971989</v>
      </c>
      <c r="AE194">
        <f t="shared" si="61"/>
        <v>0</v>
      </c>
      <c r="AG194" s="109">
        <f t="shared" si="62"/>
        <v>44721</v>
      </c>
      <c r="AH194">
        <f>'Water Stuff'!I164*1000</f>
        <v>620</v>
      </c>
      <c r="AI194">
        <f>'Water Stuff'!Q164*1000</f>
        <v>620</v>
      </c>
      <c r="AJ194">
        <f>'Water Stuff'!Y164*1000</f>
        <v>620</v>
      </c>
      <c r="AK194">
        <f>'Water Stuff'!AG164*1000</f>
        <v>620</v>
      </c>
      <c r="AL194">
        <f>'Water Stuff'!AO164*1000</f>
        <v>620</v>
      </c>
    </row>
    <row r="195" spans="1:38">
      <c r="A195" s="109">
        <f>'Water Stuff'!F165</f>
        <v>44722</v>
      </c>
      <c r="B195">
        <f>IF( 'Water Stuff'!G165*1000 &gt;= 'Water Stuff'!$B$6*1000, 'Water Stuff'!$B$6*1000, 'Water Stuff'!G165*1000)</f>
        <v>0</v>
      </c>
      <c r="C195">
        <f>IF( 'Water Stuff'!O165*1000 &gt;= 'Water Stuff'!$B$6*1000, 'Water Stuff'!$B$6*1000, 'Water Stuff'!O165*1000)</f>
        <v>0</v>
      </c>
      <c r="D195">
        <f>IF( 'Water Stuff'!W165*1000 &gt;= 'Water Stuff'!$B$6*1000, 'Water Stuff'!$B$6*1000, 'Water Stuff'!W165*1000)</f>
        <v>0</v>
      </c>
      <c r="E195">
        <f>IF( 'Water Stuff'!AE165*1000 &gt;= 'Water Stuff'!$B$6*1000, 'Water Stuff'!$B$6*1000, 'Water Stuff'!AE165*1000)</f>
        <v>0</v>
      </c>
      <c r="F195">
        <f>IF('Water Stuff'!AM165*1000&gt;='Water Stuff'!$B$6*1000,'Water Stuff'!$B$6*1000,'Water Stuff'!AM165*1000)</f>
        <v>1751.2864659405675</v>
      </c>
      <c r="I195">
        <f t="shared" si="42"/>
        <v>0</v>
      </c>
      <c r="J195">
        <f t="shared" si="43"/>
        <v>0</v>
      </c>
      <c r="K195">
        <f t="shared" si="44"/>
        <v>0</v>
      </c>
      <c r="L195">
        <f t="shared" si="45"/>
        <v>0</v>
      </c>
      <c r="M195">
        <f t="shared" si="46"/>
        <v>17.512864659405672</v>
      </c>
      <c r="O195">
        <f t="shared" si="47"/>
        <v>0</v>
      </c>
      <c r="P195">
        <f t="shared" si="48"/>
        <v>0</v>
      </c>
      <c r="Q195">
        <f t="shared" si="49"/>
        <v>0</v>
      </c>
      <c r="R195">
        <f t="shared" si="50"/>
        <v>0</v>
      </c>
      <c r="S195">
        <f t="shared" si="51"/>
        <v>0.35025729318811344</v>
      </c>
      <c r="U195">
        <f t="shared" si="52"/>
        <v>0</v>
      </c>
      <c r="V195">
        <f t="shared" si="53"/>
        <v>0</v>
      </c>
      <c r="W195">
        <f t="shared" si="54"/>
        <v>0</v>
      </c>
      <c r="X195">
        <f t="shared" si="55"/>
        <v>0</v>
      </c>
      <c r="Y195">
        <f t="shared" si="56"/>
        <v>8.7564323297028377</v>
      </c>
      <c r="AA195">
        <f t="shared" si="57"/>
        <v>0</v>
      </c>
      <c r="AB195">
        <f t="shared" si="58"/>
        <v>0</v>
      </c>
      <c r="AC195">
        <f t="shared" si="59"/>
        <v>0</v>
      </c>
      <c r="AD195">
        <f t="shared" si="60"/>
        <v>0</v>
      </c>
      <c r="AE195">
        <f t="shared" si="61"/>
        <v>17.512864659405675</v>
      </c>
      <c r="AG195" s="109">
        <f t="shared" si="62"/>
        <v>44722</v>
      </c>
      <c r="AH195">
        <f>'Water Stuff'!I165*1000</f>
        <v>620</v>
      </c>
      <c r="AI195">
        <f>'Water Stuff'!Q165*1000</f>
        <v>620</v>
      </c>
      <c r="AJ195">
        <f>'Water Stuff'!Y165*1000</f>
        <v>620</v>
      </c>
      <c r="AK195">
        <f>'Water Stuff'!AG165*1000</f>
        <v>620</v>
      </c>
      <c r="AL195">
        <f>'Water Stuff'!AO165*1000</f>
        <v>620</v>
      </c>
    </row>
    <row r="196" spans="1:38">
      <c r="A196" s="109">
        <f>'Water Stuff'!F166</f>
        <v>44723</v>
      </c>
      <c r="B196">
        <f>IF( 'Water Stuff'!G166*1000 &gt;= 'Water Stuff'!$B$6*1000, 'Water Stuff'!$B$6*1000, 'Water Stuff'!G166*1000)</f>
        <v>0</v>
      </c>
      <c r="C196">
        <f>IF( 'Water Stuff'!O166*1000 &gt;= 'Water Stuff'!$B$6*1000, 'Water Stuff'!$B$6*1000, 'Water Stuff'!O166*1000)</f>
        <v>0</v>
      </c>
      <c r="D196">
        <f>IF( 'Water Stuff'!W166*1000 &gt;= 'Water Stuff'!$B$6*1000, 'Water Stuff'!$B$6*1000, 'Water Stuff'!W166*1000)</f>
        <v>0</v>
      </c>
      <c r="E196">
        <f>IF( 'Water Stuff'!AE166*1000 &gt;= 'Water Stuff'!$B$6*1000, 'Water Stuff'!$B$6*1000, 'Water Stuff'!AE166*1000)</f>
        <v>715.16756079530501</v>
      </c>
      <c r="F196">
        <f>IF('Water Stuff'!AM166*1000&gt;='Water Stuff'!$B$6*1000,'Water Stuff'!$B$6*1000,'Water Stuff'!AM166*1000)</f>
        <v>0</v>
      </c>
      <c r="I196">
        <f t="shared" si="42"/>
        <v>0</v>
      </c>
      <c r="J196">
        <f t="shared" si="43"/>
        <v>0</v>
      </c>
      <c r="K196">
        <f t="shared" si="44"/>
        <v>0</v>
      </c>
      <c r="L196">
        <f t="shared" si="45"/>
        <v>7.1516756079530497</v>
      </c>
      <c r="M196">
        <f t="shared" si="46"/>
        <v>0</v>
      </c>
      <c r="O196">
        <f t="shared" si="47"/>
        <v>0</v>
      </c>
      <c r="P196">
        <f t="shared" si="48"/>
        <v>0</v>
      </c>
      <c r="Q196">
        <f t="shared" si="49"/>
        <v>0</v>
      </c>
      <c r="R196">
        <f t="shared" si="50"/>
        <v>0.14303351215906099</v>
      </c>
      <c r="S196">
        <f t="shared" si="51"/>
        <v>0</v>
      </c>
      <c r="U196">
        <f t="shared" si="52"/>
        <v>0</v>
      </c>
      <c r="V196">
        <f t="shared" si="53"/>
        <v>0</v>
      </c>
      <c r="W196">
        <f t="shared" si="54"/>
        <v>0</v>
      </c>
      <c r="X196">
        <f t="shared" si="55"/>
        <v>3.5758378039765253</v>
      </c>
      <c r="Y196">
        <f t="shared" si="56"/>
        <v>0</v>
      </c>
      <c r="AA196">
        <f t="shared" si="57"/>
        <v>0</v>
      </c>
      <c r="AB196">
        <f t="shared" si="58"/>
        <v>0</v>
      </c>
      <c r="AC196">
        <f t="shared" si="59"/>
        <v>0</v>
      </c>
      <c r="AD196">
        <f t="shared" si="60"/>
        <v>7.1516756079530506</v>
      </c>
      <c r="AE196">
        <f t="shared" si="61"/>
        <v>0</v>
      </c>
      <c r="AG196" s="109">
        <f t="shared" si="62"/>
        <v>44723</v>
      </c>
      <c r="AH196">
        <f>'Water Stuff'!I166*1000</f>
        <v>620</v>
      </c>
      <c r="AI196">
        <f>'Water Stuff'!Q166*1000</f>
        <v>620</v>
      </c>
      <c r="AJ196">
        <f>'Water Stuff'!Y166*1000</f>
        <v>620</v>
      </c>
      <c r="AK196">
        <f>'Water Stuff'!AG166*1000</f>
        <v>620</v>
      </c>
      <c r="AL196">
        <f>'Water Stuff'!AO166*1000</f>
        <v>620</v>
      </c>
    </row>
    <row r="197" spans="1:38">
      <c r="A197" s="109">
        <f>'Water Stuff'!F167</f>
        <v>44724</v>
      </c>
      <c r="B197">
        <f>IF( 'Water Stuff'!G167*1000 &gt;= 'Water Stuff'!$B$6*1000, 'Water Stuff'!$B$6*1000, 'Water Stuff'!G167*1000)</f>
        <v>0</v>
      </c>
      <c r="C197">
        <f>IF( 'Water Stuff'!O167*1000 &gt;= 'Water Stuff'!$B$6*1000, 'Water Stuff'!$B$6*1000, 'Water Stuff'!O167*1000)</f>
        <v>0</v>
      </c>
      <c r="D197">
        <f>IF( 'Water Stuff'!W167*1000 &gt;= 'Water Stuff'!$B$6*1000, 'Water Stuff'!$B$6*1000, 'Water Stuff'!W167*1000)</f>
        <v>1741.876228193667</v>
      </c>
      <c r="E197">
        <f>IF( 'Water Stuff'!AE167*1000 &gt;= 'Water Stuff'!$B$6*1000, 'Water Stuff'!$B$6*1000, 'Water Stuff'!AE167*1000)</f>
        <v>0</v>
      </c>
      <c r="F197">
        <f>IF('Water Stuff'!AM167*1000&gt;='Water Stuff'!$B$6*1000,'Water Stuff'!$B$6*1000,'Water Stuff'!AM167*1000)</f>
        <v>1625.9372157985488</v>
      </c>
      <c r="I197">
        <f t="shared" si="42"/>
        <v>0</v>
      </c>
      <c r="J197">
        <f t="shared" si="43"/>
        <v>0</v>
      </c>
      <c r="K197">
        <f t="shared" si="44"/>
        <v>17.418762281936669</v>
      </c>
      <c r="L197">
        <f t="shared" si="45"/>
        <v>0</v>
      </c>
      <c r="M197">
        <f t="shared" si="46"/>
        <v>16.259372157985489</v>
      </c>
      <c r="O197">
        <f t="shared" si="47"/>
        <v>0</v>
      </c>
      <c r="P197">
        <f t="shared" si="48"/>
        <v>0</v>
      </c>
      <c r="Q197">
        <f t="shared" si="49"/>
        <v>0.3483752456387334</v>
      </c>
      <c r="R197">
        <f t="shared" si="50"/>
        <v>0</v>
      </c>
      <c r="S197">
        <f t="shared" si="51"/>
        <v>0.32518744315970977</v>
      </c>
      <c r="U197">
        <f t="shared" si="52"/>
        <v>0</v>
      </c>
      <c r="V197">
        <f t="shared" si="53"/>
        <v>0</v>
      </c>
      <c r="W197">
        <f t="shared" si="54"/>
        <v>8.7093811409683344</v>
      </c>
      <c r="X197">
        <f t="shared" si="55"/>
        <v>0</v>
      </c>
      <c r="Y197">
        <f t="shared" si="56"/>
        <v>8.1296860789927443</v>
      </c>
      <c r="AA197">
        <f t="shared" si="57"/>
        <v>0</v>
      </c>
      <c r="AB197">
        <f t="shared" si="58"/>
        <v>0</v>
      </c>
      <c r="AC197">
        <f t="shared" si="59"/>
        <v>17.418762281936669</v>
      </c>
      <c r="AD197">
        <f t="shared" si="60"/>
        <v>0</v>
      </c>
      <c r="AE197">
        <f t="shared" si="61"/>
        <v>16.259372157985489</v>
      </c>
      <c r="AG197" s="109">
        <f t="shared" si="62"/>
        <v>44724</v>
      </c>
      <c r="AH197">
        <f>'Water Stuff'!I167*1000</f>
        <v>620</v>
      </c>
      <c r="AI197">
        <f>'Water Stuff'!Q167*1000</f>
        <v>620</v>
      </c>
      <c r="AJ197">
        <f>'Water Stuff'!Y167*1000</f>
        <v>620</v>
      </c>
      <c r="AK197">
        <f>'Water Stuff'!AG167*1000</f>
        <v>620</v>
      </c>
      <c r="AL197">
        <f>'Water Stuff'!AO167*1000</f>
        <v>620</v>
      </c>
    </row>
    <row r="198" spans="1:38">
      <c r="A198" s="109">
        <f>'Water Stuff'!F168</f>
        <v>44725</v>
      </c>
      <c r="B198">
        <f>IF( 'Water Stuff'!G168*1000 &gt;= 'Water Stuff'!$B$6*1000, 'Water Stuff'!$B$6*1000, 'Water Stuff'!G168*1000)</f>
        <v>0</v>
      </c>
      <c r="C198">
        <f>IF( 'Water Stuff'!O168*1000 &gt;= 'Water Stuff'!$B$6*1000, 'Water Stuff'!$B$6*1000, 'Water Stuff'!O168*1000)</f>
        <v>0</v>
      </c>
      <c r="D198">
        <f>IF( 'Water Stuff'!W168*1000 &gt;= 'Water Stuff'!$B$6*1000, 'Water Stuff'!$B$6*1000, 'Water Stuff'!W168*1000)</f>
        <v>0</v>
      </c>
      <c r="E198">
        <f>IF( 'Water Stuff'!AE168*1000 &gt;= 'Water Stuff'!$B$6*1000, 'Water Stuff'!$B$6*1000, 'Water Stuff'!AE168*1000)</f>
        <v>1011.1864996758979</v>
      </c>
      <c r="F198">
        <f>IF('Water Stuff'!AM168*1000&gt;='Water Stuff'!$B$6*1000,'Water Stuff'!$B$6*1000,'Water Stuff'!AM168*1000)</f>
        <v>0</v>
      </c>
      <c r="I198">
        <f t="shared" si="42"/>
        <v>0</v>
      </c>
      <c r="J198">
        <f t="shared" si="43"/>
        <v>0</v>
      </c>
      <c r="K198">
        <f t="shared" si="44"/>
        <v>0</v>
      </c>
      <c r="L198">
        <f t="shared" si="45"/>
        <v>10.111864996758978</v>
      </c>
      <c r="M198">
        <f t="shared" si="46"/>
        <v>0</v>
      </c>
      <c r="O198">
        <f t="shared" si="47"/>
        <v>0</v>
      </c>
      <c r="P198">
        <f t="shared" si="48"/>
        <v>0</v>
      </c>
      <c r="Q198">
        <f t="shared" si="49"/>
        <v>0</v>
      </c>
      <c r="R198">
        <f t="shared" si="50"/>
        <v>0.20223729993517958</v>
      </c>
      <c r="S198">
        <f t="shared" si="51"/>
        <v>0</v>
      </c>
      <c r="U198">
        <f t="shared" si="52"/>
        <v>0</v>
      </c>
      <c r="V198">
        <f t="shared" si="53"/>
        <v>0</v>
      </c>
      <c r="W198">
        <f t="shared" si="54"/>
        <v>0</v>
      </c>
      <c r="X198">
        <f t="shared" si="55"/>
        <v>5.05593249837949</v>
      </c>
      <c r="Y198">
        <f t="shared" si="56"/>
        <v>0</v>
      </c>
      <c r="AA198">
        <f t="shared" si="57"/>
        <v>0</v>
      </c>
      <c r="AB198">
        <f t="shared" si="58"/>
        <v>0</v>
      </c>
      <c r="AC198">
        <f t="shared" si="59"/>
        <v>0</v>
      </c>
      <c r="AD198">
        <f t="shared" si="60"/>
        <v>10.11186499675898</v>
      </c>
      <c r="AE198">
        <f t="shared" si="61"/>
        <v>0</v>
      </c>
      <c r="AG198" s="109">
        <f t="shared" si="62"/>
        <v>44725</v>
      </c>
      <c r="AH198">
        <f>'Water Stuff'!I168*1000</f>
        <v>620</v>
      </c>
      <c r="AI198">
        <f>'Water Stuff'!Q168*1000</f>
        <v>620</v>
      </c>
      <c r="AJ198">
        <f>'Water Stuff'!Y168*1000</f>
        <v>620</v>
      </c>
      <c r="AK198">
        <f>'Water Stuff'!AG168*1000</f>
        <v>620</v>
      </c>
      <c r="AL198">
        <f>'Water Stuff'!AO168*1000</f>
        <v>620</v>
      </c>
    </row>
    <row r="199" spans="1:38">
      <c r="A199" s="109">
        <f>'Water Stuff'!F169</f>
        <v>44726</v>
      </c>
      <c r="B199">
        <f>IF( 'Water Stuff'!G169*1000 &gt;= 'Water Stuff'!$B$6*1000, 'Water Stuff'!$B$6*1000, 'Water Stuff'!G169*1000)</f>
        <v>720</v>
      </c>
      <c r="C199">
        <f>IF( 'Water Stuff'!O169*1000 &gt;= 'Water Stuff'!$B$6*1000, 'Water Stuff'!$B$6*1000, 'Water Stuff'!O169*1000)</f>
        <v>0</v>
      </c>
      <c r="D199">
        <f>IF( 'Water Stuff'!W169*1000 &gt;= 'Water Stuff'!$B$6*1000, 'Water Stuff'!$B$6*1000, 'Water Stuff'!W169*1000)</f>
        <v>0</v>
      </c>
      <c r="E199">
        <f>IF( 'Water Stuff'!AE169*1000 &gt;= 'Water Stuff'!$B$6*1000, 'Water Stuff'!$B$6*1000, 'Water Stuff'!AE169*1000)</f>
        <v>0</v>
      </c>
      <c r="F199">
        <f>IF('Water Stuff'!AM169*1000&gt;='Water Stuff'!$B$6*1000,'Water Stuff'!$B$6*1000,'Water Stuff'!AM169*1000)</f>
        <v>946.90528460136318</v>
      </c>
      <c r="I199">
        <f t="shared" si="42"/>
        <v>7.2</v>
      </c>
      <c r="J199">
        <f t="shared" si="43"/>
        <v>0</v>
      </c>
      <c r="K199">
        <f t="shared" si="44"/>
        <v>0</v>
      </c>
      <c r="L199">
        <f t="shared" si="45"/>
        <v>0</v>
      </c>
      <c r="M199">
        <f t="shared" si="46"/>
        <v>9.4690528460136321</v>
      </c>
      <c r="O199">
        <f t="shared" si="47"/>
        <v>0.14399999999999999</v>
      </c>
      <c r="P199">
        <f t="shared" si="48"/>
        <v>0</v>
      </c>
      <c r="Q199">
        <f t="shared" si="49"/>
        <v>0</v>
      </c>
      <c r="R199">
        <f t="shared" si="50"/>
        <v>0</v>
      </c>
      <c r="S199">
        <f t="shared" si="51"/>
        <v>0.18938105692027263</v>
      </c>
      <c r="U199">
        <f t="shared" si="52"/>
        <v>3.6</v>
      </c>
      <c r="V199">
        <f t="shared" si="53"/>
        <v>0</v>
      </c>
      <c r="W199">
        <f t="shared" si="54"/>
        <v>0</v>
      </c>
      <c r="X199">
        <f t="shared" si="55"/>
        <v>0</v>
      </c>
      <c r="Y199">
        <f t="shared" si="56"/>
        <v>4.734526423006816</v>
      </c>
      <c r="AA199">
        <f t="shared" si="57"/>
        <v>7.2</v>
      </c>
      <c r="AB199">
        <f t="shared" si="58"/>
        <v>0</v>
      </c>
      <c r="AC199">
        <f t="shared" si="59"/>
        <v>0</v>
      </c>
      <c r="AD199">
        <f t="shared" si="60"/>
        <v>0</v>
      </c>
      <c r="AE199">
        <f t="shared" si="61"/>
        <v>9.4690528460136321</v>
      </c>
      <c r="AG199" s="109">
        <f t="shared" si="62"/>
        <v>44726</v>
      </c>
      <c r="AH199">
        <f>'Water Stuff'!I169*1000</f>
        <v>620</v>
      </c>
      <c r="AI199">
        <f>'Water Stuff'!Q169*1000</f>
        <v>620</v>
      </c>
      <c r="AJ199">
        <f>'Water Stuff'!Y169*1000</f>
        <v>620</v>
      </c>
      <c r="AK199">
        <f>'Water Stuff'!AG169*1000</f>
        <v>620</v>
      </c>
      <c r="AL199">
        <f>'Water Stuff'!AO169*1000</f>
        <v>620</v>
      </c>
    </row>
    <row r="200" spans="1:38">
      <c r="A200" s="109">
        <f>'Water Stuff'!F170</f>
        <v>44727</v>
      </c>
      <c r="B200">
        <f>IF( 'Water Stuff'!G170*1000 &gt;= 'Water Stuff'!$B$6*1000, 'Water Stuff'!$B$6*1000, 'Water Stuff'!G170*1000)</f>
        <v>0</v>
      </c>
      <c r="C200">
        <f>IF( 'Water Stuff'!O170*1000 &gt;= 'Water Stuff'!$B$6*1000, 'Water Stuff'!$B$6*1000, 'Water Stuff'!O170*1000)</f>
        <v>0</v>
      </c>
      <c r="D200">
        <f>IF( 'Water Stuff'!W170*1000 &gt;= 'Water Stuff'!$B$6*1000, 'Water Stuff'!$B$6*1000, 'Water Stuff'!W170*1000)</f>
        <v>0</v>
      </c>
      <c r="E200">
        <f>IF( 'Water Stuff'!AE170*1000 &gt;= 'Water Stuff'!$B$6*1000, 'Water Stuff'!$B$6*1000, 'Water Stuff'!AE170*1000)</f>
        <v>0</v>
      </c>
      <c r="F200">
        <f>IF('Water Stuff'!AM170*1000&gt;='Water Stuff'!$B$6*1000,'Water Stuff'!$B$6*1000,'Water Stuff'!AM170*1000)</f>
        <v>0</v>
      </c>
      <c r="I200">
        <f t="shared" si="42"/>
        <v>0</v>
      </c>
      <c r="J200">
        <f t="shared" si="43"/>
        <v>0</v>
      </c>
      <c r="K200">
        <f t="shared" si="44"/>
        <v>0</v>
      </c>
      <c r="L200">
        <f t="shared" si="45"/>
        <v>0</v>
      </c>
      <c r="M200">
        <f t="shared" si="46"/>
        <v>0</v>
      </c>
      <c r="O200">
        <f t="shared" si="47"/>
        <v>0</v>
      </c>
      <c r="P200">
        <f t="shared" si="48"/>
        <v>0</v>
      </c>
      <c r="Q200">
        <f t="shared" si="49"/>
        <v>0</v>
      </c>
      <c r="R200">
        <f t="shared" si="50"/>
        <v>0</v>
      </c>
      <c r="S200">
        <f t="shared" si="51"/>
        <v>0</v>
      </c>
      <c r="U200">
        <f t="shared" si="52"/>
        <v>0</v>
      </c>
      <c r="V200">
        <f t="shared" si="53"/>
        <v>0</v>
      </c>
      <c r="W200">
        <f t="shared" si="54"/>
        <v>0</v>
      </c>
      <c r="X200">
        <f t="shared" si="55"/>
        <v>0</v>
      </c>
      <c r="Y200">
        <f t="shared" si="56"/>
        <v>0</v>
      </c>
      <c r="AA200">
        <f t="shared" si="57"/>
        <v>0</v>
      </c>
      <c r="AB200">
        <f t="shared" si="58"/>
        <v>0</v>
      </c>
      <c r="AC200">
        <f t="shared" si="59"/>
        <v>0</v>
      </c>
      <c r="AD200">
        <f t="shared" si="60"/>
        <v>0</v>
      </c>
      <c r="AE200">
        <f t="shared" si="61"/>
        <v>0</v>
      </c>
      <c r="AG200" s="109">
        <f t="shared" si="62"/>
        <v>44727</v>
      </c>
      <c r="AH200">
        <f>'Water Stuff'!I170*1000</f>
        <v>620</v>
      </c>
      <c r="AI200">
        <f>'Water Stuff'!Q170*1000</f>
        <v>620</v>
      </c>
      <c r="AJ200">
        <f>'Water Stuff'!Y170*1000</f>
        <v>620</v>
      </c>
      <c r="AK200">
        <f>'Water Stuff'!AG170*1000</f>
        <v>620</v>
      </c>
      <c r="AL200">
        <f>'Water Stuff'!AO170*1000</f>
        <v>620</v>
      </c>
    </row>
    <row r="201" spans="1:38">
      <c r="A201" s="109">
        <f>'Water Stuff'!F171</f>
        <v>44728</v>
      </c>
      <c r="B201">
        <f>IF( 'Water Stuff'!G171*1000 &gt;= 'Water Stuff'!$B$6*1000, 'Water Stuff'!$B$6*1000, 'Water Stuff'!G171*1000)</f>
        <v>0</v>
      </c>
      <c r="C201">
        <f>IF( 'Water Stuff'!O171*1000 &gt;= 'Water Stuff'!$B$6*1000, 'Water Stuff'!$B$6*1000, 'Water Stuff'!O171*1000)</f>
        <v>0</v>
      </c>
      <c r="D201">
        <f>IF( 'Water Stuff'!W171*1000 &gt;= 'Water Stuff'!$B$6*1000, 'Water Stuff'!$B$6*1000, 'Water Stuff'!W171*1000)</f>
        <v>0</v>
      </c>
      <c r="E201">
        <f>IF( 'Water Stuff'!AE171*1000 &gt;= 'Water Stuff'!$B$6*1000, 'Water Stuff'!$B$6*1000, 'Water Stuff'!AE171*1000)</f>
        <v>723.05846976437761</v>
      </c>
      <c r="F201">
        <f>IF('Water Stuff'!AM171*1000&gt;='Water Stuff'!$B$6*1000,'Water Stuff'!$B$6*1000,'Water Stuff'!AM171*1000)</f>
        <v>0</v>
      </c>
      <c r="I201">
        <f t="shared" si="42"/>
        <v>0</v>
      </c>
      <c r="J201">
        <f t="shared" si="43"/>
        <v>0</v>
      </c>
      <c r="K201">
        <f t="shared" si="44"/>
        <v>0</v>
      </c>
      <c r="L201">
        <f t="shared" si="45"/>
        <v>7.230584697643776</v>
      </c>
      <c r="M201">
        <f t="shared" si="46"/>
        <v>0</v>
      </c>
      <c r="O201">
        <f t="shared" si="47"/>
        <v>0</v>
      </c>
      <c r="P201">
        <f t="shared" si="48"/>
        <v>0</v>
      </c>
      <c r="Q201">
        <f t="shared" si="49"/>
        <v>0</v>
      </c>
      <c r="R201">
        <f t="shared" si="50"/>
        <v>0.14461169395287551</v>
      </c>
      <c r="S201">
        <f t="shared" si="51"/>
        <v>0</v>
      </c>
      <c r="U201">
        <f t="shared" si="52"/>
        <v>0</v>
      </c>
      <c r="V201">
        <f t="shared" si="53"/>
        <v>0</v>
      </c>
      <c r="W201">
        <f t="shared" si="54"/>
        <v>0</v>
      </c>
      <c r="X201">
        <f t="shared" si="55"/>
        <v>3.615292348821888</v>
      </c>
      <c r="Y201">
        <f t="shared" si="56"/>
        <v>0</v>
      </c>
      <c r="AA201">
        <f t="shared" si="57"/>
        <v>0</v>
      </c>
      <c r="AB201">
        <f t="shared" si="58"/>
        <v>0</v>
      </c>
      <c r="AC201">
        <f t="shared" si="59"/>
        <v>0</v>
      </c>
      <c r="AD201">
        <f t="shared" si="60"/>
        <v>7.230584697643776</v>
      </c>
      <c r="AE201">
        <f t="shared" si="61"/>
        <v>0</v>
      </c>
      <c r="AG201" s="109">
        <f t="shared" si="62"/>
        <v>44728</v>
      </c>
      <c r="AH201">
        <f>'Water Stuff'!I171*1000</f>
        <v>620</v>
      </c>
      <c r="AI201">
        <f>'Water Stuff'!Q171*1000</f>
        <v>620</v>
      </c>
      <c r="AJ201">
        <f>'Water Stuff'!Y171*1000</f>
        <v>620</v>
      </c>
      <c r="AK201">
        <f>'Water Stuff'!AG171*1000</f>
        <v>620</v>
      </c>
      <c r="AL201">
        <f>'Water Stuff'!AO171*1000</f>
        <v>620</v>
      </c>
    </row>
    <row r="202" spans="1:38">
      <c r="A202" s="109">
        <f>'Water Stuff'!F172</f>
        <v>44729</v>
      </c>
      <c r="B202">
        <f>IF( 'Water Stuff'!G172*1000 &gt;= 'Water Stuff'!$B$6*1000, 'Water Stuff'!$B$6*1000, 'Water Stuff'!G172*1000)</f>
        <v>0</v>
      </c>
      <c r="C202">
        <f>IF( 'Water Stuff'!O172*1000 &gt;= 'Water Stuff'!$B$6*1000, 'Water Stuff'!$B$6*1000, 'Water Stuff'!O172*1000)</f>
        <v>0</v>
      </c>
      <c r="D202">
        <f>IF( 'Water Stuff'!W172*1000 &gt;= 'Water Stuff'!$B$6*1000, 'Water Stuff'!$B$6*1000, 'Water Stuff'!W172*1000)</f>
        <v>0</v>
      </c>
      <c r="E202">
        <f>IF( 'Water Stuff'!AE172*1000 &gt;= 'Water Stuff'!$B$6*1000, 'Water Stuff'!$B$6*1000, 'Water Stuff'!AE172*1000)</f>
        <v>354.56671219117999</v>
      </c>
      <c r="F202">
        <f>IF('Water Stuff'!AM172*1000&gt;='Water Stuff'!$B$6*1000,'Water Stuff'!$B$6*1000,'Water Stuff'!AM172*1000)</f>
        <v>0</v>
      </c>
      <c r="I202">
        <f t="shared" si="42"/>
        <v>0</v>
      </c>
      <c r="J202">
        <f t="shared" si="43"/>
        <v>0</v>
      </c>
      <c r="K202">
        <f t="shared" si="44"/>
        <v>0</v>
      </c>
      <c r="L202">
        <f t="shared" si="45"/>
        <v>3.5456671219117997</v>
      </c>
      <c r="M202">
        <f t="shared" si="46"/>
        <v>0</v>
      </c>
      <c r="O202">
        <f t="shared" si="47"/>
        <v>0</v>
      </c>
      <c r="P202">
        <f t="shared" si="48"/>
        <v>0</v>
      </c>
      <c r="Q202">
        <f t="shared" si="49"/>
        <v>0</v>
      </c>
      <c r="R202">
        <f t="shared" si="50"/>
        <v>7.0913342438236007E-2</v>
      </c>
      <c r="S202">
        <f t="shared" si="51"/>
        <v>0</v>
      </c>
      <c r="U202">
        <f t="shared" si="52"/>
        <v>0</v>
      </c>
      <c r="V202">
        <f t="shared" si="53"/>
        <v>0</v>
      </c>
      <c r="W202">
        <f t="shared" si="54"/>
        <v>0</v>
      </c>
      <c r="X202">
        <f t="shared" si="55"/>
        <v>1.7728335609559001</v>
      </c>
      <c r="Y202">
        <f t="shared" si="56"/>
        <v>0</v>
      </c>
      <c r="AA202">
        <f t="shared" si="57"/>
        <v>0</v>
      </c>
      <c r="AB202">
        <f t="shared" si="58"/>
        <v>0</v>
      </c>
      <c r="AC202">
        <f t="shared" si="59"/>
        <v>0</v>
      </c>
      <c r="AD202">
        <f t="shared" si="60"/>
        <v>3.5456671219118001</v>
      </c>
      <c r="AE202">
        <f t="shared" si="61"/>
        <v>0</v>
      </c>
      <c r="AG202" s="109">
        <f t="shared" si="62"/>
        <v>44729</v>
      </c>
      <c r="AH202">
        <f>'Water Stuff'!I172*1000</f>
        <v>620</v>
      </c>
      <c r="AI202">
        <f>'Water Stuff'!Q172*1000</f>
        <v>620</v>
      </c>
      <c r="AJ202">
        <f>'Water Stuff'!Y172*1000</f>
        <v>620</v>
      </c>
      <c r="AK202">
        <f>'Water Stuff'!AG172*1000</f>
        <v>620</v>
      </c>
      <c r="AL202">
        <f>'Water Stuff'!AO172*1000</f>
        <v>620</v>
      </c>
    </row>
    <row r="203" spans="1:38">
      <c r="A203" s="109">
        <f>'Water Stuff'!F173</f>
        <v>44730</v>
      </c>
      <c r="B203">
        <f>IF( 'Water Stuff'!G173*1000 &gt;= 'Water Stuff'!$B$6*1000, 'Water Stuff'!$B$6*1000, 'Water Stuff'!G173*1000)</f>
        <v>320</v>
      </c>
      <c r="C203">
        <f>IF( 'Water Stuff'!O173*1000 &gt;= 'Water Stuff'!$B$6*1000, 'Water Stuff'!$B$6*1000, 'Water Stuff'!O173*1000)</f>
        <v>1400</v>
      </c>
      <c r="D203">
        <f>IF( 'Water Stuff'!W173*1000 &gt;= 'Water Stuff'!$B$6*1000, 'Water Stuff'!$B$6*1000, 'Water Stuff'!W173*1000)</f>
        <v>0</v>
      </c>
      <c r="E203">
        <f>IF( 'Water Stuff'!AE173*1000 &gt;= 'Water Stuff'!$B$6*1000, 'Water Stuff'!$B$6*1000, 'Water Stuff'!AE173*1000)</f>
        <v>223.50090257843621</v>
      </c>
      <c r="F203">
        <f>IF('Water Stuff'!AM173*1000&gt;='Water Stuff'!$B$6*1000,'Water Stuff'!$B$6*1000,'Water Stuff'!AM173*1000)</f>
        <v>0</v>
      </c>
      <c r="I203">
        <f t="shared" si="42"/>
        <v>3.2</v>
      </c>
      <c r="J203">
        <f t="shared" si="43"/>
        <v>14</v>
      </c>
      <c r="K203">
        <f t="shared" si="44"/>
        <v>0</v>
      </c>
      <c r="L203">
        <f t="shared" si="45"/>
        <v>2.235009025784362</v>
      </c>
      <c r="M203">
        <f t="shared" si="46"/>
        <v>0</v>
      </c>
      <c r="O203">
        <f t="shared" si="47"/>
        <v>6.4000000000000001E-2</v>
      </c>
      <c r="P203">
        <f t="shared" si="48"/>
        <v>0.28000000000000003</v>
      </c>
      <c r="Q203">
        <f t="shared" si="49"/>
        <v>0</v>
      </c>
      <c r="R203">
        <f t="shared" si="50"/>
        <v>4.4700180515687242E-2</v>
      </c>
      <c r="S203">
        <f t="shared" si="51"/>
        <v>0</v>
      </c>
      <c r="U203">
        <f t="shared" si="52"/>
        <v>1.6</v>
      </c>
      <c r="V203">
        <f t="shared" si="53"/>
        <v>7</v>
      </c>
      <c r="W203">
        <f t="shared" si="54"/>
        <v>0</v>
      </c>
      <c r="X203">
        <f t="shared" si="55"/>
        <v>1.117504512892181</v>
      </c>
      <c r="Y203">
        <f t="shared" si="56"/>
        <v>0</v>
      </c>
      <c r="AA203">
        <f t="shared" si="57"/>
        <v>3.2</v>
      </c>
      <c r="AB203">
        <f t="shared" si="58"/>
        <v>14</v>
      </c>
      <c r="AC203">
        <f t="shared" si="59"/>
        <v>0</v>
      </c>
      <c r="AD203">
        <f t="shared" si="60"/>
        <v>2.235009025784362</v>
      </c>
      <c r="AE203">
        <f t="shared" si="61"/>
        <v>0</v>
      </c>
      <c r="AG203" s="109">
        <f t="shared" si="62"/>
        <v>44730</v>
      </c>
      <c r="AH203">
        <f>'Water Stuff'!I173*1000</f>
        <v>620</v>
      </c>
      <c r="AI203">
        <f>'Water Stuff'!Q173*1000</f>
        <v>620</v>
      </c>
      <c r="AJ203">
        <f>'Water Stuff'!Y173*1000</f>
        <v>620</v>
      </c>
      <c r="AK203">
        <f>'Water Stuff'!AG173*1000</f>
        <v>620</v>
      </c>
      <c r="AL203">
        <f>'Water Stuff'!AO173*1000</f>
        <v>620</v>
      </c>
    </row>
    <row r="204" spans="1:38">
      <c r="A204" s="109">
        <f>'Water Stuff'!F174</f>
        <v>44731</v>
      </c>
      <c r="B204">
        <f>IF( 'Water Stuff'!G174*1000 &gt;= 'Water Stuff'!$B$6*1000, 'Water Stuff'!$B$6*1000, 'Water Stuff'!G174*1000)</f>
        <v>4160</v>
      </c>
      <c r="C204">
        <f>IF( 'Water Stuff'!O174*1000 &gt;= 'Water Stuff'!$B$6*1000, 'Water Stuff'!$B$6*1000, 'Water Stuff'!O174*1000)</f>
        <v>0</v>
      </c>
      <c r="D204">
        <f>IF( 'Water Stuff'!W174*1000 &gt;= 'Water Stuff'!$B$6*1000, 'Water Stuff'!$B$6*1000, 'Water Stuff'!W174*1000)</f>
        <v>4291.0828271410001</v>
      </c>
      <c r="E204">
        <f>IF( 'Water Stuff'!AE174*1000 &gt;= 'Water Stuff'!$B$6*1000, 'Water Stuff'!$B$6*1000, 'Water Stuff'!AE174*1000)</f>
        <v>1210.432076578365</v>
      </c>
      <c r="F204">
        <f>IF('Water Stuff'!AM174*1000&gt;='Water Stuff'!$B$6*1000,'Water Stuff'!$B$6*1000,'Water Stuff'!AM174*1000)</f>
        <v>4009.3137968897404</v>
      </c>
      <c r="I204">
        <f t="shared" si="42"/>
        <v>41.6</v>
      </c>
      <c r="J204">
        <f t="shared" si="43"/>
        <v>0</v>
      </c>
      <c r="K204">
        <f t="shared" si="44"/>
        <v>42.910828271409997</v>
      </c>
      <c r="L204">
        <f t="shared" si="45"/>
        <v>12.104320765783649</v>
      </c>
      <c r="M204">
        <f t="shared" si="46"/>
        <v>40.093137968897402</v>
      </c>
      <c r="O204">
        <f t="shared" si="47"/>
        <v>0.83199999999999996</v>
      </c>
      <c r="P204">
        <f t="shared" si="48"/>
        <v>0</v>
      </c>
      <c r="Q204">
        <f t="shared" si="49"/>
        <v>0.85821656542820002</v>
      </c>
      <c r="R204">
        <f t="shared" si="50"/>
        <v>0.24208641531567301</v>
      </c>
      <c r="S204">
        <f t="shared" si="51"/>
        <v>0.80186275937794815</v>
      </c>
      <c r="U204">
        <f t="shared" si="52"/>
        <v>20.8</v>
      </c>
      <c r="V204">
        <f t="shared" si="53"/>
        <v>0</v>
      </c>
      <c r="W204">
        <f t="shared" si="54"/>
        <v>21.455414135705002</v>
      </c>
      <c r="X204">
        <f t="shared" si="55"/>
        <v>6.0521603828918256</v>
      </c>
      <c r="Y204">
        <f t="shared" si="56"/>
        <v>20.046568984448701</v>
      </c>
      <c r="AA204">
        <f t="shared" si="57"/>
        <v>41.6</v>
      </c>
      <c r="AB204">
        <f t="shared" si="58"/>
        <v>0</v>
      </c>
      <c r="AC204">
        <f t="shared" si="59"/>
        <v>42.910828271410004</v>
      </c>
      <c r="AD204">
        <f t="shared" si="60"/>
        <v>12.104320765783651</v>
      </c>
      <c r="AE204">
        <f t="shared" si="61"/>
        <v>40.093137968897402</v>
      </c>
      <c r="AG204" s="109">
        <f t="shared" si="62"/>
        <v>44731</v>
      </c>
      <c r="AH204">
        <f>'Water Stuff'!I174*1000</f>
        <v>620</v>
      </c>
      <c r="AI204">
        <f>'Water Stuff'!Q174*1000</f>
        <v>620</v>
      </c>
      <c r="AJ204">
        <f>'Water Stuff'!Y174*1000</f>
        <v>620</v>
      </c>
      <c r="AK204">
        <f>'Water Stuff'!AG174*1000</f>
        <v>620</v>
      </c>
      <c r="AL204">
        <f>'Water Stuff'!AO174*1000</f>
        <v>620</v>
      </c>
    </row>
    <row r="205" spans="1:38">
      <c r="A205" s="109">
        <f>'Water Stuff'!F175</f>
        <v>44732</v>
      </c>
      <c r="B205">
        <f>IF( 'Water Stuff'!G175*1000 &gt;= 'Water Stuff'!$B$6*1000, 'Water Stuff'!$B$6*1000, 'Water Stuff'!G175*1000)</f>
        <v>640</v>
      </c>
      <c r="C205">
        <f>IF( 'Water Stuff'!O175*1000 &gt;= 'Water Stuff'!$B$6*1000, 'Water Stuff'!$B$6*1000, 'Water Stuff'!O175*1000)</f>
        <v>0</v>
      </c>
      <c r="D205">
        <f>IF( 'Water Stuff'!W175*1000 &gt;= 'Water Stuff'!$B$6*1000, 'Water Stuff'!$B$6*1000, 'Water Stuff'!W175*1000)</f>
        <v>1907.9440755183307</v>
      </c>
      <c r="E205">
        <f>IF( 'Water Stuff'!AE175*1000 &gt;= 'Water Stuff'!$B$6*1000, 'Water Stuff'!$B$6*1000, 'Water Stuff'!AE175*1000)</f>
        <v>206.34145656246039</v>
      </c>
      <c r="F205">
        <f>IF('Water Stuff'!AM175*1000&gt;='Water Stuff'!$B$6*1000,'Water Stuff'!$B$6*1000,'Water Stuff'!AM175*1000)</f>
        <v>2913.3326357995279</v>
      </c>
      <c r="I205">
        <f t="shared" si="42"/>
        <v>6.4</v>
      </c>
      <c r="J205">
        <f t="shared" si="43"/>
        <v>0</v>
      </c>
      <c r="K205">
        <f t="shared" si="44"/>
        <v>19.079440755183306</v>
      </c>
      <c r="L205">
        <f t="shared" si="45"/>
        <v>2.0634145656246039</v>
      </c>
      <c r="M205">
        <f t="shared" si="46"/>
        <v>29.13332635799528</v>
      </c>
      <c r="O205">
        <f t="shared" si="47"/>
        <v>0.128</v>
      </c>
      <c r="P205">
        <f t="shared" si="48"/>
        <v>0</v>
      </c>
      <c r="Q205">
        <f t="shared" si="49"/>
        <v>0.38158881510366616</v>
      </c>
      <c r="R205">
        <f t="shared" si="50"/>
        <v>4.1268291312492079E-2</v>
      </c>
      <c r="S205">
        <f t="shared" si="51"/>
        <v>0.58266652715990563</v>
      </c>
      <c r="U205">
        <f t="shared" si="52"/>
        <v>3.2</v>
      </c>
      <c r="V205">
        <f t="shared" si="53"/>
        <v>0</v>
      </c>
      <c r="W205">
        <f t="shared" si="54"/>
        <v>9.539720377591653</v>
      </c>
      <c r="X205">
        <f t="shared" si="55"/>
        <v>1.031707282812302</v>
      </c>
      <c r="Y205">
        <f t="shared" si="56"/>
        <v>14.56666317899764</v>
      </c>
      <c r="AA205">
        <f t="shared" si="57"/>
        <v>6.4</v>
      </c>
      <c r="AB205">
        <f t="shared" si="58"/>
        <v>0</v>
      </c>
      <c r="AC205">
        <f t="shared" si="59"/>
        <v>19.079440755183306</v>
      </c>
      <c r="AD205">
        <f t="shared" si="60"/>
        <v>2.0634145656246039</v>
      </c>
      <c r="AE205">
        <f t="shared" si="61"/>
        <v>29.13332635799528</v>
      </c>
      <c r="AG205" s="109">
        <f t="shared" si="62"/>
        <v>44732</v>
      </c>
      <c r="AH205">
        <f>'Water Stuff'!I175*1000</f>
        <v>620</v>
      </c>
      <c r="AI205">
        <f>'Water Stuff'!Q175*1000</f>
        <v>620</v>
      </c>
      <c r="AJ205">
        <f>'Water Stuff'!Y175*1000</f>
        <v>620</v>
      </c>
      <c r="AK205">
        <f>'Water Stuff'!AG175*1000</f>
        <v>620</v>
      </c>
      <c r="AL205">
        <f>'Water Stuff'!AO175*1000</f>
        <v>620</v>
      </c>
    </row>
    <row r="206" spans="1:38">
      <c r="A206" s="109">
        <f>'Water Stuff'!F176</f>
        <v>44733</v>
      </c>
      <c r="B206">
        <f>IF( 'Water Stuff'!G176*1000 &gt;= 'Water Stuff'!$B$6*1000, 'Water Stuff'!$B$6*1000, 'Water Stuff'!G176*1000)</f>
        <v>240</v>
      </c>
      <c r="C206">
        <f>IF( 'Water Stuff'!O176*1000 &gt;= 'Water Stuff'!$B$6*1000, 'Water Stuff'!$B$6*1000, 'Water Stuff'!O176*1000)</f>
        <v>0</v>
      </c>
      <c r="D206">
        <f>IF( 'Water Stuff'!W176*1000 &gt;= 'Water Stuff'!$B$6*1000, 'Water Stuff'!$B$6*1000, 'Water Stuff'!W176*1000)</f>
        <v>0</v>
      </c>
      <c r="E206">
        <f>IF( 'Water Stuff'!AE176*1000 &gt;= 'Water Stuff'!$B$6*1000, 'Water Stuff'!$B$6*1000, 'Water Stuff'!AE176*1000)</f>
        <v>0</v>
      </c>
      <c r="F206">
        <f>IF('Water Stuff'!AM176*1000&gt;='Water Stuff'!$B$6*1000,'Water Stuff'!$B$6*1000,'Water Stuff'!AM176*1000)</f>
        <v>1761.090444739908</v>
      </c>
      <c r="I206">
        <f t="shared" si="42"/>
        <v>2.4</v>
      </c>
      <c r="J206">
        <f t="shared" si="43"/>
        <v>0</v>
      </c>
      <c r="K206">
        <f t="shared" si="44"/>
        <v>0</v>
      </c>
      <c r="L206">
        <f t="shared" si="45"/>
        <v>0</v>
      </c>
      <c r="M206">
        <f t="shared" si="46"/>
        <v>17.610904447399079</v>
      </c>
      <c r="O206">
        <f t="shared" si="47"/>
        <v>4.8000000000000001E-2</v>
      </c>
      <c r="P206">
        <f t="shared" si="48"/>
        <v>0</v>
      </c>
      <c r="Q206">
        <f t="shared" si="49"/>
        <v>0</v>
      </c>
      <c r="R206">
        <f t="shared" si="50"/>
        <v>0</v>
      </c>
      <c r="S206">
        <f t="shared" si="51"/>
        <v>0.35221808894798157</v>
      </c>
      <c r="U206">
        <f t="shared" si="52"/>
        <v>1.2</v>
      </c>
      <c r="V206">
        <f t="shared" si="53"/>
        <v>0</v>
      </c>
      <c r="W206">
        <f t="shared" si="54"/>
        <v>0</v>
      </c>
      <c r="X206">
        <f t="shared" si="55"/>
        <v>0</v>
      </c>
      <c r="Y206">
        <f t="shared" si="56"/>
        <v>8.8054522236995396</v>
      </c>
      <c r="AA206">
        <f t="shared" si="57"/>
        <v>2.4</v>
      </c>
      <c r="AB206">
        <f t="shared" si="58"/>
        <v>0</v>
      </c>
      <c r="AC206">
        <f t="shared" si="59"/>
        <v>0</v>
      </c>
      <c r="AD206">
        <f t="shared" si="60"/>
        <v>0</v>
      </c>
      <c r="AE206">
        <f t="shared" si="61"/>
        <v>17.610904447399079</v>
      </c>
      <c r="AG206" s="109">
        <f t="shared" si="62"/>
        <v>44733</v>
      </c>
      <c r="AH206">
        <f>'Water Stuff'!I176*1000</f>
        <v>620</v>
      </c>
      <c r="AI206">
        <f>'Water Stuff'!Q176*1000</f>
        <v>620</v>
      </c>
      <c r="AJ206">
        <f>'Water Stuff'!Y176*1000</f>
        <v>620</v>
      </c>
      <c r="AK206">
        <f>'Water Stuff'!AG176*1000</f>
        <v>620</v>
      </c>
      <c r="AL206">
        <f>'Water Stuff'!AO176*1000</f>
        <v>620</v>
      </c>
    </row>
    <row r="207" spans="1:38">
      <c r="A207" s="109">
        <f>'Water Stuff'!F177</f>
        <v>44734</v>
      </c>
      <c r="B207">
        <f>IF( 'Water Stuff'!G177*1000 &gt;= 'Water Stuff'!$B$6*1000, 'Water Stuff'!$B$6*1000, 'Water Stuff'!G177*1000)</f>
        <v>0</v>
      </c>
      <c r="C207">
        <f>IF( 'Water Stuff'!O177*1000 &gt;= 'Water Stuff'!$B$6*1000, 'Water Stuff'!$B$6*1000, 'Water Stuff'!O177*1000)</f>
        <v>0</v>
      </c>
      <c r="D207">
        <f>IF( 'Water Stuff'!W177*1000 &gt;= 'Water Stuff'!$B$6*1000, 'Water Stuff'!$B$6*1000, 'Water Stuff'!W177*1000)</f>
        <v>0</v>
      </c>
      <c r="E207">
        <f>IF( 'Water Stuff'!AE177*1000 &gt;= 'Water Stuff'!$B$6*1000, 'Water Stuff'!$B$6*1000, 'Water Stuff'!AE177*1000)</f>
        <v>320.44654956474398</v>
      </c>
      <c r="F207">
        <f>IF('Water Stuff'!AM177*1000&gt;='Water Stuff'!$B$6*1000,'Water Stuff'!$B$6*1000,'Water Stuff'!AM177*1000)</f>
        <v>0</v>
      </c>
      <c r="I207">
        <f t="shared" si="42"/>
        <v>0</v>
      </c>
      <c r="J207">
        <f t="shared" si="43"/>
        <v>0</v>
      </c>
      <c r="K207">
        <f t="shared" si="44"/>
        <v>0</v>
      </c>
      <c r="L207">
        <f t="shared" si="45"/>
        <v>3.2044654956474394</v>
      </c>
      <c r="M207">
        <f t="shared" si="46"/>
        <v>0</v>
      </c>
      <c r="O207">
        <f t="shared" si="47"/>
        <v>0</v>
      </c>
      <c r="P207">
        <f t="shared" si="48"/>
        <v>0</v>
      </c>
      <c r="Q207">
        <f t="shared" si="49"/>
        <v>0</v>
      </c>
      <c r="R207">
        <f t="shared" si="50"/>
        <v>6.4089309912948783E-2</v>
      </c>
      <c r="S207">
        <f t="shared" si="51"/>
        <v>0</v>
      </c>
      <c r="U207">
        <f t="shared" si="52"/>
        <v>0</v>
      </c>
      <c r="V207">
        <f t="shared" si="53"/>
        <v>0</v>
      </c>
      <c r="W207">
        <f t="shared" si="54"/>
        <v>0</v>
      </c>
      <c r="X207">
        <f t="shared" si="55"/>
        <v>1.6022327478237199</v>
      </c>
      <c r="Y207">
        <f t="shared" si="56"/>
        <v>0</v>
      </c>
      <c r="AA207">
        <f t="shared" si="57"/>
        <v>0</v>
      </c>
      <c r="AB207">
        <f t="shared" si="58"/>
        <v>0</v>
      </c>
      <c r="AC207">
        <f t="shared" si="59"/>
        <v>0</v>
      </c>
      <c r="AD207">
        <f t="shared" si="60"/>
        <v>3.2044654956474399</v>
      </c>
      <c r="AE207">
        <f t="shared" si="61"/>
        <v>0</v>
      </c>
      <c r="AG207" s="109">
        <f t="shared" si="62"/>
        <v>44734</v>
      </c>
      <c r="AH207">
        <f>'Water Stuff'!I177*1000</f>
        <v>620</v>
      </c>
      <c r="AI207">
        <f>'Water Stuff'!Q177*1000</f>
        <v>620</v>
      </c>
      <c r="AJ207">
        <f>'Water Stuff'!Y177*1000</f>
        <v>620</v>
      </c>
      <c r="AK207">
        <f>'Water Stuff'!AG177*1000</f>
        <v>620</v>
      </c>
      <c r="AL207">
        <f>'Water Stuff'!AO177*1000</f>
        <v>620</v>
      </c>
    </row>
    <row r="208" spans="1:38">
      <c r="A208" s="109">
        <f>'Water Stuff'!F178</f>
        <v>44735</v>
      </c>
      <c r="B208">
        <f>IF( 'Water Stuff'!G178*1000 &gt;= 'Water Stuff'!$B$6*1000, 'Water Stuff'!$B$6*1000, 'Water Stuff'!G178*1000)</f>
        <v>3080</v>
      </c>
      <c r="C208">
        <f>IF( 'Water Stuff'!O178*1000 &gt;= 'Water Stuff'!$B$6*1000, 'Water Stuff'!$B$6*1000, 'Water Stuff'!O178*1000)</f>
        <v>280</v>
      </c>
      <c r="D208">
        <f>IF( 'Water Stuff'!W178*1000 &gt;= 'Water Stuff'!$B$6*1000, 'Water Stuff'!$B$6*1000, 'Water Stuff'!W178*1000)</f>
        <v>1028.2740215289277</v>
      </c>
      <c r="E208">
        <f>IF( 'Water Stuff'!AE178*1000 &gt;= 'Water Stuff'!$B$6*1000, 'Water Stuff'!$B$6*1000, 'Water Stuff'!AE178*1000)</f>
        <v>0</v>
      </c>
      <c r="F208">
        <f>IF('Water Stuff'!AM178*1000&gt;='Water Stuff'!$B$6*1000,'Water Stuff'!$B$6*1000,'Water Stuff'!AM178*1000)</f>
        <v>0</v>
      </c>
      <c r="I208">
        <f t="shared" si="42"/>
        <v>30.8</v>
      </c>
      <c r="J208">
        <f t="shared" si="43"/>
        <v>2.8</v>
      </c>
      <c r="K208">
        <f t="shared" si="44"/>
        <v>10.282740215289277</v>
      </c>
      <c r="L208">
        <f t="shared" si="45"/>
        <v>0</v>
      </c>
      <c r="M208">
        <f t="shared" si="46"/>
        <v>0</v>
      </c>
      <c r="O208">
        <f t="shared" si="47"/>
        <v>0.61599999999999999</v>
      </c>
      <c r="P208">
        <f t="shared" si="48"/>
        <v>5.6000000000000001E-2</v>
      </c>
      <c r="Q208">
        <f t="shared" si="49"/>
        <v>0.20565480430578556</v>
      </c>
      <c r="R208">
        <f t="shared" si="50"/>
        <v>0</v>
      </c>
      <c r="S208">
        <f t="shared" si="51"/>
        <v>0</v>
      </c>
      <c r="U208">
        <f t="shared" si="52"/>
        <v>15.4</v>
      </c>
      <c r="V208">
        <f t="shared" si="53"/>
        <v>1.4000000000000001</v>
      </c>
      <c r="W208">
        <f t="shared" si="54"/>
        <v>5.1413701076446392</v>
      </c>
      <c r="X208">
        <f t="shared" si="55"/>
        <v>0</v>
      </c>
      <c r="Y208">
        <f t="shared" si="56"/>
        <v>0</v>
      </c>
      <c r="AA208">
        <f t="shared" si="57"/>
        <v>30.8</v>
      </c>
      <c r="AB208">
        <f t="shared" si="58"/>
        <v>2.8000000000000003</v>
      </c>
      <c r="AC208">
        <f t="shared" si="59"/>
        <v>10.282740215289278</v>
      </c>
      <c r="AD208">
        <f t="shared" si="60"/>
        <v>0</v>
      </c>
      <c r="AE208">
        <f t="shared" si="61"/>
        <v>0</v>
      </c>
      <c r="AG208" s="109">
        <f t="shared" si="62"/>
        <v>44735</v>
      </c>
      <c r="AH208">
        <f>'Water Stuff'!I178*1000</f>
        <v>620</v>
      </c>
      <c r="AI208">
        <f>'Water Stuff'!Q178*1000</f>
        <v>620</v>
      </c>
      <c r="AJ208">
        <f>'Water Stuff'!Y178*1000</f>
        <v>620</v>
      </c>
      <c r="AK208">
        <f>'Water Stuff'!AG178*1000</f>
        <v>620</v>
      </c>
      <c r="AL208">
        <f>'Water Stuff'!AO178*1000</f>
        <v>620</v>
      </c>
    </row>
    <row r="209" spans="1:38">
      <c r="A209" s="109">
        <f>'Water Stuff'!F179</f>
        <v>44736</v>
      </c>
      <c r="B209">
        <f>IF( 'Water Stuff'!G179*1000 &gt;= 'Water Stuff'!$B$6*1000, 'Water Stuff'!$B$6*1000, 'Water Stuff'!G179*1000)</f>
        <v>240</v>
      </c>
      <c r="C209">
        <f>IF( 'Water Stuff'!O179*1000 &gt;= 'Water Stuff'!$B$6*1000, 'Water Stuff'!$B$6*1000, 'Water Stuff'!O179*1000)</f>
        <v>2680</v>
      </c>
      <c r="D209">
        <f>IF( 'Water Stuff'!W179*1000 &gt;= 'Water Stuff'!$B$6*1000, 'Water Stuff'!$B$6*1000, 'Water Stuff'!W179*1000)</f>
        <v>1784.765091850473</v>
      </c>
      <c r="E209">
        <f>IF( 'Water Stuff'!AE179*1000 &gt;= 'Water Stuff'!$B$6*1000, 'Water Stuff'!$B$6*1000, 'Water Stuff'!AE179*1000)</f>
        <v>1322.1903844427507</v>
      </c>
      <c r="F209">
        <f>IF('Water Stuff'!AM179*1000&gt;='Water Stuff'!$B$6*1000,'Water Stuff'!$B$6*1000,'Water Stuff'!AM179*1000)</f>
        <v>1261.7703093461234</v>
      </c>
      <c r="I209">
        <f t="shared" si="42"/>
        <v>2.4</v>
      </c>
      <c r="J209">
        <f t="shared" si="43"/>
        <v>26.8</v>
      </c>
      <c r="K209">
        <f t="shared" si="44"/>
        <v>17.84765091850473</v>
      </c>
      <c r="L209">
        <f t="shared" si="45"/>
        <v>13.221903844427507</v>
      </c>
      <c r="M209">
        <f t="shared" si="46"/>
        <v>12.617703093461234</v>
      </c>
      <c r="O209">
        <f t="shared" si="47"/>
        <v>4.8000000000000001E-2</v>
      </c>
      <c r="P209">
        <f t="shared" si="48"/>
        <v>0.53600000000000003</v>
      </c>
      <c r="Q209">
        <f t="shared" si="49"/>
        <v>0.35695301837009458</v>
      </c>
      <c r="R209">
        <f t="shared" si="50"/>
        <v>0.26443807688855014</v>
      </c>
      <c r="S209">
        <f t="shared" si="51"/>
        <v>0.25235406186922471</v>
      </c>
      <c r="U209">
        <f t="shared" si="52"/>
        <v>1.2</v>
      </c>
      <c r="V209">
        <f t="shared" si="53"/>
        <v>13.4</v>
      </c>
      <c r="W209">
        <f t="shared" si="54"/>
        <v>8.9238254592523649</v>
      </c>
      <c r="X209">
        <f t="shared" si="55"/>
        <v>6.6109519222137534</v>
      </c>
      <c r="Y209">
        <f t="shared" si="56"/>
        <v>6.308851546730617</v>
      </c>
      <c r="AA209">
        <f t="shared" si="57"/>
        <v>2.4</v>
      </c>
      <c r="AB209">
        <f t="shared" si="58"/>
        <v>26.8</v>
      </c>
      <c r="AC209">
        <f t="shared" si="59"/>
        <v>17.84765091850473</v>
      </c>
      <c r="AD209">
        <f t="shared" si="60"/>
        <v>13.221903844427507</v>
      </c>
      <c r="AE209">
        <f t="shared" si="61"/>
        <v>12.617703093461234</v>
      </c>
      <c r="AG209" s="109">
        <f t="shared" si="62"/>
        <v>44736</v>
      </c>
      <c r="AH209">
        <f>'Water Stuff'!I179*1000</f>
        <v>620</v>
      </c>
      <c r="AI209">
        <f>'Water Stuff'!Q179*1000</f>
        <v>620</v>
      </c>
      <c r="AJ209">
        <f>'Water Stuff'!Y179*1000</f>
        <v>620</v>
      </c>
      <c r="AK209">
        <f>'Water Stuff'!AG179*1000</f>
        <v>620</v>
      </c>
      <c r="AL209">
        <f>'Water Stuff'!AO179*1000</f>
        <v>620</v>
      </c>
    </row>
    <row r="210" spans="1:38">
      <c r="A210" s="109">
        <f>'Water Stuff'!F180</f>
        <v>44737</v>
      </c>
      <c r="B210">
        <f>IF( 'Water Stuff'!G180*1000 &gt;= 'Water Stuff'!$B$6*1000, 'Water Stuff'!$B$6*1000, 'Water Stuff'!G180*1000)</f>
        <v>0</v>
      </c>
      <c r="C210">
        <f>IF( 'Water Stuff'!O180*1000 &gt;= 'Water Stuff'!$B$6*1000, 'Water Stuff'!$B$6*1000, 'Water Stuff'!O180*1000)</f>
        <v>800</v>
      </c>
      <c r="D210">
        <f>IF( 'Water Stuff'!W180*1000 &gt;= 'Water Stuff'!$B$6*1000, 'Water Stuff'!$B$6*1000, 'Water Stuff'!W180*1000)</f>
        <v>0</v>
      </c>
      <c r="E210">
        <f>IF( 'Water Stuff'!AE180*1000 &gt;= 'Water Stuff'!$B$6*1000, 'Water Stuff'!$B$6*1000, 'Water Stuff'!AE180*1000)</f>
        <v>2569.9897517980862</v>
      </c>
      <c r="F210">
        <f>IF('Water Stuff'!AM180*1000&gt;='Water Stuff'!$B$6*1000,'Water Stuff'!$B$6*1000,'Water Stuff'!AM180*1000)</f>
        <v>0</v>
      </c>
      <c r="I210">
        <f t="shared" si="42"/>
        <v>0</v>
      </c>
      <c r="J210">
        <f t="shared" si="43"/>
        <v>8</v>
      </c>
      <c r="K210">
        <f t="shared" si="44"/>
        <v>0</v>
      </c>
      <c r="L210">
        <f t="shared" si="45"/>
        <v>25.699897517980862</v>
      </c>
      <c r="M210">
        <f t="shared" si="46"/>
        <v>0</v>
      </c>
      <c r="O210">
        <f t="shared" si="47"/>
        <v>0</v>
      </c>
      <c r="P210">
        <f t="shared" si="48"/>
        <v>0.16</v>
      </c>
      <c r="Q210">
        <f t="shared" si="49"/>
        <v>0</v>
      </c>
      <c r="R210">
        <f t="shared" si="50"/>
        <v>0.51399795035961726</v>
      </c>
      <c r="S210">
        <f t="shared" si="51"/>
        <v>0</v>
      </c>
      <c r="U210">
        <f t="shared" si="52"/>
        <v>0</v>
      </c>
      <c r="V210">
        <f t="shared" si="53"/>
        <v>4</v>
      </c>
      <c r="W210">
        <f t="shared" si="54"/>
        <v>0</v>
      </c>
      <c r="X210">
        <f t="shared" si="55"/>
        <v>12.849948758990431</v>
      </c>
      <c r="Y210">
        <f t="shared" si="56"/>
        <v>0</v>
      </c>
      <c r="AA210">
        <f t="shared" si="57"/>
        <v>0</v>
      </c>
      <c r="AB210">
        <f t="shared" si="58"/>
        <v>8</v>
      </c>
      <c r="AC210">
        <f t="shared" si="59"/>
        <v>0</v>
      </c>
      <c r="AD210">
        <f t="shared" si="60"/>
        <v>25.699897517980862</v>
      </c>
      <c r="AE210">
        <f t="shared" si="61"/>
        <v>0</v>
      </c>
      <c r="AG210" s="109">
        <f t="shared" si="62"/>
        <v>44737</v>
      </c>
      <c r="AH210">
        <f>'Water Stuff'!I180*1000</f>
        <v>620</v>
      </c>
      <c r="AI210">
        <f>'Water Stuff'!Q180*1000</f>
        <v>620</v>
      </c>
      <c r="AJ210">
        <f>'Water Stuff'!Y180*1000</f>
        <v>620</v>
      </c>
      <c r="AK210">
        <f>'Water Stuff'!AG180*1000</f>
        <v>620</v>
      </c>
      <c r="AL210">
        <f>'Water Stuff'!AO180*1000</f>
        <v>620</v>
      </c>
    </row>
    <row r="211" spans="1:38">
      <c r="A211" s="109">
        <f>'Water Stuff'!F181</f>
        <v>44738</v>
      </c>
      <c r="B211">
        <f>IF( 'Water Stuff'!G181*1000 &gt;= 'Water Stuff'!$B$6*1000, 'Water Stuff'!$B$6*1000, 'Water Stuff'!G181*1000)</f>
        <v>1160</v>
      </c>
      <c r="C211">
        <f>IF( 'Water Stuff'!O181*1000 &gt;= 'Water Stuff'!$B$6*1000, 'Water Stuff'!$B$6*1000, 'Water Stuff'!O181*1000)</f>
        <v>0</v>
      </c>
      <c r="D211">
        <f>IF( 'Water Stuff'!W181*1000 &gt;= 'Water Stuff'!$B$6*1000, 'Water Stuff'!$B$6*1000, 'Water Stuff'!W181*1000)</f>
        <v>0</v>
      </c>
      <c r="E211">
        <f>IF( 'Water Stuff'!AE181*1000 &gt;= 'Water Stuff'!$B$6*1000, 'Water Stuff'!$B$6*1000, 'Water Stuff'!AE181*1000)</f>
        <v>0</v>
      </c>
      <c r="F211">
        <f>IF('Water Stuff'!AM181*1000&gt;='Water Stuff'!$B$6*1000,'Water Stuff'!$B$6*1000,'Water Stuff'!AM181*1000)</f>
        <v>0</v>
      </c>
      <c r="I211">
        <f t="shared" si="42"/>
        <v>11.6</v>
      </c>
      <c r="J211">
        <f t="shared" si="43"/>
        <v>0</v>
      </c>
      <c r="K211">
        <f t="shared" si="44"/>
        <v>0</v>
      </c>
      <c r="L211">
        <f t="shared" si="45"/>
        <v>0</v>
      </c>
      <c r="M211">
        <f t="shared" si="46"/>
        <v>0</v>
      </c>
      <c r="O211">
        <f t="shared" si="47"/>
        <v>0.23200000000000001</v>
      </c>
      <c r="P211">
        <f t="shared" si="48"/>
        <v>0</v>
      </c>
      <c r="Q211">
        <f t="shared" si="49"/>
        <v>0</v>
      </c>
      <c r="R211">
        <f t="shared" si="50"/>
        <v>0</v>
      </c>
      <c r="S211">
        <f t="shared" si="51"/>
        <v>0</v>
      </c>
      <c r="U211">
        <f t="shared" si="52"/>
        <v>5.8</v>
      </c>
      <c r="V211">
        <f t="shared" si="53"/>
        <v>0</v>
      </c>
      <c r="W211">
        <f t="shared" si="54"/>
        <v>0</v>
      </c>
      <c r="X211">
        <f t="shared" si="55"/>
        <v>0</v>
      </c>
      <c r="Y211">
        <f t="shared" si="56"/>
        <v>0</v>
      </c>
      <c r="AA211">
        <f t="shared" si="57"/>
        <v>11.6</v>
      </c>
      <c r="AB211">
        <f t="shared" si="58"/>
        <v>0</v>
      </c>
      <c r="AC211">
        <f t="shared" si="59"/>
        <v>0</v>
      </c>
      <c r="AD211">
        <f t="shared" si="60"/>
        <v>0</v>
      </c>
      <c r="AE211">
        <f t="shared" si="61"/>
        <v>0</v>
      </c>
      <c r="AG211" s="109">
        <f t="shared" si="62"/>
        <v>44738</v>
      </c>
      <c r="AH211">
        <f>'Water Stuff'!I181*1000</f>
        <v>620</v>
      </c>
      <c r="AI211">
        <f>'Water Stuff'!Q181*1000</f>
        <v>620</v>
      </c>
      <c r="AJ211">
        <f>'Water Stuff'!Y181*1000</f>
        <v>620</v>
      </c>
      <c r="AK211">
        <f>'Water Stuff'!AG181*1000</f>
        <v>620</v>
      </c>
      <c r="AL211">
        <f>'Water Stuff'!AO181*1000</f>
        <v>620</v>
      </c>
    </row>
    <row r="212" spans="1:38">
      <c r="A212" s="109">
        <f>'Water Stuff'!F182</f>
        <v>44739</v>
      </c>
      <c r="B212">
        <f>IF( 'Water Stuff'!G182*1000 &gt;= 'Water Stuff'!$B$6*1000, 'Water Stuff'!$B$6*1000, 'Water Stuff'!G182*1000)</f>
        <v>4079.9999999999991</v>
      </c>
      <c r="C212">
        <f>IF( 'Water Stuff'!O182*1000 &gt;= 'Water Stuff'!$B$6*1000, 'Water Stuff'!$B$6*1000, 'Water Stuff'!O182*1000)</f>
        <v>0</v>
      </c>
      <c r="D212">
        <f>IF( 'Water Stuff'!W182*1000 &gt;= 'Water Stuff'!$B$6*1000, 'Water Stuff'!$B$6*1000, 'Water Stuff'!W182*1000)</f>
        <v>924.63806877505726</v>
      </c>
      <c r="E212">
        <f>IF( 'Water Stuff'!AE182*1000 &gt;= 'Water Stuff'!$B$6*1000, 'Water Stuff'!$B$6*1000, 'Water Stuff'!AE182*1000)</f>
        <v>0</v>
      </c>
      <c r="F212">
        <f>IF('Water Stuff'!AM182*1000&gt;='Water Stuff'!$B$6*1000,'Water Stuff'!$B$6*1000,'Water Stuff'!AM182*1000)</f>
        <v>1795.0072836478669</v>
      </c>
      <c r="I212">
        <f t="shared" si="42"/>
        <v>40.79999999999999</v>
      </c>
      <c r="J212">
        <f t="shared" si="43"/>
        <v>0</v>
      </c>
      <c r="K212">
        <f t="shared" si="44"/>
        <v>9.2463806877505714</v>
      </c>
      <c r="L212">
        <f t="shared" si="45"/>
        <v>0</v>
      </c>
      <c r="M212">
        <f t="shared" si="46"/>
        <v>17.950072836478672</v>
      </c>
      <c r="O212">
        <f t="shared" si="47"/>
        <v>0.81599999999999973</v>
      </c>
      <c r="P212">
        <f t="shared" si="48"/>
        <v>0</v>
      </c>
      <c r="Q212">
        <f t="shared" si="49"/>
        <v>0.18492761375501143</v>
      </c>
      <c r="R212">
        <f t="shared" si="50"/>
        <v>0</v>
      </c>
      <c r="S212">
        <f t="shared" si="51"/>
        <v>0.3590014567295734</v>
      </c>
      <c r="U212">
        <f t="shared" si="52"/>
        <v>20.399999999999995</v>
      </c>
      <c r="V212">
        <f t="shared" si="53"/>
        <v>0</v>
      </c>
      <c r="W212">
        <f t="shared" si="54"/>
        <v>4.6231903438752866</v>
      </c>
      <c r="X212">
        <f t="shared" si="55"/>
        <v>0</v>
      </c>
      <c r="Y212">
        <f t="shared" si="56"/>
        <v>8.9750364182393341</v>
      </c>
      <c r="AA212">
        <f t="shared" si="57"/>
        <v>40.79999999999999</v>
      </c>
      <c r="AB212">
        <f t="shared" si="58"/>
        <v>0</v>
      </c>
      <c r="AC212">
        <f t="shared" si="59"/>
        <v>9.2463806877505732</v>
      </c>
      <c r="AD212">
        <f t="shared" si="60"/>
        <v>0</v>
      </c>
      <c r="AE212">
        <f t="shared" si="61"/>
        <v>17.950072836478668</v>
      </c>
      <c r="AG212" s="109">
        <f t="shared" si="62"/>
        <v>44739</v>
      </c>
      <c r="AH212">
        <f>'Water Stuff'!I182*1000</f>
        <v>620</v>
      </c>
      <c r="AI212">
        <f>'Water Stuff'!Q182*1000</f>
        <v>620</v>
      </c>
      <c r="AJ212">
        <f>'Water Stuff'!Y182*1000</f>
        <v>620</v>
      </c>
      <c r="AK212">
        <f>'Water Stuff'!AG182*1000</f>
        <v>620</v>
      </c>
      <c r="AL212">
        <f>'Water Stuff'!AO182*1000</f>
        <v>620</v>
      </c>
    </row>
    <row r="213" spans="1:38">
      <c r="A213" s="109">
        <f>'Water Stuff'!F183</f>
        <v>44740</v>
      </c>
      <c r="B213">
        <f>IF( 'Water Stuff'!G183*1000 &gt;= 'Water Stuff'!$B$6*1000, 'Water Stuff'!$B$6*1000, 'Water Stuff'!G183*1000)</f>
        <v>4079.9999999999991</v>
      </c>
      <c r="C213">
        <f>IF( 'Water Stuff'!O183*1000 &gt;= 'Water Stuff'!$B$6*1000, 'Water Stuff'!$B$6*1000, 'Water Stuff'!O183*1000)</f>
        <v>0</v>
      </c>
      <c r="D213">
        <f>IF( 'Water Stuff'!W183*1000 &gt;= 'Water Stuff'!$B$6*1000, 'Water Stuff'!$B$6*1000, 'Water Stuff'!W183*1000)</f>
        <v>4099.96461540982</v>
      </c>
      <c r="E213">
        <f>IF( 'Water Stuff'!AE183*1000 &gt;= 'Water Stuff'!$B$6*1000, 'Water Stuff'!$B$6*1000, 'Water Stuff'!AE183*1000)</f>
        <v>0</v>
      </c>
      <c r="F213">
        <f>IF('Water Stuff'!AM183*1000&gt;='Water Stuff'!$B$6*1000,'Water Stuff'!$B$6*1000,'Water Stuff'!AM183*1000)</f>
        <v>1382.091754990885</v>
      </c>
      <c r="I213">
        <f t="shared" si="42"/>
        <v>40.79999999999999</v>
      </c>
      <c r="J213">
        <f t="shared" si="43"/>
        <v>0</v>
      </c>
      <c r="K213">
        <f t="shared" si="44"/>
        <v>40.999646154098201</v>
      </c>
      <c r="L213">
        <f t="shared" si="45"/>
        <v>0</v>
      </c>
      <c r="M213">
        <f t="shared" si="46"/>
        <v>13.820917549908849</v>
      </c>
      <c r="O213">
        <f t="shared" si="47"/>
        <v>0.81599999999999973</v>
      </c>
      <c r="P213">
        <f t="shared" si="48"/>
        <v>0</v>
      </c>
      <c r="Q213">
        <f t="shared" si="49"/>
        <v>0.81999292308196403</v>
      </c>
      <c r="R213">
        <f t="shared" si="50"/>
        <v>0</v>
      </c>
      <c r="S213">
        <f t="shared" si="51"/>
        <v>0.27641835099817702</v>
      </c>
      <c r="U213">
        <f t="shared" si="52"/>
        <v>20.399999999999995</v>
      </c>
      <c r="V213">
        <f t="shared" si="53"/>
        <v>0</v>
      </c>
      <c r="W213">
        <f t="shared" si="54"/>
        <v>20.499823077049101</v>
      </c>
      <c r="X213">
        <f t="shared" si="55"/>
        <v>0</v>
      </c>
      <c r="Y213">
        <f t="shared" si="56"/>
        <v>6.9104587749544253</v>
      </c>
      <c r="AA213">
        <f t="shared" si="57"/>
        <v>40.79999999999999</v>
      </c>
      <c r="AB213">
        <f t="shared" si="58"/>
        <v>0</v>
      </c>
      <c r="AC213">
        <f t="shared" si="59"/>
        <v>40.999646154098201</v>
      </c>
      <c r="AD213">
        <f t="shared" si="60"/>
        <v>0</v>
      </c>
      <c r="AE213">
        <f t="shared" si="61"/>
        <v>13.820917549908851</v>
      </c>
      <c r="AG213" s="109">
        <f t="shared" si="62"/>
        <v>44740</v>
      </c>
      <c r="AH213">
        <f>'Water Stuff'!I183*1000</f>
        <v>620</v>
      </c>
      <c r="AI213">
        <f>'Water Stuff'!Q183*1000</f>
        <v>620</v>
      </c>
      <c r="AJ213">
        <f>'Water Stuff'!Y183*1000</f>
        <v>620</v>
      </c>
      <c r="AK213">
        <f>'Water Stuff'!AG183*1000</f>
        <v>620</v>
      </c>
      <c r="AL213">
        <f>'Water Stuff'!AO183*1000</f>
        <v>620</v>
      </c>
    </row>
    <row r="214" spans="1:38">
      <c r="A214" s="109">
        <f>'Water Stuff'!F184</f>
        <v>44741</v>
      </c>
      <c r="B214">
        <f>IF( 'Water Stuff'!G184*1000 &gt;= 'Water Stuff'!$B$6*1000, 'Water Stuff'!$B$6*1000, 'Water Stuff'!G184*1000)</f>
        <v>120</v>
      </c>
      <c r="C214">
        <f>IF( 'Water Stuff'!O184*1000 &gt;= 'Water Stuff'!$B$6*1000, 'Water Stuff'!$B$6*1000, 'Water Stuff'!O184*1000)</f>
        <v>0</v>
      </c>
      <c r="D214">
        <f>IF( 'Water Stuff'!W184*1000 &gt;= 'Water Stuff'!$B$6*1000, 'Water Stuff'!$B$6*1000, 'Water Stuff'!W184*1000)</f>
        <v>423.80081600092694</v>
      </c>
      <c r="E214">
        <f>IF( 'Water Stuff'!AE184*1000 &gt;= 'Water Stuff'!$B$6*1000, 'Water Stuff'!$B$6*1000, 'Water Stuff'!AE184*1000)</f>
        <v>0</v>
      </c>
      <c r="F214">
        <f>IF('Water Stuff'!AM184*1000&gt;='Water Stuff'!$B$6*1000,'Water Stuff'!$B$6*1000,'Water Stuff'!AM184*1000)</f>
        <v>0</v>
      </c>
      <c r="I214">
        <f t="shared" si="42"/>
        <v>1.2</v>
      </c>
      <c r="J214">
        <f t="shared" si="43"/>
        <v>0</v>
      </c>
      <c r="K214">
        <f t="shared" si="44"/>
        <v>4.2380081600092687</v>
      </c>
      <c r="L214">
        <f t="shared" si="45"/>
        <v>0</v>
      </c>
      <c r="M214">
        <f t="shared" si="46"/>
        <v>0</v>
      </c>
      <c r="O214">
        <f t="shared" si="47"/>
        <v>2.4E-2</v>
      </c>
      <c r="P214">
        <f t="shared" si="48"/>
        <v>0</v>
      </c>
      <c r="Q214">
        <f t="shared" si="49"/>
        <v>8.4760163200185368E-2</v>
      </c>
      <c r="R214">
        <f t="shared" si="50"/>
        <v>0</v>
      </c>
      <c r="S214">
        <f t="shared" si="51"/>
        <v>0</v>
      </c>
      <c r="U214">
        <f t="shared" si="52"/>
        <v>0.6</v>
      </c>
      <c r="V214">
        <f t="shared" si="53"/>
        <v>0</v>
      </c>
      <c r="W214">
        <f t="shared" si="54"/>
        <v>2.1190040800046348</v>
      </c>
      <c r="X214">
        <f t="shared" si="55"/>
        <v>0</v>
      </c>
      <c r="Y214">
        <f t="shared" si="56"/>
        <v>0</v>
      </c>
      <c r="AA214">
        <f t="shared" si="57"/>
        <v>1.2</v>
      </c>
      <c r="AB214">
        <f t="shared" si="58"/>
        <v>0</v>
      </c>
      <c r="AC214">
        <f t="shared" si="59"/>
        <v>4.2380081600092696</v>
      </c>
      <c r="AD214">
        <f t="shared" si="60"/>
        <v>0</v>
      </c>
      <c r="AE214">
        <f t="shared" si="61"/>
        <v>0</v>
      </c>
      <c r="AG214" s="109">
        <f t="shared" si="62"/>
        <v>44741</v>
      </c>
      <c r="AH214">
        <f>'Water Stuff'!I184*1000</f>
        <v>620</v>
      </c>
      <c r="AI214">
        <f>'Water Stuff'!Q184*1000</f>
        <v>620</v>
      </c>
      <c r="AJ214">
        <f>'Water Stuff'!Y184*1000</f>
        <v>620</v>
      </c>
      <c r="AK214">
        <f>'Water Stuff'!AG184*1000</f>
        <v>620</v>
      </c>
      <c r="AL214">
        <f>'Water Stuff'!AO184*1000</f>
        <v>620</v>
      </c>
    </row>
    <row r="215" spans="1:38">
      <c r="A215" s="109">
        <f>'Water Stuff'!F185</f>
        <v>44742</v>
      </c>
      <c r="B215">
        <f>IF( 'Water Stuff'!G185*1000 &gt;= 'Water Stuff'!$B$6*1000, 'Water Stuff'!$B$6*1000, 'Water Stuff'!G185*1000)</f>
        <v>0</v>
      </c>
      <c r="C215">
        <f>IF( 'Water Stuff'!O185*1000 &gt;= 'Water Stuff'!$B$6*1000, 'Water Stuff'!$B$6*1000, 'Water Stuff'!O185*1000)</f>
        <v>0</v>
      </c>
      <c r="D215">
        <f>IF( 'Water Stuff'!W185*1000 &gt;= 'Water Stuff'!$B$6*1000, 'Water Stuff'!$B$6*1000, 'Water Stuff'!W185*1000)</f>
        <v>1689.9257637858018</v>
      </c>
      <c r="E215">
        <f>IF( 'Water Stuff'!AE185*1000 &gt;= 'Water Stuff'!$B$6*1000, 'Water Stuff'!$B$6*1000, 'Water Stuff'!AE185*1000)</f>
        <v>0</v>
      </c>
      <c r="F215">
        <f>IF('Water Stuff'!AM185*1000&gt;='Water Stuff'!$B$6*1000,'Water Stuff'!$B$6*1000,'Water Stuff'!AM185*1000)</f>
        <v>1343.1222876871143</v>
      </c>
      <c r="I215">
        <f t="shared" si="42"/>
        <v>0</v>
      </c>
      <c r="J215">
        <f t="shared" si="43"/>
        <v>0</v>
      </c>
      <c r="K215">
        <f t="shared" si="44"/>
        <v>16.899257637858021</v>
      </c>
      <c r="L215">
        <f t="shared" si="45"/>
        <v>0</v>
      </c>
      <c r="M215">
        <f t="shared" si="46"/>
        <v>13.431222876871143</v>
      </c>
      <c r="O215">
        <f t="shared" si="47"/>
        <v>0</v>
      </c>
      <c r="P215">
        <f t="shared" si="48"/>
        <v>0</v>
      </c>
      <c r="Q215">
        <f t="shared" si="49"/>
        <v>0.3379851527571604</v>
      </c>
      <c r="R215">
        <f t="shared" si="50"/>
        <v>0</v>
      </c>
      <c r="S215">
        <f t="shared" si="51"/>
        <v>0.26862445753742287</v>
      </c>
      <c r="U215">
        <f t="shared" si="52"/>
        <v>0</v>
      </c>
      <c r="V215">
        <f t="shared" si="53"/>
        <v>0</v>
      </c>
      <c r="W215">
        <f t="shared" si="54"/>
        <v>8.4496288189290087</v>
      </c>
      <c r="X215">
        <f t="shared" si="55"/>
        <v>0</v>
      </c>
      <c r="Y215">
        <f t="shared" si="56"/>
        <v>6.7156114384355714</v>
      </c>
      <c r="AA215">
        <f t="shared" si="57"/>
        <v>0</v>
      </c>
      <c r="AB215">
        <f t="shared" si="58"/>
        <v>0</v>
      </c>
      <c r="AC215">
        <f t="shared" si="59"/>
        <v>16.899257637858017</v>
      </c>
      <c r="AD215">
        <f t="shared" si="60"/>
        <v>0</v>
      </c>
      <c r="AE215">
        <f t="shared" si="61"/>
        <v>13.431222876871143</v>
      </c>
      <c r="AG215" s="109">
        <f t="shared" si="62"/>
        <v>44742</v>
      </c>
      <c r="AH215">
        <f>'Water Stuff'!I185*1000</f>
        <v>620</v>
      </c>
      <c r="AI215">
        <f>'Water Stuff'!Q185*1000</f>
        <v>620</v>
      </c>
      <c r="AJ215">
        <f>'Water Stuff'!Y185*1000</f>
        <v>620</v>
      </c>
      <c r="AK215">
        <f>'Water Stuff'!AG185*1000</f>
        <v>620</v>
      </c>
      <c r="AL215">
        <f>'Water Stuff'!AO185*1000</f>
        <v>620</v>
      </c>
    </row>
    <row r="216" spans="1:38">
      <c r="A216" s="109">
        <f>'Water Stuff'!F186</f>
        <v>44743</v>
      </c>
      <c r="B216">
        <f>IF( 'Water Stuff'!G186*1000 &gt;= 'Water Stuff'!$B$6*1000, 'Water Stuff'!$B$6*1000, 'Water Stuff'!G186*1000)</f>
        <v>0</v>
      </c>
      <c r="C216">
        <f>IF( 'Water Stuff'!O186*1000 &gt;= 'Water Stuff'!$B$6*1000, 'Water Stuff'!$B$6*1000, 'Water Stuff'!O186*1000)</f>
        <v>0</v>
      </c>
      <c r="D216">
        <f>IF( 'Water Stuff'!W186*1000 &gt;= 'Water Stuff'!$B$6*1000, 'Water Stuff'!$B$6*1000, 'Water Stuff'!W186*1000)</f>
        <v>0</v>
      </c>
      <c r="E216">
        <f>IF( 'Water Stuff'!AE186*1000 &gt;= 'Water Stuff'!$B$6*1000, 'Water Stuff'!$B$6*1000, 'Water Stuff'!AE186*1000)</f>
        <v>295.87997408683998</v>
      </c>
      <c r="F216">
        <f>IF('Water Stuff'!AM186*1000&gt;='Water Stuff'!$B$6*1000,'Water Stuff'!$B$6*1000,'Water Stuff'!AM186*1000)</f>
        <v>0</v>
      </c>
      <c r="I216">
        <f t="shared" si="42"/>
        <v>0</v>
      </c>
      <c r="J216">
        <f t="shared" si="43"/>
        <v>0</v>
      </c>
      <c r="K216">
        <f t="shared" si="44"/>
        <v>0</v>
      </c>
      <c r="L216">
        <f t="shared" si="45"/>
        <v>2.9587997408683995</v>
      </c>
      <c r="M216">
        <f t="shared" si="46"/>
        <v>0</v>
      </c>
      <c r="O216">
        <f t="shared" si="47"/>
        <v>0</v>
      </c>
      <c r="P216">
        <f t="shared" si="48"/>
        <v>0</v>
      </c>
      <c r="Q216">
        <f t="shared" si="49"/>
        <v>0</v>
      </c>
      <c r="R216">
        <f t="shared" si="50"/>
        <v>5.9175994817367988E-2</v>
      </c>
      <c r="S216">
        <f t="shared" si="51"/>
        <v>0</v>
      </c>
      <c r="U216">
        <f t="shared" si="52"/>
        <v>0</v>
      </c>
      <c r="V216">
        <f t="shared" si="53"/>
        <v>0</v>
      </c>
      <c r="W216">
        <f t="shared" si="54"/>
        <v>0</v>
      </c>
      <c r="X216">
        <f t="shared" si="55"/>
        <v>1.4793998704342</v>
      </c>
      <c r="Y216">
        <f t="shared" si="56"/>
        <v>0</v>
      </c>
      <c r="AA216">
        <f t="shared" si="57"/>
        <v>0</v>
      </c>
      <c r="AB216">
        <f t="shared" si="58"/>
        <v>0</v>
      </c>
      <c r="AC216">
        <f t="shared" si="59"/>
        <v>0</v>
      </c>
      <c r="AD216">
        <f t="shared" si="60"/>
        <v>2.9587997408683999</v>
      </c>
      <c r="AE216">
        <f t="shared" si="61"/>
        <v>0</v>
      </c>
      <c r="AG216" s="109">
        <f t="shared" si="62"/>
        <v>44743</v>
      </c>
      <c r="AH216">
        <f>'Water Stuff'!I186*1000</f>
        <v>620</v>
      </c>
      <c r="AI216">
        <f>'Water Stuff'!Q186*1000</f>
        <v>620</v>
      </c>
      <c r="AJ216">
        <f>'Water Stuff'!Y186*1000</f>
        <v>620</v>
      </c>
      <c r="AK216">
        <f>'Water Stuff'!AG186*1000</f>
        <v>620</v>
      </c>
      <c r="AL216">
        <f>'Water Stuff'!AO186*1000</f>
        <v>620</v>
      </c>
    </row>
    <row r="217" spans="1:38">
      <c r="A217" s="109">
        <f>'Water Stuff'!F187</f>
        <v>44744</v>
      </c>
      <c r="B217">
        <f>IF( 'Water Stuff'!G187*1000 &gt;= 'Water Stuff'!$B$6*1000, 'Water Stuff'!$B$6*1000, 'Water Stuff'!G187*1000)</f>
        <v>360</v>
      </c>
      <c r="C217">
        <f>IF( 'Water Stuff'!O187*1000 &gt;= 'Water Stuff'!$B$6*1000, 'Water Stuff'!$B$6*1000, 'Water Stuff'!O187*1000)</f>
        <v>0</v>
      </c>
      <c r="D217">
        <f>IF( 'Water Stuff'!W187*1000 &gt;= 'Water Stuff'!$B$6*1000, 'Water Stuff'!$B$6*1000, 'Water Stuff'!W187*1000)</f>
        <v>0</v>
      </c>
      <c r="E217">
        <f>IF( 'Water Stuff'!AE187*1000 &gt;= 'Water Stuff'!$B$6*1000, 'Water Stuff'!$B$6*1000, 'Water Stuff'!AE187*1000)</f>
        <v>0</v>
      </c>
      <c r="F217">
        <f>IF('Water Stuff'!AM187*1000&gt;='Water Stuff'!$B$6*1000,'Water Stuff'!$B$6*1000,'Water Stuff'!AM187*1000)</f>
        <v>0</v>
      </c>
      <c r="I217">
        <f t="shared" si="42"/>
        <v>3.6</v>
      </c>
      <c r="J217">
        <f t="shared" si="43"/>
        <v>0</v>
      </c>
      <c r="K217">
        <f t="shared" si="44"/>
        <v>0</v>
      </c>
      <c r="L217">
        <f t="shared" si="45"/>
        <v>0</v>
      </c>
      <c r="M217">
        <f t="shared" si="46"/>
        <v>0</v>
      </c>
      <c r="O217">
        <f t="shared" si="47"/>
        <v>7.1999999999999995E-2</v>
      </c>
      <c r="P217">
        <f t="shared" si="48"/>
        <v>0</v>
      </c>
      <c r="Q217">
        <f t="shared" si="49"/>
        <v>0</v>
      </c>
      <c r="R217">
        <f t="shared" si="50"/>
        <v>0</v>
      </c>
      <c r="S217">
        <f t="shared" si="51"/>
        <v>0</v>
      </c>
      <c r="U217">
        <f t="shared" si="52"/>
        <v>1.8</v>
      </c>
      <c r="V217">
        <f t="shared" si="53"/>
        <v>0</v>
      </c>
      <c r="W217">
        <f t="shared" si="54"/>
        <v>0</v>
      </c>
      <c r="X217">
        <f t="shared" si="55"/>
        <v>0</v>
      </c>
      <c r="Y217">
        <f t="shared" si="56"/>
        <v>0</v>
      </c>
      <c r="AA217">
        <f t="shared" si="57"/>
        <v>3.6</v>
      </c>
      <c r="AB217">
        <f t="shared" si="58"/>
        <v>0</v>
      </c>
      <c r="AC217">
        <f t="shared" si="59"/>
        <v>0</v>
      </c>
      <c r="AD217">
        <f t="shared" si="60"/>
        <v>0</v>
      </c>
      <c r="AE217">
        <f t="shared" si="61"/>
        <v>0</v>
      </c>
      <c r="AG217" s="109">
        <f t="shared" si="62"/>
        <v>44744</v>
      </c>
      <c r="AH217">
        <f>'Water Stuff'!I187*1000</f>
        <v>620</v>
      </c>
      <c r="AI217">
        <f>'Water Stuff'!Q187*1000</f>
        <v>620</v>
      </c>
      <c r="AJ217">
        <f>'Water Stuff'!Y187*1000</f>
        <v>620</v>
      </c>
      <c r="AK217">
        <f>'Water Stuff'!AG187*1000</f>
        <v>620</v>
      </c>
      <c r="AL217">
        <f>'Water Stuff'!AO187*1000</f>
        <v>620</v>
      </c>
    </row>
    <row r="218" spans="1:38">
      <c r="A218" s="109">
        <f>'Water Stuff'!F188</f>
        <v>44745</v>
      </c>
      <c r="B218">
        <f>IF( 'Water Stuff'!G188*1000 &gt;= 'Water Stuff'!$B$6*1000, 'Water Stuff'!$B$6*1000, 'Water Stuff'!G188*1000)</f>
        <v>1240</v>
      </c>
      <c r="C218">
        <f>IF( 'Water Stuff'!O188*1000 &gt;= 'Water Stuff'!$B$6*1000, 'Water Stuff'!$B$6*1000, 'Water Stuff'!O188*1000)</f>
        <v>0</v>
      </c>
      <c r="D218">
        <f>IF( 'Water Stuff'!W188*1000 &gt;= 'Water Stuff'!$B$6*1000, 'Water Stuff'!$B$6*1000, 'Water Stuff'!W188*1000)</f>
        <v>0</v>
      </c>
      <c r="E218">
        <f>IF( 'Water Stuff'!AE188*1000 &gt;= 'Water Stuff'!$B$6*1000, 'Water Stuff'!$B$6*1000, 'Water Stuff'!AE188*1000)</f>
        <v>0</v>
      </c>
      <c r="F218">
        <f>IF('Water Stuff'!AM188*1000&gt;='Water Stuff'!$B$6*1000,'Water Stuff'!$B$6*1000,'Water Stuff'!AM188*1000)</f>
        <v>0</v>
      </c>
      <c r="I218">
        <f t="shared" si="42"/>
        <v>12.4</v>
      </c>
      <c r="J218">
        <f t="shared" si="43"/>
        <v>0</v>
      </c>
      <c r="K218">
        <f t="shared" si="44"/>
        <v>0</v>
      </c>
      <c r="L218">
        <f t="shared" si="45"/>
        <v>0</v>
      </c>
      <c r="M218">
        <f t="shared" si="46"/>
        <v>0</v>
      </c>
      <c r="O218">
        <f t="shared" si="47"/>
        <v>0.248</v>
      </c>
      <c r="P218">
        <f t="shared" si="48"/>
        <v>0</v>
      </c>
      <c r="Q218">
        <f t="shared" si="49"/>
        <v>0</v>
      </c>
      <c r="R218">
        <f t="shared" si="50"/>
        <v>0</v>
      </c>
      <c r="S218">
        <f t="shared" si="51"/>
        <v>0</v>
      </c>
      <c r="U218">
        <f t="shared" si="52"/>
        <v>6.2</v>
      </c>
      <c r="V218">
        <f t="shared" si="53"/>
        <v>0</v>
      </c>
      <c r="W218">
        <f t="shared" si="54"/>
        <v>0</v>
      </c>
      <c r="X218">
        <f t="shared" si="55"/>
        <v>0</v>
      </c>
      <c r="Y218">
        <f t="shared" si="56"/>
        <v>0</v>
      </c>
      <c r="AA218">
        <f t="shared" si="57"/>
        <v>12.4</v>
      </c>
      <c r="AB218">
        <f t="shared" si="58"/>
        <v>0</v>
      </c>
      <c r="AC218">
        <f t="shared" si="59"/>
        <v>0</v>
      </c>
      <c r="AD218">
        <f t="shared" si="60"/>
        <v>0</v>
      </c>
      <c r="AE218">
        <f t="shared" si="61"/>
        <v>0</v>
      </c>
      <c r="AG218" s="109">
        <f t="shared" si="62"/>
        <v>44745</v>
      </c>
      <c r="AH218">
        <f>'Water Stuff'!I188*1000</f>
        <v>620</v>
      </c>
      <c r="AI218">
        <f>'Water Stuff'!Q188*1000</f>
        <v>620</v>
      </c>
      <c r="AJ218">
        <f>'Water Stuff'!Y188*1000</f>
        <v>620</v>
      </c>
      <c r="AK218">
        <f>'Water Stuff'!AG188*1000</f>
        <v>620</v>
      </c>
      <c r="AL218">
        <f>'Water Stuff'!AO188*1000</f>
        <v>620</v>
      </c>
    </row>
    <row r="219" spans="1:38">
      <c r="A219" s="109">
        <f>'Water Stuff'!F189</f>
        <v>44746</v>
      </c>
      <c r="B219">
        <f>IF( 'Water Stuff'!G189*1000 &gt;= 'Water Stuff'!$B$6*1000, 'Water Stuff'!$B$6*1000, 'Water Stuff'!G189*1000)</f>
        <v>1880</v>
      </c>
      <c r="C219">
        <f>IF( 'Water Stuff'!O189*1000 &gt;= 'Water Stuff'!$B$6*1000, 'Water Stuff'!$B$6*1000, 'Water Stuff'!O189*1000)</f>
        <v>0</v>
      </c>
      <c r="D219">
        <f>IF( 'Water Stuff'!W189*1000 &gt;= 'Water Stuff'!$B$6*1000, 'Water Stuff'!$B$6*1000, 'Water Stuff'!W189*1000)</f>
        <v>0</v>
      </c>
      <c r="E219">
        <f>IF( 'Water Stuff'!AE189*1000 &gt;= 'Water Stuff'!$B$6*1000, 'Water Stuff'!$B$6*1000, 'Water Stuff'!AE189*1000)</f>
        <v>0</v>
      </c>
      <c r="F219">
        <f>IF('Water Stuff'!AM189*1000&gt;='Water Stuff'!$B$6*1000,'Water Stuff'!$B$6*1000,'Water Stuff'!AM189*1000)</f>
        <v>1059.8195170073016</v>
      </c>
      <c r="I219">
        <f t="shared" si="42"/>
        <v>18.8</v>
      </c>
      <c r="J219">
        <f t="shared" si="43"/>
        <v>0</v>
      </c>
      <c r="K219">
        <f t="shared" si="44"/>
        <v>0</v>
      </c>
      <c r="L219">
        <f t="shared" si="45"/>
        <v>0</v>
      </c>
      <c r="M219">
        <f t="shared" si="46"/>
        <v>10.598195170073016</v>
      </c>
      <c r="O219">
        <f t="shared" si="47"/>
        <v>0.376</v>
      </c>
      <c r="P219">
        <f t="shared" si="48"/>
        <v>0</v>
      </c>
      <c r="Q219">
        <f t="shared" si="49"/>
        <v>0</v>
      </c>
      <c r="R219">
        <f t="shared" si="50"/>
        <v>0</v>
      </c>
      <c r="S219">
        <f t="shared" si="51"/>
        <v>0.21196390340146029</v>
      </c>
      <c r="U219">
        <f t="shared" si="52"/>
        <v>9.4</v>
      </c>
      <c r="V219">
        <f t="shared" si="53"/>
        <v>0</v>
      </c>
      <c r="W219">
        <f t="shared" si="54"/>
        <v>0</v>
      </c>
      <c r="X219">
        <f t="shared" si="55"/>
        <v>0</v>
      </c>
      <c r="Y219">
        <f t="shared" si="56"/>
        <v>5.2990975850365079</v>
      </c>
      <c r="AA219">
        <f t="shared" si="57"/>
        <v>18.8</v>
      </c>
      <c r="AB219">
        <f t="shared" si="58"/>
        <v>0</v>
      </c>
      <c r="AC219">
        <f t="shared" si="59"/>
        <v>0</v>
      </c>
      <c r="AD219">
        <f t="shared" si="60"/>
        <v>0</v>
      </c>
      <c r="AE219">
        <f t="shared" si="61"/>
        <v>10.598195170073016</v>
      </c>
      <c r="AG219" s="109">
        <f t="shared" si="62"/>
        <v>44746</v>
      </c>
      <c r="AH219">
        <f>'Water Stuff'!I189*1000</f>
        <v>620</v>
      </c>
      <c r="AI219">
        <f>'Water Stuff'!Q189*1000</f>
        <v>620</v>
      </c>
      <c r="AJ219">
        <f>'Water Stuff'!Y189*1000</f>
        <v>620</v>
      </c>
      <c r="AK219">
        <f>'Water Stuff'!AG189*1000</f>
        <v>620</v>
      </c>
      <c r="AL219">
        <f>'Water Stuff'!AO189*1000</f>
        <v>620</v>
      </c>
    </row>
    <row r="220" spans="1:38">
      <c r="A220" s="109">
        <f>'Water Stuff'!F190</f>
        <v>44747</v>
      </c>
      <c r="B220">
        <f>IF( 'Water Stuff'!G190*1000 &gt;= 'Water Stuff'!$B$6*1000, 'Water Stuff'!$B$6*1000, 'Water Stuff'!G190*1000)</f>
        <v>5320</v>
      </c>
      <c r="C220">
        <f>IF( 'Water Stuff'!O190*1000 &gt;= 'Water Stuff'!$B$6*1000, 'Water Stuff'!$B$6*1000, 'Water Stuff'!O190*1000)</f>
        <v>0</v>
      </c>
      <c r="D220">
        <f>IF( 'Water Stuff'!W190*1000 &gt;= 'Water Stuff'!$B$6*1000, 'Water Stuff'!$B$6*1000, 'Water Stuff'!W190*1000)</f>
        <v>3827.797585197924</v>
      </c>
      <c r="E220">
        <f>IF( 'Water Stuff'!AE190*1000 &gt;= 'Water Stuff'!$B$6*1000, 'Water Stuff'!$B$6*1000, 'Water Stuff'!AE190*1000)</f>
        <v>1729.1176196606796</v>
      </c>
      <c r="F220">
        <f>IF('Water Stuff'!AM190*1000&gt;='Water Stuff'!$B$6*1000,'Water Stuff'!$B$6*1000,'Water Stuff'!AM190*1000)</f>
        <v>2166.2684233786599</v>
      </c>
      <c r="I220">
        <f t="shared" si="42"/>
        <v>53.2</v>
      </c>
      <c r="J220">
        <f t="shared" si="43"/>
        <v>0</v>
      </c>
      <c r="K220">
        <f t="shared" si="44"/>
        <v>38.277975851979235</v>
      </c>
      <c r="L220">
        <f t="shared" si="45"/>
        <v>17.291176196606798</v>
      </c>
      <c r="M220">
        <f t="shared" si="46"/>
        <v>21.662684233786599</v>
      </c>
      <c r="O220">
        <f t="shared" si="47"/>
        <v>1.0640000000000001</v>
      </c>
      <c r="P220">
        <f t="shared" si="48"/>
        <v>0</v>
      </c>
      <c r="Q220">
        <f t="shared" si="49"/>
        <v>0.7655595170395848</v>
      </c>
      <c r="R220">
        <f t="shared" si="50"/>
        <v>0.34582352393213595</v>
      </c>
      <c r="S220">
        <f t="shared" si="51"/>
        <v>0.43325368467573194</v>
      </c>
      <c r="U220">
        <f t="shared" si="52"/>
        <v>26.6</v>
      </c>
      <c r="V220">
        <f t="shared" si="53"/>
        <v>0</v>
      </c>
      <c r="W220">
        <f t="shared" si="54"/>
        <v>19.138987925989621</v>
      </c>
      <c r="X220">
        <f t="shared" si="55"/>
        <v>8.6455880983033975</v>
      </c>
      <c r="Y220">
        <f t="shared" si="56"/>
        <v>10.8313421168933</v>
      </c>
      <c r="AA220">
        <f t="shared" si="57"/>
        <v>53.2</v>
      </c>
      <c r="AB220">
        <f t="shared" si="58"/>
        <v>0</v>
      </c>
      <c r="AC220">
        <f t="shared" si="59"/>
        <v>38.277975851979242</v>
      </c>
      <c r="AD220">
        <f t="shared" si="60"/>
        <v>17.291176196606795</v>
      </c>
      <c r="AE220">
        <f t="shared" si="61"/>
        <v>21.662684233786599</v>
      </c>
      <c r="AG220" s="109">
        <f t="shared" si="62"/>
        <v>44747</v>
      </c>
      <c r="AH220">
        <f>'Water Stuff'!I190*1000</f>
        <v>620</v>
      </c>
      <c r="AI220">
        <f>'Water Stuff'!Q190*1000</f>
        <v>620</v>
      </c>
      <c r="AJ220">
        <f>'Water Stuff'!Y190*1000</f>
        <v>620</v>
      </c>
      <c r="AK220">
        <f>'Water Stuff'!AG190*1000</f>
        <v>620</v>
      </c>
      <c r="AL220">
        <f>'Water Stuff'!AO190*1000</f>
        <v>620</v>
      </c>
    </row>
    <row r="221" spans="1:38">
      <c r="A221" s="109">
        <f>'Water Stuff'!F191</f>
        <v>44748</v>
      </c>
      <c r="B221">
        <f>IF( 'Water Stuff'!G191*1000 &gt;= 'Water Stuff'!$B$6*1000, 'Water Stuff'!$B$6*1000, 'Water Stuff'!G191*1000)</f>
        <v>2720</v>
      </c>
      <c r="C221">
        <f>IF( 'Water Stuff'!O191*1000 &gt;= 'Water Stuff'!$B$6*1000, 'Water Stuff'!$B$6*1000, 'Water Stuff'!O191*1000)</f>
        <v>0</v>
      </c>
      <c r="D221">
        <f>IF( 'Water Stuff'!W191*1000 &gt;= 'Water Stuff'!$B$6*1000, 'Water Stuff'!$B$6*1000, 'Water Stuff'!W191*1000)</f>
        <v>3597.5906650932961</v>
      </c>
      <c r="E221">
        <f>IF( 'Water Stuff'!AE191*1000 &gt;= 'Water Stuff'!$B$6*1000, 'Water Stuff'!$B$6*1000, 'Water Stuff'!AE191*1000)</f>
        <v>0</v>
      </c>
      <c r="F221">
        <f>IF('Water Stuff'!AM191*1000&gt;='Water Stuff'!$B$6*1000,'Water Stuff'!$B$6*1000,'Water Stuff'!AM191*1000)</f>
        <v>3536.3359750084023</v>
      </c>
      <c r="I221">
        <f t="shared" si="42"/>
        <v>27.2</v>
      </c>
      <c r="J221">
        <f t="shared" si="43"/>
        <v>0</v>
      </c>
      <c r="K221">
        <f t="shared" si="44"/>
        <v>35.975906650932963</v>
      </c>
      <c r="L221">
        <f t="shared" si="45"/>
        <v>0</v>
      </c>
      <c r="M221">
        <f t="shared" si="46"/>
        <v>35.36335975008403</v>
      </c>
      <c r="O221">
        <f t="shared" si="47"/>
        <v>0.54400000000000004</v>
      </c>
      <c r="P221">
        <f t="shared" si="48"/>
        <v>0</v>
      </c>
      <c r="Q221">
        <f t="shared" si="49"/>
        <v>0.71951813301865919</v>
      </c>
      <c r="R221">
        <f t="shared" si="50"/>
        <v>0</v>
      </c>
      <c r="S221">
        <f t="shared" si="51"/>
        <v>0.70726719500168056</v>
      </c>
      <c r="U221">
        <f t="shared" si="52"/>
        <v>13.6</v>
      </c>
      <c r="V221">
        <f t="shared" si="53"/>
        <v>0</v>
      </c>
      <c r="W221">
        <f t="shared" si="54"/>
        <v>17.987953325466481</v>
      </c>
      <c r="X221">
        <f t="shared" si="55"/>
        <v>0</v>
      </c>
      <c r="Y221">
        <f t="shared" si="56"/>
        <v>17.681679875042011</v>
      </c>
      <c r="AA221">
        <f t="shared" si="57"/>
        <v>27.2</v>
      </c>
      <c r="AB221">
        <f t="shared" si="58"/>
        <v>0</v>
      </c>
      <c r="AC221">
        <f t="shared" si="59"/>
        <v>35.975906650932963</v>
      </c>
      <c r="AD221">
        <f t="shared" si="60"/>
        <v>0</v>
      </c>
      <c r="AE221">
        <f t="shared" si="61"/>
        <v>35.363359750084022</v>
      </c>
      <c r="AG221" s="109">
        <f t="shared" si="62"/>
        <v>44748</v>
      </c>
      <c r="AH221">
        <f>'Water Stuff'!I191*1000</f>
        <v>620</v>
      </c>
      <c r="AI221">
        <f>'Water Stuff'!Q191*1000</f>
        <v>620</v>
      </c>
      <c r="AJ221">
        <f>'Water Stuff'!Y191*1000</f>
        <v>620</v>
      </c>
      <c r="AK221">
        <f>'Water Stuff'!AG191*1000</f>
        <v>620</v>
      </c>
      <c r="AL221">
        <f>'Water Stuff'!AO191*1000</f>
        <v>620</v>
      </c>
    </row>
    <row r="222" spans="1:38">
      <c r="A222" s="109">
        <f>'Water Stuff'!F192</f>
        <v>44749</v>
      </c>
      <c r="B222">
        <f>IF( 'Water Stuff'!G192*1000 &gt;= 'Water Stuff'!$B$6*1000, 'Water Stuff'!$B$6*1000, 'Water Stuff'!G192*1000)</f>
        <v>0</v>
      </c>
      <c r="C222">
        <f>IF( 'Water Stuff'!O192*1000 &gt;= 'Water Stuff'!$B$6*1000, 'Water Stuff'!$B$6*1000, 'Water Stuff'!O192*1000)</f>
        <v>40</v>
      </c>
      <c r="D222">
        <f>IF( 'Water Stuff'!W192*1000 &gt;= 'Water Stuff'!$B$6*1000, 'Water Stuff'!$B$6*1000, 'Water Stuff'!W192*1000)</f>
        <v>103.02354511999012</v>
      </c>
      <c r="E222">
        <f>IF( 'Water Stuff'!AE192*1000 &gt;= 'Water Stuff'!$B$6*1000, 'Water Stuff'!$B$6*1000, 'Water Stuff'!AE192*1000)</f>
        <v>940.60001046085642</v>
      </c>
      <c r="F222">
        <f>IF('Water Stuff'!AM192*1000&gt;='Water Stuff'!$B$6*1000,'Water Stuff'!$B$6*1000,'Water Stuff'!AM192*1000)</f>
        <v>817.94535440160416</v>
      </c>
      <c r="I222">
        <f t="shared" si="42"/>
        <v>0</v>
      </c>
      <c r="J222">
        <f t="shared" si="43"/>
        <v>0.4</v>
      </c>
      <c r="K222">
        <f t="shared" si="44"/>
        <v>1.0302354511999012</v>
      </c>
      <c r="L222">
        <f t="shared" si="45"/>
        <v>9.4060001046085642</v>
      </c>
      <c r="M222">
        <f t="shared" si="46"/>
        <v>8.1794535440160416</v>
      </c>
      <c r="O222">
        <f t="shared" si="47"/>
        <v>0</v>
      </c>
      <c r="P222">
        <f t="shared" si="48"/>
        <v>8.0000000000000002E-3</v>
      </c>
      <c r="Q222">
        <f t="shared" si="49"/>
        <v>2.0604709023998021E-2</v>
      </c>
      <c r="R222">
        <f t="shared" si="50"/>
        <v>0.18812000209217128</v>
      </c>
      <c r="S222">
        <f t="shared" si="51"/>
        <v>0.16358907088032082</v>
      </c>
      <c r="U222">
        <f t="shared" si="52"/>
        <v>0</v>
      </c>
      <c r="V222">
        <f t="shared" si="53"/>
        <v>0.2</v>
      </c>
      <c r="W222">
        <f t="shared" si="54"/>
        <v>0.51511772559995062</v>
      </c>
      <c r="X222">
        <f t="shared" si="55"/>
        <v>4.7030000523042821</v>
      </c>
      <c r="Y222">
        <f t="shared" si="56"/>
        <v>4.0897267720080208</v>
      </c>
      <c r="AA222">
        <f t="shared" si="57"/>
        <v>0</v>
      </c>
      <c r="AB222">
        <f t="shared" si="58"/>
        <v>0.4</v>
      </c>
      <c r="AC222">
        <f t="shared" si="59"/>
        <v>1.0302354511999012</v>
      </c>
      <c r="AD222">
        <f t="shared" si="60"/>
        <v>9.4060001046085642</v>
      </c>
      <c r="AE222">
        <f t="shared" si="61"/>
        <v>8.1794535440160416</v>
      </c>
      <c r="AG222" s="109">
        <f t="shared" si="62"/>
        <v>44749</v>
      </c>
      <c r="AH222">
        <f>'Water Stuff'!I192*1000</f>
        <v>620</v>
      </c>
      <c r="AI222">
        <f>'Water Stuff'!Q192*1000</f>
        <v>620</v>
      </c>
      <c r="AJ222">
        <f>'Water Stuff'!Y192*1000</f>
        <v>620</v>
      </c>
      <c r="AK222">
        <f>'Water Stuff'!AG192*1000</f>
        <v>620</v>
      </c>
      <c r="AL222">
        <f>'Water Stuff'!AO192*1000</f>
        <v>620</v>
      </c>
    </row>
    <row r="223" spans="1:38">
      <c r="A223" s="109">
        <f>'Water Stuff'!F193</f>
        <v>44750</v>
      </c>
      <c r="B223">
        <f>IF( 'Water Stuff'!G193*1000 &gt;= 'Water Stuff'!$B$6*1000, 'Water Stuff'!$B$6*1000, 'Water Stuff'!G193*1000)</f>
        <v>0</v>
      </c>
      <c r="C223">
        <f>IF( 'Water Stuff'!O193*1000 &gt;= 'Water Stuff'!$B$6*1000, 'Water Stuff'!$B$6*1000, 'Water Stuff'!O193*1000)</f>
        <v>0</v>
      </c>
      <c r="D223">
        <f>IF( 'Water Stuff'!W193*1000 &gt;= 'Water Stuff'!$B$6*1000, 'Water Stuff'!$B$6*1000, 'Water Stuff'!W193*1000)</f>
        <v>0</v>
      </c>
      <c r="E223">
        <f>IF( 'Water Stuff'!AE193*1000 &gt;= 'Water Stuff'!$B$6*1000, 'Water Stuff'!$B$6*1000, 'Water Stuff'!AE193*1000)</f>
        <v>0</v>
      </c>
      <c r="F223">
        <f>IF('Water Stuff'!AM193*1000&gt;='Water Stuff'!$B$6*1000,'Water Stuff'!$B$6*1000,'Water Stuff'!AM193*1000)</f>
        <v>945.34506187803674</v>
      </c>
      <c r="I223">
        <f t="shared" si="42"/>
        <v>0</v>
      </c>
      <c r="J223">
        <f t="shared" si="43"/>
        <v>0</v>
      </c>
      <c r="K223">
        <f t="shared" si="44"/>
        <v>0</v>
      </c>
      <c r="L223">
        <f t="shared" si="45"/>
        <v>0</v>
      </c>
      <c r="M223">
        <f t="shared" si="46"/>
        <v>9.4534506187803675</v>
      </c>
      <c r="O223">
        <f t="shared" si="47"/>
        <v>0</v>
      </c>
      <c r="P223">
        <f t="shared" si="48"/>
        <v>0</v>
      </c>
      <c r="Q223">
        <f t="shared" si="49"/>
        <v>0</v>
      </c>
      <c r="R223">
        <f t="shared" si="50"/>
        <v>0</v>
      </c>
      <c r="S223">
        <f t="shared" si="51"/>
        <v>0.18906901237560733</v>
      </c>
      <c r="U223">
        <f t="shared" si="52"/>
        <v>0</v>
      </c>
      <c r="V223">
        <f t="shared" si="53"/>
        <v>0</v>
      </c>
      <c r="W223">
        <f t="shared" si="54"/>
        <v>0</v>
      </c>
      <c r="X223">
        <f t="shared" si="55"/>
        <v>0</v>
      </c>
      <c r="Y223">
        <f t="shared" si="56"/>
        <v>4.7267253093901838</v>
      </c>
      <c r="AA223">
        <f t="shared" si="57"/>
        <v>0</v>
      </c>
      <c r="AB223">
        <f t="shared" si="58"/>
        <v>0</v>
      </c>
      <c r="AC223">
        <f t="shared" si="59"/>
        <v>0</v>
      </c>
      <c r="AD223">
        <f t="shared" si="60"/>
        <v>0</v>
      </c>
      <c r="AE223">
        <f t="shared" si="61"/>
        <v>9.4534506187803675</v>
      </c>
      <c r="AG223" s="109">
        <f t="shared" si="62"/>
        <v>44750</v>
      </c>
      <c r="AH223">
        <f>'Water Stuff'!I193*1000</f>
        <v>620</v>
      </c>
      <c r="AI223">
        <f>'Water Stuff'!Q193*1000</f>
        <v>620</v>
      </c>
      <c r="AJ223">
        <f>'Water Stuff'!Y193*1000</f>
        <v>620</v>
      </c>
      <c r="AK223">
        <f>'Water Stuff'!AG193*1000</f>
        <v>620</v>
      </c>
      <c r="AL223">
        <f>'Water Stuff'!AO193*1000</f>
        <v>620</v>
      </c>
    </row>
    <row r="224" spans="1:38">
      <c r="A224" s="109">
        <f>'Water Stuff'!F194</f>
        <v>44751</v>
      </c>
      <c r="B224">
        <f>IF( 'Water Stuff'!G194*1000 &gt;= 'Water Stuff'!$B$6*1000, 'Water Stuff'!$B$6*1000, 'Water Stuff'!G194*1000)</f>
        <v>0</v>
      </c>
      <c r="C224">
        <f>IF( 'Water Stuff'!O194*1000 &gt;= 'Water Stuff'!$B$6*1000, 'Water Stuff'!$B$6*1000, 'Water Stuff'!O194*1000)</f>
        <v>200</v>
      </c>
      <c r="D224">
        <f>IF( 'Water Stuff'!W194*1000 &gt;= 'Water Stuff'!$B$6*1000, 'Water Stuff'!$B$6*1000, 'Water Stuff'!W194*1000)</f>
        <v>1605.5275824350633</v>
      </c>
      <c r="E224">
        <f>IF( 'Water Stuff'!AE194*1000 &gt;= 'Water Stuff'!$B$6*1000, 'Water Stuff'!$B$6*1000, 'Water Stuff'!AE194*1000)</f>
        <v>1427.5425905737563</v>
      </c>
      <c r="F224">
        <f>IF('Water Stuff'!AM194*1000&gt;='Water Stuff'!$B$6*1000,'Water Stuff'!$B$6*1000,'Water Stuff'!AM194*1000)</f>
        <v>781.48327056258245</v>
      </c>
      <c r="I224">
        <f t="shared" si="42"/>
        <v>0</v>
      </c>
      <c r="J224">
        <f t="shared" si="43"/>
        <v>2</v>
      </c>
      <c r="K224">
        <f t="shared" si="44"/>
        <v>16.055275824350634</v>
      </c>
      <c r="L224">
        <f t="shared" si="45"/>
        <v>14.275425905737563</v>
      </c>
      <c r="M224">
        <f t="shared" si="46"/>
        <v>7.8148327056258244</v>
      </c>
      <c r="O224">
        <f t="shared" si="47"/>
        <v>0</v>
      </c>
      <c r="P224">
        <f t="shared" si="48"/>
        <v>0.04</v>
      </c>
      <c r="Q224">
        <f t="shared" si="49"/>
        <v>0.32110551648701269</v>
      </c>
      <c r="R224">
        <f t="shared" si="50"/>
        <v>0.28550851811475125</v>
      </c>
      <c r="S224">
        <f t="shared" si="51"/>
        <v>0.15629665411251648</v>
      </c>
      <c r="U224">
        <f t="shared" si="52"/>
        <v>0</v>
      </c>
      <c r="V224">
        <f t="shared" si="53"/>
        <v>1</v>
      </c>
      <c r="W224">
        <f t="shared" si="54"/>
        <v>8.027637912175317</v>
      </c>
      <c r="X224">
        <f t="shared" si="55"/>
        <v>7.1377129528687817</v>
      </c>
      <c r="Y224">
        <f t="shared" si="56"/>
        <v>3.9074163528129122</v>
      </c>
      <c r="AA224">
        <f t="shared" si="57"/>
        <v>0</v>
      </c>
      <c r="AB224">
        <f t="shared" si="58"/>
        <v>2</v>
      </c>
      <c r="AC224">
        <f t="shared" si="59"/>
        <v>16.055275824350634</v>
      </c>
      <c r="AD224">
        <f t="shared" si="60"/>
        <v>14.275425905737563</v>
      </c>
      <c r="AE224">
        <f t="shared" si="61"/>
        <v>7.8148327056258244</v>
      </c>
      <c r="AG224" s="109">
        <f t="shared" si="62"/>
        <v>44751</v>
      </c>
      <c r="AH224">
        <f>'Water Stuff'!I194*1000</f>
        <v>620</v>
      </c>
      <c r="AI224">
        <f>'Water Stuff'!Q194*1000</f>
        <v>620</v>
      </c>
      <c r="AJ224">
        <f>'Water Stuff'!Y194*1000</f>
        <v>620</v>
      </c>
      <c r="AK224">
        <f>'Water Stuff'!AG194*1000</f>
        <v>620</v>
      </c>
      <c r="AL224">
        <f>'Water Stuff'!AO194*1000</f>
        <v>620</v>
      </c>
    </row>
    <row r="225" spans="1:38">
      <c r="A225" s="109">
        <f>'Water Stuff'!F195</f>
        <v>44752</v>
      </c>
      <c r="B225">
        <f>IF( 'Water Stuff'!G195*1000 &gt;= 'Water Stuff'!$B$6*1000, 'Water Stuff'!$B$6*1000, 'Water Stuff'!G195*1000)</f>
        <v>0</v>
      </c>
      <c r="C225">
        <f>IF( 'Water Stuff'!O195*1000 &gt;= 'Water Stuff'!$B$6*1000, 'Water Stuff'!$B$6*1000, 'Water Stuff'!O195*1000)</f>
        <v>240</v>
      </c>
      <c r="D225">
        <f>IF( 'Water Stuff'!W195*1000 &gt;= 'Water Stuff'!$B$6*1000, 'Water Stuff'!$B$6*1000, 'Water Stuff'!W195*1000)</f>
        <v>1729.3498697531013</v>
      </c>
      <c r="E225">
        <f>IF( 'Water Stuff'!AE195*1000 &gt;= 'Water Stuff'!$B$6*1000, 'Water Stuff'!$B$6*1000, 'Water Stuff'!AE195*1000)</f>
        <v>0</v>
      </c>
      <c r="F225">
        <f>IF('Water Stuff'!AM195*1000&gt;='Water Stuff'!$B$6*1000,'Water Stuff'!$B$6*1000,'Water Stuff'!AM195*1000)</f>
        <v>731.2272302500146</v>
      </c>
      <c r="I225">
        <f t="shared" si="42"/>
        <v>0</v>
      </c>
      <c r="J225">
        <f t="shared" si="43"/>
        <v>2.4</v>
      </c>
      <c r="K225">
        <f t="shared" si="44"/>
        <v>17.293498697531014</v>
      </c>
      <c r="L225">
        <f t="shared" si="45"/>
        <v>0</v>
      </c>
      <c r="M225">
        <f t="shared" si="46"/>
        <v>7.3122723025001459</v>
      </c>
      <c r="O225">
        <f t="shared" si="47"/>
        <v>0</v>
      </c>
      <c r="P225">
        <f t="shared" si="48"/>
        <v>4.8000000000000001E-2</v>
      </c>
      <c r="Q225">
        <f t="shared" si="49"/>
        <v>0.34586997395062025</v>
      </c>
      <c r="R225">
        <f t="shared" si="50"/>
        <v>0</v>
      </c>
      <c r="S225">
        <f t="shared" si="51"/>
        <v>0.14624544605000292</v>
      </c>
      <c r="U225">
        <f t="shared" si="52"/>
        <v>0</v>
      </c>
      <c r="V225">
        <f t="shared" si="53"/>
        <v>1.2</v>
      </c>
      <c r="W225">
        <f t="shared" si="54"/>
        <v>8.6467493487655069</v>
      </c>
      <c r="X225">
        <f t="shared" si="55"/>
        <v>0</v>
      </c>
      <c r="Y225">
        <f t="shared" si="56"/>
        <v>3.656136151250073</v>
      </c>
      <c r="AA225">
        <f t="shared" si="57"/>
        <v>0</v>
      </c>
      <c r="AB225">
        <f t="shared" si="58"/>
        <v>2.4</v>
      </c>
      <c r="AC225">
        <f t="shared" si="59"/>
        <v>17.293498697531014</v>
      </c>
      <c r="AD225">
        <f t="shared" si="60"/>
        <v>0</v>
      </c>
      <c r="AE225">
        <f t="shared" si="61"/>
        <v>7.3122723025001459</v>
      </c>
      <c r="AG225" s="109">
        <f t="shared" si="62"/>
        <v>44752</v>
      </c>
      <c r="AH225">
        <f>'Water Stuff'!I195*1000</f>
        <v>620</v>
      </c>
      <c r="AI225">
        <f>'Water Stuff'!Q195*1000</f>
        <v>620</v>
      </c>
      <c r="AJ225">
        <f>'Water Stuff'!Y195*1000</f>
        <v>620</v>
      </c>
      <c r="AK225">
        <f>'Water Stuff'!AG195*1000</f>
        <v>620</v>
      </c>
      <c r="AL225">
        <f>'Water Stuff'!AO195*1000</f>
        <v>620</v>
      </c>
    </row>
    <row r="226" spans="1:38">
      <c r="A226" s="109">
        <f>'Water Stuff'!F196</f>
        <v>44753</v>
      </c>
      <c r="B226">
        <f>IF( 'Water Stuff'!G196*1000 &gt;= 'Water Stuff'!$B$6*1000, 'Water Stuff'!$B$6*1000, 'Water Stuff'!G196*1000)</f>
        <v>0</v>
      </c>
      <c r="C226">
        <f>IF( 'Water Stuff'!O196*1000 &gt;= 'Water Stuff'!$B$6*1000, 'Water Stuff'!$B$6*1000, 'Water Stuff'!O196*1000)</f>
        <v>480</v>
      </c>
      <c r="D226">
        <f>IF( 'Water Stuff'!W196*1000 &gt;= 'Water Stuff'!$B$6*1000, 'Water Stuff'!$B$6*1000, 'Water Stuff'!W196*1000)</f>
        <v>880.06086295204113</v>
      </c>
      <c r="E226">
        <f>IF( 'Water Stuff'!AE196*1000 &gt;= 'Water Stuff'!$B$6*1000, 'Water Stuff'!$B$6*1000, 'Water Stuff'!AE196*1000)</f>
        <v>2061.0817922401338</v>
      </c>
      <c r="F226">
        <f>IF('Water Stuff'!AM196*1000&gt;='Water Stuff'!$B$6*1000,'Water Stuff'!$B$6*1000,'Water Stuff'!AM196*1000)</f>
        <v>0</v>
      </c>
      <c r="I226">
        <f t="shared" si="42"/>
        <v>0</v>
      </c>
      <c r="J226">
        <f t="shared" si="43"/>
        <v>4.8</v>
      </c>
      <c r="K226">
        <f t="shared" si="44"/>
        <v>8.8006086295204113</v>
      </c>
      <c r="L226">
        <f t="shared" si="45"/>
        <v>20.610817922401335</v>
      </c>
      <c r="M226">
        <f t="shared" si="46"/>
        <v>0</v>
      </c>
      <c r="O226">
        <f t="shared" si="47"/>
        <v>0</v>
      </c>
      <c r="P226">
        <f t="shared" si="48"/>
        <v>9.6000000000000002E-2</v>
      </c>
      <c r="Q226">
        <f t="shared" si="49"/>
        <v>0.17601217259040822</v>
      </c>
      <c r="R226">
        <f t="shared" si="50"/>
        <v>0.41221635844802668</v>
      </c>
      <c r="S226">
        <f t="shared" si="51"/>
        <v>0</v>
      </c>
      <c r="U226">
        <f t="shared" si="52"/>
        <v>0</v>
      </c>
      <c r="V226">
        <f t="shared" si="53"/>
        <v>2.4</v>
      </c>
      <c r="W226">
        <f t="shared" si="54"/>
        <v>4.4003043147602057</v>
      </c>
      <c r="X226">
        <f t="shared" si="55"/>
        <v>10.305408961200669</v>
      </c>
      <c r="Y226">
        <f t="shared" si="56"/>
        <v>0</v>
      </c>
      <c r="AA226">
        <f t="shared" si="57"/>
        <v>0</v>
      </c>
      <c r="AB226">
        <f t="shared" si="58"/>
        <v>4.8</v>
      </c>
      <c r="AC226">
        <f t="shared" si="59"/>
        <v>8.8006086295204113</v>
      </c>
      <c r="AD226">
        <f t="shared" si="60"/>
        <v>20.610817922401338</v>
      </c>
      <c r="AE226">
        <f t="shared" si="61"/>
        <v>0</v>
      </c>
      <c r="AG226" s="109">
        <f t="shared" si="62"/>
        <v>44753</v>
      </c>
      <c r="AH226">
        <f>'Water Stuff'!I196*1000</f>
        <v>620</v>
      </c>
      <c r="AI226">
        <f>'Water Stuff'!Q196*1000</f>
        <v>620</v>
      </c>
      <c r="AJ226">
        <f>'Water Stuff'!Y196*1000</f>
        <v>620</v>
      </c>
      <c r="AK226">
        <f>'Water Stuff'!AG196*1000</f>
        <v>620</v>
      </c>
      <c r="AL226">
        <f>'Water Stuff'!AO196*1000</f>
        <v>620</v>
      </c>
    </row>
    <row r="227" spans="1:38">
      <c r="A227" s="109">
        <f>'Water Stuff'!F197</f>
        <v>44754</v>
      </c>
      <c r="B227">
        <f>IF( 'Water Stuff'!G197*1000 &gt;= 'Water Stuff'!$B$6*1000, 'Water Stuff'!$B$6*1000, 'Water Stuff'!G197*1000)</f>
        <v>0</v>
      </c>
      <c r="C227">
        <f>IF( 'Water Stuff'!O197*1000 &gt;= 'Water Stuff'!$B$6*1000, 'Water Stuff'!$B$6*1000, 'Water Stuff'!O197*1000)</f>
        <v>800</v>
      </c>
      <c r="D227">
        <f>IF( 'Water Stuff'!W197*1000 &gt;= 'Water Stuff'!$B$6*1000, 'Water Stuff'!$B$6*1000, 'Water Stuff'!W197*1000)</f>
        <v>0</v>
      </c>
      <c r="E227">
        <f>IF( 'Water Stuff'!AE197*1000 &gt;= 'Water Stuff'!$B$6*1000, 'Water Stuff'!$B$6*1000, 'Water Stuff'!AE197*1000)</f>
        <v>847.83213750171387</v>
      </c>
      <c r="F227">
        <f>IF('Water Stuff'!AM197*1000&gt;='Water Stuff'!$B$6*1000,'Water Stuff'!$B$6*1000,'Water Stuff'!AM197*1000)</f>
        <v>0</v>
      </c>
      <c r="I227">
        <f t="shared" ref="I227:I290" si="63">10*B227/1000</f>
        <v>0</v>
      </c>
      <c r="J227">
        <f t="shared" ref="J227:J290" si="64">10*C227/1000</f>
        <v>8</v>
      </c>
      <c r="K227">
        <f t="shared" ref="K227:K290" si="65">10*D227/1000</f>
        <v>0</v>
      </c>
      <c r="L227">
        <f t="shared" ref="L227:L290" si="66">10*E227/1000</f>
        <v>8.4783213750171385</v>
      </c>
      <c r="M227">
        <f t="shared" ref="M227:M290" si="67">10*F227/1000</f>
        <v>0</v>
      </c>
      <c r="O227">
        <f t="shared" ref="O227:O290" si="68">I227*(100/5)/1000</f>
        <v>0</v>
      </c>
      <c r="P227">
        <f t="shared" ref="P227:P290" si="69">J227*100/5/1000</f>
        <v>0.16</v>
      </c>
      <c r="Q227">
        <f t="shared" ref="Q227:Q290" si="70">K227*100/5/1000</f>
        <v>0</v>
      </c>
      <c r="R227">
        <f t="shared" ref="R227:R290" si="71">L227*100/5/1000</f>
        <v>0.16956642750034276</v>
      </c>
      <c r="S227">
        <f t="shared" ref="S227:S290" si="72">M227*100/5/1000</f>
        <v>0</v>
      </c>
      <c r="U227">
        <f t="shared" ref="U227:U290" si="73">$U$10/$L$12/1000*B227</f>
        <v>0</v>
      </c>
      <c r="V227">
        <f t="shared" ref="V227:V290" si="74">$U$10/$L$12/1000*C227</f>
        <v>4</v>
      </c>
      <c r="W227">
        <f t="shared" ref="W227:W290" si="75">$U$10/$L$12/1000*D227</f>
        <v>0</v>
      </c>
      <c r="X227">
        <f t="shared" ref="X227:X290" si="76">$U$10/$L$12/1000*E227</f>
        <v>4.2391606875085692</v>
      </c>
      <c r="Y227">
        <f t="shared" ref="Y227:Y290" si="77">$U$10/$L$12/1000*F227</f>
        <v>0</v>
      </c>
      <c r="AA227">
        <f t="shared" ref="AA227:AA290" si="78">$U$14*U227</f>
        <v>0</v>
      </c>
      <c r="AB227">
        <f t="shared" ref="AB227:AB290" si="79">$U$14*V227</f>
        <v>8</v>
      </c>
      <c r="AC227">
        <f t="shared" ref="AC227:AC290" si="80">$U$14*W227</f>
        <v>0</v>
      </c>
      <c r="AD227">
        <f t="shared" ref="AD227:AD290" si="81">$U$14*X227</f>
        <v>8.4783213750171385</v>
      </c>
      <c r="AE227">
        <f t="shared" ref="AE227:AE290" si="82">$U$14*Y227</f>
        <v>0</v>
      </c>
      <c r="AG227" s="109">
        <f t="shared" ref="AG227:AG290" si="83">A227</f>
        <v>44754</v>
      </c>
      <c r="AH227">
        <f>'Water Stuff'!I197*1000</f>
        <v>620</v>
      </c>
      <c r="AI227">
        <f>'Water Stuff'!Q197*1000</f>
        <v>620</v>
      </c>
      <c r="AJ227">
        <f>'Water Stuff'!Y197*1000</f>
        <v>620</v>
      </c>
      <c r="AK227">
        <f>'Water Stuff'!AG197*1000</f>
        <v>620</v>
      </c>
      <c r="AL227">
        <f>'Water Stuff'!AO197*1000</f>
        <v>620</v>
      </c>
    </row>
    <row r="228" spans="1:38">
      <c r="A228" s="109">
        <f>'Water Stuff'!F198</f>
        <v>44755</v>
      </c>
      <c r="B228">
        <f>IF( 'Water Stuff'!G198*1000 &gt;= 'Water Stuff'!$B$6*1000, 'Water Stuff'!$B$6*1000, 'Water Stuff'!G198*1000)</f>
        <v>0</v>
      </c>
      <c r="C228">
        <f>IF( 'Water Stuff'!O198*1000 &gt;= 'Water Stuff'!$B$6*1000, 'Water Stuff'!$B$6*1000, 'Water Stuff'!O198*1000)</f>
        <v>0</v>
      </c>
      <c r="D228">
        <f>IF( 'Water Stuff'!W198*1000 &gt;= 'Water Stuff'!$B$6*1000, 'Water Stuff'!$B$6*1000, 'Water Stuff'!W198*1000)</f>
        <v>0</v>
      </c>
      <c r="E228">
        <f>IF( 'Water Stuff'!AE198*1000 &gt;= 'Water Stuff'!$B$6*1000, 'Water Stuff'!$B$6*1000, 'Water Stuff'!AE198*1000)</f>
        <v>389.12752287831478</v>
      </c>
      <c r="F228">
        <f>IF('Water Stuff'!AM198*1000&gt;='Water Stuff'!$B$6*1000,'Water Stuff'!$B$6*1000,'Water Stuff'!AM198*1000)</f>
        <v>0</v>
      </c>
      <c r="I228">
        <f t="shared" si="63"/>
        <v>0</v>
      </c>
      <c r="J228">
        <f t="shared" si="64"/>
        <v>0</v>
      </c>
      <c r="K228">
        <f t="shared" si="65"/>
        <v>0</v>
      </c>
      <c r="L228">
        <f t="shared" si="66"/>
        <v>3.8912752287831478</v>
      </c>
      <c r="M228">
        <f t="shared" si="67"/>
        <v>0</v>
      </c>
      <c r="O228">
        <f t="shared" si="68"/>
        <v>0</v>
      </c>
      <c r="P228">
        <f t="shared" si="69"/>
        <v>0</v>
      </c>
      <c r="Q228">
        <f t="shared" si="70"/>
        <v>0</v>
      </c>
      <c r="R228">
        <f t="shared" si="71"/>
        <v>7.7825504575662965E-2</v>
      </c>
      <c r="S228">
        <f t="shared" si="72"/>
        <v>0</v>
      </c>
      <c r="U228">
        <f t="shared" si="73"/>
        <v>0</v>
      </c>
      <c r="V228">
        <f t="shared" si="74"/>
        <v>0</v>
      </c>
      <c r="W228">
        <f t="shared" si="75"/>
        <v>0</v>
      </c>
      <c r="X228">
        <f t="shared" si="76"/>
        <v>1.9456376143915739</v>
      </c>
      <c r="Y228">
        <f t="shared" si="77"/>
        <v>0</v>
      </c>
      <c r="AA228">
        <f t="shared" si="78"/>
        <v>0</v>
      </c>
      <c r="AB228">
        <f t="shared" si="79"/>
        <v>0</v>
      </c>
      <c r="AC228">
        <f t="shared" si="80"/>
        <v>0</v>
      </c>
      <c r="AD228">
        <f t="shared" si="81"/>
        <v>3.8912752287831478</v>
      </c>
      <c r="AE228">
        <f t="shared" si="82"/>
        <v>0</v>
      </c>
      <c r="AG228" s="109">
        <f t="shared" si="83"/>
        <v>44755</v>
      </c>
      <c r="AH228">
        <f>'Water Stuff'!I198*1000</f>
        <v>620</v>
      </c>
      <c r="AI228">
        <f>'Water Stuff'!Q198*1000</f>
        <v>620</v>
      </c>
      <c r="AJ228">
        <f>'Water Stuff'!Y198*1000</f>
        <v>620</v>
      </c>
      <c r="AK228">
        <f>'Water Stuff'!AG198*1000</f>
        <v>620</v>
      </c>
      <c r="AL228">
        <f>'Water Stuff'!AO198*1000</f>
        <v>620</v>
      </c>
    </row>
    <row r="229" spans="1:38">
      <c r="A229" s="109">
        <f>'Water Stuff'!F199</f>
        <v>44756</v>
      </c>
      <c r="B229">
        <f>IF( 'Water Stuff'!G199*1000 &gt;= 'Water Stuff'!$B$6*1000, 'Water Stuff'!$B$6*1000, 'Water Stuff'!G199*1000)</f>
        <v>0</v>
      </c>
      <c r="C229">
        <f>IF( 'Water Stuff'!O199*1000 &gt;= 'Water Stuff'!$B$6*1000, 'Water Stuff'!$B$6*1000, 'Water Stuff'!O199*1000)</f>
        <v>0</v>
      </c>
      <c r="D229">
        <f>IF( 'Water Stuff'!W199*1000 &gt;= 'Water Stuff'!$B$6*1000, 'Water Stuff'!$B$6*1000, 'Water Stuff'!W199*1000)</f>
        <v>1055.2770318937683</v>
      </c>
      <c r="E229">
        <f>IF( 'Water Stuff'!AE199*1000 &gt;= 'Water Stuff'!$B$6*1000, 'Water Stuff'!$B$6*1000, 'Water Stuff'!AE199*1000)</f>
        <v>0</v>
      </c>
      <c r="F229">
        <f>IF('Water Stuff'!AM199*1000&gt;='Water Stuff'!$B$6*1000,'Water Stuff'!$B$6*1000,'Water Stuff'!AM199*1000)</f>
        <v>1471.3529429601779</v>
      </c>
      <c r="I229">
        <f t="shared" si="63"/>
        <v>0</v>
      </c>
      <c r="J229">
        <f t="shared" si="64"/>
        <v>0</v>
      </c>
      <c r="K229">
        <f t="shared" si="65"/>
        <v>10.552770318937682</v>
      </c>
      <c r="L229">
        <f t="shared" si="66"/>
        <v>0</v>
      </c>
      <c r="M229">
        <f t="shared" si="67"/>
        <v>14.713529429601778</v>
      </c>
      <c r="O229">
        <f t="shared" si="68"/>
        <v>0</v>
      </c>
      <c r="P229">
        <f t="shared" si="69"/>
        <v>0</v>
      </c>
      <c r="Q229">
        <f t="shared" si="70"/>
        <v>0.21105540637875364</v>
      </c>
      <c r="R229">
        <f t="shared" si="71"/>
        <v>0</v>
      </c>
      <c r="S229">
        <f t="shared" si="72"/>
        <v>0.29427058859203553</v>
      </c>
      <c r="U229">
        <f t="shared" si="73"/>
        <v>0</v>
      </c>
      <c r="V229">
        <f t="shared" si="74"/>
        <v>0</v>
      </c>
      <c r="W229">
        <f t="shared" si="75"/>
        <v>5.2763851594688411</v>
      </c>
      <c r="X229">
        <f t="shared" si="76"/>
        <v>0</v>
      </c>
      <c r="Y229">
        <f t="shared" si="77"/>
        <v>7.3567647148008897</v>
      </c>
      <c r="AA229">
        <f t="shared" si="78"/>
        <v>0</v>
      </c>
      <c r="AB229">
        <f t="shared" si="79"/>
        <v>0</v>
      </c>
      <c r="AC229">
        <f t="shared" si="80"/>
        <v>10.552770318937682</v>
      </c>
      <c r="AD229">
        <f t="shared" si="81"/>
        <v>0</v>
      </c>
      <c r="AE229">
        <f t="shared" si="82"/>
        <v>14.713529429601779</v>
      </c>
      <c r="AG229" s="109">
        <f t="shared" si="83"/>
        <v>44756</v>
      </c>
      <c r="AH229">
        <f>'Water Stuff'!I199*1000</f>
        <v>620</v>
      </c>
      <c r="AI229">
        <f>'Water Stuff'!Q199*1000</f>
        <v>620</v>
      </c>
      <c r="AJ229">
        <f>'Water Stuff'!Y199*1000</f>
        <v>620</v>
      </c>
      <c r="AK229">
        <f>'Water Stuff'!AG199*1000</f>
        <v>620</v>
      </c>
      <c r="AL229">
        <f>'Water Stuff'!AO199*1000</f>
        <v>620</v>
      </c>
    </row>
    <row r="230" spans="1:38">
      <c r="A230" s="109">
        <f>'Water Stuff'!F200</f>
        <v>44757</v>
      </c>
      <c r="B230">
        <f>IF( 'Water Stuff'!G200*1000 &gt;= 'Water Stuff'!$B$6*1000, 'Water Stuff'!$B$6*1000, 'Water Stuff'!G200*1000)</f>
        <v>0</v>
      </c>
      <c r="C230">
        <f>IF( 'Water Stuff'!O200*1000 &gt;= 'Water Stuff'!$B$6*1000, 'Water Stuff'!$B$6*1000, 'Water Stuff'!O200*1000)</f>
        <v>0</v>
      </c>
      <c r="D230">
        <f>IF( 'Water Stuff'!W200*1000 &gt;= 'Water Stuff'!$B$6*1000, 'Water Stuff'!$B$6*1000, 'Water Stuff'!W200*1000)</f>
        <v>0</v>
      </c>
      <c r="E230">
        <f>IF( 'Water Stuff'!AE200*1000 &gt;= 'Water Stuff'!$B$6*1000, 'Water Stuff'!$B$6*1000, 'Water Stuff'!AE200*1000)</f>
        <v>0</v>
      </c>
      <c r="F230">
        <f>IF('Water Stuff'!AM200*1000&gt;='Water Stuff'!$B$6*1000,'Water Stuff'!$B$6*1000,'Water Stuff'!AM200*1000)</f>
        <v>617.47998126207358</v>
      </c>
      <c r="I230">
        <f t="shared" si="63"/>
        <v>0</v>
      </c>
      <c r="J230">
        <f t="shared" si="64"/>
        <v>0</v>
      </c>
      <c r="K230">
        <f t="shared" si="65"/>
        <v>0</v>
      </c>
      <c r="L230">
        <f t="shared" si="66"/>
        <v>0</v>
      </c>
      <c r="M230">
        <f t="shared" si="67"/>
        <v>6.1747998126207362</v>
      </c>
      <c r="O230">
        <f t="shared" si="68"/>
        <v>0</v>
      </c>
      <c r="P230">
        <f t="shared" si="69"/>
        <v>0</v>
      </c>
      <c r="Q230">
        <f t="shared" si="70"/>
        <v>0</v>
      </c>
      <c r="R230">
        <f t="shared" si="71"/>
        <v>0</v>
      </c>
      <c r="S230">
        <f t="shared" si="72"/>
        <v>0.12349599625241471</v>
      </c>
      <c r="U230">
        <f t="shared" si="73"/>
        <v>0</v>
      </c>
      <c r="V230">
        <f t="shared" si="74"/>
        <v>0</v>
      </c>
      <c r="W230">
        <f t="shared" si="75"/>
        <v>0</v>
      </c>
      <c r="X230">
        <f t="shared" si="76"/>
        <v>0</v>
      </c>
      <c r="Y230">
        <f t="shared" si="77"/>
        <v>3.0873999063103681</v>
      </c>
      <c r="AA230">
        <f t="shared" si="78"/>
        <v>0</v>
      </c>
      <c r="AB230">
        <f t="shared" si="79"/>
        <v>0</v>
      </c>
      <c r="AC230">
        <f t="shared" si="80"/>
        <v>0</v>
      </c>
      <c r="AD230">
        <f t="shared" si="81"/>
        <v>0</v>
      </c>
      <c r="AE230">
        <f t="shared" si="82"/>
        <v>6.1747998126207362</v>
      </c>
      <c r="AG230" s="109">
        <f t="shared" si="83"/>
        <v>44757</v>
      </c>
      <c r="AH230">
        <f>'Water Stuff'!I200*1000</f>
        <v>620</v>
      </c>
      <c r="AI230">
        <f>'Water Stuff'!Q200*1000</f>
        <v>620</v>
      </c>
      <c r="AJ230">
        <f>'Water Stuff'!Y200*1000</f>
        <v>620</v>
      </c>
      <c r="AK230">
        <f>'Water Stuff'!AG200*1000</f>
        <v>620</v>
      </c>
      <c r="AL230">
        <f>'Water Stuff'!AO200*1000</f>
        <v>620</v>
      </c>
    </row>
    <row r="231" spans="1:38">
      <c r="A231" s="109">
        <f>'Water Stuff'!F201</f>
        <v>44758</v>
      </c>
      <c r="B231">
        <f>IF( 'Water Stuff'!G201*1000 &gt;= 'Water Stuff'!$B$6*1000, 'Water Stuff'!$B$6*1000, 'Water Stuff'!G201*1000)</f>
        <v>0</v>
      </c>
      <c r="C231">
        <f>IF( 'Water Stuff'!O201*1000 &gt;= 'Water Stuff'!$B$6*1000, 'Water Stuff'!$B$6*1000, 'Water Stuff'!O201*1000)</f>
        <v>0</v>
      </c>
      <c r="D231">
        <f>IF( 'Water Stuff'!W201*1000 &gt;= 'Water Stuff'!$B$6*1000, 'Water Stuff'!$B$6*1000, 'Water Stuff'!W201*1000)</f>
        <v>1577.2899106285734</v>
      </c>
      <c r="E231">
        <f>IF( 'Water Stuff'!AE201*1000 &gt;= 'Water Stuff'!$B$6*1000, 'Water Stuff'!$B$6*1000, 'Water Stuff'!AE201*1000)</f>
        <v>0</v>
      </c>
      <c r="F231">
        <f>IF('Water Stuff'!AM201*1000&gt;='Water Stuff'!$B$6*1000,'Water Stuff'!$B$6*1000,'Water Stuff'!AM201*1000)</f>
        <v>3094.665587103088</v>
      </c>
      <c r="I231">
        <f t="shared" si="63"/>
        <v>0</v>
      </c>
      <c r="J231">
        <f t="shared" si="64"/>
        <v>0</v>
      </c>
      <c r="K231">
        <f t="shared" si="65"/>
        <v>15.772899106285733</v>
      </c>
      <c r="L231">
        <f t="shared" si="66"/>
        <v>0</v>
      </c>
      <c r="M231">
        <f t="shared" si="67"/>
        <v>30.946655871030881</v>
      </c>
      <c r="O231">
        <f t="shared" si="68"/>
        <v>0</v>
      </c>
      <c r="P231">
        <f t="shared" si="69"/>
        <v>0</v>
      </c>
      <c r="Q231">
        <f t="shared" si="70"/>
        <v>0.31545798212571469</v>
      </c>
      <c r="R231">
        <f t="shared" si="71"/>
        <v>0</v>
      </c>
      <c r="S231">
        <f t="shared" si="72"/>
        <v>0.61893311742061763</v>
      </c>
      <c r="U231">
        <f t="shared" si="73"/>
        <v>0</v>
      </c>
      <c r="V231">
        <f t="shared" si="74"/>
        <v>0</v>
      </c>
      <c r="W231">
        <f t="shared" si="75"/>
        <v>7.8864495531428673</v>
      </c>
      <c r="X231">
        <f t="shared" si="76"/>
        <v>0</v>
      </c>
      <c r="Y231">
        <f t="shared" si="77"/>
        <v>15.473327935515441</v>
      </c>
      <c r="AA231">
        <f t="shared" si="78"/>
        <v>0</v>
      </c>
      <c r="AB231">
        <f t="shared" si="79"/>
        <v>0</v>
      </c>
      <c r="AC231">
        <f t="shared" si="80"/>
        <v>15.772899106285735</v>
      </c>
      <c r="AD231">
        <f t="shared" si="81"/>
        <v>0</v>
      </c>
      <c r="AE231">
        <f t="shared" si="82"/>
        <v>30.946655871030881</v>
      </c>
      <c r="AG231" s="109">
        <f t="shared" si="83"/>
        <v>44758</v>
      </c>
      <c r="AH231">
        <f>'Water Stuff'!I201*1000</f>
        <v>620</v>
      </c>
      <c r="AI231">
        <f>'Water Stuff'!Q201*1000</f>
        <v>620</v>
      </c>
      <c r="AJ231">
        <f>'Water Stuff'!Y201*1000</f>
        <v>620</v>
      </c>
      <c r="AK231">
        <f>'Water Stuff'!AG201*1000</f>
        <v>620</v>
      </c>
      <c r="AL231">
        <f>'Water Stuff'!AO201*1000</f>
        <v>620</v>
      </c>
    </row>
    <row r="232" spans="1:38">
      <c r="A232" s="109">
        <f>'Water Stuff'!F202</f>
        <v>44759</v>
      </c>
      <c r="B232">
        <f>IF( 'Water Stuff'!G202*1000 &gt;= 'Water Stuff'!$B$6*1000, 'Water Stuff'!$B$6*1000, 'Water Stuff'!G202*1000)</f>
        <v>0</v>
      </c>
      <c r="C232">
        <f>IF( 'Water Stuff'!O202*1000 &gt;= 'Water Stuff'!$B$6*1000, 'Water Stuff'!$B$6*1000, 'Water Stuff'!O202*1000)</f>
        <v>0</v>
      </c>
      <c r="D232">
        <f>IF( 'Water Stuff'!W202*1000 &gt;= 'Water Stuff'!$B$6*1000, 'Water Stuff'!$B$6*1000, 'Water Stuff'!W202*1000)</f>
        <v>0</v>
      </c>
      <c r="E232">
        <f>IF( 'Water Stuff'!AE202*1000 &gt;= 'Water Stuff'!$B$6*1000, 'Water Stuff'!$B$6*1000, 'Water Stuff'!AE202*1000)</f>
        <v>0</v>
      </c>
      <c r="F232">
        <f>IF('Water Stuff'!AM202*1000&gt;='Water Stuff'!$B$6*1000,'Water Stuff'!$B$6*1000,'Water Stuff'!AM202*1000)</f>
        <v>0</v>
      </c>
      <c r="I232">
        <f t="shared" si="63"/>
        <v>0</v>
      </c>
      <c r="J232">
        <f t="shared" si="64"/>
        <v>0</v>
      </c>
      <c r="K232">
        <f t="shared" si="65"/>
        <v>0</v>
      </c>
      <c r="L232">
        <f t="shared" si="66"/>
        <v>0</v>
      </c>
      <c r="M232">
        <f t="shared" si="67"/>
        <v>0</v>
      </c>
      <c r="O232">
        <f t="shared" si="68"/>
        <v>0</v>
      </c>
      <c r="P232">
        <f t="shared" si="69"/>
        <v>0</v>
      </c>
      <c r="Q232">
        <f t="shared" si="70"/>
        <v>0</v>
      </c>
      <c r="R232">
        <f t="shared" si="71"/>
        <v>0</v>
      </c>
      <c r="S232">
        <f t="shared" si="72"/>
        <v>0</v>
      </c>
      <c r="U232">
        <f t="shared" si="73"/>
        <v>0</v>
      </c>
      <c r="V232">
        <f t="shared" si="74"/>
        <v>0</v>
      </c>
      <c r="W232">
        <f t="shared" si="75"/>
        <v>0</v>
      </c>
      <c r="X232">
        <f t="shared" si="76"/>
        <v>0</v>
      </c>
      <c r="Y232">
        <f t="shared" si="77"/>
        <v>0</v>
      </c>
      <c r="AA232">
        <f t="shared" si="78"/>
        <v>0</v>
      </c>
      <c r="AB232">
        <f t="shared" si="79"/>
        <v>0</v>
      </c>
      <c r="AC232">
        <f t="shared" si="80"/>
        <v>0</v>
      </c>
      <c r="AD232">
        <f t="shared" si="81"/>
        <v>0</v>
      </c>
      <c r="AE232">
        <f t="shared" si="82"/>
        <v>0</v>
      </c>
      <c r="AG232" s="109">
        <f t="shared" si="83"/>
        <v>44759</v>
      </c>
      <c r="AH232">
        <f>'Water Stuff'!I202*1000</f>
        <v>620</v>
      </c>
      <c r="AI232">
        <f>'Water Stuff'!Q202*1000</f>
        <v>620</v>
      </c>
      <c r="AJ232">
        <f>'Water Stuff'!Y202*1000</f>
        <v>620</v>
      </c>
      <c r="AK232">
        <f>'Water Stuff'!AG202*1000</f>
        <v>620</v>
      </c>
      <c r="AL232">
        <f>'Water Stuff'!AO202*1000</f>
        <v>620</v>
      </c>
    </row>
    <row r="233" spans="1:38">
      <c r="A233" s="109">
        <f>'Water Stuff'!F203</f>
        <v>44760</v>
      </c>
      <c r="B233">
        <f>IF( 'Water Stuff'!G203*1000 &gt;= 'Water Stuff'!$B$6*1000, 'Water Stuff'!$B$6*1000, 'Water Stuff'!G203*1000)</f>
        <v>7400</v>
      </c>
      <c r="C233">
        <f>IF( 'Water Stuff'!O203*1000 &gt;= 'Water Stuff'!$B$6*1000, 'Water Stuff'!$B$6*1000, 'Water Stuff'!O203*1000)</f>
        <v>0</v>
      </c>
      <c r="D233">
        <f>IF( 'Water Stuff'!W203*1000 &gt;= 'Water Stuff'!$B$6*1000, 'Water Stuff'!$B$6*1000, 'Water Stuff'!W203*1000)</f>
        <v>6756.8285372371874</v>
      </c>
      <c r="E233">
        <f>IF( 'Water Stuff'!AE203*1000 &gt;= 'Water Stuff'!$B$6*1000, 'Water Stuff'!$B$6*1000, 'Water Stuff'!AE203*1000)</f>
        <v>1286.3610185123846</v>
      </c>
      <c r="F233">
        <f>IF('Water Stuff'!AM203*1000&gt;='Water Stuff'!$B$6*1000,'Water Stuff'!$B$6*1000,'Water Stuff'!AM203*1000)</f>
        <v>7772.864264067518</v>
      </c>
      <c r="I233">
        <f t="shared" si="63"/>
        <v>74</v>
      </c>
      <c r="J233">
        <f t="shared" si="64"/>
        <v>0</v>
      </c>
      <c r="K233">
        <f t="shared" si="65"/>
        <v>67.568285372371875</v>
      </c>
      <c r="L233">
        <f t="shared" si="66"/>
        <v>12.863610185123845</v>
      </c>
      <c r="M233">
        <f t="shared" si="67"/>
        <v>77.72864264067519</v>
      </c>
      <c r="O233">
        <f t="shared" si="68"/>
        <v>1.48</v>
      </c>
      <c r="P233">
        <f t="shared" si="69"/>
        <v>0</v>
      </c>
      <c r="Q233">
        <f t="shared" si="70"/>
        <v>1.3513657074474374</v>
      </c>
      <c r="R233">
        <f t="shared" si="71"/>
        <v>0.25727220370247689</v>
      </c>
      <c r="S233">
        <f t="shared" si="72"/>
        <v>1.5545728528135037</v>
      </c>
      <c r="U233">
        <f t="shared" si="73"/>
        <v>37</v>
      </c>
      <c r="V233">
        <f t="shared" si="74"/>
        <v>0</v>
      </c>
      <c r="W233">
        <f t="shared" si="75"/>
        <v>33.784142686185938</v>
      </c>
      <c r="X233">
        <f t="shared" si="76"/>
        <v>6.4318050925619232</v>
      </c>
      <c r="Y233">
        <f t="shared" si="77"/>
        <v>38.864321320337588</v>
      </c>
      <c r="AA233">
        <f t="shared" si="78"/>
        <v>74</v>
      </c>
      <c r="AB233">
        <f t="shared" si="79"/>
        <v>0</v>
      </c>
      <c r="AC233">
        <f t="shared" si="80"/>
        <v>67.568285372371875</v>
      </c>
      <c r="AD233">
        <f t="shared" si="81"/>
        <v>12.863610185123846</v>
      </c>
      <c r="AE233">
        <f t="shared" si="82"/>
        <v>77.728642640675176</v>
      </c>
      <c r="AG233" s="109">
        <f t="shared" si="83"/>
        <v>44760</v>
      </c>
      <c r="AH233">
        <f>'Water Stuff'!I203*1000</f>
        <v>620</v>
      </c>
      <c r="AI233">
        <f>'Water Stuff'!Q203*1000</f>
        <v>620</v>
      </c>
      <c r="AJ233">
        <f>'Water Stuff'!Y203*1000</f>
        <v>620</v>
      </c>
      <c r="AK233">
        <f>'Water Stuff'!AG203*1000</f>
        <v>620</v>
      </c>
      <c r="AL233">
        <f>'Water Stuff'!AO203*1000</f>
        <v>620</v>
      </c>
    </row>
    <row r="234" spans="1:38">
      <c r="A234" s="109">
        <f>'Water Stuff'!F204</f>
        <v>44761</v>
      </c>
      <c r="B234">
        <f>IF( 'Water Stuff'!G204*1000 &gt;= 'Water Stuff'!$B$6*1000, 'Water Stuff'!$B$6*1000, 'Water Stuff'!G204*1000)</f>
        <v>360</v>
      </c>
      <c r="C234">
        <f>IF( 'Water Stuff'!O204*1000 &gt;= 'Water Stuff'!$B$6*1000, 'Water Stuff'!$B$6*1000, 'Water Stuff'!O204*1000)</f>
        <v>0</v>
      </c>
      <c r="D234">
        <f>IF( 'Water Stuff'!W204*1000 &gt;= 'Water Stuff'!$B$6*1000, 'Water Stuff'!$B$6*1000, 'Water Stuff'!W204*1000)</f>
        <v>0</v>
      </c>
      <c r="E234">
        <f>IF( 'Water Stuff'!AE204*1000 &gt;= 'Water Stuff'!$B$6*1000, 'Water Stuff'!$B$6*1000, 'Water Stuff'!AE204*1000)</f>
        <v>1047.5987952699415</v>
      </c>
      <c r="F234">
        <f>IF('Water Stuff'!AM204*1000&gt;='Water Stuff'!$B$6*1000,'Water Stuff'!$B$6*1000,'Water Stuff'!AM204*1000)</f>
        <v>0</v>
      </c>
      <c r="I234">
        <f t="shared" si="63"/>
        <v>3.6</v>
      </c>
      <c r="J234">
        <f t="shared" si="64"/>
        <v>0</v>
      </c>
      <c r="K234">
        <f t="shared" si="65"/>
        <v>0</v>
      </c>
      <c r="L234">
        <f t="shared" si="66"/>
        <v>10.475987952699416</v>
      </c>
      <c r="M234">
        <f t="shared" si="67"/>
        <v>0</v>
      </c>
      <c r="O234">
        <f t="shared" si="68"/>
        <v>7.1999999999999995E-2</v>
      </c>
      <c r="P234">
        <f t="shared" si="69"/>
        <v>0</v>
      </c>
      <c r="Q234">
        <f t="shared" si="70"/>
        <v>0</v>
      </c>
      <c r="R234">
        <f t="shared" si="71"/>
        <v>0.20951975905398831</v>
      </c>
      <c r="S234">
        <f t="shared" si="72"/>
        <v>0</v>
      </c>
      <c r="U234">
        <f t="shared" si="73"/>
        <v>1.8</v>
      </c>
      <c r="V234">
        <f t="shared" si="74"/>
        <v>0</v>
      </c>
      <c r="W234">
        <f t="shared" si="75"/>
        <v>0</v>
      </c>
      <c r="X234">
        <f t="shared" si="76"/>
        <v>5.2379939763497081</v>
      </c>
      <c r="Y234">
        <f t="shared" si="77"/>
        <v>0</v>
      </c>
      <c r="AA234">
        <f t="shared" si="78"/>
        <v>3.6</v>
      </c>
      <c r="AB234">
        <f t="shared" si="79"/>
        <v>0</v>
      </c>
      <c r="AC234">
        <f t="shared" si="80"/>
        <v>0</v>
      </c>
      <c r="AD234">
        <f t="shared" si="81"/>
        <v>10.475987952699416</v>
      </c>
      <c r="AE234">
        <f t="shared" si="82"/>
        <v>0</v>
      </c>
      <c r="AG234" s="109">
        <f t="shared" si="83"/>
        <v>44761</v>
      </c>
      <c r="AH234">
        <f>'Water Stuff'!I204*1000</f>
        <v>620</v>
      </c>
      <c r="AI234">
        <f>'Water Stuff'!Q204*1000</f>
        <v>620</v>
      </c>
      <c r="AJ234">
        <f>'Water Stuff'!Y204*1000</f>
        <v>620</v>
      </c>
      <c r="AK234">
        <f>'Water Stuff'!AG204*1000</f>
        <v>620</v>
      </c>
      <c r="AL234">
        <f>'Water Stuff'!AO204*1000</f>
        <v>620</v>
      </c>
    </row>
    <row r="235" spans="1:38">
      <c r="A235" s="109">
        <f>'Water Stuff'!F205</f>
        <v>44762</v>
      </c>
      <c r="B235">
        <f>IF( 'Water Stuff'!G205*1000 &gt;= 'Water Stuff'!$B$6*1000, 'Water Stuff'!$B$6*1000, 'Water Stuff'!G205*1000)</f>
        <v>0</v>
      </c>
      <c r="C235">
        <f>IF( 'Water Stuff'!O205*1000 &gt;= 'Water Stuff'!$B$6*1000, 'Water Stuff'!$B$6*1000, 'Water Stuff'!O205*1000)</f>
        <v>120</v>
      </c>
      <c r="D235">
        <f>IF( 'Water Stuff'!W205*1000 &gt;= 'Water Stuff'!$B$6*1000, 'Water Stuff'!$B$6*1000, 'Water Stuff'!W205*1000)</f>
        <v>0</v>
      </c>
      <c r="E235">
        <f>IF( 'Water Stuff'!AE205*1000 &gt;= 'Water Stuff'!$B$6*1000, 'Water Stuff'!$B$6*1000, 'Water Stuff'!AE205*1000)</f>
        <v>1080.2630709974308</v>
      </c>
      <c r="F235">
        <f>IF('Water Stuff'!AM205*1000&gt;='Water Stuff'!$B$6*1000,'Water Stuff'!$B$6*1000,'Water Stuff'!AM205*1000)</f>
        <v>1168.4171748882886</v>
      </c>
      <c r="I235">
        <f t="shared" si="63"/>
        <v>0</v>
      </c>
      <c r="J235">
        <f t="shared" si="64"/>
        <v>1.2</v>
      </c>
      <c r="K235">
        <f t="shared" si="65"/>
        <v>0</v>
      </c>
      <c r="L235">
        <f t="shared" si="66"/>
        <v>10.802630709974308</v>
      </c>
      <c r="M235">
        <f t="shared" si="67"/>
        <v>11.684171748882887</v>
      </c>
      <c r="O235">
        <f t="shared" si="68"/>
        <v>0</v>
      </c>
      <c r="P235">
        <f t="shared" si="69"/>
        <v>2.4E-2</v>
      </c>
      <c r="Q235">
        <f t="shared" si="70"/>
        <v>0</v>
      </c>
      <c r="R235">
        <f t="shared" si="71"/>
        <v>0.21605261419948615</v>
      </c>
      <c r="S235">
        <f t="shared" si="72"/>
        <v>0.23368343497765773</v>
      </c>
      <c r="U235">
        <f t="shared" si="73"/>
        <v>0</v>
      </c>
      <c r="V235">
        <f t="shared" si="74"/>
        <v>0.6</v>
      </c>
      <c r="W235">
        <f t="shared" si="75"/>
        <v>0</v>
      </c>
      <c r="X235">
        <f t="shared" si="76"/>
        <v>5.4013153549871538</v>
      </c>
      <c r="Y235">
        <f t="shared" si="77"/>
        <v>5.8420858744414437</v>
      </c>
      <c r="AA235">
        <f t="shared" si="78"/>
        <v>0</v>
      </c>
      <c r="AB235">
        <f t="shared" si="79"/>
        <v>1.2</v>
      </c>
      <c r="AC235">
        <f t="shared" si="80"/>
        <v>0</v>
      </c>
      <c r="AD235">
        <f t="shared" si="81"/>
        <v>10.802630709974308</v>
      </c>
      <c r="AE235">
        <f t="shared" si="82"/>
        <v>11.684171748882887</v>
      </c>
      <c r="AG235" s="109">
        <f t="shared" si="83"/>
        <v>44762</v>
      </c>
      <c r="AH235">
        <f>'Water Stuff'!I205*1000</f>
        <v>620</v>
      </c>
      <c r="AI235">
        <f>'Water Stuff'!Q205*1000</f>
        <v>620</v>
      </c>
      <c r="AJ235">
        <f>'Water Stuff'!Y205*1000</f>
        <v>620</v>
      </c>
      <c r="AK235">
        <f>'Water Stuff'!AG205*1000</f>
        <v>620</v>
      </c>
      <c r="AL235">
        <f>'Water Stuff'!AO205*1000</f>
        <v>620</v>
      </c>
    </row>
    <row r="236" spans="1:38">
      <c r="A236" s="109">
        <f>'Water Stuff'!F206</f>
        <v>44763</v>
      </c>
      <c r="B236">
        <f>IF( 'Water Stuff'!G206*1000 &gt;= 'Water Stuff'!$B$6*1000, 'Water Stuff'!$B$6*1000, 'Water Stuff'!G206*1000)</f>
        <v>0</v>
      </c>
      <c r="C236">
        <f>IF( 'Water Stuff'!O206*1000 &gt;= 'Water Stuff'!$B$6*1000, 'Water Stuff'!$B$6*1000, 'Water Stuff'!O206*1000)</f>
        <v>0</v>
      </c>
      <c r="D236">
        <f>IF( 'Water Stuff'!W206*1000 &gt;= 'Water Stuff'!$B$6*1000, 'Water Stuff'!$B$6*1000, 'Water Stuff'!W206*1000)</f>
        <v>0</v>
      </c>
      <c r="E236">
        <f>IF( 'Water Stuff'!AE206*1000 &gt;= 'Water Stuff'!$B$6*1000, 'Water Stuff'!$B$6*1000, 'Water Stuff'!AE206*1000)</f>
        <v>0</v>
      </c>
      <c r="F236">
        <f>IF('Water Stuff'!AM206*1000&gt;='Water Stuff'!$B$6*1000,'Water Stuff'!$B$6*1000,'Water Stuff'!AM206*1000)</f>
        <v>0</v>
      </c>
      <c r="I236">
        <f t="shared" si="63"/>
        <v>0</v>
      </c>
      <c r="J236">
        <f t="shared" si="64"/>
        <v>0</v>
      </c>
      <c r="K236">
        <f t="shared" si="65"/>
        <v>0</v>
      </c>
      <c r="L236">
        <f t="shared" si="66"/>
        <v>0</v>
      </c>
      <c r="M236">
        <f t="shared" si="67"/>
        <v>0</v>
      </c>
      <c r="O236">
        <f t="shared" si="68"/>
        <v>0</v>
      </c>
      <c r="P236">
        <f t="shared" si="69"/>
        <v>0</v>
      </c>
      <c r="Q236">
        <f t="shared" si="70"/>
        <v>0</v>
      </c>
      <c r="R236">
        <f t="shared" si="71"/>
        <v>0</v>
      </c>
      <c r="S236">
        <f t="shared" si="72"/>
        <v>0</v>
      </c>
      <c r="U236">
        <f t="shared" si="73"/>
        <v>0</v>
      </c>
      <c r="V236">
        <f t="shared" si="74"/>
        <v>0</v>
      </c>
      <c r="W236">
        <f t="shared" si="75"/>
        <v>0</v>
      </c>
      <c r="X236">
        <f t="shared" si="76"/>
        <v>0</v>
      </c>
      <c r="Y236">
        <f t="shared" si="77"/>
        <v>0</v>
      </c>
      <c r="AA236">
        <f t="shared" si="78"/>
        <v>0</v>
      </c>
      <c r="AB236">
        <f t="shared" si="79"/>
        <v>0</v>
      </c>
      <c r="AC236">
        <f t="shared" si="80"/>
        <v>0</v>
      </c>
      <c r="AD236">
        <f t="shared" si="81"/>
        <v>0</v>
      </c>
      <c r="AE236">
        <f t="shared" si="82"/>
        <v>0</v>
      </c>
      <c r="AG236" s="109">
        <f t="shared" si="83"/>
        <v>44763</v>
      </c>
      <c r="AH236">
        <f>'Water Stuff'!I206*1000</f>
        <v>620</v>
      </c>
      <c r="AI236">
        <f>'Water Stuff'!Q206*1000</f>
        <v>620</v>
      </c>
      <c r="AJ236">
        <f>'Water Stuff'!Y206*1000</f>
        <v>620</v>
      </c>
      <c r="AK236">
        <f>'Water Stuff'!AG206*1000</f>
        <v>620</v>
      </c>
      <c r="AL236">
        <f>'Water Stuff'!AO206*1000</f>
        <v>620</v>
      </c>
    </row>
    <row r="237" spans="1:38">
      <c r="A237" s="109">
        <f>'Water Stuff'!F207</f>
        <v>44764</v>
      </c>
      <c r="B237">
        <f>IF( 'Water Stuff'!G207*1000 &gt;= 'Water Stuff'!$B$6*1000, 'Water Stuff'!$B$6*1000, 'Water Stuff'!G207*1000)</f>
        <v>1600</v>
      </c>
      <c r="C237">
        <f>IF( 'Water Stuff'!O207*1000 &gt;= 'Water Stuff'!$B$6*1000, 'Water Stuff'!$B$6*1000, 'Water Stuff'!O207*1000)</f>
        <v>0</v>
      </c>
      <c r="D237">
        <f>IF( 'Water Stuff'!W207*1000 &gt;= 'Water Stuff'!$B$6*1000, 'Water Stuff'!$B$6*1000, 'Water Stuff'!W207*1000)</f>
        <v>1862.3556662305543</v>
      </c>
      <c r="E237">
        <f>IF( 'Water Stuff'!AE207*1000 &gt;= 'Water Stuff'!$B$6*1000, 'Water Stuff'!$B$6*1000, 'Water Stuff'!AE207*1000)</f>
        <v>917.56538672556655</v>
      </c>
      <c r="F237">
        <f>IF('Water Stuff'!AM207*1000&gt;='Water Stuff'!$B$6*1000,'Water Stuff'!$B$6*1000,'Water Stuff'!AM207*1000)</f>
        <v>3512.2999660955579</v>
      </c>
      <c r="I237">
        <f t="shared" si="63"/>
        <v>16</v>
      </c>
      <c r="J237">
        <f t="shared" si="64"/>
        <v>0</v>
      </c>
      <c r="K237">
        <f t="shared" si="65"/>
        <v>18.623556662305543</v>
      </c>
      <c r="L237">
        <f t="shared" si="66"/>
        <v>9.1756538672556651</v>
      </c>
      <c r="M237">
        <f t="shared" si="67"/>
        <v>35.122999660955585</v>
      </c>
      <c r="O237">
        <f t="shared" si="68"/>
        <v>0.32</v>
      </c>
      <c r="P237">
        <f t="shared" si="69"/>
        <v>0</v>
      </c>
      <c r="Q237">
        <f t="shared" si="70"/>
        <v>0.37247113324611086</v>
      </c>
      <c r="R237">
        <f t="shared" si="71"/>
        <v>0.18351307734511332</v>
      </c>
      <c r="S237">
        <f t="shared" si="72"/>
        <v>0.70245999321911168</v>
      </c>
      <c r="U237">
        <f t="shared" si="73"/>
        <v>8</v>
      </c>
      <c r="V237">
        <f t="shared" si="74"/>
        <v>0</v>
      </c>
      <c r="W237">
        <f t="shared" si="75"/>
        <v>9.3117783311527713</v>
      </c>
      <c r="X237">
        <f t="shared" si="76"/>
        <v>4.5878269336278326</v>
      </c>
      <c r="Y237">
        <f t="shared" si="77"/>
        <v>17.561499830477789</v>
      </c>
      <c r="AA237">
        <f t="shared" si="78"/>
        <v>16</v>
      </c>
      <c r="AB237">
        <f t="shared" si="79"/>
        <v>0</v>
      </c>
      <c r="AC237">
        <f t="shared" si="80"/>
        <v>18.623556662305543</v>
      </c>
      <c r="AD237">
        <f t="shared" si="81"/>
        <v>9.1756538672556651</v>
      </c>
      <c r="AE237">
        <f t="shared" si="82"/>
        <v>35.122999660955578</v>
      </c>
      <c r="AG237" s="109">
        <f t="shared" si="83"/>
        <v>44764</v>
      </c>
      <c r="AH237">
        <f>'Water Stuff'!I207*1000</f>
        <v>620</v>
      </c>
      <c r="AI237">
        <f>'Water Stuff'!Q207*1000</f>
        <v>620</v>
      </c>
      <c r="AJ237">
        <f>'Water Stuff'!Y207*1000</f>
        <v>620</v>
      </c>
      <c r="AK237">
        <f>'Water Stuff'!AG207*1000</f>
        <v>620</v>
      </c>
      <c r="AL237">
        <f>'Water Stuff'!AO207*1000</f>
        <v>620</v>
      </c>
    </row>
    <row r="238" spans="1:38">
      <c r="A238" s="109">
        <f>'Water Stuff'!F208</f>
        <v>44765</v>
      </c>
      <c r="B238">
        <f>IF( 'Water Stuff'!G208*1000 &gt;= 'Water Stuff'!$B$6*1000, 'Water Stuff'!$B$6*1000, 'Water Stuff'!G208*1000)</f>
        <v>3640</v>
      </c>
      <c r="C238">
        <f>IF( 'Water Stuff'!O208*1000 &gt;= 'Water Stuff'!$B$6*1000, 'Water Stuff'!$B$6*1000, 'Water Stuff'!O208*1000)</f>
        <v>1680</v>
      </c>
      <c r="D238">
        <f>IF( 'Water Stuff'!W208*1000 &gt;= 'Water Stuff'!$B$6*1000, 'Water Stuff'!$B$6*1000, 'Water Stuff'!W208*1000)</f>
        <v>3617.4556850467361</v>
      </c>
      <c r="E238">
        <f>IF( 'Water Stuff'!AE208*1000 &gt;= 'Water Stuff'!$B$6*1000, 'Water Stuff'!$B$6*1000, 'Water Stuff'!AE208*1000)</f>
        <v>0</v>
      </c>
      <c r="F238">
        <f>IF('Water Stuff'!AM208*1000&gt;='Water Stuff'!$B$6*1000,'Water Stuff'!$B$6*1000,'Water Stuff'!AM208*1000)</f>
        <v>3042.8320147257159</v>
      </c>
      <c r="I238">
        <f t="shared" si="63"/>
        <v>36.4</v>
      </c>
      <c r="J238">
        <f t="shared" si="64"/>
        <v>16.8</v>
      </c>
      <c r="K238">
        <f t="shared" si="65"/>
        <v>36.174556850467354</v>
      </c>
      <c r="L238">
        <f t="shared" si="66"/>
        <v>0</v>
      </c>
      <c r="M238">
        <f t="shared" si="67"/>
        <v>30.42832014725716</v>
      </c>
      <c r="O238">
        <f t="shared" si="68"/>
        <v>0.72799999999999998</v>
      </c>
      <c r="P238">
        <f t="shared" si="69"/>
        <v>0.33600000000000002</v>
      </c>
      <c r="Q238">
        <f t="shared" si="70"/>
        <v>0.72349113700934709</v>
      </c>
      <c r="R238">
        <f t="shared" si="71"/>
        <v>0</v>
      </c>
      <c r="S238">
        <f t="shared" si="72"/>
        <v>0.60856640294514319</v>
      </c>
      <c r="U238">
        <f t="shared" si="73"/>
        <v>18.2</v>
      </c>
      <c r="V238">
        <f t="shared" si="74"/>
        <v>8.4</v>
      </c>
      <c r="W238">
        <f t="shared" si="75"/>
        <v>18.087278425233681</v>
      </c>
      <c r="X238">
        <f t="shared" si="76"/>
        <v>0</v>
      </c>
      <c r="Y238">
        <f t="shared" si="77"/>
        <v>15.21416007362858</v>
      </c>
      <c r="AA238">
        <f t="shared" si="78"/>
        <v>36.4</v>
      </c>
      <c r="AB238">
        <f t="shared" si="79"/>
        <v>16.8</v>
      </c>
      <c r="AC238">
        <f t="shared" si="80"/>
        <v>36.174556850467361</v>
      </c>
      <c r="AD238">
        <f t="shared" si="81"/>
        <v>0</v>
      </c>
      <c r="AE238">
        <f t="shared" si="82"/>
        <v>30.42832014725716</v>
      </c>
      <c r="AG238" s="109">
        <f t="shared" si="83"/>
        <v>44765</v>
      </c>
      <c r="AH238">
        <f>'Water Stuff'!I208*1000</f>
        <v>620</v>
      </c>
      <c r="AI238">
        <f>'Water Stuff'!Q208*1000</f>
        <v>620</v>
      </c>
      <c r="AJ238">
        <f>'Water Stuff'!Y208*1000</f>
        <v>620</v>
      </c>
      <c r="AK238">
        <f>'Water Stuff'!AG208*1000</f>
        <v>620</v>
      </c>
      <c r="AL238">
        <f>'Water Stuff'!AO208*1000</f>
        <v>620</v>
      </c>
    </row>
    <row r="239" spans="1:38">
      <c r="A239" s="109">
        <f>'Water Stuff'!F209</f>
        <v>44766</v>
      </c>
      <c r="B239">
        <f>IF( 'Water Stuff'!G209*1000 &gt;= 'Water Stuff'!$B$6*1000, 'Water Stuff'!$B$6*1000, 'Water Stuff'!G209*1000)</f>
        <v>120</v>
      </c>
      <c r="C239">
        <f>IF( 'Water Stuff'!O209*1000 &gt;= 'Water Stuff'!$B$6*1000, 'Water Stuff'!$B$6*1000, 'Water Stuff'!O209*1000)</f>
        <v>800</v>
      </c>
      <c r="D239">
        <f>IF( 'Water Stuff'!W209*1000 &gt;= 'Water Stuff'!$B$6*1000, 'Water Stuff'!$B$6*1000, 'Water Stuff'!W209*1000)</f>
        <v>56.796420193763076</v>
      </c>
      <c r="E239">
        <f>IF( 'Water Stuff'!AE209*1000 &gt;= 'Water Stuff'!$B$6*1000, 'Water Stuff'!$B$6*1000, 'Water Stuff'!AE209*1000)</f>
        <v>0</v>
      </c>
      <c r="F239">
        <f>IF('Water Stuff'!AM209*1000&gt;='Water Stuff'!$B$6*1000,'Water Stuff'!$B$6*1000,'Water Stuff'!AM209*1000)</f>
        <v>0</v>
      </c>
      <c r="I239">
        <f t="shared" si="63"/>
        <v>1.2</v>
      </c>
      <c r="J239">
        <f t="shared" si="64"/>
        <v>8</v>
      </c>
      <c r="K239">
        <f t="shared" si="65"/>
        <v>0.56796420193763075</v>
      </c>
      <c r="L239">
        <f t="shared" si="66"/>
        <v>0</v>
      </c>
      <c r="M239">
        <f t="shared" si="67"/>
        <v>0</v>
      </c>
      <c r="O239">
        <f t="shared" si="68"/>
        <v>2.4E-2</v>
      </c>
      <c r="P239">
        <f t="shared" si="69"/>
        <v>0.16</v>
      </c>
      <c r="Q239">
        <f t="shared" si="70"/>
        <v>1.1359284038752616E-2</v>
      </c>
      <c r="R239">
        <f t="shared" si="71"/>
        <v>0</v>
      </c>
      <c r="S239">
        <f t="shared" si="72"/>
        <v>0</v>
      </c>
      <c r="U239">
        <f t="shared" si="73"/>
        <v>0.6</v>
      </c>
      <c r="V239">
        <f t="shared" si="74"/>
        <v>4</v>
      </c>
      <c r="W239">
        <f t="shared" si="75"/>
        <v>0.28398210096881538</v>
      </c>
      <c r="X239">
        <f t="shared" si="76"/>
        <v>0</v>
      </c>
      <c r="Y239">
        <f t="shared" si="77"/>
        <v>0</v>
      </c>
      <c r="AA239">
        <f t="shared" si="78"/>
        <v>1.2</v>
      </c>
      <c r="AB239">
        <f t="shared" si="79"/>
        <v>8</v>
      </c>
      <c r="AC239">
        <f t="shared" si="80"/>
        <v>0.56796420193763075</v>
      </c>
      <c r="AD239">
        <f t="shared" si="81"/>
        <v>0</v>
      </c>
      <c r="AE239">
        <f t="shared" si="82"/>
        <v>0</v>
      </c>
      <c r="AG239" s="109">
        <f t="shared" si="83"/>
        <v>44766</v>
      </c>
      <c r="AH239">
        <f>'Water Stuff'!I209*1000</f>
        <v>620</v>
      </c>
      <c r="AI239">
        <f>'Water Stuff'!Q209*1000</f>
        <v>620</v>
      </c>
      <c r="AJ239">
        <f>'Water Stuff'!Y209*1000</f>
        <v>620</v>
      </c>
      <c r="AK239">
        <f>'Water Stuff'!AG209*1000</f>
        <v>620</v>
      </c>
      <c r="AL239">
        <f>'Water Stuff'!AO209*1000</f>
        <v>620</v>
      </c>
    </row>
    <row r="240" spans="1:38">
      <c r="A240" s="109">
        <f>'Water Stuff'!F210</f>
        <v>44767</v>
      </c>
      <c r="B240">
        <f>IF( 'Water Stuff'!G210*1000 &gt;= 'Water Stuff'!$B$6*1000, 'Water Stuff'!$B$6*1000, 'Water Stuff'!G210*1000)</f>
        <v>0</v>
      </c>
      <c r="C240">
        <f>IF( 'Water Stuff'!O210*1000 &gt;= 'Water Stuff'!$B$6*1000, 'Water Stuff'!$B$6*1000, 'Water Stuff'!O210*1000)</f>
        <v>840</v>
      </c>
      <c r="D240">
        <f>IF( 'Water Stuff'!W210*1000 &gt;= 'Water Stuff'!$B$6*1000, 'Water Stuff'!$B$6*1000, 'Water Stuff'!W210*1000)</f>
        <v>626.43682176073298</v>
      </c>
      <c r="E240">
        <f>IF( 'Water Stuff'!AE210*1000 &gt;= 'Water Stuff'!$B$6*1000, 'Water Stuff'!$B$6*1000, 'Water Stuff'!AE210*1000)</f>
        <v>2318.7636052836019</v>
      </c>
      <c r="F240">
        <f>IF('Water Stuff'!AM210*1000&gt;='Water Stuff'!$B$6*1000,'Water Stuff'!$B$6*1000,'Water Stuff'!AM210*1000)</f>
        <v>0</v>
      </c>
      <c r="I240">
        <f t="shared" si="63"/>
        <v>0</v>
      </c>
      <c r="J240">
        <f t="shared" si="64"/>
        <v>8.4</v>
      </c>
      <c r="K240">
        <f t="shared" si="65"/>
        <v>6.2643682176073296</v>
      </c>
      <c r="L240">
        <f t="shared" si="66"/>
        <v>23.187636052836019</v>
      </c>
      <c r="M240">
        <f t="shared" si="67"/>
        <v>0</v>
      </c>
      <c r="O240">
        <f t="shared" si="68"/>
        <v>0</v>
      </c>
      <c r="P240">
        <f t="shared" si="69"/>
        <v>0.16800000000000001</v>
      </c>
      <c r="Q240">
        <f t="shared" si="70"/>
        <v>0.1252873643521466</v>
      </c>
      <c r="R240">
        <f t="shared" si="71"/>
        <v>0.46375272105672039</v>
      </c>
      <c r="S240">
        <f t="shared" si="72"/>
        <v>0</v>
      </c>
      <c r="U240">
        <f t="shared" si="73"/>
        <v>0</v>
      </c>
      <c r="V240">
        <f t="shared" si="74"/>
        <v>4.2</v>
      </c>
      <c r="W240">
        <f t="shared" si="75"/>
        <v>3.1321841088036648</v>
      </c>
      <c r="X240">
        <f t="shared" si="76"/>
        <v>11.59381802641801</v>
      </c>
      <c r="Y240">
        <f t="shared" si="77"/>
        <v>0</v>
      </c>
      <c r="AA240">
        <f t="shared" si="78"/>
        <v>0</v>
      </c>
      <c r="AB240">
        <f t="shared" si="79"/>
        <v>8.4</v>
      </c>
      <c r="AC240">
        <f t="shared" si="80"/>
        <v>6.2643682176073296</v>
      </c>
      <c r="AD240">
        <f t="shared" si="81"/>
        <v>23.187636052836019</v>
      </c>
      <c r="AE240">
        <f t="shared" si="82"/>
        <v>0</v>
      </c>
      <c r="AG240" s="109">
        <f t="shared" si="83"/>
        <v>44767</v>
      </c>
      <c r="AH240">
        <f>'Water Stuff'!I210*1000</f>
        <v>620</v>
      </c>
      <c r="AI240">
        <f>'Water Stuff'!Q210*1000</f>
        <v>620</v>
      </c>
      <c r="AJ240">
        <f>'Water Stuff'!Y210*1000</f>
        <v>620</v>
      </c>
      <c r="AK240">
        <f>'Water Stuff'!AG210*1000</f>
        <v>620</v>
      </c>
      <c r="AL240">
        <f>'Water Stuff'!AO210*1000</f>
        <v>620</v>
      </c>
    </row>
    <row r="241" spans="1:38">
      <c r="A241" s="109">
        <f>'Water Stuff'!F211</f>
        <v>44768</v>
      </c>
      <c r="B241">
        <f>IF( 'Water Stuff'!G211*1000 &gt;= 'Water Stuff'!$B$6*1000, 'Water Stuff'!$B$6*1000, 'Water Stuff'!G211*1000)</f>
        <v>0</v>
      </c>
      <c r="C241">
        <f>IF( 'Water Stuff'!O211*1000 &gt;= 'Water Stuff'!$B$6*1000, 'Water Stuff'!$B$6*1000, 'Water Stuff'!O211*1000)</f>
        <v>0</v>
      </c>
      <c r="D241">
        <f>IF( 'Water Stuff'!W211*1000 &gt;= 'Water Stuff'!$B$6*1000, 'Water Stuff'!$B$6*1000, 'Water Stuff'!W211*1000)</f>
        <v>942.94899662030593</v>
      </c>
      <c r="E241">
        <f>IF( 'Water Stuff'!AE211*1000 &gt;= 'Water Stuff'!$B$6*1000, 'Water Stuff'!$B$6*1000, 'Water Stuff'!AE211*1000)</f>
        <v>0</v>
      </c>
      <c r="F241">
        <f>IF('Water Stuff'!AM211*1000&gt;='Water Stuff'!$B$6*1000,'Water Stuff'!$B$6*1000,'Water Stuff'!AM211*1000)</f>
        <v>0</v>
      </c>
      <c r="I241">
        <f t="shared" si="63"/>
        <v>0</v>
      </c>
      <c r="J241">
        <f t="shared" si="64"/>
        <v>0</v>
      </c>
      <c r="K241">
        <f t="shared" si="65"/>
        <v>9.4294899662030591</v>
      </c>
      <c r="L241">
        <f t="shared" si="66"/>
        <v>0</v>
      </c>
      <c r="M241">
        <f t="shared" si="67"/>
        <v>0</v>
      </c>
      <c r="O241">
        <f t="shared" si="68"/>
        <v>0</v>
      </c>
      <c r="P241">
        <f t="shared" si="69"/>
        <v>0</v>
      </c>
      <c r="Q241">
        <f t="shared" si="70"/>
        <v>0.18858979932406117</v>
      </c>
      <c r="R241">
        <f t="shared" si="71"/>
        <v>0</v>
      </c>
      <c r="S241">
        <f t="shared" si="72"/>
        <v>0</v>
      </c>
      <c r="U241">
        <f t="shared" si="73"/>
        <v>0</v>
      </c>
      <c r="V241">
        <f t="shared" si="74"/>
        <v>0</v>
      </c>
      <c r="W241">
        <f t="shared" si="75"/>
        <v>4.7147449831015296</v>
      </c>
      <c r="X241">
        <f t="shared" si="76"/>
        <v>0</v>
      </c>
      <c r="Y241">
        <f t="shared" si="77"/>
        <v>0</v>
      </c>
      <c r="AA241">
        <f t="shared" si="78"/>
        <v>0</v>
      </c>
      <c r="AB241">
        <f t="shared" si="79"/>
        <v>0</v>
      </c>
      <c r="AC241">
        <f t="shared" si="80"/>
        <v>9.4294899662030591</v>
      </c>
      <c r="AD241">
        <f t="shared" si="81"/>
        <v>0</v>
      </c>
      <c r="AE241">
        <f t="shared" si="82"/>
        <v>0</v>
      </c>
      <c r="AG241" s="109">
        <f t="shared" si="83"/>
        <v>44768</v>
      </c>
      <c r="AH241">
        <f>'Water Stuff'!I211*1000</f>
        <v>620</v>
      </c>
      <c r="AI241">
        <f>'Water Stuff'!Q211*1000</f>
        <v>620</v>
      </c>
      <c r="AJ241">
        <f>'Water Stuff'!Y211*1000</f>
        <v>620</v>
      </c>
      <c r="AK241">
        <f>'Water Stuff'!AG211*1000</f>
        <v>620</v>
      </c>
      <c r="AL241">
        <f>'Water Stuff'!AO211*1000</f>
        <v>620</v>
      </c>
    </row>
    <row r="242" spans="1:38">
      <c r="A242" s="109">
        <f>'Water Stuff'!F212</f>
        <v>44769</v>
      </c>
      <c r="B242">
        <f>IF( 'Water Stuff'!G212*1000 &gt;= 'Water Stuff'!$B$6*1000, 'Water Stuff'!$B$6*1000, 'Water Stuff'!G212*1000)</f>
        <v>0</v>
      </c>
      <c r="C242">
        <f>IF( 'Water Stuff'!O212*1000 &gt;= 'Water Stuff'!$B$6*1000, 'Water Stuff'!$B$6*1000, 'Water Stuff'!O212*1000)</f>
        <v>0</v>
      </c>
      <c r="D242">
        <f>IF( 'Water Stuff'!W212*1000 &gt;= 'Water Stuff'!$B$6*1000, 'Water Stuff'!$B$6*1000, 'Water Stuff'!W212*1000)</f>
        <v>0</v>
      </c>
      <c r="E242">
        <f>IF( 'Water Stuff'!AE212*1000 &gt;= 'Water Stuff'!$B$6*1000, 'Water Stuff'!$B$6*1000, 'Water Stuff'!AE212*1000)</f>
        <v>0</v>
      </c>
      <c r="F242">
        <f>IF('Water Stuff'!AM212*1000&gt;='Water Stuff'!$B$6*1000,'Water Stuff'!$B$6*1000,'Water Stuff'!AM212*1000)</f>
        <v>0</v>
      </c>
      <c r="I242">
        <f t="shared" si="63"/>
        <v>0</v>
      </c>
      <c r="J242">
        <f t="shared" si="64"/>
        <v>0</v>
      </c>
      <c r="K242">
        <f t="shared" si="65"/>
        <v>0</v>
      </c>
      <c r="L242">
        <f t="shared" si="66"/>
        <v>0</v>
      </c>
      <c r="M242">
        <f t="shared" si="67"/>
        <v>0</v>
      </c>
      <c r="O242">
        <f t="shared" si="68"/>
        <v>0</v>
      </c>
      <c r="P242">
        <f t="shared" si="69"/>
        <v>0</v>
      </c>
      <c r="Q242">
        <f t="shared" si="70"/>
        <v>0</v>
      </c>
      <c r="R242">
        <f t="shared" si="71"/>
        <v>0</v>
      </c>
      <c r="S242">
        <f t="shared" si="72"/>
        <v>0</v>
      </c>
      <c r="U242">
        <f t="shared" si="73"/>
        <v>0</v>
      </c>
      <c r="V242">
        <f t="shared" si="74"/>
        <v>0</v>
      </c>
      <c r="W242">
        <f t="shared" si="75"/>
        <v>0</v>
      </c>
      <c r="X242">
        <f t="shared" si="76"/>
        <v>0</v>
      </c>
      <c r="Y242">
        <f t="shared" si="77"/>
        <v>0</v>
      </c>
      <c r="AA242">
        <f t="shared" si="78"/>
        <v>0</v>
      </c>
      <c r="AB242">
        <f t="shared" si="79"/>
        <v>0</v>
      </c>
      <c r="AC242">
        <f t="shared" si="80"/>
        <v>0</v>
      </c>
      <c r="AD242">
        <f t="shared" si="81"/>
        <v>0</v>
      </c>
      <c r="AE242">
        <f t="shared" si="82"/>
        <v>0</v>
      </c>
      <c r="AG242" s="109">
        <f t="shared" si="83"/>
        <v>44769</v>
      </c>
      <c r="AH242">
        <f>'Water Stuff'!I212*1000</f>
        <v>620</v>
      </c>
      <c r="AI242">
        <f>'Water Stuff'!Q212*1000</f>
        <v>620</v>
      </c>
      <c r="AJ242">
        <f>'Water Stuff'!Y212*1000</f>
        <v>620</v>
      </c>
      <c r="AK242">
        <f>'Water Stuff'!AG212*1000</f>
        <v>620</v>
      </c>
      <c r="AL242">
        <f>'Water Stuff'!AO212*1000</f>
        <v>620</v>
      </c>
    </row>
    <row r="243" spans="1:38">
      <c r="A243" s="109">
        <f>'Water Stuff'!F213</f>
        <v>44770</v>
      </c>
      <c r="B243">
        <f>IF( 'Water Stuff'!G213*1000 &gt;= 'Water Stuff'!$B$6*1000, 'Water Stuff'!$B$6*1000, 'Water Stuff'!G213*1000)</f>
        <v>0</v>
      </c>
      <c r="C243">
        <f>IF( 'Water Stuff'!O213*1000 &gt;= 'Water Stuff'!$B$6*1000, 'Water Stuff'!$B$6*1000, 'Water Stuff'!O213*1000)</f>
        <v>0</v>
      </c>
      <c r="D243">
        <f>IF( 'Water Stuff'!W213*1000 &gt;= 'Water Stuff'!$B$6*1000, 'Water Stuff'!$B$6*1000, 'Water Stuff'!W213*1000)</f>
        <v>593.72097542725157</v>
      </c>
      <c r="E243">
        <f>IF( 'Water Stuff'!AE213*1000 &gt;= 'Water Stuff'!$B$6*1000, 'Water Stuff'!$B$6*1000, 'Water Stuff'!AE213*1000)</f>
        <v>1107.5304446071023</v>
      </c>
      <c r="F243">
        <f>IF('Water Stuff'!AM213*1000&gt;='Water Stuff'!$B$6*1000,'Water Stuff'!$B$6*1000,'Water Stuff'!AM213*1000)</f>
        <v>1376.135618712937</v>
      </c>
      <c r="I243">
        <f t="shared" si="63"/>
        <v>0</v>
      </c>
      <c r="J243">
        <f t="shared" si="64"/>
        <v>0</v>
      </c>
      <c r="K243">
        <f t="shared" si="65"/>
        <v>5.9372097542725157</v>
      </c>
      <c r="L243">
        <f t="shared" si="66"/>
        <v>11.075304446071023</v>
      </c>
      <c r="M243">
        <f t="shared" si="67"/>
        <v>13.761356187129369</v>
      </c>
      <c r="O243">
        <f t="shared" si="68"/>
        <v>0</v>
      </c>
      <c r="P243">
        <f t="shared" si="69"/>
        <v>0</v>
      </c>
      <c r="Q243">
        <f t="shared" si="70"/>
        <v>0.11874419508545031</v>
      </c>
      <c r="R243">
        <f t="shared" si="71"/>
        <v>0.22150608892142046</v>
      </c>
      <c r="S243">
        <f t="shared" si="72"/>
        <v>0.2752271237425874</v>
      </c>
      <c r="U243">
        <f t="shared" si="73"/>
        <v>0</v>
      </c>
      <c r="V243">
        <f t="shared" si="74"/>
        <v>0</v>
      </c>
      <c r="W243">
        <f t="shared" si="75"/>
        <v>2.9686048771362579</v>
      </c>
      <c r="X243">
        <f t="shared" si="76"/>
        <v>5.5376522230355114</v>
      </c>
      <c r="Y243">
        <f t="shared" si="77"/>
        <v>6.8806780935646854</v>
      </c>
      <c r="AA243">
        <f t="shared" si="78"/>
        <v>0</v>
      </c>
      <c r="AB243">
        <f t="shared" si="79"/>
        <v>0</v>
      </c>
      <c r="AC243">
        <f t="shared" si="80"/>
        <v>5.9372097542725157</v>
      </c>
      <c r="AD243">
        <f t="shared" si="81"/>
        <v>11.075304446071023</v>
      </c>
      <c r="AE243">
        <f t="shared" si="82"/>
        <v>13.761356187129371</v>
      </c>
      <c r="AG243" s="109">
        <f t="shared" si="83"/>
        <v>44770</v>
      </c>
      <c r="AH243">
        <f>'Water Stuff'!I213*1000</f>
        <v>620</v>
      </c>
      <c r="AI243">
        <f>'Water Stuff'!Q213*1000</f>
        <v>620</v>
      </c>
      <c r="AJ243">
        <f>'Water Stuff'!Y213*1000</f>
        <v>620</v>
      </c>
      <c r="AK243">
        <f>'Water Stuff'!AG213*1000</f>
        <v>620</v>
      </c>
      <c r="AL243">
        <f>'Water Stuff'!AO213*1000</f>
        <v>620</v>
      </c>
    </row>
    <row r="244" spans="1:38">
      <c r="A244" s="109">
        <f>'Water Stuff'!F214</f>
        <v>44771</v>
      </c>
      <c r="B244">
        <f>IF( 'Water Stuff'!G214*1000 &gt;= 'Water Stuff'!$B$6*1000, 'Water Stuff'!$B$6*1000, 'Water Stuff'!G214*1000)</f>
        <v>0</v>
      </c>
      <c r="C244">
        <f>IF( 'Water Stuff'!O214*1000 &gt;= 'Water Stuff'!$B$6*1000, 'Water Stuff'!$B$6*1000, 'Water Stuff'!O214*1000)</f>
        <v>0</v>
      </c>
      <c r="D244">
        <f>IF( 'Water Stuff'!W214*1000 &gt;= 'Water Stuff'!$B$6*1000, 'Water Stuff'!$B$6*1000, 'Water Stuff'!W214*1000)</f>
        <v>172.41246586438163</v>
      </c>
      <c r="E244">
        <f>IF( 'Water Stuff'!AE214*1000 &gt;= 'Water Stuff'!$B$6*1000, 'Water Stuff'!$B$6*1000, 'Water Stuff'!AE214*1000)</f>
        <v>0</v>
      </c>
      <c r="F244">
        <f>IF('Water Stuff'!AM214*1000&gt;='Water Stuff'!$B$6*1000,'Water Stuff'!$B$6*1000,'Water Stuff'!AM214*1000)</f>
        <v>0</v>
      </c>
      <c r="I244">
        <f t="shared" si="63"/>
        <v>0</v>
      </c>
      <c r="J244">
        <f t="shared" si="64"/>
        <v>0</v>
      </c>
      <c r="K244">
        <f t="shared" si="65"/>
        <v>1.7241246586438161</v>
      </c>
      <c r="L244">
        <f t="shared" si="66"/>
        <v>0</v>
      </c>
      <c r="M244">
        <f t="shared" si="67"/>
        <v>0</v>
      </c>
      <c r="O244">
        <f t="shared" si="68"/>
        <v>0</v>
      </c>
      <c r="P244">
        <f t="shared" si="69"/>
        <v>0</v>
      </c>
      <c r="Q244">
        <f t="shared" si="70"/>
        <v>3.448249317287632E-2</v>
      </c>
      <c r="R244">
        <f t="shared" si="71"/>
        <v>0</v>
      </c>
      <c r="S244">
        <f t="shared" si="72"/>
        <v>0</v>
      </c>
      <c r="U244">
        <f t="shared" si="73"/>
        <v>0</v>
      </c>
      <c r="V244">
        <f t="shared" si="74"/>
        <v>0</v>
      </c>
      <c r="W244">
        <f t="shared" si="75"/>
        <v>0.86206232932190818</v>
      </c>
      <c r="X244">
        <f t="shared" si="76"/>
        <v>0</v>
      </c>
      <c r="Y244">
        <f t="shared" si="77"/>
        <v>0</v>
      </c>
      <c r="AA244">
        <f t="shared" si="78"/>
        <v>0</v>
      </c>
      <c r="AB244">
        <f t="shared" si="79"/>
        <v>0</v>
      </c>
      <c r="AC244">
        <f t="shared" si="80"/>
        <v>1.7241246586438164</v>
      </c>
      <c r="AD244">
        <f t="shared" si="81"/>
        <v>0</v>
      </c>
      <c r="AE244">
        <f t="shared" si="82"/>
        <v>0</v>
      </c>
      <c r="AG244" s="109">
        <f t="shared" si="83"/>
        <v>44771</v>
      </c>
      <c r="AH244">
        <f>'Water Stuff'!I214*1000</f>
        <v>620</v>
      </c>
      <c r="AI244">
        <f>'Water Stuff'!Q214*1000</f>
        <v>620</v>
      </c>
      <c r="AJ244">
        <f>'Water Stuff'!Y214*1000</f>
        <v>620</v>
      </c>
      <c r="AK244">
        <f>'Water Stuff'!AG214*1000</f>
        <v>620</v>
      </c>
      <c r="AL244">
        <f>'Water Stuff'!AO214*1000</f>
        <v>620</v>
      </c>
    </row>
    <row r="245" spans="1:38">
      <c r="A245" s="109">
        <f>'Water Stuff'!F215</f>
        <v>44772</v>
      </c>
      <c r="B245">
        <f>IF( 'Water Stuff'!G215*1000 &gt;= 'Water Stuff'!$B$6*1000, 'Water Stuff'!$B$6*1000, 'Water Stuff'!G215*1000)</f>
        <v>0</v>
      </c>
      <c r="C245">
        <f>IF( 'Water Stuff'!O215*1000 &gt;= 'Water Stuff'!$B$6*1000, 'Water Stuff'!$B$6*1000, 'Water Stuff'!O215*1000)</f>
        <v>0</v>
      </c>
      <c r="D245">
        <f>IF( 'Water Stuff'!W215*1000 &gt;= 'Water Stuff'!$B$6*1000, 'Water Stuff'!$B$6*1000, 'Water Stuff'!W215*1000)</f>
        <v>1773.1948164735272</v>
      </c>
      <c r="E245">
        <f>IF( 'Water Stuff'!AE215*1000 &gt;= 'Water Stuff'!$B$6*1000, 'Water Stuff'!$B$6*1000, 'Water Stuff'!AE215*1000)</f>
        <v>0</v>
      </c>
      <c r="F245">
        <f>IF('Water Stuff'!AM215*1000&gt;='Water Stuff'!$B$6*1000,'Water Stuff'!$B$6*1000,'Water Stuff'!AM215*1000)</f>
        <v>0</v>
      </c>
      <c r="I245">
        <f t="shared" si="63"/>
        <v>0</v>
      </c>
      <c r="J245">
        <f t="shared" si="64"/>
        <v>0</v>
      </c>
      <c r="K245">
        <f t="shared" si="65"/>
        <v>17.731948164735272</v>
      </c>
      <c r="L245">
        <f t="shared" si="66"/>
        <v>0</v>
      </c>
      <c r="M245">
        <f t="shared" si="67"/>
        <v>0</v>
      </c>
      <c r="O245">
        <f t="shared" si="68"/>
        <v>0</v>
      </c>
      <c r="P245">
        <f t="shared" si="69"/>
        <v>0</v>
      </c>
      <c r="Q245">
        <f t="shared" si="70"/>
        <v>0.35463896329470546</v>
      </c>
      <c r="R245">
        <f t="shared" si="71"/>
        <v>0</v>
      </c>
      <c r="S245">
        <f t="shared" si="72"/>
        <v>0</v>
      </c>
      <c r="U245">
        <f t="shared" si="73"/>
        <v>0</v>
      </c>
      <c r="V245">
        <f t="shared" si="74"/>
        <v>0</v>
      </c>
      <c r="W245">
        <f t="shared" si="75"/>
        <v>8.8659740823676358</v>
      </c>
      <c r="X245">
        <f t="shared" si="76"/>
        <v>0</v>
      </c>
      <c r="Y245">
        <f t="shared" si="77"/>
        <v>0</v>
      </c>
      <c r="AA245">
        <f t="shared" si="78"/>
        <v>0</v>
      </c>
      <c r="AB245">
        <f t="shared" si="79"/>
        <v>0</v>
      </c>
      <c r="AC245">
        <f t="shared" si="80"/>
        <v>17.731948164735272</v>
      </c>
      <c r="AD245">
        <f t="shared" si="81"/>
        <v>0</v>
      </c>
      <c r="AE245">
        <f t="shared" si="82"/>
        <v>0</v>
      </c>
      <c r="AG245" s="109">
        <f t="shared" si="83"/>
        <v>44772</v>
      </c>
      <c r="AH245">
        <f>'Water Stuff'!I215*1000</f>
        <v>620</v>
      </c>
      <c r="AI245">
        <f>'Water Stuff'!Q215*1000</f>
        <v>620</v>
      </c>
      <c r="AJ245">
        <f>'Water Stuff'!Y215*1000</f>
        <v>620</v>
      </c>
      <c r="AK245">
        <f>'Water Stuff'!AG215*1000</f>
        <v>620</v>
      </c>
      <c r="AL245">
        <f>'Water Stuff'!AO215*1000</f>
        <v>620</v>
      </c>
    </row>
    <row r="246" spans="1:38">
      <c r="A246" s="109">
        <f>'Water Stuff'!F216</f>
        <v>44773</v>
      </c>
      <c r="B246">
        <f>IF( 'Water Stuff'!G216*1000 &gt;= 'Water Stuff'!$B$6*1000, 'Water Stuff'!$B$6*1000, 'Water Stuff'!G216*1000)</f>
        <v>0</v>
      </c>
      <c r="C246">
        <f>IF( 'Water Stuff'!O216*1000 &gt;= 'Water Stuff'!$B$6*1000, 'Water Stuff'!$B$6*1000, 'Water Stuff'!O216*1000)</f>
        <v>0</v>
      </c>
      <c r="D246">
        <f>IF( 'Water Stuff'!W216*1000 &gt;= 'Water Stuff'!$B$6*1000, 'Water Stuff'!$B$6*1000, 'Water Stuff'!W216*1000)</f>
        <v>654.31945230364715</v>
      </c>
      <c r="E246">
        <f>IF( 'Water Stuff'!AE216*1000 &gt;= 'Water Stuff'!$B$6*1000, 'Water Stuff'!$B$6*1000, 'Water Stuff'!AE216*1000)</f>
        <v>0</v>
      </c>
      <c r="F246">
        <f>IF('Water Stuff'!AM216*1000&gt;='Water Stuff'!$B$6*1000,'Water Stuff'!$B$6*1000,'Water Stuff'!AM216*1000)</f>
        <v>1059.3133665491939</v>
      </c>
      <c r="I246">
        <f t="shared" si="63"/>
        <v>0</v>
      </c>
      <c r="J246">
        <f t="shared" si="64"/>
        <v>0</v>
      </c>
      <c r="K246">
        <f t="shared" si="65"/>
        <v>6.5431945230364716</v>
      </c>
      <c r="L246">
        <f t="shared" si="66"/>
        <v>0</v>
      </c>
      <c r="M246">
        <f t="shared" si="67"/>
        <v>10.593133665491939</v>
      </c>
      <c r="O246">
        <f t="shared" si="68"/>
        <v>0</v>
      </c>
      <c r="P246">
        <f t="shared" si="69"/>
        <v>0</v>
      </c>
      <c r="Q246">
        <f t="shared" si="70"/>
        <v>0.13086389046072944</v>
      </c>
      <c r="R246">
        <f t="shared" si="71"/>
        <v>0</v>
      </c>
      <c r="S246">
        <f t="shared" si="72"/>
        <v>0.21186267330983879</v>
      </c>
      <c r="U246">
        <f t="shared" si="73"/>
        <v>0</v>
      </c>
      <c r="V246">
        <f t="shared" si="74"/>
        <v>0</v>
      </c>
      <c r="W246">
        <f t="shared" si="75"/>
        <v>3.2715972615182358</v>
      </c>
      <c r="X246">
        <f t="shared" si="76"/>
        <v>0</v>
      </c>
      <c r="Y246">
        <f t="shared" si="77"/>
        <v>5.2965668327459694</v>
      </c>
      <c r="AA246">
        <f t="shared" si="78"/>
        <v>0</v>
      </c>
      <c r="AB246">
        <f t="shared" si="79"/>
        <v>0</v>
      </c>
      <c r="AC246">
        <f t="shared" si="80"/>
        <v>6.5431945230364716</v>
      </c>
      <c r="AD246">
        <f t="shared" si="81"/>
        <v>0</v>
      </c>
      <c r="AE246">
        <f t="shared" si="82"/>
        <v>10.593133665491939</v>
      </c>
      <c r="AG246" s="109">
        <f t="shared" si="83"/>
        <v>44773</v>
      </c>
      <c r="AH246">
        <f>'Water Stuff'!I216*1000</f>
        <v>620</v>
      </c>
      <c r="AI246">
        <f>'Water Stuff'!Q216*1000</f>
        <v>620</v>
      </c>
      <c r="AJ246">
        <f>'Water Stuff'!Y216*1000</f>
        <v>620</v>
      </c>
      <c r="AK246">
        <f>'Water Stuff'!AG216*1000</f>
        <v>620</v>
      </c>
      <c r="AL246">
        <f>'Water Stuff'!AO216*1000</f>
        <v>620</v>
      </c>
    </row>
    <row r="247" spans="1:38">
      <c r="A247" s="109">
        <f>'Water Stuff'!F217</f>
        <v>44774</v>
      </c>
      <c r="B247">
        <f>IF( 'Water Stuff'!G217*1000 &gt;= 'Water Stuff'!$B$6*1000, 'Water Stuff'!$B$6*1000, 'Water Stuff'!G217*1000)</f>
        <v>0</v>
      </c>
      <c r="C247">
        <f>IF( 'Water Stuff'!O217*1000 &gt;= 'Water Stuff'!$B$6*1000, 'Water Stuff'!$B$6*1000, 'Water Stuff'!O217*1000)</f>
        <v>0</v>
      </c>
      <c r="D247">
        <f>IF( 'Water Stuff'!W217*1000 &gt;= 'Water Stuff'!$B$6*1000, 'Water Stuff'!$B$6*1000, 'Water Stuff'!W217*1000)</f>
        <v>0</v>
      </c>
      <c r="E247">
        <f>IF( 'Water Stuff'!AE217*1000 &gt;= 'Water Stuff'!$B$6*1000, 'Water Stuff'!$B$6*1000, 'Water Stuff'!AE217*1000)</f>
        <v>0</v>
      </c>
      <c r="F247">
        <f>IF('Water Stuff'!AM217*1000&gt;='Water Stuff'!$B$6*1000,'Water Stuff'!$B$6*1000,'Water Stuff'!AM217*1000)</f>
        <v>0</v>
      </c>
      <c r="I247">
        <f t="shared" si="63"/>
        <v>0</v>
      </c>
      <c r="J247">
        <f t="shared" si="64"/>
        <v>0</v>
      </c>
      <c r="K247">
        <f t="shared" si="65"/>
        <v>0</v>
      </c>
      <c r="L247">
        <f t="shared" si="66"/>
        <v>0</v>
      </c>
      <c r="M247">
        <f t="shared" si="67"/>
        <v>0</v>
      </c>
      <c r="O247">
        <f t="shared" si="68"/>
        <v>0</v>
      </c>
      <c r="P247">
        <f t="shared" si="69"/>
        <v>0</v>
      </c>
      <c r="Q247">
        <f t="shared" si="70"/>
        <v>0</v>
      </c>
      <c r="R247">
        <f t="shared" si="71"/>
        <v>0</v>
      </c>
      <c r="S247">
        <f t="shared" si="72"/>
        <v>0</v>
      </c>
      <c r="U247">
        <f t="shared" si="73"/>
        <v>0</v>
      </c>
      <c r="V247">
        <f t="shared" si="74"/>
        <v>0</v>
      </c>
      <c r="W247">
        <f t="shared" si="75"/>
        <v>0</v>
      </c>
      <c r="X247">
        <f t="shared" si="76"/>
        <v>0</v>
      </c>
      <c r="Y247">
        <f t="shared" si="77"/>
        <v>0</v>
      </c>
      <c r="AA247">
        <f t="shared" si="78"/>
        <v>0</v>
      </c>
      <c r="AB247">
        <f t="shared" si="79"/>
        <v>0</v>
      </c>
      <c r="AC247">
        <f t="shared" si="80"/>
        <v>0</v>
      </c>
      <c r="AD247">
        <f t="shared" si="81"/>
        <v>0</v>
      </c>
      <c r="AE247">
        <f t="shared" si="82"/>
        <v>0</v>
      </c>
      <c r="AG247" s="109">
        <f t="shared" si="83"/>
        <v>44774</v>
      </c>
      <c r="AH247">
        <f>'Water Stuff'!I217*1000</f>
        <v>620</v>
      </c>
      <c r="AI247">
        <f>'Water Stuff'!Q217*1000</f>
        <v>620</v>
      </c>
      <c r="AJ247">
        <f>'Water Stuff'!Y217*1000</f>
        <v>620</v>
      </c>
      <c r="AK247">
        <f>'Water Stuff'!AG217*1000</f>
        <v>620</v>
      </c>
      <c r="AL247">
        <f>'Water Stuff'!AO217*1000</f>
        <v>620</v>
      </c>
    </row>
    <row r="248" spans="1:38">
      <c r="A248" s="109">
        <f>'Water Stuff'!F218</f>
        <v>44775</v>
      </c>
      <c r="B248">
        <f>IF( 'Water Stuff'!G218*1000 &gt;= 'Water Stuff'!$B$6*1000, 'Water Stuff'!$B$6*1000, 'Water Stuff'!G218*1000)</f>
        <v>0</v>
      </c>
      <c r="C248">
        <f>IF( 'Water Stuff'!O218*1000 &gt;= 'Water Stuff'!$B$6*1000, 'Water Stuff'!$B$6*1000, 'Water Stuff'!O218*1000)</f>
        <v>0</v>
      </c>
      <c r="D248">
        <f>IF( 'Water Stuff'!W218*1000 &gt;= 'Water Stuff'!$B$6*1000, 'Water Stuff'!$B$6*1000, 'Water Stuff'!W218*1000)</f>
        <v>151.52700558821064</v>
      </c>
      <c r="E248">
        <f>IF( 'Water Stuff'!AE218*1000 &gt;= 'Water Stuff'!$B$6*1000, 'Water Stuff'!$B$6*1000, 'Water Stuff'!AE218*1000)</f>
        <v>0</v>
      </c>
      <c r="F248">
        <f>IF('Water Stuff'!AM218*1000&gt;='Water Stuff'!$B$6*1000,'Water Stuff'!$B$6*1000,'Water Stuff'!AM218*1000)</f>
        <v>0</v>
      </c>
      <c r="I248">
        <f t="shared" si="63"/>
        <v>0</v>
      </c>
      <c r="J248">
        <f t="shared" si="64"/>
        <v>0</v>
      </c>
      <c r="K248">
        <f t="shared" si="65"/>
        <v>1.5152700558821064</v>
      </c>
      <c r="L248">
        <f t="shared" si="66"/>
        <v>0</v>
      </c>
      <c r="M248">
        <f t="shared" si="67"/>
        <v>0</v>
      </c>
      <c r="O248">
        <f t="shared" si="68"/>
        <v>0</v>
      </c>
      <c r="P248">
        <f t="shared" si="69"/>
        <v>0</v>
      </c>
      <c r="Q248">
        <f t="shared" si="70"/>
        <v>3.0305401117642128E-2</v>
      </c>
      <c r="R248">
        <f t="shared" si="71"/>
        <v>0</v>
      </c>
      <c r="S248">
        <f t="shared" si="72"/>
        <v>0</v>
      </c>
      <c r="U248">
        <f t="shared" si="73"/>
        <v>0</v>
      </c>
      <c r="V248">
        <f t="shared" si="74"/>
        <v>0</v>
      </c>
      <c r="W248">
        <f t="shared" si="75"/>
        <v>0.7576350279410532</v>
      </c>
      <c r="X248">
        <f t="shared" si="76"/>
        <v>0</v>
      </c>
      <c r="Y248">
        <f t="shared" si="77"/>
        <v>0</v>
      </c>
      <c r="AA248">
        <f t="shared" si="78"/>
        <v>0</v>
      </c>
      <c r="AB248">
        <f t="shared" si="79"/>
        <v>0</v>
      </c>
      <c r="AC248">
        <f t="shared" si="80"/>
        <v>1.5152700558821064</v>
      </c>
      <c r="AD248">
        <f t="shared" si="81"/>
        <v>0</v>
      </c>
      <c r="AE248">
        <f t="shared" si="82"/>
        <v>0</v>
      </c>
      <c r="AG248" s="109">
        <f t="shared" si="83"/>
        <v>44775</v>
      </c>
      <c r="AH248">
        <f>'Water Stuff'!I218*1000</f>
        <v>620</v>
      </c>
      <c r="AI248">
        <f>'Water Stuff'!Q218*1000</f>
        <v>620</v>
      </c>
      <c r="AJ248">
        <f>'Water Stuff'!Y218*1000</f>
        <v>620</v>
      </c>
      <c r="AK248">
        <f>'Water Stuff'!AG218*1000</f>
        <v>620</v>
      </c>
      <c r="AL248">
        <f>'Water Stuff'!AO218*1000</f>
        <v>620</v>
      </c>
    </row>
    <row r="249" spans="1:38">
      <c r="A249" s="109">
        <f>'Water Stuff'!F219</f>
        <v>44776</v>
      </c>
      <c r="B249">
        <f>IF( 'Water Stuff'!G219*1000 &gt;= 'Water Stuff'!$B$6*1000, 'Water Stuff'!$B$6*1000, 'Water Stuff'!G219*1000)</f>
        <v>0</v>
      </c>
      <c r="C249">
        <f>IF( 'Water Stuff'!O219*1000 &gt;= 'Water Stuff'!$B$6*1000, 'Water Stuff'!$B$6*1000, 'Water Stuff'!O219*1000)</f>
        <v>0</v>
      </c>
      <c r="D249">
        <f>IF( 'Water Stuff'!W219*1000 &gt;= 'Water Stuff'!$B$6*1000, 'Water Stuff'!$B$6*1000, 'Water Stuff'!W219*1000)</f>
        <v>0</v>
      </c>
      <c r="E249">
        <f>IF( 'Water Stuff'!AE219*1000 &gt;= 'Water Stuff'!$B$6*1000, 'Water Stuff'!$B$6*1000, 'Water Stuff'!AE219*1000)</f>
        <v>0</v>
      </c>
      <c r="F249">
        <f>IF('Water Stuff'!AM219*1000&gt;='Water Stuff'!$B$6*1000,'Water Stuff'!$B$6*1000,'Water Stuff'!AM219*1000)</f>
        <v>0</v>
      </c>
      <c r="I249">
        <f t="shared" si="63"/>
        <v>0</v>
      </c>
      <c r="J249">
        <f t="shared" si="64"/>
        <v>0</v>
      </c>
      <c r="K249">
        <f t="shared" si="65"/>
        <v>0</v>
      </c>
      <c r="L249">
        <f t="shared" si="66"/>
        <v>0</v>
      </c>
      <c r="M249">
        <f t="shared" si="67"/>
        <v>0</v>
      </c>
      <c r="O249">
        <f t="shared" si="68"/>
        <v>0</v>
      </c>
      <c r="P249">
        <f t="shared" si="69"/>
        <v>0</v>
      </c>
      <c r="Q249">
        <f t="shared" si="70"/>
        <v>0</v>
      </c>
      <c r="R249">
        <f t="shared" si="71"/>
        <v>0</v>
      </c>
      <c r="S249">
        <f t="shared" si="72"/>
        <v>0</v>
      </c>
      <c r="U249">
        <f t="shared" si="73"/>
        <v>0</v>
      </c>
      <c r="V249">
        <f t="shared" si="74"/>
        <v>0</v>
      </c>
      <c r="W249">
        <f t="shared" si="75"/>
        <v>0</v>
      </c>
      <c r="X249">
        <f t="shared" si="76"/>
        <v>0</v>
      </c>
      <c r="Y249">
        <f t="shared" si="77"/>
        <v>0</v>
      </c>
      <c r="AA249">
        <f t="shared" si="78"/>
        <v>0</v>
      </c>
      <c r="AB249">
        <f t="shared" si="79"/>
        <v>0</v>
      </c>
      <c r="AC249">
        <f t="shared" si="80"/>
        <v>0</v>
      </c>
      <c r="AD249">
        <f t="shared" si="81"/>
        <v>0</v>
      </c>
      <c r="AE249">
        <f t="shared" si="82"/>
        <v>0</v>
      </c>
      <c r="AG249" s="109">
        <f t="shared" si="83"/>
        <v>44776</v>
      </c>
      <c r="AH249">
        <f>'Water Stuff'!I219*1000</f>
        <v>620</v>
      </c>
      <c r="AI249">
        <f>'Water Stuff'!Q219*1000</f>
        <v>620</v>
      </c>
      <c r="AJ249">
        <f>'Water Stuff'!Y219*1000</f>
        <v>620</v>
      </c>
      <c r="AK249">
        <f>'Water Stuff'!AG219*1000</f>
        <v>620</v>
      </c>
      <c r="AL249">
        <f>'Water Stuff'!AO219*1000</f>
        <v>620</v>
      </c>
    </row>
    <row r="250" spans="1:38">
      <c r="A250" s="109">
        <f>'Water Stuff'!F220</f>
        <v>44777</v>
      </c>
      <c r="B250">
        <f>IF( 'Water Stuff'!G220*1000 &gt;= 'Water Stuff'!$B$6*1000, 'Water Stuff'!$B$6*1000, 'Water Stuff'!G220*1000)</f>
        <v>0</v>
      </c>
      <c r="C250">
        <f>IF( 'Water Stuff'!O220*1000 &gt;= 'Water Stuff'!$B$6*1000, 'Water Stuff'!$B$6*1000, 'Water Stuff'!O220*1000)</f>
        <v>0</v>
      </c>
      <c r="D250">
        <f>IF( 'Water Stuff'!W220*1000 &gt;= 'Water Stuff'!$B$6*1000, 'Water Stuff'!$B$6*1000, 'Water Stuff'!W220*1000)</f>
        <v>567.16288269093582</v>
      </c>
      <c r="E250">
        <f>IF( 'Water Stuff'!AE220*1000 &gt;= 'Water Stuff'!$B$6*1000, 'Water Stuff'!$B$6*1000, 'Water Stuff'!AE220*1000)</f>
        <v>0</v>
      </c>
      <c r="F250">
        <f>IF('Water Stuff'!AM220*1000&gt;='Water Stuff'!$B$6*1000,'Water Stuff'!$B$6*1000,'Water Stuff'!AM220*1000)</f>
        <v>0</v>
      </c>
      <c r="I250">
        <f t="shared" si="63"/>
        <v>0</v>
      </c>
      <c r="J250">
        <f t="shared" si="64"/>
        <v>0</v>
      </c>
      <c r="K250">
        <f t="shared" si="65"/>
        <v>5.671628826909358</v>
      </c>
      <c r="L250">
        <f t="shared" si="66"/>
        <v>0</v>
      </c>
      <c r="M250">
        <f t="shared" si="67"/>
        <v>0</v>
      </c>
      <c r="O250">
        <f t="shared" si="68"/>
        <v>0</v>
      </c>
      <c r="P250">
        <f t="shared" si="69"/>
        <v>0</v>
      </c>
      <c r="Q250">
        <f t="shared" si="70"/>
        <v>0.11343257653818717</v>
      </c>
      <c r="R250">
        <f t="shared" si="71"/>
        <v>0</v>
      </c>
      <c r="S250">
        <f t="shared" si="72"/>
        <v>0</v>
      </c>
      <c r="U250">
        <f t="shared" si="73"/>
        <v>0</v>
      </c>
      <c r="V250">
        <f t="shared" si="74"/>
        <v>0</v>
      </c>
      <c r="W250">
        <f t="shared" si="75"/>
        <v>2.835814413454679</v>
      </c>
      <c r="X250">
        <f t="shared" si="76"/>
        <v>0</v>
      </c>
      <c r="Y250">
        <f t="shared" si="77"/>
        <v>0</v>
      </c>
      <c r="AA250">
        <f t="shared" si="78"/>
        <v>0</v>
      </c>
      <c r="AB250">
        <f t="shared" si="79"/>
        <v>0</v>
      </c>
      <c r="AC250">
        <f t="shared" si="80"/>
        <v>5.671628826909358</v>
      </c>
      <c r="AD250">
        <f t="shared" si="81"/>
        <v>0</v>
      </c>
      <c r="AE250">
        <f t="shared" si="82"/>
        <v>0</v>
      </c>
      <c r="AG250" s="109">
        <f t="shared" si="83"/>
        <v>44777</v>
      </c>
      <c r="AH250">
        <f>'Water Stuff'!I220*1000</f>
        <v>620</v>
      </c>
      <c r="AI250">
        <f>'Water Stuff'!Q220*1000</f>
        <v>620</v>
      </c>
      <c r="AJ250">
        <f>'Water Stuff'!Y220*1000</f>
        <v>620</v>
      </c>
      <c r="AK250">
        <f>'Water Stuff'!AG220*1000</f>
        <v>620</v>
      </c>
      <c r="AL250">
        <f>'Water Stuff'!AO220*1000</f>
        <v>620</v>
      </c>
    </row>
    <row r="251" spans="1:38">
      <c r="A251" s="109">
        <f>'Water Stuff'!F221</f>
        <v>44778</v>
      </c>
      <c r="B251">
        <f>IF( 'Water Stuff'!G221*1000 &gt;= 'Water Stuff'!$B$6*1000, 'Water Stuff'!$B$6*1000, 'Water Stuff'!G221*1000)</f>
        <v>0</v>
      </c>
      <c r="C251">
        <f>IF( 'Water Stuff'!O221*1000 &gt;= 'Water Stuff'!$B$6*1000, 'Water Stuff'!$B$6*1000, 'Water Stuff'!O221*1000)</f>
        <v>0</v>
      </c>
      <c r="D251">
        <f>IF( 'Water Stuff'!W221*1000 &gt;= 'Water Stuff'!$B$6*1000, 'Water Stuff'!$B$6*1000, 'Water Stuff'!W221*1000)</f>
        <v>0</v>
      </c>
      <c r="E251">
        <f>IF( 'Water Stuff'!AE221*1000 &gt;= 'Water Stuff'!$B$6*1000, 'Water Stuff'!$B$6*1000, 'Water Stuff'!AE221*1000)</f>
        <v>217.85162855717641</v>
      </c>
      <c r="F251">
        <f>IF('Water Stuff'!AM221*1000&gt;='Water Stuff'!$B$6*1000,'Water Stuff'!$B$6*1000,'Water Stuff'!AM221*1000)</f>
        <v>0</v>
      </c>
      <c r="I251">
        <f t="shared" si="63"/>
        <v>0</v>
      </c>
      <c r="J251">
        <f t="shared" si="64"/>
        <v>0</v>
      </c>
      <c r="K251">
        <f t="shared" si="65"/>
        <v>0</v>
      </c>
      <c r="L251">
        <f t="shared" si="66"/>
        <v>2.1785162855717641</v>
      </c>
      <c r="M251">
        <f t="shared" si="67"/>
        <v>0</v>
      </c>
      <c r="O251">
        <f t="shared" si="68"/>
        <v>0</v>
      </c>
      <c r="P251">
        <f t="shared" si="69"/>
        <v>0</v>
      </c>
      <c r="Q251">
        <f t="shared" si="70"/>
        <v>0</v>
      </c>
      <c r="R251">
        <f t="shared" si="71"/>
        <v>4.3570325711435279E-2</v>
      </c>
      <c r="S251">
        <f t="shared" si="72"/>
        <v>0</v>
      </c>
      <c r="U251">
        <f t="shared" si="73"/>
        <v>0</v>
      </c>
      <c r="V251">
        <f t="shared" si="74"/>
        <v>0</v>
      </c>
      <c r="W251">
        <f t="shared" si="75"/>
        <v>0</v>
      </c>
      <c r="X251">
        <f t="shared" si="76"/>
        <v>1.0892581427858821</v>
      </c>
      <c r="Y251">
        <f t="shared" si="77"/>
        <v>0</v>
      </c>
      <c r="AA251">
        <f t="shared" si="78"/>
        <v>0</v>
      </c>
      <c r="AB251">
        <f t="shared" si="79"/>
        <v>0</v>
      </c>
      <c r="AC251">
        <f t="shared" si="80"/>
        <v>0</v>
      </c>
      <c r="AD251">
        <f t="shared" si="81"/>
        <v>2.1785162855717641</v>
      </c>
      <c r="AE251">
        <f t="shared" si="82"/>
        <v>0</v>
      </c>
      <c r="AG251" s="109">
        <f t="shared" si="83"/>
        <v>44778</v>
      </c>
      <c r="AH251">
        <f>'Water Stuff'!I221*1000</f>
        <v>620</v>
      </c>
      <c r="AI251">
        <f>'Water Stuff'!Q221*1000</f>
        <v>620</v>
      </c>
      <c r="AJ251">
        <f>'Water Stuff'!Y221*1000</f>
        <v>620</v>
      </c>
      <c r="AK251">
        <f>'Water Stuff'!AG221*1000</f>
        <v>620</v>
      </c>
      <c r="AL251">
        <f>'Water Stuff'!AO221*1000</f>
        <v>620</v>
      </c>
    </row>
    <row r="252" spans="1:38">
      <c r="A252" s="109">
        <f>'Water Stuff'!F222</f>
        <v>44779</v>
      </c>
      <c r="B252">
        <f>IF( 'Water Stuff'!G222*1000 &gt;= 'Water Stuff'!$B$6*1000, 'Water Stuff'!$B$6*1000, 'Water Stuff'!G222*1000)</f>
        <v>0</v>
      </c>
      <c r="C252">
        <f>IF( 'Water Stuff'!O222*1000 &gt;= 'Water Stuff'!$B$6*1000, 'Water Stuff'!$B$6*1000, 'Water Stuff'!O222*1000)</f>
        <v>640</v>
      </c>
      <c r="D252">
        <f>IF( 'Water Stuff'!W222*1000 &gt;= 'Water Stuff'!$B$6*1000, 'Water Stuff'!$B$6*1000, 'Water Stuff'!W222*1000)</f>
        <v>0</v>
      </c>
      <c r="E252">
        <f>IF( 'Water Stuff'!AE222*1000 &gt;= 'Water Stuff'!$B$6*1000, 'Water Stuff'!$B$6*1000, 'Water Stuff'!AE222*1000)</f>
        <v>569.78794955744979</v>
      </c>
      <c r="F252">
        <f>IF('Water Stuff'!AM222*1000&gt;='Water Stuff'!$B$6*1000,'Water Stuff'!$B$6*1000,'Water Stuff'!AM222*1000)</f>
        <v>693.65163155751043</v>
      </c>
      <c r="I252">
        <f t="shared" si="63"/>
        <v>0</v>
      </c>
      <c r="J252">
        <f t="shared" si="64"/>
        <v>6.4</v>
      </c>
      <c r="K252">
        <f t="shared" si="65"/>
        <v>0</v>
      </c>
      <c r="L252">
        <f t="shared" si="66"/>
        <v>5.6978794955744982</v>
      </c>
      <c r="M252">
        <f t="shared" si="67"/>
        <v>6.936516315575104</v>
      </c>
      <c r="O252">
        <f t="shared" si="68"/>
        <v>0</v>
      </c>
      <c r="P252">
        <f t="shared" si="69"/>
        <v>0.128</v>
      </c>
      <c r="Q252">
        <f t="shared" si="70"/>
        <v>0</v>
      </c>
      <c r="R252">
        <f t="shared" si="71"/>
        <v>0.11395758991148996</v>
      </c>
      <c r="S252">
        <f t="shared" si="72"/>
        <v>0.13873032631150209</v>
      </c>
      <c r="U252">
        <f t="shared" si="73"/>
        <v>0</v>
      </c>
      <c r="V252">
        <f t="shared" si="74"/>
        <v>3.2</v>
      </c>
      <c r="W252">
        <f t="shared" si="75"/>
        <v>0</v>
      </c>
      <c r="X252">
        <f t="shared" si="76"/>
        <v>2.8489397477872491</v>
      </c>
      <c r="Y252">
        <f t="shared" si="77"/>
        <v>3.4682581577875524</v>
      </c>
      <c r="AA252">
        <f t="shared" si="78"/>
        <v>0</v>
      </c>
      <c r="AB252">
        <f t="shared" si="79"/>
        <v>6.4</v>
      </c>
      <c r="AC252">
        <f t="shared" si="80"/>
        <v>0</v>
      </c>
      <c r="AD252">
        <f t="shared" si="81"/>
        <v>5.6978794955744982</v>
      </c>
      <c r="AE252">
        <f t="shared" si="82"/>
        <v>6.9365163155751048</v>
      </c>
      <c r="AG252" s="109">
        <f t="shared" si="83"/>
        <v>44779</v>
      </c>
      <c r="AH252">
        <f>'Water Stuff'!I222*1000</f>
        <v>620</v>
      </c>
      <c r="AI252">
        <f>'Water Stuff'!Q222*1000</f>
        <v>620</v>
      </c>
      <c r="AJ252">
        <f>'Water Stuff'!Y222*1000</f>
        <v>620</v>
      </c>
      <c r="AK252">
        <f>'Water Stuff'!AG222*1000</f>
        <v>620</v>
      </c>
      <c r="AL252">
        <f>'Water Stuff'!AO222*1000</f>
        <v>620</v>
      </c>
    </row>
    <row r="253" spans="1:38">
      <c r="A253" s="109">
        <f>'Water Stuff'!F223</f>
        <v>44780</v>
      </c>
      <c r="B253">
        <f>IF( 'Water Stuff'!G223*1000 &gt;= 'Water Stuff'!$B$6*1000, 'Water Stuff'!$B$6*1000, 'Water Stuff'!G223*1000)</f>
        <v>0</v>
      </c>
      <c r="C253">
        <f>IF( 'Water Stuff'!O223*1000 &gt;= 'Water Stuff'!$B$6*1000, 'Water Stuff'!$B$6*1000, 'Water Stuff'!O223*1000)</f>
        <v>2920</v>
      </c>
      <c r="D253">
        <f>IF( 'Water Stuff'!W223*1000 &gt;= 'Water Stuff'!$B$6*1000, 'Water Stuff'!$B$6*1000, 'Water Stuff'!W223*1000)</f>
        <v>0</v>
      </c>
      <c r="E253">
        <f>IF( 'Water Stuff'!AE223*1000 &gt;= 'Water Stuff'!$B$6*1000, 'Water Stuff'!$B$6*1000, 'Water Stuff'!AE223*1000)</f>
        <v>4188.3059694482045</v>
      </c>
      <c r="F253">
        <f>IF('Water Stuff'!AM223*1000&gt;='Water Stuff'!$B$6*1000,'Water Stuff'!$B$6*1000,'Water Stuff'!AM223*1000)</f>
        <v>0</v>
      </c>
      <c r="I253">
        <f t="shared" si="63"/>
        <v>0</v>
      </c>
      <c r="J253">
        <f t="shared" si="64"/>
        <v>29.2</v>
      </c>
      <c r="K253">
        <f t="shared" si="65"/>
        <v>0</v>
      </c>
      <c r="L253">
        <f t="shared" si="66"/>
        <v>41.883059694482043</v>
      </c>
      <c r="M253">
        <f t="shared" si="67"/>
        <v>0</v>
      </c>
      <c r="O253">
        <f t="shared" si="68"/>
        <v>0</v>
      </c>
      <c r="P253">
        <f t="shared" si="69"/>
        <v>0.58399999999999996</v>
      </c>
      <c r="Q253">
        <f t="shared" si="70"/>
        <v>0</v>
      </c>
      <c r="R253">
        <f t="shared" si="71"/>
        <v>0.83766119388964089</v>
      </c>
      <c r="S253">
        <f t="shared" si="72"/>
        <v>0</v>
      </c>
      <c r="U253">
        <f t="shared" si="73"/>
        <v>0</v>
      </c>
      <c r="V253">
        <f t="shared" si="74"/>
        <v>14.6</v>
      </c>
      <c r="W253">
        <f t="shared" si="75"/>
        <v>0</v>
      </c>
      <c r="X253">
        <f t="shared" si="76"/>
        <v>20.941529847241021</v>
      </c>
      <c r="Y253">
        <f t="shared" si="77"/>
        <v>0</v>
      </c>
      <c r="AA253">
        <f t="shared" si="78"/>
        <v>0</v>
      </c>
      <c r="AB253">
        <f t="shared" si="79"/>
        <v>29.2</v>
      </c>
      <c r="AC253">
        <f t="shared" si="80"/>
        <v>0</v>
      </c>
      <c r="AD253">
        <f t="shared" si="81"/>
        <v>41.883059694482043</v>
      </c>
      <c r="AE253">
        <f t="shared" si="82"/>
        <v>0</v>
      </c>
      <c r="AG253" s="109">
        <f t="shared" si="83"/>
        <v>44780</v>
      </c>
      <c r="AH253">
        <f>'Water Stuff'!I223*1000</f>
        <v>620</v>
      </c>
      <c r="AI253">
        <f>'Water Stuff'!Q223*1000</f>
        <v>620</v>
      </c>
      <c r="AJ253">
        <f>'Water Stuff'!Y223*1000</f>
        <v>620</v>
      </c>
      <c r="AK253">
        <f>'Water Stuff'!AG223*1000</f>
        <v>620</v>
      </c>
      <c r="AL253">
        <f>'Water Stuff'!AO223*1000</f>
        <v>620</v>
      </c>
    </row>
    <row r="254" spans="1:38">
      <c r="A254" s="109">
        <f>'Water Stuff'!F224</f>
        <v>44781</v>
      </c>
      <c r="B254">
        <f>IF( 'Water Stuff'!G224*1000 &gt;= 'Water Stuff'!$B$6*1000, 'Water Stuff'!$B$6*1000, 'Water Stuff'!G224*1000)</f>
        <v>0</v>
      </c>
      <c r="C254">
        <f>IF( 'Water Stuff'!O224*1000 &gt;= 'Water Stuff'!$B$6*1000, 'Water Stuff'!$B$6*1000, 'Water Stuff'!O224*1000)</f>
        <v>4880</v>
      </c>
      <c r="D254">
        <f>IF( 'Water Stuff'!W224*1000 &gt;= 'Water Stuff'!$B$6*1000, 'Water Stuff'!$B$6*1000, 'Water Stuff'!W224*1000)</f>
        <v>0</v>
      </c>
      <c r="E254">
        <f>IF( 'Water Stuff'!AE224*1000 &gt;= 'Water Stuff'!$B$6*1000, 'Water Stuff'!$B$6*1000, 'Water Stuff'!AE224*1000)</f>
        <v>4440.7614624759799</v>
      </c>
      <c r="F254">
        <f>IF('Water Stuff'!AM224*1000&gt;='Water Stuff'!$B$6*1000,'Water Stuff'!$B$6*1000,'Water Stuff'!AM224*1000)</f>
        <v>0</v>
      </c>
      <c r="I254">
        <f t="shared" si="63"/>
        <v>0</v>
      </c>
      <c r="J254">
        <f t="shared" si="64"/>
        <v>48.8</v>
      </c>
      <c r="K254">
        <f t="shared" si="65"/>
        <v>0</v>
      </c>
      <c r="L254">
        <f t="shared" si="66"/>
        <v>44.407614624759802</v>
      </c>
      <c r="M254">
        <f t="shared" si="67"/>
        <v>0</v>
      </c>
      <c r="O254">
        <f t="shared" si="68"/>
        <v>0</v>
      </c>
      <c r="P254">
        <f t="shared" si="69"/>
        <v>0.97599999999999998</v>
      </c>
      <c r="Q254">
        <f t="shared" si="70"/>
        <v>0</v>
      </c>
      <c r="R254">
        <f t="shared" si="71"/>
        <v>0.88815229249519601</v>
      </c>
      <c r="S254">
        <f t="shared" si="72"/>
        <v>0</v>
      </c>
      <c r="U254">
        <f t="shared" si="73"/>
        <v>0</v>
      </c>
      <c r="V254">
        <f t="shared" si="74"/>
        <v>24.400000000000002</v>
      </c>
      <c r="W254">
        <f t="shared" si="75"/>
        <v>0</v>
      </c>
      <c r="X254">
        <f t="shared" si="76"/>
        <v>22.203807312379901</v>
      </c>
      <c r="Y254">
        <f t="shared" si="77"/>
        <v>0</v>
      </c>
      <c r="AA254">
        <f t="shared" si="78"/>
        <v>0</v>
      </c>
      <c r="AB254">
        <f t="shared" si="79"/>
        <v>48.800000000000004</v>
      </c>
      <c r="AC254">
        <f t="shared" si="80"/>
        <v>0</v>
      </c>
      <c r="AD254">
        <f t="shared" si="81"/>
        <v>44.407614624759802</v>
      </c>
      <c r="AE254">
        <f t="shared" si="82"/>
        <v>0</v>
      </c>
      <c r="AG254" s="109">
        <f t="shared" si="83"/>
        <v>44781</v>
      </c>
      <c r="AH254">
        <f>'Water Stuff'!I224*1000</f>
        <v>620</v>
      </c>
      <c r="AI254">
        <f>'Water Stuff'!Q224*1000</f>
        <v>620</v>
      </c>
      <c r="AJ254">
        <f>'Water Stuff'!Y224*1000</f>
        <v>620</v>
      </c>
      <c r="AK254">
        <f>'Water Stuff'!AG224*1000</f>
        <v>620</v>
      </c>
      <c r="AL254">
        <f>'Water Stuff'!AO224*1000</f>
        <v>620</v>
      </c>
    </row>
    <row r="255" spans="1:38">
      <c r="A255" s="109">
        <f>'Water Stuff'!F225</f>
        <v>44782</v>
      </c>
      <c r="B255">
        <f>IF( 'Water Stuff'!G225*1000 &gt;= 'Water Stuff'!$B$6*1000, 'Water Stuff'!$B$6*1000, 'Water Stuff'!G225*1000)</f>
        <v>0</v>
      </c>
      <c r="C255">
        <f>IF( 'Water Stuff'!O225*1000 &gt;= 'Water Stuff'!$B$6*1000, 'Water Stuff'!$B$6*1000, 'Water Stuff'!O225*1000)</f>
        <v>360</v>
      </c>
      <c r="D255">
        <f>IF( 'Water Stuff'!W225*1000 &gt;= 'Water Stuff'!$B$6*1000, 'Water Stuff'!$B$6*1000, 'Water Stuff'!W225*1000)</f>
        <v>146.74194983106347</v>
      </c>
      <c r="E255">
        <f>IF( 'Water Stuff'!AE225*1000 &gt;= 'Water Stuff'!$B$6*1000, 'Water Stuff'!$B$6*1000, 'Water Stuff'!AE225*1000)</f>
        <v>958.69175725134244</v>
      </c>
      <c r="F255">
        <f>IF('Water Stuff'!AM225*1000&gt;='Water Stuff'!$B$6*1000,'Water Stuff'!$B$6*1000,'Water Stuff'!AM225*1000)</f>
        <v>0</v>
      </c>
      <c r="I255">
        <f t="shared" si="63"/>
        <v>0</v>
      </c>
      <c r="J255">
        <f t="shared" si="64"/>
        <v>3.6</v>
      </c>
      <c r="K255">
        <f t="shared" si="65"/>
        <v>1.4674194983106348</v>
      </c>
      <c r="L255">
        <f t="shared" si="66"/>
        <v>9.5869175725134248</v>
      </c>
      <c r="M255">
        <f t="shared" si="67"/>
        <v>0</v>
      </c>
      <c r="O255">
        <f t="shared" si="68"/>
        <v>0</v>
      </c>
      <c r="P255">
        <f t="shared" si="69"/>
        <v>7.1999999999999995E-2</v>
      </c>
      <c r="Q255">
        <f t="shared" si="70"/>
        <v>2.9348389966212692E-2</v>
      </c>
      <c r="R255">
        <f t="shared" si="71"/>
        <v>0.19173835145026849</v>
      </c>
      <c r="S255">
        <f t="shared" si="72"/>
        <v>0</v>
      </c>
      <c r="U255">
        <f t="shared" si="73"/>
        <v>0</v>
      </c>
      <c r="V255">
        <f t="shared" si="74"/>
        <v>1.8</v>
      </c>
      <c r="W255">
        <f t="shared" si="75"/>
        <v>0.73370974915531739</v>
      </c>
      <c r="X255">
        <f t="shared" si="76"/>
        <v>4.7934587862567124</v>
      </c>
      <c r="Y255">
        <f t="shared" si="77"/>
        <v>0</v>
      </c>
      <c r="AA255">
        <f t="shared" si="78"/>
        <v>0</v>
      </c>
      <c r="AB255">
        <f t="shared" si="79"/>
        <v>3.6</v>
      </c>
      <c r="AC255">
        <f t="shared" si="80"/>
        <v>1.4674194983106348</v>
      </c>
      <c r="AD255">
        <f t="shared" si="81"/>
        <v>9.5869175725134248</v>
      </c>
      <c r="AE255">
        <f t="shared" si="82"/>
        <v>0</v>
      </c>
      <c r="AG255" s="109">
        <f t="shared" si="83"/>
        <v>44782</v>
      </c>
      <c r="AH255">
        <f>'Water Stuff'!I225*1000</f>
        <v>620</v>
      </c>
      <c r="AI255">
        <f>'Water Stuff'!Q225*1000</f>
        <v>620</v>
      </c>
      <c r="AJ255">
        <f>'Water Stuff'!Y225*1000</f>
        <v>620</v>
      </c>
      <c r="AK255">
        <f>'Water Stuff'!AG225*1000</f>
        <v>620</v>
      </c>
      <c r="AL255">
        <f>'Water Stuff'!AO225*1000</f>
        <v>620</v>
      </c>
    </row>
    <row r="256" spans="1:38">
      <c r="A256" s="109">
        <f>'Water Stuff'!F226</f>
        <v>44783</v>
      </c>
      <c r="B256">
        <f>IF( 'Water Stuff'!G226*1000 &gt;= 'Water Stuff'!$B$6*1000, 'Water Stuff'!$B$6*1000, 'Water Stuff'!G226*1000)</f>
        <v>0</v>
      </c>
      <c r="C256">
        <f>IF( 'Water Stuff'!O226*1000 &gt;= 'Water Stuff'!$B$6*1000, 'Water Stuff'!$B$6*1000, 'Water Stuff'!O226*1000)</f>
        <v>0</v>
      </c>
      <c r="D256">
        <f>IF( 'Water Stuff'!W226*1000 &gt;= 'Water Stuff'!$B$6*1000, 'Water Stuff'!$B$6*1000, 'Water Stuff'!W226*1000)</f>
        <v>0</v>
      </c>
      <c r="E256">
        <f>IF( 'Water Stuff'!AE226*1000 &gt;= 'Water Stuff'!$B$6*1000, 'Water Stuff'!$B$6*1000, 'Water Stuff'!AE226*1000)</f>
        <v>0</v>
      </c>
      <c r="F256">
        <f>IF('Water Stuff'!AM226*1000&gt;='Water Stuff'!$B$6*1000,'Water Stuff'!$B$6*1000,'Water Stuff'!AM226*1000)</f>
        <v>0</v>
      </c>
      <c r="I256">
        <f t="shared" si="63"/>
        <v>0</v>
      </c>
      <c r="J256">
        <f t="shared" si="64"/>
        <v>0</v>
      </c>
      <c r="K256">
        <f t="shared" si="65"/>
        <v>0</v>
      </c>
      <c r="L256">
        <f t="shared" si="66"/>
        <v>0</v>
      </c>
      <c r="M256">
        <f t="shared" si="67"/>
        <v>0</v>
      </c>
      <c r="O256">
        <f t="shared" si="68"/>
        <v>0</v>
      </c>
      <c r="P256">
        <f t="shared" si="69"/>
        <v>0</v>
      </c>
      <c r="Q256">
        <f t="shared" si="70"/>
        <v>0</v>
      </c>
      <c r="R256">
        <f t="shared" si="71"/>
        <v>0</v>
      </c>
      <c r="S256">
        <f t="shared" si="72"/>
        <v>0</v>
      </c>
      <c r="U256">
        <f t="shared" si="73"/>
        <v>0</v>
      </c>
      <c r="V256">
        <f t="shared" si="74"/>
        <v>0</v>
      </c>
      <c r="W256">
        <f t="shared" si="75"/>
        <v>0</v>
      </c>
      <c r="X256">
        <f t="shared" si="76"/>
        <v>0</v>
      </c>
      <c r="Y256">
        <f t="shared" si="77"/>
        <v>0</v>
      </c>
      <c r="AA256">
        <f t="shared" si="78"/>
        <v>0</v>
      </c>
      <c r="AB256">
        <f t="shared" si="79"/>
        <v>0</v>
      </c>
      <c r="AC256">
        <f t="shared" si="80"/>
        <v>0</v>
      </c>
      <c r="AD256">
        <f t="shared" si="81"/>
        <v>0</v>
      </c>
      <c r="AE256">
        <f t="shared" si="82"/>
        <v>0</v>
      </c>
      <c r="AG256" s="109">
        <f t="shared" si="83"/>
        <v>44783</v>
      </c>
      <c r="AH256">
        <f>'Water Stuff'!I226*1000</f>
        <v>620</v>
      </c>
      <c r="AI256">
        <f>'Water Stuff'!Q226*1000</f>
        <v>620</v>
      </c>
      <c r="AJ256">
        <f>'Water Stuff'!Y226*1000</f>
        <v>620</v>
      </c>
      <c r="AK256">
        <f>'Water Stuff'!AG226*1000</f>
        <v>620</v>
      </c>
      <c r="AL256">
        <f>'Water Stuff'!AO226*1000</f>
        <v>620</v>
      </c>
    </row>
    <row r="257" spans="1:38">
      <c r="A257" s="109">
        <f>'Water Stuff'!F227</f>
        <v>44784</v>
      </c>
      <c r="B257">
        <f>IF( 'Water Stuff'!G227*1000 &gt;= 'Water Stuff'!$B$6*1000, 'Water Stuff'!$B$6*1000, 'Water Stuff'!G227*1000)</f>
        <v>0</v>
      </c>
      <c r="C257">
        <f>IF( 'Water Stuff'!O227*1000 &gt;= 'Water Stuff'!$B$6*1000, 'Water Stuff'!$B$6*1000, 'Water Stuff'!O227*1000)</f>
        <v>0</v>
      </c>
      <c r="D257">
        <f>IF( 'Water Stuff'!W227*1000 &gt;= 'Water Stuff'!$B$6*1000, 'Water Stuff'!$B$6*1000, 'Water Stuff'!W227*1000)</f>
        <v>0</v>
      </c>
      <c r="E257">
        <f>IF( 'Water Stuff'!AE227*1000 &gt;= 'Water Stuff'!$B$6*1000, 'Water Stuff'!$B$6*1000, 'Water Stuff'!AE227*1000)</f>
        <v>0</v>
      </c>
      <c r="F257">
        <f>IF('Water Stuff'!AM227*1000&gt;='Water Stuff'!$B$6*1000,'Water Stuff'!$B$6*1000,'Water Stuff'!AM227*1000)</f>
        <v>0</v>
      </c>
      <c r="I257">
        <f t="shared" si="63"/>
        <v>0</v>
      </c>
      <c r="J257">
        <f t="shared" si="64"/>
        <v>0</v>
      </c>
      <c r="K257">
        <f t="shared" si="65"/>
        <v>0</v>
      </c>
      <c r="L257">
        <f t="shared" si="66"/>
        <v>0</v>
      </c>
      <c r="M257">
        <f t="shared" si="67"/>
        <v>0</v>
      </c>
      <c r="O257">
        <f t="shared" si="68"/>
        <v>0</v>
      </c>
      <c r="P257">
        <f t="shared" si="69"/>
        <v>0</v>
      </c>
      <c r="Q257">
        <f t="shared" si="70"/>
        <v>0</v>
      </c>
      <c r="R257">
        <f t="shared" si="71"/>
        <v>0</v>
      </c>
      <c r="S257">
        <f t="shared" si="72"/>
        <v>0</v>
      </c>
      <c r="U257">
        <f t="shared" si="73"/>
        <v>0</v>
      </c>
      <c r="V257">
        <f t="shared" si="74"/>
        <v>0</v>
      </c>
      <c r="W257">
        <f t="shared" si="75"/>
        <v>0</v>
      </c>
      <c r="X257">
        <f t="shared" si="76"/>
        <v>0</v>
      </c>
      <c r="Y257">
        <f t="shared" si="77"/>
        <v>0</v>
      </c>
      <c r="AA257">
        <f t="shared" si="78"/>
        <v>0</v>
      </c>
      <c r="AB257">
        <f t="shared" si="79"/>
        <v>0</v>
      </c>
      <c r="AC257">
        <f t="shared" si="80"/>
        <v>0</v>
      </c>
      <c r="AD257">
        <f t="shared" si="81"/>
        <v>0</v>
      </c>
      <c r="AE257">
        <f t="shared" si="82"/>
        <v>0</v>
      </c>
      <c r="AG257" s="109">
        <f t="shared" si="83"/>
        <v>44784</v>
      </c>
      <c r="AH257">
        <f>'Water Stuff'!I227*1000</f>
        <v>620</v>
      </c>
      <c r="AI257">
        <f>'Water Stuff'!Q227*1000</f>
        <v>620</v>
      </c>
      <c r="AJ257">
        <f>'Water Stuff'!Y227*1000</f>
        <v>620</v>
      </c>
      <c r="AK257">
        <f>'Water Stuff'!AG227*1000</f>
        <v>620</v>
      </c>
      <c r="AL257">
        <f>'Water Stuff'!AO227*1000</f>
        <v>620</v>
      </c>
    </row>
    <row r="258" spans="1:38">
      <c r="A258" s="109">
        <f>'Water Stuff'!F228</f>
        <v>44785</v>
      </c>
      <c r="B258">
        <f>IF( 'Water Stuff'!G228*1000 &gt;= 'Water Stuff'!$B$6*1000, 'Water Stuff'!$B$6*1000, 'Water Stuff'!G228*1000)</f>
        <v>0</v>
      </c>
      <c r="C258">
        <f>IF( 'Water Stuff'!O228*1000 &gt;= 'Water Stuff'!$B$6*1000, 'Water Stuff'!$B$6*1000, 'Water Stuff'!O228*1000)</f>
        <v>0</v>
      </c>
      <c r="D258">
        <f>IF( 'Water Stuff'!W228*1000 &gt;= 'Water Stuff'!$B$6*1000, 'Water Stuff'!$B$6*1000, 'Water Stuff'!W228*1000)</f>
        <v>0</v>
      </c>
      <c r="E258">
        <f>IF( 'Water Stuff'!AE228*1000 &gt;= 'Water Stuff'!$B$6*1000, 'Water Stuff'!$B$6*1000, 'Water Stuff'!AE228*1000)</f>
        <v>0</v>
      </c>
      <c r="F258">
        <f>IF('Water Stuff'!AM228*1000&gt;='Water Stuff'!$B$6*1000,'Water Stuff'!$B$6*1000,'Water Stuff'!AM228*1000)</f>
        <v>713.4478994865334</v>
      </c>
      <c r="I258">
        <f t="shared" si="63"/>
        <v>0</v>
      </c>
      <c r="J258">
        <f t="shared" si="64"/>
        <v>0</v>
      </c>
      <c r="K258">
        <f t="shared" si="65"/>
        <v>0</v>
      </c>
      <c r="L258">
        <f t="shared" si="66"/>
        <v>0</v>
      </c>
      <c r="M258">
        <f t="shared" si="67"/>
        <v>7.1344789948653347</v>
      </c>
      <c r="O258">
        <f t="shared" si="68"/>
        <v>0</v>
      </c>
      <c r="P258">
        <f t="shared" si="69"/>
        <v>0</v>
      </c>
      <c r="Q258">
        <f t="shared" si="70"/>
        <v>0</v>
      </c>
      <c r="R258">
        <f t="shared" si="71"/>
        <v>0</v>
      </c>
      <c r="S258">
        <f t="shared" si="72"/>
        <v>0.14268957989730671</v>
      </c>
      <c r="U258">
        <f t="shared" si="73"/>
        <v>0</v>
      </c>
      <c r="V258">
        <f t="shared" si="74"/>
        <v>0</v>
      </c>
      <c r="W258">
        <f t="shared" si="75"/>
        <v>0</v>
      </c>
      <c r="X258">
        <f t="shared" si="76"/>
        <v>0</v>
      </c>
      <c r="Y258">
        <f t="shared" si="77"/>
        <v>3.5672394974326669</v>
      </c>
      <c r="AA258">
        <f t="shared" si="78"/>
        <v>0</v>
      </c>
      <c r="AB258">
        <f t="shared" si="79"/>
        <v>0</v>
      </c>
      <c r="AC258">
        <f t="shared" si="80"/>
        <v>0</v>
      </c>
      <c r="AD258">
        <f t="shared" si="81"/>
        <v>0</v>
      </c>
      <c r="AE258">
        <f t="shared" si="82"/>
        <v>7.1344789948653338</v>
      </c>
      <c r="AG258" s="109">
        <f t="shared" si="83"/>
        <v>44785</v>
      </c>
      <c r="AH258">
        <f>'Water Stuff'!I228*1000</f>
        <v>620</v>
      </c>
      <c r="AI258">
        <f>'Water Stuff'!Q228*1000</f>
        <v>620</v>
      </c>
      <c r="AJ258">
        <f>'Water Stuff'!Y228*1000</f>
        <v>620</v>
      </c>
      <c r="AK258">
        <f>'Water Stuff'!AG228*1000</f>
        <v>620</v>
      </c>
      <c r="AL258">
        <f>'Water Stuff'!AO228*1000</f>
        <v>620</v>
      </c>
    </row>
    <row r="259" spans="1:38">
      <c r="A259" s="109">
        <f>'Water Stuff'!F229</f>
        <v>44786</v>
      </c>
      <c r="B259">
        <f>IF( 'Water Stuff'!G229*1000 &gt;= 'Water Stuff'!$B$6*1000, 'Water Stuff'!$B$6*1000, 'Water Stuff'!G229*1000)</f>
        <v>0</v>
      </c>
      <c r="C259">
        <f>IF( 'Water Stuff'!O229*1000 &gt;= 'Water Stuff'!$B$6*1000, 'Water Stuff'!$B$6*1000, 'Water Stuff'!O229*1000)</f>
        <v>0</v>
      </c>
      <c r="D259">
        <f>IF( 'Water Stuff'!W229*1000 &gt;= 'Water Stuff'!$B$6*1000, 'Water Stuff'!$B$6*1000, 'Water Stuff'!W229*1000)</f>
        <v>472.01966933347103</v>
      </c>
      <c r="E259">
        <f>IF( 'Water Stuff'!AE229*1000 &gt;= 'Water Stuff'!$B$6*1000, 'Water Stuff'!$B$6*1000, 'Water Stuff'!AE229*1000)</f>
        <v>0</v>
      </c>
      <c r="F259">
        <f>IF('Water Stuff'!AM229*1000&gt;='Water Stuff'!$B$6*1000,'Water Stuff'!$B$6*1000,'Water Stuff'!AM229*1000)</f>
        <v>0</v>
      </c>
      <c r="I259">
        <f t="shared" si="63"/>
        <v>0</v>
      </c>
      <c r="J259">
        <f t="shared" si="64"/>
        <v>0</v>
      </c>
      <c r="K259">
        <f t="shared" si="65"/>
        <v>4.7201966933347101</v>
      </c>
      <c r="L259">
        <f t="shared" si="66"/>
        <v>0</v>
      </c>
      <c r="M259">
        <f t="shared" si="67"/>
        <v>0</v>
      </c>
      <c r="O259">
        <f t="shared" si="68"/>
        <v>0</v>
      </c>
      <c r="P259">
        <f t="shared" si="69"/>
        <v>0</v>
      </c>
      <c r="Q259">
        <f t="shared" si="70"/>
        <v>9.4403933866694198E-2</v>
      </c>
      <c r="R259">
        <f t="shared" si="71"/>
        <v>0</v>
      </c>
      <c r="S259">
        <f t="shared" si="72"/>
        <v>0</v>
      </c>
      <c r="U259">
        <f t="shared" si="73"/>
        <v>0</v>
      </c>
      <c r="V259">
        <f t="shared" si="74"/>
        <v>0</v>
      </c>
      <c r="W259">
        <f t="shared" si="75"/>
        <v>2.3600983466673551</v>
      </c>
      <c r="X259">
        <f t="shared" si="76"/>
        <v>0</v>
      </c>
      <c r="Y259">
        <f t="shared" si="77"/>
        <v>0</v>
      </c>
      <c r="AA259">
        <f t="shared" si="78"/>
        <v>0</v>
      </c>
      <c r="AB259">
        <f t="shared" si="79"/>
        <v>0</v>
      </c>
      <c r="AC259">
        <f t="shared" si="80"/>
        <v>4.7201966933347101</v>
      </c>
      <c r="AD259">
        <f t="shared" si="81"/>
        <v>0</v>
      </c>
      <c r="AE259">
        <f t="shared" si="82"/>
        <v>0</v>
      </c>
      <c r="AG259" s="109">
        <f t="shared" si="83"/>
        <v>44786</v>
      </c>
      <c r="AH259">
        <f>'Water Stuff'!I229*1000</f>
        <v>620</v>
      </c>
      <c r="AI259">
        <f>'Water Stuff'!Q229*1000</f>
        <v>620</v>
      </c>
      <c r="AJ259">
        <f>'Water Stuff'!Y229*1000</f>
        <v>620</v>
      </c>
      <c r="AK259">
        <f>'Water Stuff'!AG229*1000</f>
        <v>620</v>
      </c>
      <c r="AL259">
        <f>'Water Stuff'!AO229*1000</f>
        <v>620</v>
      </c>
    </row>
    <row r="260" spans="1:38">
      <c r="A260" s="109">
        <f>'Water Stuff'!F230</f>
        <v>44787</v>
      </c>
      <c r="B260">
        <f>IF( 'Water Stuff'!G230*1000 &gt;= 'Water Stuff'!$B$6*1000, 'Water Stuff'!$B$6*1000, 'Water Stuff'!G230*1000)</f>
        <v>0</v>
      </c>
      <c r="C260">
        <f>IF( 'Water Stuff'!O230*1000 &gt;= 'Water Stuff'!$B$6*1000, 'Water Stuff'!$B$6*1000, 'Water Stuff'!O230*1000)</f>
        <v>0</v>
      </c>
      <c r="D260">
        <f>IF( 'Water Stuff'!W230*1000 &gt;= 'Water Stuff'!$B$6*1000, 'Water Stuff'!$B$6*1000, 'Water Stuff'!W230*1000)</f>
        <v>0</v>
      </c>
      <c r="E260">
        <f>IF( 'Water Stuff'!AE230*1000 &gt;= 'Water Stuff'!$B$6*1000, 'Water Stuff'!$B$6*1000, 'Water Stuff'!AE230*1000)</f>
        <v>1761.0220106759434</v>
      </c>
      <c r="F260">
        <f>IF('Water Stuff'!AM230*1000&gt;='Water Stuff'!$B$6*1000,'Water Stuff'!$B$6*1000,'Water Stuff'!AM230*1000)</f>
        <v>0</v>
      </c>
      <c r="I260">
        <f t="shared" si="63"/>
        <v>0</v>
      </c>
      <c r="J260">
        <f t="shared" si="64"/>
        <v>0</v>
      </c>
      <c r="K260">
        <f t="shared" si="65"/>
        <v>0</v>
      </c>
      <c r="L260">
        <f t="shared" si="66"/>
        <v>17.610220106759435</v>
      </c>
      <c r="M260">
        <f t="shared" si="67"/>
        <v>0</v>
      </c>
      <c r="O260">
        <f t="shared" si="68"/>
        <v>0</v>
      </c>
      <c r="P260">
        <f t="shared" si="69"/>
        <v>0</v>
      </c>
      <c r="Q260">
        <f t="shared" si="70"/>
        <v>0</v>
      </c>
      <c r="R260">
        <f t="shared" si="71"/>
        <v>0.35220440213518867</v>
      </c>
      <c r="S260">
        <f t="shared" si="72"/>
        <v>0</v>
      </c>
      <c r="U260">
        <f t="shared" si="73"/>
        <v>0</v>
      </c>
      <c r="V260">
        <f t="shared" si="74"/>
        <v>0</v>
      </c>
      <c r="W260">
        <f t="shared" si="75"/>
        <v>0</v>
      </c>
      <c r="X260">
        <f t="shared" si="76"/>
        <v>8.8051100533797175</v>
      </c>
      <c r="Y260">
        <f t="shared" si="77"/>
        <v>0</v>
      </c>
      <c r="AA260">
        <f t="shared" si="78"/>
        <v>0</v>
      </c>
      <c r="AB260">
        <f t="shared" si="79"/>
        <v>0</v>
      </c>
      <c r="AC260">
        <f t="shared" si="80"/>
        <v>0</v>
      </c>
      <c r="AD260">
        <f t="shared" si="81"/>
        <v>17.610220106759435</v>
      </c>
      <c r="AE260">
        <f t="shared" si="82"/>
        <v>0</v>
      </c>
      <c r="AG260" s="109">
        <f t="shared" si="83"/>
        <v>44787</v>
      </c>
      <c r="AH260">
        <f>'Water Stuff'!I230*1000</f>
        <v>620</v>
      </c>
      <c r="AI260">
        <f>'Water Stuff'!Q230*1000</f>
        <v>620</v>
      </c>
      <c r="AJ260">
        <f>'Water Stuff'!Y230*1000</f>
        <v>620</v>
      </c>
      <c r="AK260">
        <f>'Water Stuff'!AG230*1000</f>
        <v>620</v>
      </c>
      <c r="AL260">
        <f>'Water Stuff'!AO230*1000</f>
        <v>620</v>
      </c>
    </row>
    <row r="261" spans="1:38">
      <c r="A261" s="109">
        <f>'Water Stuff'!F231</f>
        <v>44788</v>
      </c>
      <c r="B261">
        <f>IF( 'Water Stuff'!G231*1000 &gt;= 'Water Stuff'!$B$6*1000, 'Water Stuff'!$B$6*1000, 'Water Stuff'!G231*1000)</f>
        <v>0</v>
      </c>
      <c r="C261">
        <f>IF( 'Water Stuff'!O231*1000 &gt;= 'Water Stuff'!$B$6*1000, 'Water Stuff'!$B$6*1000, 'Water Stuff'!O231*1000)</f>
        <v>0</v>
      </c>
      <c r="D261">
        <f>IF( 'Water Stuff'!W231*1000 &gt;= 'Water Stuff'!$B$6*1000, 'Water Stuff'!$B$6*1000, 'Water Stuff'!W231*1000)</f>
        <v>891.05480553294535</v>
      </c>
      <c r="E261">
        <f>IF( 'Water Stuff'!AE231*1000 &gt;= 'Water Stuff'!$B$6*1000, 'Water Stuff'!$B$6*1000, 'Water Stuff'!AE231*1000)</f>
        <v>0</v>
      </c>
      <c r="F261">
        <f>IF('Water Stuff'!AM231*1000&gt;='Water Stuff'!$B$6*1000,'Water Stuff'!$B$6*1000,'Water Stuff'!AM231*1000)</f>
        <v>2336.6894261749781</v>
      </c>
      <c r="I261">
        <f t="shared" si="63"/>
        <v>0</v>
      </c>
      <c r="J261">
        <f t="shared" si="64"/>
        <v>0</v>
      </c>
      <c r="K261">
        <f t="shared" si="65"/>
        <v>8.9105480553294534</v>
      </c>
      <c r="L261">
        <f t="shared" si="66"/>
        <v>0</v>
      </c>
      <c r="M261">
        <f t="shared" si="67"/>
        <v>23.366894261749781</v>
      </c>
      <c r="O261">
        <f t="shared" si="68"/>
        <v>0</v>
      </c>
      <c r="P261">
        <f t="shared" si="69"/>
        <v>0</v>
      </c>
      <c r="Q261">
        <f t="shared" si="70"/>
        <v>0.17821096110658907</v>
      </c>
      <c r="R261">
        <f t="shared" si="71"/>
        <v>0</v>
      </c>
      <c r="S261">
        <f t="shared" si="72"/>
        <v>0.46733788523499559</v>
      </c>
      <c r="U261">
        <f t="shared" si="73"/>
        <v>0</v>
      </c>
      <c r="V261">
        <f t="shared" si="74"/>
        <v>0</v>
      </c>
      <c r="W261">
        <f t="shared" si="75"/>
        <v>4.4552740276647267</v>
      </c>
      <c r="X261">
        <f t="shared" si="76"/>
        <v>0</v>
      </c>
      <c r="Y261">
        <f t="shared" si="77"/>
        <v>11.683447130874891</v>
      </c>
      <c r="AA261">
        <f t="shared" si="78"/>
        <v>0</v>
      </c>
      <c r="AB261">
        <f t="shared" si="79"/>
        <v>0</v>
      </c>
      <c r="AC261">
        <f t="shared" si="80"/>
        <v>8.9105480553294534</v>
      </c>
      <c r="AD261">
        <f t="shared" si="81"/>
        <v>0</v>
      </c>
      <c r="AE261">
        <f t="shared" si="82"/>
        <v>23.366894261749781</v>
      </c>
      <c r="AG261" s="109">
        <f t="shared" si="83"/>
        <v>44788</v>
      </c>
      <c r="AH261">
        <f>'Water Stuff'!I231*1000</f>
        <v>620</v>
      </c>
      <c r="AI261">
        <f>'Water Stuff'!Q231*1000</f>
        <v>620</v>
      </c>
      <c r="AJ261">
        <f>'Water Stuff'!Y231*1000</f>
        <v>620</v>
      </c>
      <c r="AK261">
        <f>'Water Stuff'!AG231*1000</f>
        <v>620</v>
      </c>
      <c r="AL261">
        <f>'Water Stuff'!AO231*1000</f>
        <v>620</v>
      </c>
    </row>
    <row r="262" spans="1:38">
      <c r="A262" s="109">
        <f>'Water Stuff'!F232</f>
        <v>44789</v>
      </c>
      <c r="B262">
        <f>IF( 'Water Stuff'!G232*1000 &gt;= 'Water Stuff'!$B$6*1000, 'Water Stuff'!$B$6*1000, 'Water Stuff'!G232*1000)</f>
        <v>0</v>
      </c>
      <c r="C262">
        <f>IF( 'Water Stuff'!O232*1000 &gt;= 'Water Stuff'!$B$6*1000, 'Water Stuff'!$B$6*1000, 'Water Stuff'!O232*1000)</f>
        <v>0</v>
      </c>
      <c r="D262">
        <f>IF( 'Water Stuff'!W232*1000 &gt;= 'Water Stuff'!$B$6*1000, 'Water Stuff'!$B$6*1000, 'Water Stuff'!W232*1000)</f>
        <v>597.21671365463362</v>
      </c>
      <c r="E262">
        <f>IF( 'Water Stuff'!AE232*1000 &gt;= 'Water Stuff'!$B$6*1000, 'Water Stuff'!$B$6*1000, 'Water Stuff'!AE232*1000)</f>
        <v>264.59002091068879</v>
      </c>
      <c r="F262">
        <f>IF('Water Stuff'!AM232*1000&gt;='Water Stuff'!$B$6*1000,'Water Stuff'!$B$6*1000,'Water Stuff'!AM232*1000)</f>
        <v>2148.3025106004243</v>
      </c>
      <c r="I262">
        <f t="shared" si="63"/>
        <v>0</v>
      </c>
      <c r="J262">
        <f t="shared" si="64"/>
        <v>0</v>
      </c>
      <c r="K262">
        <f t="shared" si="65"/>
        <v>5.9721671365463358</v>
      </c>
      <c r="L262">
        <f t="shared" si="66"/>
        <v>2.6459002091068879</v>
      </c>
      <c r="M262">
        <f t="shared" si="67"/>
        <v>21.483025106004241</v>
      </c>
      <c r="O262">
        <f t="shared" si="68"/>
        <v>0</v>
      </c>
      <c r="P262">
        <f t="shared" si="69"/>
        <v>0</v>
      </c>
      <c r="Q262">
        <f t="shared" si="70"/>
        <v>0.11944334273092673</v>
      </c>
      <c r="R262">
        <f t="shared" si="71"/>
        <v>5.2918004182137754E-2</v>
      </c>
      <c r="S262">
        <f t="shared" si="72"/>
        <v>0.42966050212008483</v>
      </c>
      <c r="U262">
        <f t="shared" si="73"/>
        <v>0</v>
      </c>
      <c r="V262">
        <f t="shared" si="74"/>
        <v>0</v>
      </c>
      <c r="W262">
        <f t="shared" si="75"/>
        <v>2.9860835682731683</v>
      </c>
      <c r="X262">
        <f t="shared" si="76"/>
        <v>1.322950104553444</v>
      </c>
      <c r="Y262">
        <f t="shared" si="77"/>
        <v>10.741512553002122</v>
      </c>
      <c r="AA262">
        <f t="shared" si="78"/>
        <v>0</v>
      </c>
      <c r="AB262">
        <f t="shared" si="79"/>
        <v>0</v>
      </c>
      <c r="AC262">
        <f t="shared" si="80"/>
        <v>5.9721671365463367</v>
      </c>
      <c r="AD262">
        <f t="shared" si="81"/>
        <v>2.6459002091068879</v>
      </c>
      <c r="AE262">
        <f t="shared" si="82"/>
        <v>21.483025106004245</v>
      </c>
      <c r="AG262" s="109">
        <f t="shared" si="83"/>
        <v>44789</v>
      </c>
      <c r="AH262">
        <f>'Water Stuff'!I232*1000</f>
        <v>620</v>
      </c>
      <c r="AI262">
        <f>'Water Stuff'!Q232*1000</f>
        <v>620</v>
      </c>
      <c r="AJ262">
        <f>'Water Stuff'!Y232*1000</f>
        <v>620</v>
      </c>
      <c r="AK262">
        <f>'Water Stuff'!AG232*1000</f>
        <v>620</v>
      </c>
      <c r="AL262">
        <f>'Water Stuff'!AO232*1000</f>
        <v>620</v>
      </c>
    </row>
    <row r="263" spans="1:38">
      <c r="A263" s="109">
        <f>'Water Stuff'!F233</f>
        <v>44790</v>
      </c>
      <c r="B263">
        <f>IF( 'Water Stuff'!G233*1000 &gt;= 'Water Stuff'!$B$6*1000, 'Water Stuff'!$B$6*1000, 'Water Stuff'!G233*1000)</f>
        <v>0</v>
      </c>
      <c r="C263">
        <f>IF( 'Water Stuff'!O233*1000 &gt;= 'Water Stuff'!$B$6*1000, 'Water Stuff'!$B$6*1000, 'Water Stuff'!O233*1000)</f>
        <v>0</v>
      </c>
      <c r="D263">
        <f>IF( 'Water Stuff'!W233*1000 &gt;= 'Water Stuff'!$B$6*1000, 'Water Stuff'!$B$6*1000, 'Water Stuff'!W233*1000)</f>
        <v>0</v>
      </c>
      <c r="E263">
        <f>IF( 'Water Stuff'!AE233*1000 &gt;= 'Water Stuff'!$B$6*1000, 'Water Stuff'!$B$6*1000, 'Water Stuff'!AE233*1000)</f>
        <v>1235.4088631561094</v>
      </c>
      <c r="F263">
        <f>IF('Water Stuff'!AM233*1000&gt;='Water Stuff'!$B$6*1000,'Water Stuff'!$B$6*1000,'Water Stuff'!AM233*1000)</f>
        <v>0</v>
      </c>
      <c r="I263">
        <f t="shared" si="63"/>
        <v>0</v>
      </c>
      <c r="J263">
        <f t="shared" si="64"/>
        <v>0</v>
      </c>
      <c r="K263">
        <f t="shared" si="65"/>
        <v>0</v>
      </c>
      <c r="L263">
        <f t="shared" si="66"/>
        <v>12.354088631561096</v>
      </c>
      <c r="M263">
        <f t="shared" si="67"/>
        <v>0</v>
      </c>
      <c r="O263">
        <f t="shared" si="68"/>
        <v>0</v>
      </c>
      <c r="P263">
        <f t="shared" si="69"/>
        <v>0</v>
      </c>
      <c r="Q263">
        <f t="shared" si="70"/>
        <v>0</v>
      </c>
      <c r="R263">
        <f t="shared" si="71"/>
        <v>0.24708177263122191</v>
      </c>
      <c r="S263">
        <f t="shared" si="72"/>
        <v>0</v>
      </c>
      <c r="U263">
        <f t="shared" si="73"/>
        <v>0</v>
      </c>
      <c r="V263">
        <f t="shared" si="74"/>
        <v>0</v>
      </c>
      <c r="W263">
        <f t="shared" si="75"/>
        <v>0</v>
      </c>
      <c r="X263">
        <f t="shared" si="76"/>
        <v>6.177044315780547</v>
      </c>
      <c r="Y263">
        <f t="shared" si="77"/>
        <v>0</v>
      </c>
      <c r="AA263">
        <f t="shared" si="78"/>
        <v>0</v>
      </c>
      <c r="AB263">
        <f t="shared" si="79"/>
        <v>0</v>
      </c>
      <c r="AC263">
        <f t="shared" si="80"/>
        <v>0</v>
      </c>
      <c r="AD263">
        <f t="shared" si="81"/>
        <v>12.354088631561094</v>
      </c>
      <c r="AE263">
        <f t="shared" si="82"/>
        <v>0</v>
      </c>
      <c r="AG263" s="109">
        <f t="shared" si="83"/>
        <v>44790</v>
      </c>
      <c r="AH263">
        <f>'Water Stuff'!I233*1000</f>
        <v>620</v>
      </c>
      <c r="AI263">
        <f>'Water Stuff'!Q233*1000</f>
        <v>620</v>
      </c>
      <c r="AJ263">
        <f>'Water Stuff'!Y233*1000</f>
        <v>620</v>
      </c>
      <c r="AK263">
        <f>'Water Stuff'!AG233*1000</f>
        <v>620</v>
      </c>
      <c r="AL263">
        <f>'Water Stuff'!AO233*1000</f>
        <v>620</v>
      </c>
    </row>
    <row r="264" spans="1:38">
      <c r="A264" s="109">
        <f>'Water Stuff'!F234</f>
        <v>44791</v>
      </c>
      <c r="B264">
        <f>IF( 'Water Stuff'!G234*1000 &gt;= 'Water Stuff'!$B$6*1000, 'Water Stuff'!$B$6*1000, 'Water Stuff'!G234*1000)</f>
        <v>0</v>
      </c>
      <c r="C264">
        <f>IF( 'Water Stuff'!O234*1000 &gt;= 'Water Stuff'!$B$6*1000, 'Water Stuff'!$B$6*1000, 'Water Stuff'!O234*1000)</f>
        <v>0</v>
      </c>
      <c r="D264">
        <f>IF( 'Water Stuff'!W234*1000 &gt;= 'Water Stuff'!$B$6*1000, 'Water Stuff'!$B$6*1000, 'Water Stuff'!W234*1000)</f>
        <v>0</v>
      </c>
      <c r="E264">
        <f>IF( 'Water Stuff'!AE234*1000 &gt;= 'Water Stuff'!$B$6*1000, 'Water Stuff'!$B$6*1000, 'Water Stuff'!AE234*1000)</f>
        <v>0</v>
      </c>
      <c r="F264">
        <f>IF('Water Stuff'!AM234*1000&gt;='Water Stuff'!$B$6*1000,'Water Stuff'!$B$6*1000,'Water Stuff'!AM234*1000)</f>
        <v>0</v>
      </c>
      <c r="I264">
        <f t="shared" si="63"/>
        <v>0</v>
      </c>
      <c r="J264">
        <f t="shared" si="64"/>
        <v>0</v>
      </c>
      <c r="K264">
        <f t="shared" si="65"/>
        <v>0</v>
      </c>
      <c r="L264">
        <f t="shared" si="66"/>
        <v>0</v>
      </c>
      <c r="M264">
        <f t="shared" si="67"/>
        <v>0</v>
      </c>
      <c r="O264">
        <f t="shared" si="68"/>
        <v>0</v>
      </c>
      <c r="P264">
        <f t="shared" si="69"/>
        <v>0</v>
      </c>
      <c r="Q264">
        <f t="shared" si="70"/>
        <v>0</v>
      </c>
      <c r="R264">
        <f t="shared" si="71"/>
        <v>0</v>
      </c>
      <c r="S264">
        <f t="shared" si="72"/>
        <v>0</v>
      </c>
      <c r="U264">
        <f t="shared" si="73"/>
        <v>0</v>
      </c>
      <c r="V264">
        <f t="shared" si="74"/>
        <v>0</v>
      </c>
      <c r="W264">
        <f t="shared" si="75"/>
        <v>0</v>
      </c>
      <c r="X264">
        <f t="shared" si="76"/>
        <v>0</v>
      </c>
      <c r="Y264">
        <f t="shared" si="77"/>
        <v>0</v>
      </c>
      <c r="AA264">
        <f t="shared" si="78"/>
        <v>0</v>
      </c>
      <c r="AB264">
        <f t="shared" si="79"/>
        <v>0</v>
      </c>
      <c r="AC264">
        <f t="shared" si="80"/>
        <v>0</v>
      </c>
      <c r="AD264">
        <f t="shared" si="81"/>
        <v>0</v>
      </c>
      <c r="AE264">
        <f t="shared" si="82"/>
        <v>0</v>
      </c>
      <c r="AG264" s="109">
        <f t="shared" si="83"/>
        <v>44791</v>
      </c>
      <c r="AH264">
        <f>'Water Stuff'!I234*1000</f>
        <v>620</v>
      </c>
      <c r="AI264">
        <f>'Water Stuff'!Q234*1000</f>
        <v>620</v>
      </c>
      <c r="AJ264">
        <f>'Water Stuff'!Y234*1000</f>
        <v>620</v>
      </c>
      <c r="AK264">
        <f>'Water Stuff'!AG234*1000</f>
        <v>620</v>
      </c>
      <c r="AL264">
        <f>'Water Stuff'!AO234*1000</f>
        <v>620</v>
      </c>
    </row>
    <row r="265" spans="1:38">
      <c r="A265" s="109">
        <f>'Water Stuff'!F235</f>
        <v>44792</v>
      </c>
      <c r="B265">
        <f>IF( 'Water Stuff'!G235*1000 &gt;= 'Water Stuff'!$B$6*1000, 'Water Stuff'!$B$6*1000, 'Water Stuff'!G235*1000)</f>
        <v>0</v>
      </c>
      <c r="C265">
        <f>IF( 'Water Stuff'!O235*1000 &gt;= 'Water Stuff'!$B$6*1000, 'Water Stuff'!$B$6*1000, 'Water Stuff'!O235*1000)</f>
        <v>0</v>
      </c>
      <c r="D265">
        <f>IF( 'Water Stuff'!W235*1000 &gt;= 'Water Stuff'!$B$6*1000, 'Water Stuff'!$B$6*1000, 'Water Stuff'!W235*1000)</f>
        <v>0</v>
      </c>
      <c r="E265">
        <f>IF( 'Water Stuff'!AE235*1000 &gt;= 'Water Stuff'!$B$6*1000, 'Water Stuff'!$B$6*1000, 'Water Stuff'!AE235*1000)</f>
        <v>0</v>
      </c>
      <c r="F265">
        <f>IF('Water Stuff'!AM235*1000&gt;='Water Stuff'!$B$6*1000,'Water Stuff'!$B$6*1000,'Water Stuff'!AM235*1000)</f>
        <v>0</v>
      </c>
      <c r="I265">
        <f t="shared" si="63"/>
        <v>0</v>
      </c>
      <c r="J265">
        <f t="shared" si="64"/>
        <v>0</v>
      </c>
      <c r="K265">
        <f t="shared" si="65"/>
        <v>0</v>
      </c>
      <c r="L265">
        <f t="shared" si="66"/>
        <v>0</v>
      </c>
      <c r="M265">
        <f t="shared" si="67"/>
        <v>0</v>
      </c>
      <c r="O265">
        <f t="shared" si="68"/>
        <v>0</v>
      </c>
      <c r="P265">
        <f t="shared" si="69"/>
        <v>0</v>
      </c>
      <c r="Q265">
        <f t="shared" si="70"/>
        <v>0</v>
      </c>
      <c r="R265">
        <f t="shared" si="71"/>
        <v>0</v>
      </c>
      <c r="S265">
        <f t="shared" si="72"/>
        <v>0</v>
      </c>
      <c r="U265">
        <f t="shared" si="73"/>
        <v>0</v>
      </c>
      <c r="V265">
        <f t="shared" si="74"/>
        <v>0</v>
      </c>
      <c r="W265">
        <f t="shared" si="75"/>
        <v>0</v>
      </c>
      <c r="X265">
        <f t="shared" si="76"/>
        <v>0</v>
      </c>
      <c r="Y265">
        <f t="shared" si="77"/>
        <v>0</v>
      </c>
      <c r="AA265">
        <f t="shared" si="78"/>
        <v>0</v>
      </c>
      <c r="AB265">
        <f t="shared" si="79"/>
        <v>0</v>
      </c>
      <c r="AC265">
        <f t="shared" si="80"/>
        <v>0</v>
      </c>
      <c r="AD265">
        <f t="shared" si="81"/>
        <v>0</v>
      </c>
      <c r="AE265">
        <f t="shared" si="82"/>
        <v>0</v>
      </c>
      <c r="AG265" s="109">
        <f t="shared" si="83"/>
        <v>44792</v>
      </c>
      <c r="AH265">
        <f>'Water Stuff'!I235*1000</f>
        <v>620</v>
      </c>
      <c r="AI265">
        <f>'Water Stuff'!Q235*1000</f>
        <v>620</v>
      </c>
      <c r="AJ265">
        <f>'Water Stuff'!Y235*1000</f>
        <v>620</v>
      </c>
      <c r="AK265">
        <f>'Water Stuff'!AG235*1000</f>
        <v>620</v>
      </c>
      <c r="AL265">
        <f>'Water Stuff'!AO235*1000</f>
        <v>620</v>
      </c>
    </row>
    <row r="266" spans="1:38">
      <c r="A266" s="109">
        <f>'Water Stuff'!F236</f>
        <v>44793</v>
      </c>
      <c r="B266">
        <f>IF( 'Water Stuff'!G236*1000 &gt;= 'Water Stuff'!$B$6*1000, 'Water Stuff'!$B$6*1000, 'Water Stuff'!G236*1000)</f>
        <v>0</v>
      </c>
      <c r="C266">
        <f>IF( 'Water Stuff'!O236*1000 &gt;= 'Water Stuff'!$B$6*1000, 'Water Stuff'!$B$6*1000, 'Water Stuff'!O236*1000)</f>
        <v>0</v>
      </c>
      <c r="D266">
        <f>IF( 'Water Stuff'!W236*1000 &gt;= 'Water Stuff'!$B$6*1000, 'Water Stuff'!$B$6*1000, 'Water Stuff'!W236*1000)</f>
        <v>0</v>
      </c>
      <c r="E266">
        <f>IF( 'Water Stuff'!AE236*1000 &gt;= 'Water Stuff'!$B$6*1000, 'Water Stuff'!$B$6*1000, 'Water Stuff'!AE236*1000)</f>
        <v>102.46214664892284</v>
      </c>
      <c r="F266">
        <f>IF('Water Stuff'!AM236*1000&gt;='Water Stuff'!$B$6*1000,'Water Stuff'!$B$6*1000,'Water Stuff'!AM236*1000)</f>
        <v>0</v>
      </c>
      <c r="I266">
        <f t="shared" si="63"/>
        <v>0</v>
      </c>
      <c r="J266">
        <f t="shared" si="64"/>
        <v>0</v>
      </c>
      <c r="K266">
        <f t="shared" si="65"/>
        <v>0</v>
      </c>
      <c r="L266">
        <f t="shared" si="66"/>
        <v>1.0246214664892284</v>
      </c>
      <c r="M266">
        <f t="shared" si="67"/>
        <v>0</v>
      </c>
      <c r="O266">
        <f t="shared" si="68"/>
        <v>0</v>
      </c>
      <c r="P266">
        <f t="shared" si="69"/>
        <v>0</v>
      </c>
      <c r="Q266">
        <f t="shared" si="70"/>
        <v>0</v>
      </c>
      <c r="R266">
        <f t="shared" si="71"/>
        <v>2.0492429329784567E-2</v>
      </c>
      <c r="S266">
        <f t="shared" si="72"/>
        <v>0</v>
      </c>
      <c r="U266">
        <f t="shared" si="73"/>
        <v>0</v>
      </c>
      <c r="V266">
        <f t="shared" si="74"/>
        <v>0</v>
      </c>
      <c r="W266">
        <f t="shared" si="75"/>
        <v>0</v>
      </c>
      <c r="X266">
        <f t="shared" si="76"/>
        <v>0.51231073324461418</v>
      </c>
      <c r="Y266">
        <f t="shared" si="77"/>
        <v>0</v>
      </c>
      <c r="AA266">
        <f t="shared" si="78"/>
        <v>0</v>
      </c>
      <c r="AB266">
        <f t="shared" si="79"/>
        <v>0</v>
      </c>
      <c r="AC266">
        <f t="shared" si="80"/>
        <v>0</v>
      </c>
      <c r="AD266">
        <f t="shared" si="81"/>
        <v>1.0246214664892284</v>
      </c>
      <c r="AE266">
        <f t="shared" si="82"/>
        <v>0</v>
      </c>
      <c r="AG266" s="109">
        <f t="shared" si="83"/>
        <v>44793</v>
      </c>
      <c r="AH266">
        <f>'Water Stuff'!I236*1000</f>
        <v>620</v>
      </c>
      <c r="AI266">
        <f>'Water Stuff'!Q236*1000</f>
        <v>620</v>
      </c>
      <c r="AJ266">
        <f>'Water Stuff'!Y236*1000</f>
        <v>620</v>
      </c>
      <c r="AK266">
        <f>'Water Stuff'!AG236*1000</f>
        <v>620</v>
      </c>
      <c r="AL266">
        <f>'Water Stuff'!AO236*1000</f>
        <v>620</v>
      </c>
    </row>
    <row r="267" spans="1:38">
      <c r="A267" s="109">
        <f>'Water Stuff'!F237</f>
        <v>44794</v>
      </c>
      <c r="B267">
        <f>IF( 'Water Stuff'!G237*1000 &gt;= 'Water Stuff'!$B$6*1000, 'Water Stuff'!$B$6*1000, 'Water Stuff'!G237*1000)</f>
        <v>0</v>
      </c>
      <c r="C267">
        <f>IF( 'Water Stuff'!O237*1000 &gt;= 'Water Stuff'!$B$6*1000, 'Water Stuff'!$B$6*1000, 'Water Stuff'!O237*1000)</f>
        <v>0</v>
      </c>
      <c r="D267">
        <f>IF( 'Water Stuff'!W237*1000 &gt;= 'Water Stuff'!$B$6*1000, 'Water Stuff'!$B$6*1000, 'Water Stuff'!W237*1000)</f>
        <v>0</v>
      </c>
      <c r="E267">
        <f>IF( 'Water Stuff'!AE237*1000 &gt;= 'Water Stuff'!$B$6*1000, 'Water Stuff'!$B$6*1000, 'Water Stuff'!AE237*1000)</f>
        <v>758.8633430447278</v>
      </c>
      <c r="F267">
        <f>IF('Water Stuff'!AM237*1000&gt;='Water Stuff'!$B$6*1000,'Water Stuff'!$B$6*1000,'Water Stuff'!AM237*1000)</f>
        <v>0</v>
      </c>
      <c r="I267">
        <f t="shared" si="63"/>
        <v>0</v>
      </c>
      <c r="J267">
        <f t="shared" si="64"/>
        <v>0</v>
      </c>
      <c r="K267">
        <f t="shared" si="65"/>
        <v>0</v>
      </c>
      <c r="L267">
        <f t="shared" si="66"/>
        <v>7.5886334304472784</v>
      </c>
      <c r="M267">
        <f t="shared" si="67"/>
        <v>0</v>
      </c>
      <c r="O267">
        <f t="shared" si="68"/>
        <v>0</v>
      </c>
      <c r="P267">
        <f t="shared" si="69"/>
        <v>0</v>
      </c>
      <c r="Q267">
        <f t="shared" si="70"/>
        <v>0</v>
      </c>
      <c r="R267">
        <f t="shared" si="71"/>
        <v>0.15177266860894556</v>
      </c>
      <c r="S267">
        <f t="shared" si="72"/>
        <v>0</v>
      </c>
      <c r="U267">
        <f t="shared" si="73"/>
        <v>0</v>
      </c>
      <c r="V267">
        <f t="shared" si="74"/>
        <v>0</v>
      </c>
      <c r="W267">
        <f t="shared" si="75"/>
        <v>0</v>
      </c>
      <c r="X267">
        <f t="shared" si="76"/>
        <v>3.7943167152236392</v>
      </c>
      <c r="Y267">
        <f t="shared" si="77"/>
        <v>0</v>
      </c>
      <c r="AA267">
        <f t="shared" si="78"/>
        <v>0</v>
      </c>
      <c r="AB267">
        <f t="shared" si="79"/>
        <v>0</v>
      </c>
      <c r="AC267">
        <f t="shared" si="80"/>
        <v>0</v>
      </c>
      <c r="AD267">
        <f t="shared" si="81"/>
        <v>7.5886334304472784</v>
      </c>
      <c r="AE267">
        <f t="shared" si="82"/>
        <v>0</v>
      </c>
      <c r="AG267" s="109">
        <f t="shared" si="83"/>
        <v>44794</v>
      </c>
      <c r="AH267">
        <f>'Water Stuff'!I237*1000</f>
        <v>620</v>
      </c>
      <c r="AI267">
        <f>'Water Stuff'!Q237*1000</f>
        <v>620</v>
      </c>
      <c r="AJ267">
        <f>'Water Stuff'!Y237*1000</f>
        <v>620</v>
      </c>
      <c r="AK267">
        <f>'Water Stuff'!AG237*1000</f>
        <v>620</v>
      </c>
      <c r="AL267">
        <f>'Water Stuff'!AO237*1000</f>
        <v>620</v>
      </c>
    </row>
    <row r="268" spans="1:38">
      <c r="A268" s="109">
        <f>'Water Stuff'!F238</f>
        <v>44795</v>
      </c>
      <c r="B268">
        <f>IF( 'Water Stuff'!G238*1000 &gt;= 'Water Stuff'!$B$6*1000, 'Water Stuff'!$B$6*1000, 'Water Stuff'!G238*1000)</f>
        <v>0</v>
      </c>
      <c r="C268">
        <f>IF( 'Water Stuff'!O238*1000 &gt;= 'Water Stuff'!$B$6*1000, 'Water Stuff'!$B$6*1000, 'Water Stuff'!O238*1000)</f>
        <v>0</v>
      </c>
      <c r="D268">
        <f>IF( 'Water Stuff'!W238*1000 &gt;= 'Water Stuff'!$B$6*1000, 'Water Stuff'!$B$6*1000, 'Water Stuff'!W238*1000)</f>
        <v>0</v>
      </c>
      <c r="E268">
        <f>IF( 'Water Stuff'!AE238*1000 &gt;= 'Water Stuff'!$B$6*1000, 'Water Stuff'!$B$6*1000, 'Water Stuff'!AE238*1000)</f>
        <v>0</v>
      </c>
      <c r="F268">
        <f>IF('Water Stuff'!AM238*1000&gt;='Water Stuff'!$B$6*1000,'Water Stuff'!$B$6*1000,'Water Stuff'!AM238*1000)</f>
        <v>0</v>
      </c>
      <c r="I268">
        <f t="shared" si="63"/>
        <v>0</v>
      </c>
      <c r="J268">
        <f t="shared" si="64"/>
        <v>0</v>
      </c>
      <c r="K268">
        <f t="shared" si="65"/>
        <v>0</v>
      </c>
      <c r="L268">
        <f t="shared" si="66"/>
        <v>0</v>
      </c>
      <c r="M268">
        <f t="shared" si="67"/>
        <v>0</v>
      </c>
      <c r="O268">
        <f t="shared" si="68"/>
        <v>0</v>
      </c>
      <c r="P268">
        <f t="shared" si="69"/>
        <v>0</v>
      </c>
      <c r="Q268">
        <f t="shared" si="70"/>
        <v>0</v>
      </c>
      <c r="R268">
        <f t="shared" si="71"/>
        <v>0</v>
      </c>
      <c r="S268">
        <f t="shared" si="72"/>
        <v>0</v>
      </c>
      <c r="U268">
        <f t="shared" si="73"/>
        <v>0</v>
      </c>
      <c r="V268">
        <f t="shared" si="74"/>
        <v>0</v>
      </c>
      <c r="W268">
        <f t="shared" si="75"/>
        <v>0</v>
      </c>
      <c r="X268">
        <f t="shared" si="76"/>
        <v>0</v>
      </c>
      <c r="Y268">
        <f t="shared" si="77"/>
        <v>0</v>
      </c>
      <c r="AA268">
        <f t="shared" si="78"/>
        <v>0</v>
      </c>
      <c r="AB268">
        <f t="shared" si="79"/>
        <v>0</v>
      </c>
      <c r="AC268">
        <f t="shared" si="80"/>
        <v>0</v>
      </c>
      <c r="AD268">
        <f t="shared" si="81"/>
        <v>0</v>
      </c>
      <c r="AE268">
        <f t="shared" si="82"/>
        <v>0</v>
      </c>
      <c r="AG268" s="109">
        <f t="shared" si="83"/>
        <v>44795</v>
      </c>
      <c r="AH268">
        <f>'Water Stuff'!I238*1000</f>
        <v>620</v>
      </c>
      <c r="AI268">
        <f>'Water Stuff'!Q238*1000</f>
        <v>620</v>
      </c>
      <c r="AJ268">
        <f>'Water Stuff'!Y238*1000</f>
        <v>620</v>
      </c>
      <c r="AK268">
        <f>'Water Stuff'!AG238*1000</f>
        <v>620</v>
      </c>
      <c r="AL268">
        <f>'Water Stuff'!AO238*1000</f>
        <v>620</v>
      </c>
    </row>
    <row r="269" spans="1:38">
      <c r="A269" s="109">
        <f>'Water Stuff'!F239</f>
        <v>44796</v>
      </c>
      <c r="B269">
        <f>IF( 'Water Stuff'!G239*1000 &gt;= 'Water Stuff'!$B$6*1000, 'Water Stuff'!$B$6*1000, 'Water Stuff'!G239*1000)</f>
        <v>0</v>
      </c>
      <c r="C269">
        <f>IF( 'Water Stuff'!O239*1000 &gt;= 'Water Stuff'!$B$6*1000, 'Water Stuff'!$B$6*1000, 'Water Stuff'!O239*1000)</f>
        <v>0</v>
      </c>
      <c r="D269">
        <f>IF( 'Water Stuff'!W239*1000 &gt;= 'Water Stuff'!$B$6*1000, 'Water Stuff'!$B$6*1000, 'Water Stuff'!W239*1000)</f>
        <v>580.31672791303617</v>
      </c>
      <c r="E269">
        <f>IF( 'Water Stuff'!AE239*1000 &gt;= 'Water Stuff'!$B$6*1000, 'Water Stuff'!$B$6*1000, 'Water Stuff'!AE239*1000)</f>
        <v>0</v>
      </c>
      <c r="F269">
        <f>IF('Water Stuff'!AM239*1000&gt;='Water Stuff'!$B$6*1000,'Water Stuff'!$B$6*1000,'Water Stuff'!AM239*1000)</f>
        <v>0</v>
      </c>
      <c r="I269">
        <f t="shared" si="63"/>
        <v>0</v>
      </c>
      <c r="J269">
        <f t="shared" si="64"/>
        <v>0</v>
      </c>
      <c r="K269">
        <f t="shared" si="65"/>
        <v>5.8031672791303617</v>
      </c>
      <c r="L269">
        <f t="shared" si="66"/>
        <v>0</v>
      </c>
      <c r="M269">
        <f t="shared" si="67"/>
        <v>0</v>
      </c>
      <c r="O269">
        <f t="shared" si="68"/>
        <v>0</v>
      </c>
      <c r="P269">
        <f t="shared" si="69"/>
        <v>0</v>
      </c>
      <c r="Q269">
        <f t="shared" si="70"/>
        <v>0.11606334558260724</v>
      </c>
      <c r="R269">
        <f t="shared" si="71"/>
        <v>0</v>
      </c>
      <c r="S269">
        <f t="shared" si="72"/>
        <v>0</v>
      </c>
      <c r="U269">
        <f t="shared" si="73"/>
        <v>0</v>
      </c>
      <c r="V269">
        <f t="shared" si="74"/>
        <v>0</v>
      </c>
      <c r="W269">
        <f t="shared" si="75"/>
        <v>2.9015836395651808</v>
      </c>
      <c r="X269">
        <f t="shared" si="76"/>
        <v>0</v>
      </c>
      <c r="Y269">
        <f t="shared" si="77"/>
        <v>0</v>
      </c>
      <c r="AA269">
        <f t="shared" si="78"/>
        <v>0</v>
      </c>
      <c r="AB269">
        <f t="shared" si="79"/>
        <v>0</v>
      </c>
      <c r="AC269">
        <f t="shared" si="80"/>
        <v>5.8031672791303617</v>
      </c>
      <c r="AD269">
        <f t="shared" si="81"/>
        <v>0</v>
      </c>
      <c r="AE269">
        <f t="shared" si="82"/>
        <v>0</v>
      </c>
      <c r="AG269" s="109">
        <f t="shared" si="83"/>
        <v>44796</v>
      </c>
      <c r="AH269">
        <f>'Water Stuff'!I239*1000</f>
        <v>620</v>
      </c>
      <c r="AI269">
        <f>'Water Stuff'!Q239*1000</f>
        <v>620</v>
      </c>
      <c r="AJ269">
        <f>'Water Stuff'!Y239*1000</f>
        <v>620</v>
      </c>
      <c r="AK269">
        <f>'Water Stuff'!AG239*1000</f>
        <v>620</v>
      </c>
      <c r="AL269">
        <f>'Water Stuff'!AO239*1000</f>
        <v>620</v>
      </c>
    </row>
    <row r="270" spans="1:38">
      <c r="A270" s="109">
        <f>'Water Stuff'!F240</f>
        <v>44797</v>
      </c>
      <c r="B270">
        <f>IF( 'Water Stuff'!G240*1000 &gt;= 'Water Stuff'!$B$6*1000, 'Water Stuff'!$B$6*1000, 'Water Stuff'!G240*1000)</f>
        <v>0</v>
      </c>
      <c r="C270">
        <f>IF( 'Water Stuff'!O240*1000 &gt;= 'Water Stuff'!$B$6*1000, 'Water Stuff'!$B$6*1000, 'Water Stuff'!O240*1000)</f>
        <v>0</v>
      </c>
      <c r="D270">
        <f>IF( 'Water Stuff'!W240*1000 &gt;= 'Water Stuff'!$B$6*1000, 'Water Stuff'!$B$6*1000, 'Water Stuff'!W240*1000)</f>
        <v>996.50898847098381</v>
      </c>
      <c r="E270">
        <f>IF( 'Water Stuff'!AE240*1000 &gt;= 'Water Stuff'!$B$6*1000, 'Water Stuff'!$B$6*1000, 'Water Stuff'!AE240*1000)</f>
        <v>210.16371230469181</v>
      </c>
      <c r="F270">
        <f>IF('Water Stuff'!AM240*1000&gt;='Water Stuff'!$B$6*1000,'Water Stuff'!$B$6*1000,'Water Stuff'!AM240*1000)</f>
        <v>1499.6826283449946</v>
      </c>
      <c r="I270">
        <f t="shared" si="63"/>
        <v>0</v>
      </c>
      <c r="J270">
        <f t="shared" si="64"/>
        <v>0</v>
      </c>
      <c r="K270">
        <f t="shared" si="65"/>
        <v>9.9650898847098386</v>
      </c>
      <c r="L270">
        <f t="shared" si="66"/>
        <v>2.1016371230469182</v>
      </c>
      <c r="M270">
        <f t="shared" si="67"/>
        <v>14.996826283449945</v>
      </c>
      <c r="O270">
        <f t="shared" si="68"/>
        <v>0</v>
      </c>
      <c r="P270">
        <f t="shared" si="69"/>
        <v>0</v>
      </c>
      <c r="Q270">
        <f t="shared" si="70"/>
        <v>0.19930179769419676</v>
      </c>
      <c r="R270">
        <f t="shared" si="71"/>
        <v>4.2032742460938369E-2</v>
      </c>
      <c r="S270">
        <f t="shared" si="72"/>
        <v>0.29993652566899892</v>
      </c>
      <c r="U270">
        <f t="shared" si="73"/>
        <v>0</v>
      </c>
      <c r="V270">
        <f t="shared" si="74"/>
        <v>0</v>
      </c>
      <c r="W270">
        <f t="shared" si="75"/>
        <v>4.9825449423549193</v>
      </c>
      <c r="X270">
        <f t="shared" si="76"/>
        <v>1.0508185615234591</v>
      </c>
      <c r="Y270">
        <f t="shared" si="77"/>
        <v>7.4984131417249733</v>
      </c>
      <c r="AA270">
        <f t="shared" si="78"/>
        <v>0</v>
      </c>
      <c r="AB270">
        <f t="shared" si="79"/>
        <v>0</v>
      </c>
      <c r="AC270">
        <f t="shared" si="80"/>
        <v>9.9650898847098386</v>
      </c>
      <c r="AD270">
        <f t="shared" si="81"/>
        <v>2.1016371230469182</v>
      </c>
      <c r="AE270">
        <f t="shared" si="82"/>
        <v>14.996826283449947</v>
      </c>
      <c r="AG270" s="109">
        <f t="shared" si="83"/>
        <v>44797</v>
      </c>
      <c r="AH270">
        <f>'Water Stuff'!I240*1000</f>
        <v>620</v>
      </c>
      <c r="AI270">
        <f>'Water Stuff'!Q240*1000</f>
        <v>620</v>
      </c>
      <c r="AJ270">
        <f>'Water Stuff'!Y240*1000</f>
        <v>620</v>
      </c>
      <c r="AK270">
        <f>'Water Stuff'!AG240*1000</f>
        <v>620</v>
      </c>
      <c r="AL270">
        <f>'Water Stuff'!AO240*1000</f>
        <v>620</v>
      </c>
    </row>
    <row r="271" spans="1:38">
      <c r="A271" s="109">
        <f>'Water Stuff'!F241</f>
        <v>44798</v>
      </c>
      <c r="B271">
        <f>IF( 'Water Stuff'!G241*1000 &gt;= 'Water Stuff'!$B$6*1000, 'Water Stuff'!$B$6*1000, 'Water Stuff'!G241*1000)</f>
        <v>0</v>
      </c>
      <c r="C271">
        <f>IF( 'Water Stuff'!O241*1000 &gt;= 'Water Stuff'!$B$6*1000, 'Water Stuff'!$B$6*1000, 'Water Stuff'!O241*1000)</f>
        <v>0</v>
      </c>
      <c r="D271">
        <f>IF( 'Water Stuff'!W241*1000 &gt;= 'Water Stuff'!$B$6*1000, 'Water Stuff'!$B$6*1000, 'Water Stuff'!W241*1000)</f>
        <v>884.38365328209318</v>
      </c>
      <c r="E271">
        <f>IF( 'Water Stuff'!AE241*1000 &gt;= 'Water Stuff'!$B$6*1000, 'Water Stuff'!$B$6*1000, 'Water Stuff'!AE241*1000)</f>
        <v>1350.0388468128965</v>
      </c>
      <c r="F271">
        <f>IF('Water Stuff'!AM241*1000&gt;='Water Stuff'!$B$6*1000,'Water Stuff'!$B$6*1000,'Water Stuff'!AM241*1000)</f>
        <v>0</v>
      </c>
      <c r="I271">
        <f t="shared" si="63"/>
        <v>0</v>
      </c>
      <c r="J271">
        <f t="shared" si="64"/>
        <v>0</v>
      </c>
      <c r="K271">
        <f t="shared" si="65"/>
        <v>8.8438365328209319</v>
      </c>
      <c r="L271">
        <f t="shared" si="66"/>
        <v>13.500388468128966</v>
      </c>
      <c r="M271">
        <f t="shared" si="67"/>
        <v>0</v>
      </c>
      <c r="O271">
        <f t="shared" si="68"/>
        <v>0</v>
      </c>
      <c r="P271">
        <f t="shared" si="69"/>
        <v>0</v>
      </c>
      <c r="Q271">
        <f t="shared" si="70"/>
        <v>0.17687673065641862</v>
      </c>
      <c r="R271">
        <f t="shared" si="71"/>
        <v>0.27000776936257931</v>
      </c>
      <c r="S271">
        <f t="shared" si="72"/>
        <v>0</v>
      </c>
      <c r="U271">
        <f t="shared" si="73"/>
        <v>0</v>
      </c>
      <c r="V271">
        <f t="shared" si="74"/>
        <v>0</v>
      </c>
      <c r="W271">
        <f t="shared" si="75"/>
        <v>4.4219182664104659</v>
      </c>
      <c r="X271">
        <f t="shared" si="76"/>
        <v>6.7501942340644829</v>
      </c>
      <c r="Y271">
        <f t="shared" si="77"/>
        <v>0</v>
      </c>
      <c r="AA271">
        <f t="shared" si="78"/>
        <v>0</v>
      </c>
      <c r="AB271">
        <f t="shared" si="79"/>
        <v>0</v>
      </c>
      <c r="AC271">
        <f t="shared" si="80"/>
        <v>8.8438365328209319</v>
      </c>
      <c r="AD271">
        <f t="shared" si="81"/>
        <v>13.500388468128966</v>
      </c>
      <c r="AE271">
        <f t="shared" si="82"/>
        <v>0</v>
      </c>
      <c r="AG271" s="109">
        <f t="shared" si="83"/>
        <v>44798</v>
      </c>
      <c r="AH271">
        <f>'Water Stuff'!I241*1000</f>
        <v>620</v>
      </c>
      <c r="AI271">
        <f>'Water Stuff'!Q241*1000</f>
        <v>620</v>
      </c>
      <c r="AJ271">
        <f>'Water Stuff'!Y241*1000</f>
        <v>620</v>
      </c>
      <c r="AK271">
        <f>'Water Stuff'!AG241*1000</f>
        <v>620</v>
      </c>
      <c r="AL271">
        <f>'Water Stuff'!AO241*1000</f>
        <v>620</v>
      </c>
    </row>
    <row r="272" spans="1:38">
      <c r="A272" s="109">
        <f>'Water Stuff'!F242</f>
        <v>44799</v>
      </c>
      <c r="B272">
        <f>IF( 'Water Stuff'!G242*1000 &gt;= 'Water Stuff'!$B$6*1000, 'Water Stuff'!$B$6*1000, 'Water Stuff'!G242*1000)</f>
        <v>0</v>
      </c>
      <c r="C272">
        <f>IF( 'Water Stuff'!O242*1000 &gt;= 'Water Stuff'!$B$6*1000, 'Water Stuff'!$B$6*1000, 'Water Stuff'!O242*1000)</f>
        <v>0</v>
      </c>
      <c r="D272">
        <f>IF( 'Water Stuff'!W242*1000 &gt;= 'Water Stuff'!$B$6*1000, 'Water Stuff'!$B$6*1000, 'Water Stuff'!W242*1000)</f>
        <v>0</v>
      </c>
      <c r="E272">
        <f>IF( 'Water Stuff'!AE242*1000 &gt;= 'Water Stuff'!$B$6*1000, 'Water Stuff'!$B$6*1000, 'Water Stuff'!AE242*1000)</f>
        <v>0</v>
      </c>
      <c r="F272">
        <f>IF('Water Stuff'!AM242*1000&gt;='Water Stuff'!$B$6*1000,'Water Stuff'!$B$6*1000,'Water Stuff'!AM242*1000)</f>
        <v>0</v>
      </c>
      <c r="I272">
        <f t="shared" si="63"/>
        <v>0</v>
      </c>
      <c r="J272">
        <f t="shared" si="64"/>
        <v>0</v>
      </c>
      <c r="K272">
        <f t="shared" si="65"/>
        <v>0</v>
      </c>
      <c r="L272">
        <f t="shared" si="66"/>
        <v>0</v>
      </c>
      <c r="M272">
        <f t="shared" si="67"/>
        <v>0</v>
      </c>
      <c r="O272">
        <f t="shared" si="68"/>
        <v>0</v>
      </c>
      <c r="P272">
        <f t="shared" si="69"/>
        <v>0</v>
      </c>
      <c r="Q272">
        <f t="shared" si="70"/>
        <v>0</v>
      </c>
      <c r="R272">
        <f t="shared" si="71"/>
        <v>0</v>
      </c>
      <c r="S272">
        <f t="shared" si="72"/>
        <v>0</v>
      </c>
      <c r="U272">
        <f t="shared" si="73"/>
        <v>0</v>
      </c>
      <c r="V272">
        <f t="shared" si="74"/>
        <v>0</v>
      </c>
      <c r="W272">
        <f t="shared" si="75"/>
        <v>0</v>
      </c>
      <c r="X272">
        <f t="shared" si="76"/>
        <v>0</v>
      </c>
      <c r="Y272">
        <f t="shared" si="77"/>
        <v>0</v>
      </c>
      <c r="AA272">
        <f t="shared" si="78"/>
        <v>0</v>
      </c>
      <c r="AB272">
        <f t="shared" si="79"/>
        <v>0</v>
      </c>
      <c r="AC272">
        <f t="shared" si="80"/>
        <v>0</v>
      </c>
      <c r="AD272">
        <f t="shared" si="81"/>
        <v>0</v>
      </c>
      <c r="AE272">
        <f t="shared" si="82"/>
        <v>0</v>
      </c>
      <c r="AG272" s="109">
        <f t="shared" si="83"/>
        <v>44799</v>
      </c>
      <c r="AH272">
        <f>'Water Stuff'!I242*1000</f>
        <v>620</v>
      </c>
      <c r="AI272">
        <f>'Water Stuff'!Q242*1000</f>
        <v>620</v>
      </c>
      <c r="AJ272">
        <f>'Water Stuff'!Y242*1000</f>
        <v>620</v>
      </c>
      <c r="AK272">
        <f>'Water Stuff'!AG242*1000</f>
        <v>620</v>
      </c>
      <c r="AL272">
        <f>'Water Stuff'!AO242*1000</f>
        <v>620</v>
      </c>
    </row>
    <row r="273" spans="1:38">
      <c r="A273" s="109">
        <f>'Water Stuff'!F243</f>
        <v>44800</v>
      </c>
      <c r="B273">
        <f>IF( 'Water Stuff'!G243*1000 &gt;= 'Water Stuff'!$B$6*1000, 'Water Stuff'!$B$6*1000, 'Water Stuff'!G243*1000)</f>
        <v>0</v>
      </c>
      <c r="C273">
        <f>IF( 'Water Stuff'!O243*1000 &gt;= 'Water Stuff'!$B$6*1000, 'Water Stuff'!$B$6*1000, 'Water Stuff'!O243*1000)</f>
        <v>560</v>
      </c>
      <c r="D273">
        <f>IF( 'Water Stuff'!W243*1000 &gt;= 'Water Stuff'!$B$6*1000, 'Water Stuff'!$B$6*1000, 'Water Stuff'!W243*1000)</f>
        <v>0</v>
      </c>
      <c r="E273">
        <f>IF( 'Water Stuff'!AE243*1000 &gt;= 'Water Stuff'!$B$6*1000, 'Water Stuff'!$B$6*1000, 'Water Stuff'!AE243*1000)</f>
        <v>0</v>
      </c>
      <c r="F273">
        <f>IF('Water Stuff'!AM243*1000&gt;='Water Stuff'!$B$6*1000,'Water Stuff'!$B$6*1000,'Water Stuff'!AM243*1000)</f>
        <v>0</v>
      </c>
      <c r="I273">
        <f t="shared" si="63"/>
        <v>0</v>
      </c>
      <c r="J273">
        <f t="shared" si="64"/>
        <v>5.6</v>
      </c>
      <c r="K273">
        <f t="shared" si="65"/>
        <v>0</v>
      </c>
      <c r="L273">
        <f t="shared" si="66"/>
        <v>0</v>
      </c>
      <c r="M273">
        <f t="shared" si="67"/>
        <v>0</v>
      </c>
      <c r="O273">
        <f t="shared" si="68"/>
        <v>0</v>
      </c>
      <c r="P273">
        <f t="shared" si="69"/>
        <v>0.112</v>
      </c>
      <c r="Q273">
        <f t="shared" si="70"/>
        <v>0</v>
      </c>
      <c r="R273">
        <f t="shared" si="71"/>
        <v>0</v>
      </c>
      <c r="S273">
        <f t="shared" si="72"/>
        <v>0</v>
      </c>
      <c r="U273">
        <f t="shared" si="73"/>
        <v>0</v>
      </c>
      <c r="V273">
        <f t="shared" si="74"/>
        <v>2.8000000000000003</v>
      </c>
      <c r="W273">
        <f t="shared" si="75"/>
        <v>0</v>
      </c>
      <c r="X273">
        <f t="shared" si="76"/>
        <v>0</v>
      </c>
      <c r="Y273">
        <f t="shared" si="77"/>
        <v>0</v>
      </c>
      <c r="AA273">
        <f t="shared" si="78"/>
        <v>0</v>
      </c>
      <c r="AB273">
        <f t="shared" si="79"/>
        <v>5.6000000000000005</v>
      </c>
      <c r="AC273">
        <f t="shared" si="80"/>
        <v>0</v>
      </c>
      <c r="AD273">
        <f t="shared" si="81"/>
        <v>0</v>
      </c>
      <c r="AE273">
        <f t="shared" si="82"/>
        <v>0</v>
      </c>
      <c r="AG273" s="109">
        <f t="shared" si="83"/>
        <v>44800</v>
      </c>
      <c r="AH273">
        <f>'Water Stuff'!I243*1000</f>
        <v>620</v>
      </c>
      <c r="AI273">
        <f>'Water Stuff'!Q243*1000</f>
        <v>620</v>
      </c>
      <c r="AJ273">
        <f>'Water Stuff'!Y243*1000</f>
        <v>620</v>
      </c>
      <c r="AK273">
        <f>'Water Stuff'!AG243*1000</f>
        <v>620</v>
      </c>
      <c r="AL273">
        <f>'Water Stuff'!AO243*1000</f>
        <v>620</v>
      </c>
    </row>
    <row r="274" spans="1:38">
      <c r="A274" s="109">
        <f>'Water Stuff'!F244</f>
        <v>44801</v>
      </c>
      <c r="B274">
        <f>IF( 'Water Stuff'!G244*1000 &gt;= 'Water Stuff'!$B$6*1000, 'Water Stuff'!$B$6*1000, 'Water Stuff'!G244*1000)</f>
        <v>80</v>
      </c>
      <c r="C274">
        <f>IF( 'Water Stuff'!O244*1000 &gt;= 'Water Stuff'!$B$6*1000, 'Water Stuff'!$B$6*1000, 'Water Stuff'!O244*1000)</f>
        <v>2080</v>
      </c>
      <c r="D274">
        <f>IF( 'Water Stuff'!W244*1000 &gt;= 'Water Stuff'!$B$6*1000, 'Water Stuff'!$B$6*1000, 'Water Stuff'!W244*1000)</f>
        <v>866.54951521061867</v>
      </c>
      <c r="E274">
        <f>IF( 'Water Stuff'!AE244*1000 &gt;= 'Water Stuff'!$B$6*1000, 'Water Stuff'!$B$6*1000, 'Water Stuff'!AE244*1000)</f>
        <v>1730.9916733825985</v>
      </c>
      <c r="F274">
        <f>IF('Water Stuff'!AM244*1000&gt;='Water Stuff'!$B$6*1000,'Water Stuff'!$B$6*1000,'Water Stuff'!AM244*1000)</f>
        <v>1315.3478096491376</v>
      </c>
      <c r="I274">
        <f t="shared" si="63"/>
        <v>0.8</v>
      </c>
      <c r="J274">
        <f t="shared" si="64"/>
        <v>20.8</v>
      </c>
      <c r="K274">
        <f t="shared" si="65"/>
        <v>8.6654951521061871</v>
      </c>
      <c r="L274">
        <f t="shared" si="66"/>
        <v>17.309916733825986</v>
      </c>
      <c r="M274">
        <f t="shared" si="67"/>
        <v>13.153478096491376</v>
      </c>
      <c r="O274">
        <f t="shared" si="68"/>
        <v>1.6E-2</v>
      </c>
      <c r="P274">
        <f t="shared" si="69"/>
        <v>0.41599999999999998</v>
      </c>
      <c r="Q274">
        <f t="shared" si="70"/>
        <v>0.17330990304212371</v>
      </c>
      <c r="R274">
        <f t="shared" si="71"/>
        <v>0.34619833467651973</v>
      </c>
      <c r="S274">
        <f t="shared" si="72"/>
        <v>0.2630695619298275</v>
      </c>
      <c r="U274">
        <f t="shared" si="73"/>
        <v>0.4</v>
      </c>
      <c r="V274">
        <f t="shared" si="74"/>
        <v>10.4</v>
      </c>
      <c r="W274">
        <f t="shared" si="75"/>
        <v>4.3327475760530936</v>
      </c>
      <c r="X274">
        <f t="shared" si="76"/>
        <v>8.654958366912993</v>
      </c>
      <c r="Y274">
        <f t="shared" si="77"/>
        <v>6.5767390482456882</v>
      </c>
      <c r="AA274">
        <f t="shared" si="78"/>
        <v>0.8</v>
      </c>
      <c r="AB274">
        <f t="shared" si="79"/>
        <v>20.8</v>
      </c>
      <c r="AC274">
        <f t="shared" si="80"/>
        <v>8.6654951521061871</v>
      </c>
      <c r="AD274">
        <f t="shared" si="81"/>
        <v>17.309916733825986</v>
      </c>
      <c r="AE274">
        <f t="shared" si="82"/>
        <v>13.153478096491376</v>
      </c>
      <c r="AG274" s="109">
        <f t="shared" si="83"/>
        <v>44801</v>
      </c>
      <c r="AH274">
        <f>'Water Stuff'!I244*1000</f>
        <v>620</v>
      </c>
      <c r="AI274">
        <f>'Water Stuff'!Q244*1000</f>
        <v>620</v>
      </c>
      <c r="AJ274">
        <f>'Water Stuff'!Y244*1000</f>
        <v>620</v>
      </c>
      <c r="AK274">
        <f>'Water Stuff'!AG244*1000</f>
        <v>620</v>
      </c>
      <c r="AL274">
        <f>'Water Stuff'!AO244*1000</f>
        <v>620</v>
      </c>
    </row>
    <row r="275" spans="1:38">
      <c r="A275" s="109">
        <f>'Water Stuff'!F245</f>
        <v>44802</v>
      </c>
      <c r="B275">
        <f>IF( 'Water Stuff'!G245*1000 &gt;= 'Water Stuff'!$B$6*1000, 'Water Stuff'!$B$6*1000, 'Water Stuff'!G245*1000)</f>
        <v>1560</v>
      </c>
      <c r="C275">
        <f>IF( 'Water Stuff'!O245*1000 &gt;= 'Water Stuff'!$B$6*1000, 'Water Stuff'!$B$6*1000, 'Water Stuff'!O245*1000)</f>
        <v>6680</v>
      </c>
      <c r="D275">
        <f>IF( 'Water Stuff'!W245*1000 &gt;= 'Water Stuff'!$B$6*1000, 'Water Stuff'!$B$6*1000, 'Water Stuff'!W245*1000)</f>
        <v>1261.5264232320917</v>
      </c>
      <c r="E275">
        <f>IF( 'Water Stuff'!AE245*1000 &gt;= 'Water Stuff'!$B$6*1000, 'Water Stuff'!$B$6*1000, 'Water Stuff'!AE245*1000)</f>
        <v>6835.8344881693438</v>
      </c>
      <c r="F275">
        <f>IF('Water Stuff'!AM245*1000&gt;='Water Stuff'!$B$6*1000,'Water Stuff'!$B$6*1000,'Water Stuff'!AM245*1000)</f>
        <v>1507.3942295957895</v>
      </c>
      <c r="I275">
        <f t="shared" si="63"/>
        <v>15.6</v>
      </c>
      <c r="J275">
        <f t="shared" si="64"/>
        <v>66.8</v>
      </c>
      <c r="K275">
        <f t="shared" si="65"/>
        <v>12.615264232320916</v>
      </c>
      <c r="L275">
        <f t="shared" si="66"/>
        <v>68.358344881693441</v>
      </c>
      <c r="M275">
        <f t="shared" si="67"/>
        <v>15.073942295957895</v>
      </c>
      <c r="O275">
        <f t="shared" si="68"/>
        <v>0.312</v>
      </c>
      <c r="P275">
        <f t="shared" si="69"/>
        <v>1.3360000000000001</v>
      </c>
      <c r="Q275">
        <f t="shared" si="70"/>
        <v>0.25230528464641833</v>
      </c>
      <c r="R275">
        <f t="shared" si="71"/>
        <v>1.3671668976338687</v>
      </c>
      <c r="S275">
        <f t="shared" si="72"/>
        <v>0.30147884591915791</v>
      </c>
      <c r="U275">
        <f t="shared" si="73"/>
        <v>7.8</v>
      </c>
      <c r="V275">
        <f t="shared" si="74"/>
        <v>33.4</v>
      </c>
      <c r="W275">
        <f t="shared" si="75"/>
        <v>6.3076321161604589</v>
      </c>
      <c r="X275">
        <f t="shared" si="76"/>
        <v>34.17917244084672</v>
      </c>
      <c r="Y275">
        <f t="shared" si="77"/>
        <v>7.5369711479789476</v>
      </c>
      <c r="AA275">
        <f t="shared" si="78"/>
        <v>15.6</v>
      </c>
      <c r="AB275">
        <f t="shared" si="79"/>
        <v>66.8</v>
      </c>
      <c r="AC275">
        <f t="shared" si="80"/>
        <v>12.615264232320918</v>
      </c>
      <c r="AD275">
        <f t="shared" si="81"/>
        <v>68.358344881693441</v>
      </c>
      <c r="AE275">
        <f t="shared" si="82"/>
        <v>15.073942295957895</v>
      </c>
      <c r="AG275" s="109">
        <f t="shared" si="83"/>
        <v>44802</v>
      </c>
      <c r="AH275">
        <f>'Water Stuff'!I245*1000</f>
        <v>620</v>
      </c>
      <c r="AI275">
        <f>'Water Stuff'!Q245*1000</f>
        <v>620</v>
      </c>
      <c r="AJ275">
        <f>'Water Stuff'!Y245*1000</f>
        <v>620</v>
      </c>
      <c r="AK275">
        <f>'Water Stuff'!AG245*1000</f>
        <v>620</v>
      </c>
      <c r="AL275">
        <f>'Water Stuff'!AO245*1000</f>
        <v>620</v>
      </c>
    </row>
    <row r="276" spans="1:38">
      <c r="A276" s="109">
        <f>'Water Stuff'!F246</f>
        <v>44803</v>
      </c>
      <c r="B276">
        <f>IF( 'Water Stuff'!G246*1000 &gt;= 'Water Stuff'!$B$6*1000, 'Water Stuff'!$B$6*1000, 'Water Stuff'!G246*1000)</f>
        <v>720</v>
      </c>
      <c r="C276">
        <f>IF( 'Water Stuff'!O246*1000 &gt;= 'Water Stuff'!$B$6*1000, 'Water Stuff'!$B$6*1000, 'Water Stuff'!O246*1000)</f>
        <v>5200</v>
      </c>
      <c r="D276">
        <f>IF( 'Water Stuff'!W246*1000 &gt;= 'Water Stuff'!$B$6*1000, 'Water Stuff'!$B$6*1000, 'Water Stuff'!W246*1000)</f>
        <v>864.1567697231277</v>
      </c>
      <c r="E276">
        <f>IF( 'Water Stuff'!AE246*1000 &gt;= 'Water Stuff'!$B$6*1000, 'Water Stuff'!$B$6*1000, 'Water Stuff'!AE246*1000)</f>
        <v>5382.1221377588799</v>
      </c>
      <c r="F276">
        <f>IF('Water Stuff'!AM246*1000&gt;='Water Stuff'!$B$6*1000,'Water Stuff'!$B$6*1000,'Water Stuff'!AM246*1000)</f>
        <v>2304.8158451251061</v>
      </c>
      <c r="I276">
        <f t="shared" si="63"/>
        <v>7.2</v>
      </c>
      <c r="J276">
        <f t="shared" si="64"/>
        <v>52</v>
      </c>
      <c r="K276">
        <f t="shared" si="65"/>
        <v>8.6415676972312774</v>
      </c>
      <c r="L276">
        <f t="shared" si="66"/>
        <v>53.821221377588799</v>
      </c>
      <c r="M276">
        <f t="shared" si="67"/>
        <v>23.048158451251059</v>
      </c>
      <c r="O276">
        <f t="shared" si="68"/>
        <v>0.14399999999999999</v>
      </c>
      <c r="P276">
        <f t="shared" si="69"/>
        <v>1.04</v>
      </c>
      <c r="Q276">
        <f t="shared" si="70"/>
        <v>0.17283135394462554</v>
      </c>
      <c r="R276">
        <f t="shared" si="71"/>
        <v>1.076424427551776</v>
      </c>
      <c r="S276">
        <f t="shared" si="72"/>
        <v>0.46096316902502121</v>
      </c>
      <c r="U276">
        <f t="shared" si="73"/>
        <v>3.6</v>
      </c>
      <c r="V276">
        <f t="shared" si="74"/>
        <v>26</v>
      </c>
      <c r="W276">
        <f t="shared" si="75"/>
        <v>4.3207838486156387</v>
      </c>
      <c r="X276">
        <f t="shared" si="76"/>
        <v>26.910610688794399</v>
      </c>
      <c r="Y276">
        <f t="shared" si="77"/>
        <v>11.524079225625531</v>
      </c>
      <c r="AA276">
        <f t="shared" si="78"/>
        <v>7.2</v>
      </c>
      <c r="AB276">
        <f t="shared" si="79"/>
        <v>52</v>
      </c>
      <c r="AC276">
        <f t="shared" si="80"/>
        <v>8.6415676972312774</v>
      </c>
      <c r="AD276">
        <f t="shared" si="81"/>
        <v>53.821221377588799</v>
      </c>
      <c r="AE276">
        <f t="shared" si="82"/>
        <v>23.048158451251062</v>
      </c>
      <c r="AG276" s="109">
        <f t="shared" si="83"/>
        <v>44803</v>
      </c>
      <c r="AH276">
        <f>'Water Stuff'!I246*1000</f>
        <v>620</v>
      </c>
      <c r="AI276">
        <f>'Water Stuff'!Q246*1000</f>
        <v>620</v>
      </c>
      <c r="AJ276">
        <f>'Water Stuff'!Y246*1000</f>
        <v>620</v>
      </c>
      <c r="AK276">
        <f>'Water Stuff'!AG246*1000</f>
        <v>620</v>
      </c>
      <c r="AL276">
        <f>'Water Stuff'!AO246*1000</f>
        <v>620</v>
      </c>
    </row>
    <row r="277" spans="1:38">
      <c r="A277" s="109">
        <f>'Water Stuff'!F247</f>
        <v>44804</v>
      </c>
      <c r="B277">
        <f>IF( 'Water Stuff'!G247*1000 &gt;= 'Water Stuff'!$B$6*1000, 'Water Stuff'!$B$6*1000, 'Water Stuff'!G247*1000)</f>
        <v>2120</v>
      </c>
      <c r="C277">
        <f>IF( 'Water Stuff'!O247*1000 &gt;= 'Water Stuff'!$B$6*1000, 'Water Stuff'!$B$6*1000, 'Water Stuff'!O247*1000)</f>
        <v>1200</v>
      </c>
      <c r="D277">
        <f>IF( 'Water Stuff'!W247*1000 &gt;= 'Water Stuff'!$B$6*1000, 'Water Stuff'!$B$6*1000, 'Water Stuff'!W247*1000)</f>
        <v>1973.8911673274893</v>
      </c>
      <c r="E277">
        <f>IF( 'Water Stuff'!AE247*1000 &gt;= 'Water Stuff'!$B$6*1000, 'Water Stuff'!$B$6*1000, 'Water Stuff'!AE247*1000)</f>
        <v>0</v>
      </c>
      <c r="F277">
        <f>IF('Water Stuff'!AM247*1000&gt;='Water Stuff'!$B$6*1000,'Water Stuff'!$B$6*1000,'Water Stuff'!AM247*1000)</f>
        <v>2692.6839329569857</v>
      </c>
      <c r="I277">
        <f t="shared" si="63"/>
        <v>21.2</v>
      </c>
      <c r="J277">
        <f t="shared" si="64"/>
        <v>12</v>
      </c>
      <c r="K277">
        <f t="shared" si="65"/>
        <v>19.738911673274892</v>
      </c>
      <c r="L277">
        <f t="shared" si="66"/>
        <v>0</v>
      </c>
      <c r="M277">
        <f t="shared" si="67"/>
        <v>26.926839329569855</v>
      </c>
      <c r="O277">
        <f t="shared" si="68"/>
        <v>0.42399999999999999</v>
      </c>
      <c r="P277">
        <f t="shared" si="69"/>
        <v>0.24</v>
      </c>
      <c r="Q277">
        <f t="shared" si="70"/>
        <v>0.39477823346549784</v>
      </c>
      <c r="R277">
        <f t="shared" si="71"/>
        <v>0</v>
      </c>
      <c r="S277">
        <f t="shared" si="72"/>
        <v>0.53853678659139714</v>
      </c>
      <c r="U277">
        <f t="shared" si="73"/>
        <v>10.6</v>
      </c>
      <c r="V277">
        <f t="shared" si="74"/>
        <v>6</v>
      </c>
      <c r="W277">
        <f t="shared" si="75"/>
        <v>9.8694558366374459</v>
      </c>
      <c r="X277">
        <f t="shared" si="76"/>
        <v>0</v>
      </c>
      <c r="Y277">
        <f t="shared" si="77"/>
        <v>13.463419664784929</v>
      </c>
      <c r="AA277">
        <f t="shared" si="78"/>
        <v>21.2</v>
      </c>
      <c r="AB277">
        <f t="shared" si="79"/>
        <v>12</v>
      </c>
      <c r="AC277">
        <f t="shared" si="80"/>
        <v>19.738911673274892</v>
      </c>
      <c r="AD277">
        <f t="shared" si="81"/>
        <v>0</v>
      </c>
      <c r="AE277">
        <f t="shared" si="82"/>
        <v>26.926839329569859</v>
      </c>
      <c r="AG277" s="109">
        <f t="shared" si="83"/>
        <v>44804</v>
      </c>
      <c r="AH277">
        <f>'Water Stuff'!I247*1000</f>
        <v>620</v>
      </c>
      <c r="AI277">
        <f>'Water Stuff'!Q247*1000</f>
        <v>620</v>
      </c>
      <c r="AJ277">
        <f>'Water Stuff'!Y247*1000</f>
        <v>620</v>
      </c>
      <c r="AK277">
        <f>'Water Stuff'!AG247*1000</f>
        <v>620</v>
      </c>
      <c r="AL277">
        <f>'Water Stuff'!AO247*1000</f>
        <v>620</v>
      </c>
    </row>
    <row r="278" spans="1:38">
      <c r="A278" s="109">
        <f>'Water Stuff'!F248</f>
        <v>44805</v>
      </c>
      <c r="B278">
        <f>IF( 'Water Stuff'!G248*1000 &gt;= 'Water Stuff'!$B$6*1000, 'Water Stuff'!$B$6*1000, 'Water Stuff'!G248*1000)</f>
        <v>640</v>
      </c>
      <c r="C278">
        <f>IF( 'Water Stuff'!O248*1000 &gt;= 'Water Stuff'!$B$6*1000, 'Water Stuff'!$B$6*1000, 'Water Stuff'!O248*1000)</f>
        <v>3160</v>
      </c>
      <c r="D278">
        <f>IF( 'Water Stuff'!W248*1000 &gt;= 'Water Stuff'!$B$6*1000, 'Water Stuff'!$B$6*1000, 'Water Stuff'!W248*1000)</f>
        <v>0</v>
      </c>
      <c r="E278">
        <f>IF( 'Water Stuff'!AE248*1000 &gt;= 'Water Stuff'!$B$6*1000, 'Water Stuff'!$B$6*1000, 'Water Stuff'!AE248*1000)</f>
        <v>2949.6949453292518</v>
      </c>
      <c r="F278">
        <f>IF('Water Stuff'!AM248*1000&gt;='Water Stuff'!$B$6*1000,'Water Stuff'!$B$6*1000,'Water Stuff'!AM248*1000)</f>
        <v>0</v>
      </c>
      <c r="I278">
        <f t="shared" si="63"/>
        <v>6.4</v>
      </c>
      <c r="J278">
        <f t="shared" si="64"/>
        <v>31.6</v>
      </c>
      <c r="K278">
        <f t="shared" si="65"/>
        <v>0</v>
      </c>
      <c r="L278">
        <f t="shared" si="66"/>
        <v>29.496949453292515</v>
      </c>
      <c r="M278">
        <f t="shared" si="67"/>
        <v>0</v>
      </c>
      <c r="O278">
        <f t="shared" si="68"/>
        <v>0.128</v>
      </c>
      <c r="P278">
        <f t="shared" si="69"/>
        <v>0.63200000000000001</v>
      </c>
      <c r="Q278">
        <f t="shared" si="70"/>
        <v>0</v>
      </c>
      <c r="R278">
        <f t="shared" si="71"/>
        <v>0.58993898906585029</v>
      </c>
      <c r="S278">
        <f t="shared" si="72"/>
        <v>0</v>
      </c>
      <c r="U278">
        <f t="shared" si="73"/>
        <v>3.2</v>
      </c>
      <c r="V278">
        <f t="shared" si="74"/>
        <v>15.8</v>
      </c>
      <c r="W278">
        <f t="shared" si="75"/>
        <v>0</v>
      </c>
      <c r="X278">
        <f t="shared" si="76"/>
        <v>14.748474726646259</v>
      </c>
      <c r="Y278">
        <f t="shared" si="77"/>
        <v>0</v>
      </c>
      <c r="AA278">
        <f t="shared" si="78"/>
        <v>6.4</v>
      </c>
      <c r="AB278">
        <f t="shared" si="79"/>
        <v>31.6</v>
      </c>
      <c r="AC278">
        <f t="shared" si="80"/>
        <v>0</v>
      </c>
      <c r="AD278">
        <f t="shared" si="81"/>
        <v>29.496949453292519</v>
      </c>
      <c r="AE278">
        <f t="shared" si="82"/>
        <v>0</v>
      </c>
      <c r="AG278" s="109">
        <f t="shared" si="83"/>
        <v>44805</v>
      </c>
      <c r="AH278">
        <f>'Water Stuff'!I248*1000</f>
        <v>620</v>
      </c>
      <c r="AI278">
        <f>'Water Stuff'!Q248*1000</f>
        <v>620</v>
      </c>
      <c r="AJ278">
        <f>'Water Stuff'!Y248*1000</f>
        <v>620</v>
      </c>
      <c r="AK278">
        <f>'Water Stuff'!AG248*1000</f>
        <v>620</v>
      </c>
      <c r="AL278">
        <f>'Water Stuff'!AO248*1000</f>
        <v>620</v>
      </c>
    </row>
    <row r="279" spans="1:38">
      <c r="A279" s="109">
        <f>'Water Stuff'!F249</f>
        <v>44806</v>
      </c>
      <c r="B279">
        <f>IF( 'Water Stuff'!G249*1000 &gt;= 'Water Stuff'!$B$6*1000, 'Water Stuff'!$B$6*1000, 'Water Stuff'!G249*1000)</f>
        <v>1240</v>
      </c>
      <c r="C279">
        <f>IF( 'Water Stuff'!O249*1000 &gt;= 'Water Stuff'!$B$6*1000, 'Water Stuff'!$B$6*1000, 'Water Stuff'!O249*1000)</f>
        <v>160</v>
      </c>
      <c r="D279">
        <f>IF( 'Water Stuff'!W249*1000 &gt;= 'Water Stuff'!$B$6*1000, 'Water Stuff'!$B$6*1000, 'Water Stuff'!W249*1000)</f>
        <v>2805.9879166110281</v>
      </c>
      <c r="E279">
        <f>IF( 'Water Stuff'!AE249*1000 &gt;= 'Water Stuff'!$B$6*1000, 'Water Stuff'!$B$6*1000, 'Water Stuff'!AE249*1000)</f>
        <v>0</v>
      </c>
      <c r="F279">
        <f>IF('Water Stuff'!AM249*1000&gt;='Water Stuff'!$B$6*1000,'Water Stuff'!$B$6*1000,'Water Stuff'!AM249*1000)</f>
        <v>248.90315006300517</v>
      </c>
      <c r="I279">
        <f t="shared" si="63"/>
        <v>12.4</v>
      </c>
      <c r="J279">
        <f t="shared" si="64"/>
        <v>1.6</v>
      </c>
      <c r="K279">
        <f t="shared" si="65"/>
        <v>28.059879166110282</v>
      </c>
      <c r="L279">
        <f t="shared" si="66"/>
        <v>0</v>
      </c>
      <c r="M279">
        <f t="shared" si="67"/>
        <v>2.4890315006300514</v>
      </c>
      <c r="O279">
        <f t="shared" si="68"/>
        <v>0.248</v>
      </c>
      <c r="P279">
        <f t="shared" si="69"/>
        <v>3.2000000000000001E-2</v>
      </c>
      <c r="Q279">
        <f t="shared" si="70"/>
        <v>0.56119758332220571</v>
      </c>
      <c r="R279">
        <f t="shared" si="71"/>
        <v>0</v>
      </c>
      <c r="S279">
        <f t="shared" si="72"/>
        <v>4.9780630012601031E-2</v>
      </c>
      <c r="U279">
        <f t="shared" si="73"/>
        <v>6.2</v>
      </c>
      <c r="V279">
        <f t="shared" si="74"/>
        <v>0.8</v>
      </c>
      <c r="W279">
        <f t="shared" si="75"/>
        <v>14.029939583055141</v>
      </c>
      <c r="X279">
        <f t="shared" si="76"/>
        <v>0</v>
      </c>
      <c r="Y279">
        <f t="shared" si="77"/>
        <v>1.2445157503150259</v>
      </c>
      <c r="AA279">
        <f t="shared" si="78"/>
        <v>12.4</v>
      </c>
      <c r="AB279">
        <f t="shared" si="79"/>
        <v>1.6</v>
      </c>
      <c r="AC279">
        <f t="shared" si="80"/>
        <v>28.059879166110282</v>
      </c>
      <c r="AD279">
        <f t="shared" si="81"/>
        <v>0</v>
      </c>
      <c r="AE279">
        <f t="shared" si="82"/>
        <v>2.4890315006300519</v>
      </c>
      <c r="AG279" s="109">
        <f t="shared" si="83"/>
        <v>44806</v>
      </c>
      <c r="AH279">
        <f>'Water Stuff'!I249*1000</f>
        <v>620</v>
      </c>
      <c r="AI279">
        <f>'Water Stuff'!Q249*1000</f>
        <v>620</v>
      </c>
      <c r="AJ279">
        <f>'Water Stuff'!Y249*1000</f>
        <v>620</v>
      </c>
      <c r="AK279">
        <f>'Water Stuff'!AG249*1000</f>
        <v>620</v>
      </c>
      <c r="AL279">
        <f>'Water Stuff'!AO249*1000</f>
        <v>620</v>
      </c>
    </row>
    <row r="280" spans="1:38">
      <c r="A280" s="109">
        <f>'Water Stuff'!F250</f>
        <v>44807</v>
      </c>
      <c r="B280">
        <f>IF( 'Water Stuff'!G250*1000 &gt;= 'Water Stuff'!$B$6*1000, 'Water Stuff'!$B$6*1000, 'Water Stuff'!G250*1000)</f>
        <v>0</v>
      </c>
      <c r="C280">
        <f>IF( 'Water Stuff'!O250*1000 &gt;= 'Water Stuff'!$B$6*1000, 'Water Stuff'!$B$6*1000, 'Water Stuff'!O250*1000)</f>
        <v>480</v>
      </c>
      <c r="D280">
        <f>IF( 'Water Stuff'!W250*1000 &gt;= 'Water Stuff'!$B$6*1000, 'Water Stuff'!$B$6*1000, 'Water Stuff'!W250*1000)</f>
        <v>1090.2593975534082</v>
      </c>
      <c r="E280">
        <f>IF( 'Water Stuff'!AE250*1000 &gt;= 'Water Stuff'!$B$6*1000, 'Water Stuff'!$B$6*1000, 'Water Stuff'!AE250*1000)</f>
        <v>0</v>
      </c>
      <c r="F280">
        <f>IF('Water Stuff'!AM250*1000&gt;='Water Stuff'!$B$6*1000,'Water Stuff'!$B$6*1000,'Water Stuff'!AM250*1000)</f>
        <v>2442.5168887750619</v>
      </c>
      <c r="I280">
        <f t="shared" si="63"/>
        <v>0</v>
      </c>
      <c r="J280">
        <f t="shared" si="64"/>
        <v>4.8</v>
      </c>
      <c r="K280">
        <f t="shared" si="65"/>
        <v>10.902593975534081</v>
      </c>
      <c r="L280">
        <f t="shared" si="66"/>
        <v>0</v>
      </c>
      <c r="M280">
        <f t="shared" si="67"/>
        <v>24.425168887750619</v>
      </c>
      <c r="O280">
        <f t="shared" si="68"/>
        <v>0</v>
      </c>
      <c r="P280">
        <f t="shared" si="69"/>
        <v>9.6000000000000002E-2</v>
      </c>
      <c r="Q280">
        <f t="shared" si="70"/>
        <v>0.21805187951068167</v>
      </c>
      <c r="R280">
        <f t="shared" si="71"/>
        <v>0</v>
      </c>
      <c r="S280">
        <f t="shared" si="72"/>
        <v>0.48850337775501235</v>
      </c>
      <c r="U280">
        <f t="shared" si="73"/>
        <v>0</v>
      </c>
      <c r="V280">
        <f t="shared" si="74"/>
        <v>2.4</v>
      </c>
      <c r="W280">
        <f t="shared" si="75"/>
        <v>5.4512969877670416</v>
      </c>
      <c r="X280">
        <f t="shared" si="76"/>
        <v>0</v>
      </c>
      <c r="Y280">
        <f t="shared" si="77"/>
        <v>12.21258444387531</v>
      </c>
      <c r="AA280">
        <f t="shared" si="78"/>
        <v>0</v>
      </c>
      <c r="AB280">
        <f t="shared" si="79"/>
        <v>4.8</v>
      </c>
      <c r="AC280">
        <f t="shared" si="80"/>
        <v>10.902593975534083</v>
      </c>
      <c r="AD280">
        <f t="shared" si="81"/>
        <v>0</v>
      </c>
      <c r="AE280">
        <f t="shared" si="82"/>
        <v>24.425168887750619</v>
      </c>
      <c r="AG280" s="109">
        <f t="shared" si="83"/>
        <v>44807</v>
      </c>
      <c r="AH280">
        <f>'Water Stuff'!I250*1000</f>
        <v>620</v>
      </c>
      <c r="AI280">
        <f>'Water Stuff'!Q250*1000</f>
        <v>620</v>
      </c>
      <c r="AJ280">
        <f>'Water Stuff'!Y250*1000</f>
        <v>620</v>
      </c>
      <c r="AK280">
        <f>'Water Stuff'!AG250*1000</f>
        <v>620</v>
      </c>
      <c r="AL280">
        <f>'Water Stuff'!AO250*1000</f>
        <v>620</v>
      </c>
    </row>
    <row r="281" spans="1:38">
      <c r="A281" s="109">
        <f>'Water Stuff'!F251</f>
        <v>44808</v>
      </c>
      <c r="B281">
        <f>IF( 'Water Stuff'!G251*1000 &gt;= 'Water Stuff'!$B$6*1000, 'Water Stuff'!$B$6*1000, 'Water Stuff'!G251*1000)</f>
        <v>0</v>
      </c>
      <c r="C281">
        <f>IF( 'Water Stuff'!O251*1000 &gt;= 'Water Stuff'!$B$6*1000, 'Water Stuff'!$B$6*1000, 'Water Stuff'!O251*1000)</f>
        <v>0</v>
      </c>
      <c r="D281">
        <f>IF( 'Water Stuff'!W251*1000 &gt;= 'Water Stuff'!$B$6*1000, 'Water Stuff'!$B$6*1000, 'Water Stuff'!W251*1000)</f>
        <v>485.83746402762517</v>
      </c>
      <c r="E281">
        <f>IF( 'Water Stuff'!AE251*1000 &gt;= 'Water Stuff'!$B$6*1000, 'Water Stuff'!$B$6*1000, 'Water Stuff'!AE251*1000)</f>
        <v>0</v>
      </c>
      <c r="F281">
        <f>IF('Water Stuff'!AM251*1000&gt;='Water Stuff'!$B$6*1000,'Water Stuff'!$B$6*1000,'Water Stuff'!AM251*1000)</f>
        <v>1913.5768938467684</v>
      </c>
      <c r="I281">
        <f t="shared" si="63"/>
        <v>0</v>
      </c>
      <c r="J281">
        <f t="shared" si="64"/>
        <v>0</v>
      </c>
      <c r="K281">
        <f t="shared" si="65"/>
        <v>4.858374640276252</v>
      </c>
      <c r="L281">
        <f t="shared" si="66"/>
        <v>0</v>
      </c>
      <c r="M281">
        <f t="shared" si="67"/>
        <v>19.135768938467685</v>
      </c>
      <c r="O281">
        <f t="shared" si="68"/>
        <v>0</v>
      </c>
      <c r="P281">
        <f t="shared" si="69"/>
        <v>0</v>
      </c>
      <c r="Q281">
        <f t="shared" si="70"/>
        <v>9.716749280552503E-2</v>
      </c>
      <c r="R281">
        <f t="shared" si="71"/>
        <v>0</v>
      </c>
      <c r="S281">
        <f t="shared" si="72"/>
        <v>0.38271537876935369</v>
      </c>
      <c r="U281">
        <f t="shared" si="73"/>
        <v>0</v>
      </c>
      <c r="V281">
        <f t="shared" si="74"/>
        <v>0</v>
      </c>
      <c r="W281">
        <f t="shared" si="75"/>
        <v>2.429187320138126</v>
      </c>
      <c r="X281">
        <f t="shared" si="76"/>
        <v>0</v>
      </c>
      <c r="Y281">
        <f t="shared" si="77"/>
        <v>9.5678844692338423</v>
      </c>
      <c r="AA281">
        <f t="shared" si="78"/>
        <v>0</v>
      </c>
      <c r="AB281">
        <f t="shared" si="79"/>
        <v>0</v>
      </c>
      <c r="AC281">
        <f t="shared" si="80"/>
        <v>4.858374640276252</v>
      </c>
      <c r="AD281">
        <f t="shared" si="81"/>
        <v>0</v>
      </c>
      <c r="AE281">
        <f t="shared" si="82"/>
        <v>19.135768938467685</v>
      </c>
      <c r="AG281" s="109">
        <f t="shared" si="83"/>
        <v>44808</v>
      </c>
      <c r="AH281">
        <f>'Water Stuff'!I251*1000</f>
        <v>620</v>
      </c>
      <c r="AI281">
        <f>'Water Stuff'!Q251*1000</f>
        <v>620</v>
      </c>
      <c r="AJ281">
        <f>'Water Stuff'!Y251*1000</f>
        <v>620</v>
      </c>
      <c r="AK281">
        <f>'Water Stuff'!AG251*1000</f>
        <v>620</v>
      </c>
      <c r="AL281">
        <f>'Water Stuff'!AO251*1000</f>
        <v>620</v>
      </c>
    </row>
    <row r="282" spans="1:38">
      <c r="A282" s="109">
        <f>'Water Stuff'!F252</f>
        <v>44809</v>
      </c>
      <c r="B282">
        <f>IF( 'Water Stuff'!G252*1000 &gt;= 'Water Stuff'!$B$6*1000, 'Water Stuff'!$B$6*1000, 'Water Stuff'!G252*1000)</f>
        <v>0</v>
      </c>
      <c r="C282">
        <f>IF( 'Water Stuff'!O252*1000 &gt;= 'Water Stuff'!$B$6*1000, 'Water Stuff'!$B$6*1000, 'Water Stuff'!O252*1000)</f>
        <v>320</v>
      </c>
      <c r="D282">
        <f>IF( 'Water Stuff'!W252*1000 &gt;= 'Water Stuff'!$B$6*1000, 'Water Stuff'!$B$6*1000, 'Water Stuff'!W252*1000)</f>
        <v>517.66161892010496</v>
      </c>
      <c r="E282">
        <f>IF( 'Water Stuff'!AE252*1000 &gt;= 'Water Stuff'!$B$6*1000, 'Water Stuff'!$B$6*1000, 'Water Stuff'!AE252*1000)</f>
        <v>2018.93723288774</v>
      </c>
      <c r="F282">
        <f>IF('Water Stuff'!AM252*1000&gt;='Water Stuff'!$B$6*1000,'Water Stuff'!$B$6*1000,'Water Stuff'!AM252*1000)</f>
        <v>0</v>
      </c>
      <c r="I282">
        <f t="shared" si="63"/>
        <v>0</v>
      </c>
      <c r="J282">
        <f t="shared" si="64"/>
        <v>3.2</v>
      </c>
      <c r="K282">
        <f t="shared" si="65"/>
        <v>5.1766161892010496</v>
      </c>
      <c r="L282">
        <f t="shared" si="66"/>
        <v>20.189372328877401</v>
      </c>
      <c r="M282">
        <f t="shared" si="67"/>
        <v>0</v>
      </c>
      <c r="O282">
        <f t="shared" si="68"/>
        <v>0</v>
      </c>
      <c r="P282">
        <f t="shared" si="69"/>
        <v>6.4000000000000001E-2</v>
      </c>
      <c r="Q282">
        <f t="shared" si="70"/>
        <v>0.10353232378402098</v>
      </c>
      <c r="R282">
        <f t="shared" si="71"/>
        <v>0.403787446577548</v>
      </c>
      <c r="S282">
        <f t="shared" si="72"/>
        <v>0</v>
      </c>
      <c r="U282">
        <f t="shared" si="73"/>
        <v>0</v>
      </c>
      <c r="V282">
        <f t="shared" si="74"/>
        <v>1.6</v>
      </c>
      <c r="W282">
        <f t="shared" si="75"/>
        <v>2.5883080946005248</v>
      </c>
      <c r="X282">
        <f t="shared" si="76"/>
        <v>10.0946861644387</v>
      </c>
      <c r="Y282">
        <f t="shared" si="77"/>
        <v>0</v>
      </c>
      <c r="AA282">
        <f t="shared" si="78"/>
        <v>0</v>
      </c>
      <c r="AB282">
        <f t="shared" si="79"/>
        <v>3.2</v>
      </c>
      <c r="AC282">
        <f t="shared" si="80"/>
        <v>5.1766161892010496</v>
      </c>
      <c r="AD282">
        <f t="shared" si="81"/>
        <v>20.189372328877401</v>
      </c>
      <c r="AE282">
        <f t="shared" si="82"/>
        <v>0</v>
      </c>
      <c r="AG282" s="109">
        <f t="shared" si="83"/>
        <v>44809</v>
      </c>
      <c r="AH282">
        <f>'Water Stuff'!I252*1000</f>
        <v>620</v>
      </c>
      <c r="AI282">
        <f>'Water Stuff'!Q252*1000</f>
        <v>620</v>
      </c>
      <c r="AJ282">
        <f>'Water Stuff'!Y252*1000</f>
        <v>620</v>
      </c>
      <c r="AK282">
        <f>'Water Stuff'!AG252*1000</f>
        <v>620</v>
      </c>
      <c r="AL282">
        <f>'Water Stuff'!AO252*1000</f>
        <v>620</v>
      </c>
    </row>
    <row r="283" spans="1:38">
      <c r="A283" s="109">
        <f>'Water Stuff'!F253</f>
        <v>44810</v>
      </c>
      <c r="B283">
        <f>IF( 'Water Stuff'!G253*1000 &gt;= 'Water Stuff'!$B$6*1000, 'Water Stuff'!$B$6*1000, 'Water Stuff'!G253*1000)</f>
        <v>0</v>
      </c>
      <c r="C283">
        <f>IF( 'Water Stuff'!O253*1000 &gt;= 'Water Stuff'!$B$6*1000, 'Water Stuff'!$B$6*1000, 'Water Stuff'!O253*1000)</f>
        <v>0</v>
      </c>
      <c r="D283">
        <f>IF( 'Water Stuff'!W253*1000 &gt;= 'Water Stuff'!$B$6*1000, 'Water Stuff'!$B$6*1000, 'Water Stuff'!W253*1000)</f>
        <v>0</v>
      </c>
      <c r="E283">
        <f>IF( 'Water Stuff'!AE253*1000 &gt;= 'Water Stuff'!$B$6*1000, 'Water Stuff'!$B$6*1000, 'Water Stuff'!AE253*1000)</f>
        <v>0</v>
      </c>
      <c r="F283">
        <f>IF('Water Stuff'!AM253*1000&gt;='Water Stuff'!$B$6*1000,'Water Stuff'!$B$6*1000,'Water Stuff'!AM253*1000)</f>
        <v>0</v>
      </c>
      <c r="I283">
        <f t="shared" si="63"/>
        <v>0</v>
      </c>
      <c r="J283">
        <f t="shared" si="64"/>
        <v>0</v>
      </c>
      <c r="K283">
        <f t="shared" si="65"/>
        <v>0</v>
      </c>
      <c r="L283">
        <f t="shared" si="66"/>
        <v>0</v>
      </c>
      <c r="M283">
        <f t="shared" si="67"/>
        <v>0</v>
      </c>
      <c r="O283">
        <f t="shared" si="68"/>
        <v>0</v>
      </c>
      <c r="P283">
        <f t="shared" si="69"/>
        <v>0</v>
      </c>
      <c r="Q283">
        <f t="shared" si="70"/>
        <v>0</v>
      </c>
      <c r="R283">
        <f t="shared" si="71"/>
        <v>0</v>
      </c>
      <c r="S283">
        <f t="shared" si="72"/>
        <v>0</v>
      </c>
      <c r="U283">
        <f t="shared" si="73"/>
        <v>0</v>
      </c>
      <c r="V283">
        <f t="shared" si="74"/>
        <v>0</v>
      </c>
      <c r="W283">
        <f t="shared" si="75"/>
        <v>0</v>
      </c>
      <c r="X283">
        <f t="shared" si="76"/>
        <v>0</v>
      </c>
      <c r="Y283">
        <f t="shared" si="77"/>
        <v>0</v>
      </c>
      <c r="AA283">
        <f t="shared" si="78"/>
        <v>0</v>
      </c>
      <c r="AB283">
        <f t="shared" si="79"/>
        <v>0</v>
      </c>
      <c r="AC283">
        <f t="shared" si="80"/>
        <v>0</v>
      </c>
      <c r="AD283">
        <f t="shared" si="81"/>
        <v>0</v>
      </c>
      <c r="AE283">
        <f t="shared" si="82"/>
        <v>0</v>
      </c>
      <c r="AG283" s="109">
        <f t="shared" si="83"/>
        <v>44810</v>
      </c>
      <c r="AH283">
        <f>'Water Stuff'!I253*1000</f>
        <v>620</v>
      </c>
      <c r="AI283">
        <f>'Water Stuff'!Q253*1000</f>
        <v>620</v>
      </c>
      <c r="AJ283">
        <f>'Water Stuff'!Y253*1000</f>
        <v>620</v>
      </c>
      <c r="AK283">
        <f>'Water Stuff'!AG253*1000</f>
        <v>620</v>
      </c>
      <c r="AL283">
        <f>'Water Stuff'!AO253*1000</f>
        <v>620</v>
      </c>
    </row>
    <row r="284" spans="1:38">
      <c r="A284" s="109">
        <f>'Water Stuff'!F254</f>
        <v>44811</v>
      </c>
      <c r="B284">
        <f>IF( 'Water Stuff'!G254*1000 &gt;= 'Water Stuff'!$B$6*1000, 'Water Stuff'!$B$6*1000, 'Water Stuff'!G254*1000)</f>
        <v>0</v>
      </c>
      <c r="C284">
        <f>IF( 'Water Stuff'!O254*1000 &gt;= 'Water Stuff'!$B$6*1000, 'Water Stuff'!$B$6*1000, 'Water Stuff'!O254*1000)</f>
        <v>5920</v>
      </c>
      <c r="D284">
        <f>IF( 'Water Stuff'!W254*1000 &gt;= 'Water Stuff'!$B$6*1000, 'Water Stuff'!$B$6*1000, 'Water Stuff'!W254*1000)</f>
        <v>0</v>
      </c>
      <c r="E284">
        <f>IF( 'Water Stuff'!AE254*1000 &gt;= 'Water Stuff'!$B$6*1000, 'Water Stuff'!$B$6*1000, 'Water Stuff'!AE254*1000)</f>
        <v>4825.5985196124175</v>
      </c>
      <c r="F284">
        <f>IF('Water Stuff'!AM254*1000&gt;='Water Stuff'!$B$6*1000,'Water Stuff'!$B$6*1000,'Water Stuff'!AM254*1000)</f>
        <v>0</v>
      </c>
      <c r="I284">
        <f t="shared" si="63"/>
        <v>0</v>
      </c>
      <c r="J284">
        <f t="shared" si="64"/>
        <v>59.2</v>
      </c>
      <c r="K284">
        <f t="shared" si="65"/>
        <v>0</v>
      </c>
      <c r="L284">
        <f t="shared" si="66"/>
        <v>48.255985196124172</v>
      </c>
      <c r="M284">
        <f t="shared" si="67"/>
        <v>0</v>
      </c>
      <c r="O284">
        <f t="shared" si="68"/>
        <v>0</v>
      </c>
      <c r="P284">
        <f t="shared" si="69"/>
        <v>1.1839999999999999</v>
      </c>
      <c r="Q284">
        <f t="shared" si="70"/>
        <v>0</v>
      </c>
      <c r="R284">
        <f t="shared" si="71"/>
        <v>0.96511970392248347</v>
      </c>
      <c r="S284">
        <f t="shared" si="72"/>
        <v>0</v>
      </c>
      <c r="U284">
        <f t="shared" si="73"/>
        <v>0</v>
      </c>
      <c r="V284">
        <f t="shared" si="74"/>
        <v>29.6</v>
      </c>
      <c r="W284">
        <f t="shared" si="75"/>
        <v>0</v>
      </c>
      <c r="X284">
        <f t="shared" si="76"/>
        <v>24.12799259806209</v>
      </c>
      <c r="Y284">
        <f t="shared" si="77"/>
        <v>0</v>
      </c>
      <c r="AA284">
        <f t="shared" si="78"/>
        <v>0</v>
      </c>
      <c r="AB284">
        <f t="shared" si="79"/>
        <v>59.2</v>
      </c>
      <c r="AC284">
        <f t="shared" si="80"/>
        <v>0</v>
      </c>
      <c r="AD284">
        <f t="shared" si="81"/>
        <v>48.255985196124179</v>
      </c>
      <c r="AE284">
        <f t="shared" si="82"/>
        <v>0</v>
      </c>
      <c r="AG284" s="109">
        <f t="shared" si="83"/>
        <v>44811</v>
      </c>
      <c r="AH284">
        <f>'Water Stuff'!I254*1000</f>
        <v>620</v>
      </c>
      <c r="AI284">
        <f>'Water Stuff'!Q254*1000</f>
        <v>620</v>
      </c>
      <c r="AJ284">
        <f>'Water Stuff'!Y254*1000</f>
        <v>620</v>
      </c>
      <c r="AK284">
        <f>'Water Stuff'!AG254*1000</f>
        <v>620</v>
      </c>
      <c r="AL284">
        <f>'Water Stuff'!AO254*1000</f>
        <v>620</v>
      </c>
    </row>
    <row r="285" spans="1:38">
      <c r="A285" s="109">
        <f>'Water Stuff'!F255</f>
        <v>44812</v>
      </c>
      <c r="B285">
        <f>IF( 'Water Stuff'!G255*1000 &gt;= 'Water Stuff'!$B$6*1000, 'Water Stuff'!$B$6*1000, 'Water Stuff'!G255*1000)</f>
        <v>0</v>
      </c>
      <c r="C285">
        <f>IF( 'Water Stuff'!O255*1000 &gt;= 'Water Stuff'!$B$6*1000, 'Water Stuff'!$B$6*1000, 'Water Stuff'!O255*1000)</f>
        <v>2600</v>
      </c>
      <c r="D285">
        <f>IF( 'Water Stuff'!W255*1000 &gt;= 'Water Stuff'!$B$6*1000, 'Water Stuff'!$B$6*1000, 'Water Stuff'!W255*1000)</f>
        <v>1324.0488849938033</v>
      </c>
      <c r="E285">
        <f>IF( 'Water Stuff'!AE255*1000 &gt;= 'Water Stuff'!$B$6*1000, 'Water Stuff'!$B$6*1000, 'Water Stuff'!AE255*1000)</f>
        <v>3111.904718412346</v>
      </c>
      <c r="F285">
        <f>IF('Water Stuff'!AM255*1000&gt;='Water Stuff'!$B$6*1000,'Water Stuff'!$B$6*1000,'Water Stuff'!AM255*1000)</f>
        <v>0</v>
      </c>
      <c r="I285">
        <f t="shared" si="63"/>
        <v>0</v>
      </c>
      <c r="J285">
        <f t="shared" si="64"/>
        <v>26</v>
      </c>
      <c r="K285">
        <f t="shared" si="65"/>
        <v>13.240488849938032</v>
      </c>
      <c r="L285">
        <f t="shared" si="66"/>
        <v>31.11904718412346</v>
      </c>
      <c r="M285">
        <f t="shared" si="67"/>
        <v>0</v>
      </c>
      <c r="O285">
        <f t="shared" si="68"/>
        <v>0</v>
      </c>
      <c r="P285">
        <f t="shared" si="69"/>
        <v>0.52</v>
      </c>
      <c r="Q285">
        <f t="shared" si="70"/>
        <v>0.26480977699876063</v>
      </c>
      <c r="R285">
        <f t="shared" si="71"/>
        <v>0.62238094368246921</v>
      </c>
      <c r="S285">
        <f t="shared" si="72"/>
        <v>0</v>
      </c>
      <c r="U285">
        <f t="shared" si="73"/>
        <v>0</v>
      </c>
      <c r="V285">
        <f t="shared" si="74"/>
        <v>13</v>
      </c>
      <c r="W285">
        <f t="shared" si="75"/>
        <v>6.6202444249690169</v>
      </c>
      <c r="X285">
        <f t="shared" si="76"/>
        <v>15.55952359206173</v>
      </c>
      <c r="Y285">
        <f t="shared" si="77"/>
        <v>0</v>
      </c>
      <c r="AA285">
        <f t="shared" si="78"/>
        <v>0</v>
      </c>
      <c r="AB285">
        <f t="shared" si="79"/>
        <v>26</v>
      </c>
      <c r="AC285">
        <f t="shared" si="80"/>
        <v>13.240488849938034</v>
      </c>
      <c r="AD285">
        <f t="shared" si="81"/>
        <v>31.11904718412346</v>
      </c>
      <c r="AE285">
        <f t="shared" si="82"/>
        <v>0</v>
      </c>
      <c r="AG285" s="109">
        <f t="shared" si="83"/>
        <v>44812</v>
      </c>
      <c r="AH285">
        <f>'Water Stuff'!I255*1000</f>
        <v>620</v>
      </c>
      <c r="AI285">
        <f>'Water Stuff'!Q255*1000</f>
        <v>620</v>
      </c>
      <c r="AJ285">
        <f>'Water Stuff'!Y255*1000</f>
        <v>620</v>
      </c>
      <c r="AK285">
        <f>'Water Stuff'!AG255*1000</f>
        <v>620</v>
      </c>
      <c r="AL285">
        <f>'Water Stuff'!AO255*1000</f>
        <v>620</v>
      </c>
    </row>
    <row r="286" spans="1:38">
      <c r="A286" s="109">
        <f>'Water Stuff'!F256</f>
        <v>44813</v>
      </c>
      <c r="B286">
        <f>IF( 'Water Stuff'!G256*1000 &gt;= 'Water Stuff'!$B$6*1000, 'Water Stuff'!$B$6*1000, 'Water Stuff'!G256*1000)</f>
        <v>0</v>
      </c>
      <c r="C286">
        <f>IF( 'Water Stuff'!O256*1000 &gt;= 'Water Stuff'!$B$6*1000, 'Water Stuff'!$B$6*1000, 'Water Stuff'!O256*1000)</f>
        <v>280</v>
      </c>
      <c r="D286">
        <f>IF( 'Water Stuff'!W256*1000 &gt;= 'Water Stuff'!$B$6*1000, 'Water Stuff'!$B$6*1000, 'Water Stuff'!W256*1000)</f>
        <v>618.81867157386705</v>
      </c>
      <c r="E286">
        <f>IF( 'Water Stuff'!AE256*1000 &gt;= 'Water Stuff'!$B$6*1000, 'Water Stuff'!$B$6*1000, 'Water Stuff'!AE256*1000)</f>
        <v>0</v>
      </c>
      <c r="F286">
        <f>IF('Water Stuff'!AM256*1000&gt;='Water Stuff'!$B$6*1000,'Water Stuff'!$B$6*1000,'Water Stuff'!AM256*1000)</f>
        <v>599.48261824585393</v>
      </c>
      <c r="I286">
        <f t="shared" si="63"/>
        <v>0</v>
      </c>
      <c r="J286">
        <f t="shared" si="64"/>
        <v>2.8</v>
      </c>
      <c r="K286">
        <f t="shared" si="65"/>
        <v>6.1881867157386701</v>
      </c>
      <c r="L286">
        <f t="shared" si="66"/>
        <v>0</v>
      </c>
      <c r="M286">
        <f t="shared" si="67"/>
        <v>5.9948261824585387</v>
      </c>
      <c r="O286">
        <f t="shared" si="68"/>
        <v>0</v>
      </c>
      <c r="P286">
        <f t="shared" si="69"/>
        <v>5.6000000000000001E-2</v>
      </c>
      <c r="Q286">
        <f t="shared" si="70"/>
        <v>0.12376373431477342</v>
      </c>
      <c r="R286">
        <f t="shared" si="71"/>
        <v>0</v>
      </c>
      <c r="S286">
        <f t="shared" si="72"/>
        <v>0.11989652364917079</v>
      </c>
      <c r="U286">
        <f t="shared" si="73"/>
        <v>0</v>
      </c>
      <c r="V286">
        <f t="shared" si="74"/>
        <v>1.4000000000000001</v>
      </c>
      <c r="W286">
        <f t="shared" si="75"/>
        <v>3.0940933578693355</v>
      </c>
      <c r="X286">
        <f t="shared" si="76"/>
        <v>0</v>
      </c>
      <c r="Y286">
        <f t="shared" si="77"/>
        <v>2.9974130912292698</v>
      </c>
      <c r="AA286">
        <f t="shared" si="78"/>
        <v>0</v>
      </c>
      <c r="AB286">
        <f t="shared" si="79"/>
        <v>2.8000000000000003</v>
      </c>
      <c r="AC286">
        <f t="shared" si="80"/>
        <v>6.188186715738671</v>
      </c>
      <c r="AD286">
        <f t="shared" si="81"/>
        <v>0</v>
      </c>
      <c r="AE286">
        <f t="shared" si="82"/>
        <v>5.9948261824585396</v>
      </c>
      <c r="AG286" s="109">
        <f t="shared" si="83"/>
        <v>44813</v>
      </c>
      <c r="AH286">
        <f>'Water Stuff'!I256*1000</f>
        <v>620</v>
      </c>
      <c r="AI286">
        <f>'Water Stuff'!Q256*1000</f>
        <v>620</v>
      </c>
      <c r="AJ286">
        <f>'Water Stuff'!Y256*1000</f>
        <v>620</v>
      </c>
      <c r="AK286">
        <f>'Water Stuff'!AG256*1000</f>
        <v>620</v>
      </c>
      <c r="AL286">
        <f>'Water Stuff'!AO256*1000</f>
        <v>620</v>
      </c>
    </row>
    <row r="287" spans="1:38">
      <c r="A287" s="109">
        <f>'Water Stuff'!F257</f>
        <v>44814</v>
      </c>
      <c r="B287">
        <f>IF( 'Water Stuff'!G257*1000 &gt;= 'Water Stuff'!$B$6*1000, 'Water Stuff'!$B$6*1000, 'Water Stuff'!G257*1000)</f>
        <v>0</v>
      </c>
      <c r="C287">
        <f>IF( 'Water Stuff'!O257*1000 &gt;= 'Water Stuff'!$B$6*1000, 'Water Stuff'!$B$6*1000, 'Water Stuff'!O257*1000)</f>
        <v>0</v>
      </c>
      <c r="D287">
        <f>IF( 'Water Stuff'!W257*1000 &gt;= 'Water Stuff'!$B$6*1000, 'Water Stuff'!$B$6*1000, 'Water Stuff'!W257*1000)</f>
        <v>0</v>
      </c>
      <c r="E287">
        <f>IF( 'Water Stuff'!AE257*1000 &gt;= 'Water Stuff'!$B$6*1000, 'Water Stuff'!$B$6*1000, 'Water Stuff'!AE257*1000)</f>
        <v>672.68578237632664</v>
      </c>
      <c r="F287">
        <f>IF('Water Stuff'!AM257*1000&gt;='Water Stuff'!$B$6*1000,'Water Stuff'!$B$6*1000,'Water Stuff'!AM257*1000)</f>
        <v>0</v>
      </c>
      <c r="I287">
        <f t="shared" si="63"/>
        <v>0</v>
      </c>
      <c r="J287">
        <f t="shared" si="64"/>
        <v>0</v>
      </c>
      <c r="K287">
        <f t="shared" si="65"/>
        <v>0</v>
      </c>
      <c r="L287">
        <f t="shared" si="66"/>
        <v>6.7268578237632664</v>
      </c>
      <c r="M287">
        <f t="shared" si="67"/>
        <v>0</v>
      </c>
      <c r="O287">
        <f t="shared" si="68"/>
        <v>0</v>
      </c>
      <c r="P287">
        <f t="shared" si="69"/>
        <v>0</v>
      </c>
      <c r="Q287">
        <f t="shared" si="70"/>
        <v>0</v>
      </c>
      <c r="R287">
        <f t="shared" si="71"/>
        <v>0.13453715647526535</v>
      </c>
      <c r="S287">
        <f t="shared" si="72"/>
        <v>0</v>
      </c>
      <c r="U287">
        <f t="shared" si="73"/>
        <v>0</v>
      </c>
      <c r="V287">
        <f t="shared" si="74"/>
        <v>0</v>
      </c>
      <c r="W287">
        <f t="shared" si="75"/>
        <v>0</v>
      </c>
      <c r="X287">
        <f t="shared" si="76"/>
        <v>3.3634289118816332</v>
      </c>
      <c r="Y287">
        <f t="shared" si="77"/>
        <v>0</v>
      </c>
      <c r="AA287">
        <f t="shared" si="78"/>
        <v>0</v>
      </c>
      <c r="AB287">
        <f t="shared" si="79"/>
        <v>0</v>
      </c>
      <c r="AC287">
        <f t="shared" si="80"/>
        <v>0</v>
      </c>
      <c r="AD287">
        <f t="shared" si="81"/>
        <v>6.7268578237632664</v>
      </c>
      <c r="AE287">
        <f t="shared" si="82"/>
        <v>0</v>
      </c>
      <c r="AG287" s="109">
        <f t="shared" si="83"/>
        <v>44814</v>
      </c>
      <c r="AH287">
        <f>'Water Stuff'!I257*1000</f>
        <v>620</v>
      </c>
      <c r="AI287">
        <f>'Water Stuff'!Q257*1000</f>
        <v>620</v>
      </c>
      <c r="AJ287">
        <f>'Water Stuff'!Y257*1000</f>
        <v>620</v>
      </c>
      <c r="AK287">
        <f>'Water Stuff'!AG257*1000</f>
        <v>620</v>
      </c>
      <c r="AL287">
        <f>'Water Stuff'!AO257*1000</f>
        <v>620</v>
      </c>
    </row>
    <row r="288" spans="1:38">
      <c r="A288" s="109">
        <f>'Water Stuff'!F258</f>
        <v>44815</v>
      </c>
      <c r="B288">
        <f>IF( 'Water Stuff'!G258*1000 &gt;= 'Water Stuff'!$B$6*1000, 'Water Stuff'!$B$6*1000, 'Water Stuff'!G258*1000)</f>
        <v>0</v>
      </c>
      <c r="C288">
        <f>IF( 'Water Stuff'!O258*1000 &gt;= 'Water Stuff'!$B$6*1000, 'Water Stuff'!$B$6*1000, 'Water Stuff'!O258*1000)</f>
        <v>0</v>
      </c>
      <c r="D288">
        <f>IF( 'Water Stuff'!W258*1000 &gt;= 'Water Stuff'!$B$6*1000, 'Water Stuff'!$B$6*1000, 'Water Stuff'!W258*1000)</f>
        <v>94.961983419976079</v>
      </c>
      <c r="E288">
        <f>IF( 'Water Stuff'!AE258*1000 &gt;= 'Water Stuff'!$B$6*1000, 'Water Stuff'!$B$6*1000, 'Water Stuff'!AE258*1000)</f>
        <v>552.58539649365002</v>
      </c>
      <c r="F288">
        <f>IF('Water Stuff'!AM258*1000&gt;='Water Stuff'!$B$6*1000,'Water Stuff'!$B$6*1000,'Water Stuff'!AM258*1000)</f>
        <v>0</v>
      </c>
      <c r="I288">
        <f t="shared" si="63"/>
        <v>0</v>
      </c>
      <c r="J288">
        <f t="shared" si="64"/>
        <v>0</v>
      </c>
      <c r="K288">
        <f t="shared" si="65"/>
        <v>0.94961983419976081</v>
      </c>
      <c r="L288">
        <f t="shared" si="66"/>
        <v>5.5258539649365002</v>
      </c>
      <c r="M288">
        <f t="shared" si="67"/>
        <v>0</v>
      </c>
      <c r="O288">
        <f t="shared" si="68"/>
        <v>0</v>
      </c>
      <c r="P288">
        <f t="shared" si="69"/>
        <v>0</v>
      </c>
      <c r="Q288">
        <f t="shared" si="70"/>
        <v>1.8992396683995216E-2</v>
      </c>
      <c r="R288">
        <f t="shared" si="71"/>
        <v>0.11051707929873002</v>
      </c>
      <c r="S288">
        <f t="shared" si="72"/>
        <v>0</v>
      </c>
      <c r="U288">
        <f t="shared" si="73"/>
        <v>0</v>
      </c>
      <c r="V288">
        <f t="shared" si="74"/>
        <v>0</v>
      </c>
      <c r="W288">
        <f t="shared" si="75"/>
        <v>0.47480991709988041</v>
      </c>
      <c r="X288">
        <f t="shared" si="76"/>
        <v>2.7629269824682501</v>
      </c>
      <c r="Y288">
        <f t="shared" si="77"/>
        <v>0</v>
      </c>
      <c r="AA288">
        <f t="shared" si="78"/>
        <v>0</v>
      </c>
      <c r="AB288">
        <f t="shared" si="79"/>
        <v>0</v>
      </c>
      <c r="AC288">
        <f t="shared" si="80"/>
        <v>0.94961983419976081</v>
      </c>
      <c r="AD288">
        <f t="shared" si="81"/>
        <v>5.5258539649365002</v>
      </c>
      <c r="AE288">
        <f t="shared" si="82"/>
        <v>0</v>
      </c>
      <c r="AG288" s="109">
        <f t="shared" si="83"/>
        <v>44815</v>
      </c>
      <c r="AH288">
        <f>'Water Stuff'!I258*1000</f>
        <v>620</v>
      </c>
      <c r="AI288">
        <f>'Water Stuff'!Q258*1000</f>
        <v>620</v>
      </c>
      <c r="AJ288">
        <f>'Water Stuff'!Y258*1000</f>
        <v>620</v>
      </c>
      <c r="AK288">
        <f>'Water Stuff'!AG258*1000</f>
        <v>620</v>
      </c>
      <c r="AL288">
        <f>'Water Stuff'!AO258*1000</f>
        <v>620</v>
      </c>
    </row>
    <row r="289" spans="1:38">
      <c r="A289" s="109">
        <f>'Water Stuff'!F259</f>
        <v>44816</v>
      </c>
      <c r="B289">
        <f>IF( 'Water Stuff'!G259*1000 &gt;= 'Water Stuff'!$B$6*1000, 'Water Stuff'!$B$6*1000, 'Water Stuff'!G259*1000)</f>
        <v>0</v>
      </c>
      <c r="C289">
        <f>IF( 'Water Stuff'!O259*1000 &gt;= 'Water Stuff'!$B$6*1000, 'Water Stuff'!$B$6*1000, 'Water Stuff'!O259*1000)</f>
        <v>0</v>
      </c>
      <c r="D289">
        <f>IF( 'Water Stuff'!W259*1000 &gt;= 'Water Stuff'!$B$6*1000, 'Water Stuff'!$B$6*1000, 'Water Stuff'!W259*1000)</f>
        <v>0</v>
      </c>
      <c r="E289">
        <f>IF( 'Water Stuff'!AE259*1000 &gt;= 'Water Stuff'!$B$6*1000, 'Water Stuff'!$B$6*1000, 'Water Stuff'!AE259*1000)</f>
        <v>0</v>
      </c>
      <c r="F289">
        <f>IF('Water Stuff'!AM259*1000&gt;='Water Stuff'!$B$6*1000,'Water Stuff'!$B$6*1000,'Water Stuff'!AM259*1000)</f>
        <v>0</v>
      </c>
      <c r="I289">
        <f t="shared" si="63"/>
        <v>0</v>
      </c>
      <c r="J289">
        <f t="shared" si="64"/>
        <v>0</v>
      </c>
      <c r="K289">
        <f t="shared" si="65"/>
        <v>0</v>
      </c>
      <c r="L289">
        <f t="shared" si="66"/>
        <v>0</v>
      </c>
      <c r="M289">
        <f t="shared" si="67"/>
        <v>0</v>
      </c>
      <c r="O289">
        <f t="shared" si="68"/>
        <v>0</v>
      </c>
      <c r="P289">
        <f t="shared" si="69"/>
        <v>0</v>
      </c>
      <c r="Q289">
        <f t="shared" si="70"/>
        <v>0</v>
      </c>
      <c r="R289">
        <f t="shared" si="71"/>
        <v>0</v>
      </c>
      <c r="S289">
        <f t="shared" si="72"/>
        <v>0</v>
      </c>
      <c r="U289">
        <f t="shared" si="73"/>
        <v>0</v>
      </c>
      <c r="V289">
        <f t="shared" si="74"/>
        <v>0</v>
      </c>
      <c r="W289">
        <f t="shared" si="75"/>
        <v>0</v>
      </c>
      <c r="X289">
        <f t="shared" si="76"/>
        <v>0</v>
      </c>
      <c r="Y289">
        <f t="shared" si="77"/>
        <v>0</v>
      </c>
      <c r="AA289">
        <f t="shared" si="78"/>
        <v>0</v>
      </c>
      <c r="AB289">
        <f t="shared" si="79"/>
        <v>0</v>
      </c>
      <c r="AC289">
        <f t="shared" si="80"/>
        <v>0</v>
      </c>
      <c r="AD289">
        <f t="shared" si="81"/>
        <v>0</v>
      </c>
      <c r="AE289">
        <f t="shared" si="82"/>
        <v>0</v>
      </c>
      <c r="AG289" s="109">
        <f t="shared" si="83"/>
        <v>44816</v>
      </c>
      <c r="AH289">
        <f>'Water Stuff'!I259*1000</f>
        <v>620</v>
      </c>
      <c r="AI289">
        <f>'Water Stuff'!Q259*1000</f>
        <v>620</v>
      </c>
      <c r="AJ289">
        <f>'Water Stuff'!Y259*1000</f>
        <v>620</v>
      </c>
      <c r="AK289">
        <f>'Water Stuff'!AG259*1000</f>
        <v>620</v>
      </c>
      <c r="AL289">
        <f>'Water Stuff'!AO259*1000</f>
        <v>620</v>
      </c>
    </row>
    <row r="290" spans="1:38">
      <c r="A290" s="109">
        <f>'Water Stuff'!F260</f>
        <v>44817</v>
      </c>
      <c r="B290">
        <f>IF( 'Water Stuff'!G260*1000 &gt;= 'Water Stuff'!$B$6*1000, 'Water Stuff'!$B$6*1000, 'Water Stuff'!G260*1000)</f>
        <v>0</v>
      </c>
      <c r="C290">
        <f>IF( 'Water Stuff'!O260*1000 &gt;= 'Water Stuff'!$B$6*1000, 'Water Stuff'!$B$6*1000, 'Water Stuff'!O260*1000)</f>
        <v>0</v>
      </c>
      <c r="D290">
        <f>IF( 'Water Stuff'!W260*1000 &gt;= 'Water Stuff'!$B$6*1000, 'Water Stuff'!$B$6*1000, 'Water Stuff'!W260*1000)</f>
        <v>182.86687576133608</v>
      </c>
      <c r="E290">
        <f>IF( 'Water Stuff'!AE260*1000 &gt;= 'Water Stuff'!$B$6*1000, 'Water Stuff'!$B$6*1000, 'Water Stuff'!AE260*1000)</f>
        <v>0</v>
      </c>
      <c r="F290">
        <f>IF('Water Stuff'!AM260*1000&gt;='Water Stuff'!$B$6*1000,'Water Stuff'!$B$6*1000,'Water Stuff'!AM260*1000)</f>
        <v>0</v>
      </c>
      <c r="I290">
        <f t="shared" si="63"/>
        <v>0</v>
      </c>
      <c r="J290">
        <f t="shared" si="64"/>
        <v>0</v>
      </c>
      <c r="K290">
        <f t="shared" si="65"/>
        <v>1.8286687576133609</v>
      </c>
      <c r="L290">
        <f t="shared" si="66"/>
        <v>0</v>
      </c>
      <c r="M290">
        <f t="shared" si="67"/>
        <v>0</v>
      </c>
      <c r="O290">
        <f t="shared" si="68"/>
        <v>0</v>
      </c>
      <c r="P290">
        <f t="shared" si="69"/>
        <v>0</v>
      </c>
      <c r="Q290">
        <f t="shared" si="70"/>
        <v>3.6573375152267218E-2</v>
      </c>
      <c r="R290">
        <f t="shared" si="71"/>
        <v>0</v>
      </c>
      <c r="S290">
        <f t="shared" si="72"/>
        <v>0</v>
      </c>
      <c r="U290">
        <f t="shared" si="73"/>
        <v>0</v>
      </c>
      <c r="V290">
        <f t="shared" si="74"/>
        <v>0</v>
      </c>
      <c r="W290">
        <f t="shared" si="75"/>
        <v>0.91433437880668045</v>
      </c>
      <c r="X290">
        <f t="shared" si="76"/>
        <v>0</v>
      </c>
      <c r="Y290">
        <f t="shared" si="77"/>
        <v>0</v>
      </c>
      <c r="AA290">
        <f t="shared" si="78"/>
        <v>0</v>
      </c>
      <c r="AB290">
        <f t="shared" si="79"/>
        <v>0</v>
      </c>
      <c r="AC290">
        <f t="shared" si="80"/>
        <v>1.8286687576133609</v>
      </c>
      <c r="AD290">
        <f t="shared" si="81"/>
        <v>0</v>
      </c>
      <c r="AE290">
        <f t="shared" si="82"/>
        <v>0</v>
      </c>
      <c r="AG290" s="109">
        <f t="shared" si="83"/>
        <v>44817</v>
      </c>
      <c r="AH290">
        <f>'Water Stuff'!I260*1000</f>
        <v>620</v>
      </c>
      <c r="AI290">
        <f>'Water Stuff'!Q260*1000</f>
        <v>620</v>
      </c>
      <c r="AJ290">
        <f>'Water Stuff'!Y260*1000</f>
        <v>620</v>
      </c>
      <c r="AK290">
        <f>'Water Stuff'!AG260*1000</f>
        <v>620</v>
      </c>
      <c r="AL290">
        <f>'Water Stuff'!AO260*1000</f>
        <v>620</v>
      </c>
    </row>
    <row r="291" spans="1:38">
      <c r="A291" s="109">
        <f>'Water Stuff'!F261</f>
        <v>44818</v>
      </c>
      <c r="B291">
        <f>IF( 'Water Stuff'!G261*1000 &gt;= 'Water Stuff'!$B$6*1000, 'Water Stuff'!$B$6*1000, 'Water Stuff'!G261*1000)</f>
        <v>0</v>
      </c>
      <c r="C291">
        <f>IF( 'Water Stuff'!O261*1000 &gt;= 'Water Stuff'!$B$6*1000, 'Water Stuff'!$B$6*1000, 'Water Stuff'!O261*1000)</f>
        <v>0</v>
      </c>
      <c r="D291">
        <f>IF( 'Water Stuff'!W261*1000 &gt;= 'Water Stuff'!$B$6*1000, 'Water Stuff'!$B$6*1000, 'Water Stuff'!W261*1000)</f>
        <v>0</v>
      </c>
      <c r="E291">
        <f>IF( 'Water Stuff'!AE261*1000 &gt;= 'Water Stuff'!$B$6*1000, 'Water Stuff'!$B$6*1000, 'Water Stuff'!AE261*1000)</f>
        <v>0</v>
      </c>
      <c r="F291">
        <f>IF('Water Stuff'!AM261*1000&gt;='Water Stuff'!$B$6*1000,'Water Stuff'!$B$6*1000,'Water Stuff'!AM261*1000)</f>
        <v>296.45647012008902</v>
      </c>
      <c r="I291">
        <f t="shared" ref="I291:I354" si="84">10*B291/1000</f>
        <v>0</v>
      </c>
      <c r="J291">
        <f t="shared" ref="J291:J354" si="85">10*C291/1000</f>
        <v>0</v>
      </c>
      <c r="K291">
        <f t="shared" ref="K291:K354" si="86">10*D291/1000</f>
        <v>0</v>
      </c>
      <c r="L291">
        <f t="shared" ref="L291:L354" si="87">10*E291/1000</f>
        <v>0</v>
      </c>
      <c r="M291">
        <f t="shared" ref="M291:M354" si="88">10*F291/1000</f>
        <v>2.9645647012008904</v>
      </c>
      <c r="O291">
        <f t="shared" ref="O291:O354" si="89">I291*(100/5)/1000</f>
        <v>0</v>
      </c>
      <c r="P291">
        <f t="shared" ref="P291:P354" si="90">J291*100/5/1000</f>
        <v>0</v>
      </c>
      <c r="Q291">
        <f t="shared" ref="Q291:Q354" si="91">K291*100/5/1000</f>
        <v>0</v>
      </c>
      <c r="R291">
        <f t="shared" ref="R291:R354" si="92">L291*100/5/1000</f>
        <v>0</v>
      </c>
      <c r="S291">
        <f t="shared" ref="S291:S354" si="93">M291*100/5/1000</f>
        <v>5.9291294024017803E-2</v>
      </c>
      <c r="U291">
        <f t="shared" ref="U291:U354" si="94">$U$10/$L$12/1000*B291</f>
        <v>0</v>
      </c>
      <c r="V291">
        <f t="shared" ref="V291:V354" si="95">$U$10/$L$12/1000*C291</f>
        <v>0</v>
      </c>
      <c r="W291">
        <f t="shared" ref="W291:W354" si="96">$U$10/$L$12/1000*D291</f>
        <v>0</v>
      </c>
      <c r="X291">
        <f t="shared" ref="X291:X354" si="97">$U$10/$L$12/1000*E291</f>
        <v>0</v>
      </c>
      <c r="Y291">
        <f t="shared" ref="Y291:Y354" si="98">$U$10/$L$12/1000*F291</f>
        <v>1.4822823506004452</v>
      </c>
      <c r="AA291">
        <f t="shared" ref="AA291:AA354" si="99">$U$14*U291</f>
        <v>0</v>
      </c>
      <c r="AB291">
        <f t="shared" ref="AB291:AB354" si="100">$U$14*V291</f>
        <v>0</v>
      </c>
      <c r="AC291">
        <f t="shared" ref="AC291:AC354" si="101">$U$14*W291</f>
        <v>0</v>
      </c>
      <c r="AD291">
        <f t="shared" ref="AD291:AD354" si="102">$U$14*X291</f>
        <v>0</v>
      </c>
      <c r="AE291">
        <f t="shared" ref="AE291:AE354" si="103">$U$14*Y291</f>
        <v>2.9645647012008904</v>
      </c>
      <c r="AG291" s="109">
        <f t="shared" ref="AG291:AG354" si="104">A291</f>
        <v>44818</v>
      </c>
      <c r="AH291">
        <f>'Water Stuff'!I261*1000</f>
        <v>620</v>
      </c>
      <c r="AI291">
        <f>'Water Stuff'!Q261*1000</f>
        <v>620</v>
      </c>
      <c r="AJ291">
        <f>'Water Stuff'!Y261*1000</f>
        <v>620</v>
      </c>
      <c r="AK291">
        <f>'Water Stuff'!AG261*1000</f>
        <v>620</v>
      </c>
      <c r="AL291">
        <f>'Water Stuff'!AO261*1000</f>
        <v>620</v>
      </c>
    </row>
    <row r="292" spans="1:38">
      <c r="A292" s="109">
        <f>'Water Stuff'!F262</f>
        <v>44819</v>
      </c>
      <c r="B292">
        <f>IF( 'Water Stuff'!G262*1000 &gt;= 'Water Stuff'!$B$6*1000, 'Water Stuff'!$B$6*1000, 'Water Stuff'!G262*1000)</f>
        <v>0</v>
      </c>
      <c r="C292">
        <f>IF( 'Water Stuff'!O262*1000 &gt;= 'Water Stuff'!$B$6*1000, 'Water Stuff'!$B$6*1000, 'Water Stuff'!O262*1000)</f>
        <v>400</v>
      </c>
      <c r="D292">
        <f>IF( 'Water Stuff'!W262*1000 &gt;= 'Water Stuff'!$B$6*1000, 'Water Stuff'!$B$6*1000, 'Water Stuff'!W262*1000)</f>
        <v>0</v>
      </c>
      <c r="E292">
        <f>IF( 'Water Stuff'!AE262*1000 &gt;= 'Water Stuff'!$B$6*1000, 'Water Stuff'!$B$6*1000, 'Water Stuff'!AE262*1000)</f>
        <v>1031.5276950255034</v>
      </c>
      <c r="F292">
        <f>IF('Water Stuff'!AM262*1000&gt;='Water Stuff'!$B$6*1000,'Water Stuff'!$B$6*1000,'Water Stuff'!AM262*1000)</f>
        <v>0</v>
      </c>
      <c r="I292">
        <f t="shared" si="84"/>
        <v>0</v>
      </c>
      <c r="J292">
        <f t="shared" si="85"/>
        <v>4</v>
      </c>
      <c r="K292">
        <f t="shared" si="86"/>
        <v>0</v>
      </c>
      <c r="L292">
        <f t="shared" si="87"/>
        <v>10.315276950255033</v>
      </c>
      <c r="M292">
        <f t="shared" si="88"/>
        <v>0</v>
      </c>
      <c r="O292">
        <f t="shared" si="89"/>
        <v>0</v>
      </c>
      <c r="P292">
        <f t="shared" si="90"/>
        <v>0.08</v>
      </c>
      <c r="Q292">
        <f t="shared" si="91"/>
        <v>0</v>
      </c>
      <c r="R292">
        <f t="shared" si="92"/>
        <v>0.20630553900510068</v>
      </c>
      <c r="S292">
        <f t="shared" si="93"/>
        <v>0</v>
      </c>
      <c r="U292">
        <f t="shared" si="94"/>
        <v>0</v>
      </c>
      <c r="V292">
        <f t="shared" si="95"/>
        <v>2</v>
      </c>
      <c r="W292">
        <f t="shared" si="96"/>
        <v>0</v>
      </c>
      <c r="X292">
        <f t="shared" si="97"/>
        <v>5.1576384751275173</v>
      </c>
      <c r="Y292">
        <f t="shared" si="98"/>
        <v>0</v>
      </c>
      <c r="AA292">
        <f t="shared" si="99"/>
        <v>0</v>
      </c>
      <c r="AB292">
        <f t="shared" si="100"/>
        <v>4</v>
      </c>
      <c r="AC292">
        <f t="shared" si="101"/>
        <v>0</v>
      </c>
      <c r="AD292">
        <f t="shared" si="102"/>
        <v>10.315276950255035</v>
      </c>
      <c r="AE292">
        <f t="shared" si="103"/>
        <v>0</v>
      </c>
      <c r="AG292" s="109">
        <f t="shared" si="104"/>
        <v>44819</v>
      </c>
      <c r="AH292">
        <f>'Water Stuff'!I262*1000</f>
        <v>620</v>
      </c>
      <c r="AI292">
        <f>'Water Stuff'!Q262*1000</f>
        <v>620</v>
      </c>
      <c r="AJ292">
        <f>'Water Stuff'!Y262*1000</f>
        <v>620</v>
      </c>
      <c r="AK292">
        <f>'Water Stuff'!AG262*1000</f>
        <v>620</v>
      </c>
      <c r="AL292">
        <f>'Water Stuff'!AO262*1000</f>
        <v>620</v>
      </c>
    </row>
    <row r="293" spans="1:38">
      <c r="A293" s="109">
        <f>'Water Stuff'!F263</f>
        <v>44820</v>
      </c>
      <c r="B293">
        <f>IF( 'Water Stuff'!G263*1000 &gt;= 'Water Stuff'!$B$6*1000, 'Water Stuff'!$B$6*1000, 'Water Stuff'!G263*1000)</f>
        <v>0</v>
      </c>
      <c r="C293">
        <f>IF( 'Water Stuff'!O263*1000 &gt;= 'Water Stuff'!$B$6*1000, 'Water Stuff'!$B$6*1000, 'Water Stuff'!O263*1000)</f>
        <v>800</v>
      </c>
      <c r="D293">
        <f>IF( 'Water Stuff'!W263*1000 &gt;= 'Water Stuff'!$B$6*1000, 'Water Stuff'!$B$6*1000, 'Water Stuff'!W263*1000)</f>
        <v>0</v>
      </c>
      <c r="E293">
        <f>IF( 'Water Stuff'!AE263*1000 &gt;= 'Water Stuff'!$B$6*1000, 'Water Stuff'!$B$6*1000, 'Water Stuff'!AE263*1000)</f>
        <v>0</v>
      </c>
      <c r="F293">
        <f>IF('Water Stuff'!AM263*1000&gt;='Water Stuff'!$B$6*1000,'Water Stuff'!$B$6*1000,'Water Stuff'!AM263*1000)</f>
        <v>223.90483008944798</v>
      </c>
      <c r="I293">
        <f t="shared" si="84"/>
        <v>0</v>
      </c>
      <c r="J293">
        <f t="shared" si="85"/>
        <v>8</v>
      </c>
      <c r="K293">
        <f t="shared" si="86"/>
        <v>0</v>
      </c>
      <c r="L293">
        <f t="shared" si="87"/>
        <v>0</v>
      </c>
      <c r="M293">
        <f t="shared" si="88"/>
        <v>2.2390483008944799</v>
      </c>
      <c r="O293">
        <f t="shared" si="89"/>
        <v>0</v>
      </c>
      <c r="P293">
        <f t="shared" si="90"/>
        <v>0.16</v>
      </c>
      <c r="Q293">
        <f t="shared" si="91"/>
        <v>0</v>
      </c>
      <c r="R293">
        <f t="shared" si="92"/>
        <v>0</v>
      </c>
      <c r="S293">
        <f t="shared" si="93"/>
        <v>4.4780966017889598E-2</v>
      </c>
      <c r="U293">
        <f t="shared" si="94"/>
        <v>0</v>
      </c>
      <c r="V293">
        <f t="shared" si="95"/>
        <v>4</v>
      </c>
      <c r="W293">
        <f t="shared" si="96"/>
        <v>0</v>
      </c>
      <c r="X293">
        <f t="shared" si="97"/>
        <v>0</v>
      </c>
      <c r="Y293">
        <f t="shared" si="98"/>
        <v>1.11952415044724</v>
      </c>
      <c r="AA293">
        <f t="shared" si="99"/>
        <v>0</v>
      </c>
      <c r="AB293">
        <f t="shared" si="100"/>
        <v>8</v>
      </c>
      <c r="AC293">
        <f t="shared" si="101"/>
        <v>0</v>
      </c>
      <c r="AD293">
        <f t="shared" si="102"/>
        <v>0</v>
      </c>
      <c r="AE293">
        <f t="shared" si="103"/>
        <v>2.2390483008944799</v>
      </c>
      <c r="AG293" s="109">
        <f t="shared" si="104"/>
        <v>44820</v>
      </c>
      <c r="AH293">
        <f>'Water Stuff'!I263*1000</f>
        <v>620</v>
      </c>
      <c r="AI293">
        <f>'Water Stuff'!Q263*1000</f>
        <v>620</v>
      </c>
      <c r="AJ293">
        <f>'Water Stuff'!Y263*1000</f>
        <v>620</v>
      </c>
      <c r="AK293">
        <f>'Water Stuff'!AG263*1000</f>
        <v>620</v>
      </c>
      <c r="AL293">
        <f>'Water Stuff'!AO263*1000</f>
        <v>620</v>
      </c>
    </row>
    <row r="294" spans="1:38">
      <c r="A294" s="109">
        <f>'Water Stuff'!F264</f>
        <v>44821</v>
      </c>
      <c r="B294">
        <f>IF( 'Water Stuff'!G264*1000 &gt;= 'Water Stuff'!$B$6*1000, 'Water Stuff'!$B$6*1000, 'Water Stuff'!G264*1000)</f>
        <v>0</v>
      </c>
      <c r="C294">
        <f>IF( 'Water Stuff'!O264*1000 &gt;= 'Water Stuff'!$B$6*1000, 'Water Stuff'!$B$6*1000, 'Water Stuff'!O264*1000)</f>
        <v>560</v>
      </c>
      <c r="D294">
        <f>IF( 'Water Stuff'!W264*1000 &gt;= 'Water Stuff'!$B$6*1000, 'Water Stuff'!$B$6*1000, 'Water Stuff'!W264*1000)</f>
        <v>1561.1547725015557</v>
      </c>
      <c r="E294">
        <f>IF( 'Water Stuff'!AE264*1000 &gt;= 'Water Stuff'!$B$6*1000, 'Water Stuff'!$B$6*1000, 'Water Stuff'!AE264*1000)</f>
        <v>2238.4453797899719</v>
      </c>
      <c r="F294">
        <f>IF('Water Stuff'!AM264*1000&gt;='Water Stuff'!$B$6*1000,'Water Stuff'!$B$6*1000,'Water Stuff'!AM264*1000)</f>
        <v>2891.0117100833118</v>
      </c>
      <c r="I294">
        <f t="shared" si="84"/>
        <v>0</v>
      </c>
      <c r="J294">
        <f t="shared" si="85"/>
        <v>5.6</v>
      </c>
      <c r="K294">
        <f t="shared" si="86"/>
        <v>15.611547725015557</v>
      </c>
      <c r="L294">
        <f t="shared" si="87"/>
        <v>22.384453797899717</v>
      </c>
      <c r="M294">
        <f t="shared" si="88"/>
        <v>28.910117100833119</v>
      </c>
      <c r="O294">
        <f t="shared" si="89"/>
        <v>0</v>
      </c>
      <c r="P294">
        <f t="shared" si="90"/>
        <v>0.112</v>
      </c>
      <c r="Q294">
        <f t="shared" si="91"/>
        <v>0.31223095450031113</v>
      </c>
      <c r="R294">
        <f t="shared" si="92"/>
        <v>0.44768907595799434</v>
      </c>
      <c r="S294">
        <f t="shared" si="93"/>
        <v>0.57820234201666232</v>
      </c>
      <c r="U294">
        <f t="shared" si="94"/>
        <v>0</v>
      </c>
      <c r="V294">
        <f t="shared" si="95"/>
        <v>2.8000000000000003</v>
      </c>
      <c r="W294">
        <f t="shared" si="96"/>
        <v>7.8057738625077784</v>
      </c>
      <c r="X294">
        <f t="shared" si="97"/>
        <v>11.19222689894986</v>
      </c>
      <c r="Y294">
        <f t="shared" si="98"/>
        <v>14.45505855041656</v>
      </c>
      <c r="AA294">
        <f t="shared" si="99"/>
        <v>0</v>
      </c>
      <c r="AB294">
        <f t="shared" si="100"/>
        <v>5.6000000000000005</v>
      </c>
      <c r="AC294">
        <f t="shared" si="101"/>
        <v>15.611547725015557</v>
      </c>
      <c r="AD294">
        <f t="shared" si="102"/>
        <v>22.38445379789972</v>
      </c>
      <c r="AE294">
        <f t="shared" si="103"/>
        <v>28.910117100833119</v>
      </c>
      <c r="AG294" s="109">
        <f t="shared" si="104"/>
        <v>44821</v>
      </c>
      <c r="AH294">
        <f>'Water Stuff'!I264*1000</f>
        <v>620</v>
      </c>
      <c r="AI294">
        <f>'Water Stuff'!Q264*1000</f>
        <v>620</v>
      </c>
      <c r="AJ294">
        <f>'Water Stuff'!Y264*1000</f>
        <v>620</v>
      </c>
      <c r="AK294">
        <f>'Water Stuff'!AG264*1000</f>
        <v>620</v>
      </c>
      <c r="AL294">
        <f>'Water Stuff'!AO264*1000</f>
        <v>620</v>
      </c>
    </row>
    <row r="295" spans="1:38">
      <c r="A295" s="109">
        <f>'Water Stuff'!F265</f>
        <v>44822</v>
      </c>
      <c r="B295">
        <f>IF( 'Water Stuff'!G265*1000 &gt;= 'Water Stuff'!$B$6*1000, 'Water Stuff'!$B$6*1000, 'Water Stuff'!G265*1000)</f>
        <v>5280</v>
      </c>
      <c r="C295">
        <f>IF( 'Water Stuff'!O265*1000 &gt;= 'Water Stuff'!$B$6*1000, 'Water Stuff'!$B$6*1000, 'Water Stuff'!O265*1000)</f>
        <v>9280</v>
      </c>
      <c r="D295">
        <f>IF( 'Water Stuff'!W265*1000 &gt;= 'Water Stuff'!$B$6*1000, 'Water Stuff'!$B$6*1000, 'Water Stuff'!W265*1000)</f>
        <v>4988.7673400712256</v>
      </c>
      <c r="E295">
        <f>IF( 'Water Stuff'!AE265*1000 &gt;= 'Water Stuff'!$B$6*1000, 'Water Stuff'!$B$6*1000, 'Water Stuff'!AE265*1000)</f>
        <v>6445.0045743752198</v>
      </c>
      <c r="F295">
        <f>IF('Water Stuff'!AM265*1000&gt;='Water Stuff'!$B$6*1000,'Water Stuff'!$B$6*1000,'Water Stuff'!AM265*1000)</f>
        <v>2568.05980360493</v>
      </c>
      <c r="I295">
        <f t="shared" si="84"/>
        <v>52.8</v>
      </c>
      <c r="J295">
        <f t="shared" si="85"/>
        <v>92.8</v>
      </c>
      <c r="K295">
        <f t="shared" si="86"/>
        <v>49.887673400712259</v>
      </c>
      <c r="L295">
        <f t="shared" si="87"/>
        <v>64.450045743752199</v>
      </c>
      <c r="M295">
        <f t="shared" si="88"/>
        <v>25.6805980360493</v>
      </c>
      <c r="O295">
        <f t="shared" si="89"/>
        <v>1.056</v>
      </c>
      <c r="P295">
        <f t="shared" si="90"/>
        <v>1.8560000000000001</v>
      </c>
      <c r="Q295">
        <f t="shared" si="91"/>
        <v>0.99775346801424503</v>
      </c>
      <c r="R295">
        <f t="shared" si="92"/>
        <v>1.2890009148750439</v>
      </c>
      <c r="S295">
        <f t="shared" si="93"/>
        <v>0.51361196072098592</v>
      </c>
      <c r="U295">
        <f t="shared" si="94"/>
        <v>26.400000000000002</v>
      </c>
      <c r="V295">
        <f t="shared" si="95"/>
        <v>46.4</v>
      </c>
      <c r="W295">
        <f t="shared" si="96"/>
        <v>24.94383670035613</v>
      </c>
      <c r="X295">
        <f t="shared" si="97"/>
        <v>32.225022871876099</v>
      </c>
      <c r="Y295">
        <f t="shared" si="98"/>
        <v>12.84029901802465</v>
      </c>
      <c r="AA295">
        <f t="shared" si="99"/>
        <v>52.800000000000004</v>
      </c>
      <c r="AB295">
        <f t="shared" si="100"/>
        <v>92.8</v>
      </c>
      <c r="AC295">
        <f t="shared" si="101"/>
        <v>49.887673400712259</v>
      </c>
      <c r="AD295">
        <f t="shared" si="102"/>
        <v>64.450045743752199</v>
      </c>
      <c r="AE295">
        <f t="shared" si="103"/>
        <v>25.6805980360493</v>
      </c>
      <c r="AG295" s="109">
        <f t="shared" si="104"/>
        <v>44822</v>
      </c>
      <c r="AH295">
        <f>'Water Stuff'!I265*1000</f>
        <v>620</v>
      </c>
      <c r="AI295">
        <f>'Water Stuff'!Q265*1000</f>
        <v>620</v>
      </c>
      <c r="AJ295">
        <f>'Water Stuff'!Y265*1000</f>
        <v>620</v>
      </c>
      <c r="AK295">
        <f>'Water Stuff'!AG265*1000</f>
        <v>620</v>
      </c>
      <c r="AL295">
        <f>'Water Stuff'!AO265*1000</f>
        <v>620</v>
      </c>
    </row>
    <row r="296" spans="1:38">
      <c r="A296" s="109">
        <f>'Water Stuff'!F266</f>
        <v>44823</v>
      </c>
      <c r="B296">
        <f>IF( 'Water Stuff'!G266*1000 &gt;= 'Water Stuff'!$B$6*1000, 'Water Stuff'!$B$6*1000, 'Water Stuff'!G266*1000)</f>
        <v>80</v>
      </c>
      <c r="C296">
        <f>IF( 'Water Stuff'!O266*1000 &gt;= 'Water Stuff'!$B$6*1000, 'Water Stuff'!$B$6*1000, 'Water Stuff'!O266*1000)</f>
        <v>10000</v>
      </c>
      <c r="D296">
        <f>IF( 'Water Stuff'!W266*1000 &gt;= 'Water Stuff'!$B$6*1000, 'Water Stuff'!$B$6*1000, 'Water Stuff'!W266*1000)</f>
        <v>0</v>
      </c>
      <c r="E296">
        <f>IF( 'Water Stuff'!AE266*1000 &gt;= 'Water Stuff'!$B$6*1000, 'Water Stuff'!$B$6*1000, 'Water Stuff'!AE266*1000)</f>
        <v>10000</v>
      </c>
      <c r="F296">
        <f>IF('Water Stuff'!AM266*1000&gt;='Water Stuff'!$B$6*1000,'Water Stuff'!$B$6*1000,'Water Stuff'!AM266*1000)</f>
        <v>0</v>
      </c>
      <c r="I296">
        <f t="shared" si="84"/>
        <v>0.8</v>
      </c>
      <c r="J296">
        <f t="shared" si="85"/>
        <v>100</v>
      </c>
      <c r="K296">
        <f t="shared" si="86"/>
        <v>0</v>
      </c>
      <c r="L296">
        <f t="shared" si="87"/>
        <v>100</v>
      </c>
      <c r="M296">
        <f t="shared" si="88"/>
        <v>0</v>
      </c>
      <c r="O296">
        <f t="shared" si="89"/>
        <v>1.6E-2</v>
      </c>
      <c r="P296">
        <f t="shared" si="90"/>
        <v>2</v>
      </c>
      <c r="Q296">
        <f t="shared" si="91"/>
        <v>0</v>
      </c>
      <c r="R296">
        <f t="shared" si="92"/>
        <v>2</v>
      </c>
      <c r="S296">
        <f t="shared" si="93"/>
        <v>0</v>
      </c>
      <c r="U296">
        <f t="shared" si="94"/>
        <v>0.4</v>
      </c>
      <c r="V296">
        <f t="shared" si="95"/>
        <v>50</v>
      </c>
      <c r="W296">
        <f t="shared" si="96"/>
        <v>0</v>
      </c>
      <c r="X296">
        <f t="shared" si="97"/>
        <v>50</v>
      </c>
      <c r="Y296">
        <f t="shared" si="98"/>
        <v>0</v>
      </c>
      <c r="AA296">
        <f t="shared" si="99"/>
        <v>0.8</v>
      </c>
      <c r="AB296">
        <f t="shared" si="100"/>
        <v>100</v>
      </c>
      <c r="AC296">
        <f t="shared" si="101"/>
        <v>0</v>
      </c>
      <c r="AD296">
        <f t="shared" si="102"/>
        <v>100</v>
      </c>
      <c r="AE296">
        <f t="shared" si="103"/>
        <v>0</v>
      </c>
      <c r="AG296" s="109">
        <f t="shared" si="104"/>
        <v>44823</v>
      </c>
      <c r="AH296">
        <f>'Water Stuff'!I266*1000</f>
        <v>620</v>
      </c>
      <c r="AI296">
        <f>'Water Stuff'!Q266*1000</f>
        <v>620</v>
      </c>
      <c r="AJ296">
        <f>'Water Stuff'!Y266*1000</f>
        <v>620</v>
      </c>
      <c r="AK296">
        <f>'Water Stuff'!AG266*1000</f>
        <v>620</v>
      </c>
      <c r="AL296">
        <f>'Water Stuff'!AO266*1000</f>
        <v>620</v>
      </c>
    </row>
    <row r="297" spans="1:38">
      <c r="A297" s="109">
        <f>'Water Stuff'!F267</f>
        <v>44824</v>
      </c>
      <c r="B297">
        <f>IF( 'Water Stuff'!G267*1000 &gt;= 'Water Stuff'!$B$6*1000, 'Water Stuff'!$B$6*1000, 'Water Stuff'!G267*1000)</f>
        <v>0</v>
      </c>
      <c r="C297">
        <f>IF( 'Water Stuff'!O267*1000 &gt;= 'Water Stuff'!$B$6*1000, 'Water Stuff'!$B$6*1000, 'Water Stuff'!O267*1000)</f>
        <v>280</v>
      </c>
      <c r="D297">
        <f>IF( 'Water Stuff'!W267*1000 &gt;= 'Water Stuff'!$B$6*1000, 'Water Stuff'!$B$6*1000, 'Water Stuff'!W267*1000)</f>
        <v>1133.9180938044969</v>
      </c>
      <c r="E297">
        <f>IF( 'Water Stuff'!AE267*1000 &gt;= 'Water Stuff'!$B$6*1000, 'Water Stuff'!$B$6*1000, 'Water Stuff'!AE267*1000)</f>
        <v>1007.2731686971146</v>
      </c>
      <c r="F297">
        <f>IF('Water Stuff'!AM267*1000&gt;='Water Stuff'!$B$6*1000,'Water Stuff'!$B$6*1000,'Water Stuff'!AM267*1000)</f>
        <v>864.70426339235632</v>
      </c>
      <c r="I297">
        <f t="shared" si="84"/>
        <v>0</v>
      </c>
      <c r="J297">
        <f t="shared" si="85"/>
        <v>2.8</v>
      </c>
      <c r="K297">
        <f t="shared" si="86"/>
        <v>11.33918093804497</v>
      </c>
      <c r="L297">
        <f t="shared" si="87"/>
        <v>10.072731686971144</v>
      </c>
      <c r="M297">
        <f t="shared" si="88"/>
        <v>8.6470426339235633</v>
      </c>
      <c r="O297">
        <f t="shared" si="89"/>
        <v>0</v>
      </c>
      <c r="P297">
        <f t="shared" si="90"/>
        <v>5.6000000000000001E-2</v>
      </c>
      <c r="Q297">
        <f t="shared" si="91"/>
        <v>0.22678361876089939</v>
      </c>
      <c r="R297">
        <f t="shared" si="92"/>
        <v>0.20145463373942288</v>
      </c>
      <c r="S297">
        <f t="shared" si="93"/>
        <v>0.17294085267847126</v>
      </c>
      <c r="U297">
        <f t="shared" si="94"/>
        <v>0</v>
      </c>
      <c r="V297">
        <f t="shared" si="95"/>
        <v>1.4000000000000001</v>
      </c>
      <c r="W297">
        <f t="shared" si="96"/>
        <v>5.6695904690224852</v>
      </c>
      <c r="X297">
        <f t="shared" si="97"/>
        <v>5.0363658434855729</v>
      </c>
      <c r="Y297">
        <f t="shared" si="98"/>
        <v>4.3235213169617817</v>
      </c>
      <c r="AA297">
        <f t="shared" si="99"/>
        <v>0</v>
      </c>
      <c r="AB297">
        <f t="shared" si="100"/>
        <v>2.8000000000000003</v>
      </c>
      <c r="AC297">
        <f t="shared" si="101"/>
        <v>11.33918093804497</v>
      </c>
      <c r="AD297">
        <f t="shared" si="102"/>
        <v>10.072731686971146</v>
      </c>
      <c r="AE297">
        <f t="shared" si="103"/>
        <v>8.6470426339235633</v>
      </c>
      <c r="AG297" s="109">
        <f t="shared" si="104"/>
        <v>44824</v>
      </c>
      <c r="AH297">
        <f>'Water Stuff'!I267*1000</f>
        <v>620</v>
      </c>
      <c r="AI297">
        <f>'Water Stuff'!Q267*1000</f>
        <v>620</v>
      </c>
      <c r="AJ297">
        <f>'Water Stuff'!Y267*1000</f>
        <v>620</v>
      </c>
      <c r="AK297">
        <f>'Water Stuff'!AG267*1000</f>
        <v>620</v>
      </c>
      <c r="AL297">
        <f>'Water Stuff'!AO267*1000</f>
        <v>620</v>
      </c>
    </row>
    <row r="298" spans="1:38">
      <c r="A298" s="109">
        <f>'Water Stuff'!F268</f>
        <v>44825</v>
      </c>
      <c r="B298">
        <f>IF( 'Water Stuff'!G268*1000 &gt;= 'Water Stuff'!$B$6*1000, 'Water Stuff'!$B$6*1000, 'Water Stuff'!G268*1000)</f>
        <v>400</v>
      </c>
      <c r="C298">
        <f>IF( 'Water Stuff'!O268*1000 &gt;= 'Water Stuff'!$B$6*1000, 'Water Stuff'!$B$6*1000, 'Water Stuff'!O268*1000)</f>
        <v>840</v>
      </c>
      <c r="D298">
        <f>IF( 'Water Stuff'!W268*1000 &gt;= 'Water Stuff'!$B$6*1000, 'Water Stuff'!$B$6*1000, 'Water Stuff'!W268*1000)</f>
        <v>178.96485715228582</v>
      </c>
      <c r="E298">
        <f>IF( 'Water Stuff'!AE268*1000 &gt;= 'Water Stuff'!$B$6*1000, 'Water Stuff'!$B$6*1000, 'Water Stuff'!AE268*1000)</f>
        <v>502.79229618343055</v>
      </c>
      <c r="F298">
        <f>IF('Water Stuff'!AM268*1000&gt;='Water Stuff'!$B$6*1000,'Water Stuff'!$B$6*1000,'Water Stuff'!AM268*1000)</f>
        <v>0</v>
      </c>
      <c r="I298">
        <f t="shared" si="84"/>
        <v>4</v>
      </c>
      <c r="J298">
        <f t="shared" si="85"/>
        <v>8.4</v>
      </c>
      <c r="K298">
        <f t="shared" si="86"/>
        <v>1.7896485715228583</v>
      </c>
      <c r="L298">
        <f t="shared" si="87"/>
        <v>5.0279229618343049</v>
      </c>
      <c r="M298">
        <f t="shared" si="88"/>
        <v>0</v>
      </c>
      <c r="O298">
        <f t="shared" si="89"/>
        <v>0.08</v>
      </c>
      <c r="P298">
        <f t="shared" si="90"/>
        <v>0.16800000000000001</v>
      </c>
      <c r="Q298">
        <f t="shared" si="91"/>
        <v>3.5792971430457163E-2</v>
      </c>
      <c r="R298">
        <f t="shared" si="92"/>
        <v>0.1005584592366861</v>
      </c>
      <c r="S298">
        <f t="shared" si="93"/>
        <v>0</v>
      </c>
      <c r="U298">
        <f t="shared" si="94"/>
        <v>2</v>
      </c>
      <c r="V298">
        <f t="shared" si="95"/>
        <v>4.2</v>
      </c>
      <c r="W298">
        <f t="shared" si="96"/>
        <v>0.89482428576142914</v>
      </c>
      <c r="X298">
        <f t="shared" si="97"/>
        <v>2.5139614809171529</v>
      </c>
      <c r="Y298">
        <f t="shared" si="98"/>
        <v>0</v>
      </c>
      <c r="AA298">
        <f t="shared" si="99"/>
        <v>4</v>
      </c>
      <c r="AB298">
        <f t="shared" si="100"/>
        <v>8.4</v>
      </c>
      <c r="AC298">
        <f t="shared" si="101"/>
        <v>1.7896485715228583</v>
      </c>
      <c r="AD298">
        <f t="shared" si="102"/>
        <v>5.0279229618343058</v>
      </c>
      <c r="AE298">
        <f t="shared" si="103"/>
        <v>0</v>
      </c>
      <c r="AG298" s="109">
        <f t="shared" si="104"/>
        <v>44825</v>
      </c>
      <c r="AH298">
        <f>'Water Stuff'!I268*1000</f>
        <v>620</v>
      </c>
      <c r="AI298">
        <f>'Water Stuff'!Q268*1000</f>
        <v>620</v>
      </c>
      <c r="AJ298">
        <f>'Water Stuff'!Y268*1000</f>
        <v>620</v>
      </c>
      <c r="AK298">
        <f>'Water Stuff'!AG268*1000</f>
        <v>620</v>
      </c>
      <c r="AL298">
        <f>'Water Stuff'!AO268*1000</f>
        <v>620</v>
      </c>
    </row>
    <row r="299" spans="1:38">
      <c r="A299" s="109">
        <f>'Water Stuff'!F269</f>
        <v>44826</v>
      </c>
      <c r="B299">
        <f>IF( 'Water Stuff'!G269*1000 &gt;= 'Water Stuff'!$B$6*1000, 'Water Stuff'!$B$6*1000, 'Water Stuff'!G269*1000)</f>
        <v>2480</v>
      </c>
      <c r="C299">
        <f>IF( 'Water Stuff'!O269*1000 &gt;= 'Water Stuff'!$B$6*1000, 'Water Stuff'!$B$6*1000, 'Water Stuff'!O269*1000)</f>
        <v>7959.9999999999991</v>
      </c>
      <c r="D299">
        <f>IF( 'Water Stuff'!W269*1000 &gt;= 'Water Stuff'!$B$6*1000, 'Water Stuff'!$B$6*1000, 'Water Stuff'!W269*1000)</f>
        <v>1504.1677370293755</v>
      </c>
      <c r="E299">
        <f>IF( 'Water Stuff'!AE269*1000 &gt;= 'Water Stuff'!$B$6*1000, 'Water Stuff'!$B$6*1000, 'Water Stuff'!AE269*1000)</f>
        <v>6193.5278013147536</v>
      </c>
      <c r="F299">
        <f>IF('Water Stuff'!AM269*1000&gt;='Water Stuff'!$B$6*1000,'Water Stuff'!$B$6*1000,'Water Stuff'!AM269*1000)</f>
        <v>0</v>
      </c>
      <c r="I299">
        <f t="shared" si="84"/>
        <v>24.8</v>
      </c>
      <c r="J299">
        <f t="shared" si="85"/>
        <v>79.59999999999998</v>
      </c>
      <c r="K299">
        <f t="shared" si="86"/>
        <v>15.041677370293755</v>
      </c>
      <c r="L299">
        <f t="shared" si="87"/>
        <v>61.935278013147538</v>
      </c>
      <c r="M299">
        <f t="shared" si="88"/>
        <v>0</v>
      </c>
      <c r="O299">
        <f t="shared" si="89"/>
        <v>0.496</v>
      </c>
      <c r="P299">
        <f t="shared" si="90"/>
        <v>1.5919999999999996</v>
      </c>
      <c r="Q299">
        <f t="shared" si="91"/>
        <v>0.30083354740587509</v>
      </c>
      <c r="R299">
        <f t="shared" si="92"/>
        <v>1.2387055602629506</v>
      </c>
      <c r="S299">
        <f t="shared" si="93"/>
        <v>0</v>
      </c>
      <c r="U299">
        <f t="shared" si="94"/>
        <v>12.4</v>
      </c>
      <c r="V299">
        <f t="shared" si="95"/>
        <v>39.799999999999997</v>
      </c>
      <c r="W299">
        <f t="shared" si="96"/>
        <v>7.5208386851468774</v>
      </c>
      <c r="X299">
        <f t="shared" si="97"/>
        <v>30.967639006573769</v>
      </c>
      <c r="Y299">
        <f t="shared" si="98"/>
        <v>0</v>
      </c>
      <c r="AA299">
        <f t="shared" si="99"/>
        <v>24.8</v>
      </c>
      <c r="AB299">
        <f t="shared" si="100"/>
        <v>79.599999999999994</v>
      </c>
      <c r="AC299">
        <f t="shared" si="101"/>
        <v>15.041677370293755</v>
      </c>
      <c r="AD299">
        <f t="shared" si="102"/>
        <v>61.935278013147538</v>
      </c>
      <c r="AE299">
        <f t="shared" si="103"/>
        <v>0</v>
      </c>
      <c r="AG299" s="109">
        <f t="shared" si="104"/>
        <v>44826</v>
      </c>
      <c r="AH299">
        <f>'Water Stuff'!I269*1000</f>
        <v>620</v>
      </c>
      <c r="AI299">
        <f>'Water Stuff'!Q269*1000</f>
        <v>620</v>
      </c>
      <c r="AJ299">
        <f>'Water Stuff'!Y269*1000</f>
        <v>620</v>
      </c>
      <c r="AK299">
        <f>'Water Stuff'!AG269*1000</f>
        <v>620</v>
      </c>
      <c r="AL299">
        <f>'Water Stuff'!AO269*1000</f>
        <v>620</v>
      </c>
    </row>
    <row r="300" spans="1:38">
      <c r="A300" s="109">
        <f>'Water Stuff'!F270</f>
        <v>44827</v>
      </c>
      <c r="B300">
        <f>IF( 'Water Stuff'!G270*1000 &gt;= 'Water Stuff'!$B$6*1000, 'Water Stuff'!$B$6*1000, 'Water Stuff'!G270*1000)</f>
        <v>5880</v>
      </c>
      <c r="C300">
        <f>IF( 'Water Stuff'!O270*1000 &gt;= 'Water Stuff'!$B$6*1000, 'Water Stuff'!$B$6*1000, 'Water Stuff'!O270*1000)</f>
        <v>5960</v>
      </c>
      <c r="D300">
        <f>IF( 'Water Stuff'!W270*1000 &gt;= 'Water Stuff'!$B$6*1000, 'Water Stuff'!$B$6*1000, 'Water Stuff'!W270*1000)</f>
        <v>6332.2393000551483</v>
      </c>
      <c r="E300">
        <f>IF( 'Water Stuff'!AE270*1000 &gt;= 'Water Stuff'!$B$6*1000, 'Water Stuff'!$B$6*1000, 'Water Stuff'!AE270*1000)</f>
        <v>3539.1721528418138</v>
      </c>
      <c r="F300">
        <f>IF('Water Stuff'!AM270*1000&gt;='Water Stuff'!$B$6*1000,'Water Stuff'!$B$6*1000,'Water Stuff'!AM270*1000)</f>
        <v>6408.246827881092</v>
      </c>
      <c r="I300">
        <f t="shared" si="84"/>
        <v>58.8</v>
      </c>
      <c r="J300">
        <f t="shared" si="85"/>
        <v>59.6</v>
      </c>
      <c r="K300">
        <f t="shared" si="86"/>
        <v>63.322393000551486</v>
      </c>
      <c r="L300">
        <f t="shared" si="87"/>
        <v>35.391721528418138</v>
      </c>
      <c r="M300">
        <f t="shared" si="88"/>
        <v>64.082468278810921</v>
      </c>
      <c r="O300">
        <f t="shared" si="89"/>
        <v>1.1759999999999999</v>
      </c>
      <c r="P300">
        <f t="shared" si="90"/>
        <v>1.1919999999999999</v>
      </c>
      <c r="Q300">
        <f t="shared" si="91"/>
        <v>1.2664478600110296</v>
      </c>
      <c r="R300">
        <f t="shared" si="92"/>
        <v>0.70783443056836282</v>
      </c>
      <c r="S300">
        <f t="shared" si="93"/>
        <v>1.2816493655762182</v>
      </c>
      <c r="U300">
        <f t="shared" si="94"/>
        <v>29.400000000000002</v>
      </c>
      <c r="V300">
        <f t="shared" si="95"/>
        <v>29.8</v>
      </c>
      <c r="W300">
        <f t="shared" si="96"/>
        <v>31.661196500275743</v>
      </c>
      <c r="X300">
        <f t="shared" si="97"/>
        <v>17.695860764209069</v>
      </c>
      <c r="Y300">
        <f t="shared" si="98"/>
        <v>32.041234139405461</v>
      </c>
      <c r="AA300">
        <f t="shared" si="99"/>
        <v>58.800000000000004</v>
      </c>
      <c r="AB300">
        <f t="shared" si="100"/>
        <v>59.6</v>
      </c>
      <c r="AC300">
        <f t="shared" si="101"/>
        <v>63.322393000551486</v>
      </c>
      <c r="AD300">
        <f t="shared" si="102"/>
        <v>35.391721528418138</v>
      </c>
      <c r="AE300">
        <f t="shared" si="103"/>
        <v>64.082468278810921</v>
      </c>
      <c r="AG300" s="109">
        <f t="shared" si="104"/>
        <v>44827</v>
      </c>
      <c r="AH300">
        <f>'Water Stuff'!I270*1000</f>
        <v>620</v>
      </c>
      <c r="AI300">
        <f>'Water Stuff'!Q270*1000</f>
        <v>620</v>
      </c>
      <c r="AJ300">
        <f>'Water Stuff'!Y270*1000</f>
        <v>620</v>
      </c>
      <c r="AK300">
        <f>'Water Stuff'!AG270*1000</f>
        <v>620</v>
      </c>
      <c r="AL300">
        <f>'Water Stuff'!AO270*1000</f>
        <v>620</v>
      </c>
    </row>
    <row r="301" spans="1:38">
      <c r="A301" s="109">
        <f>'Water Stuff'!F271</f>
        <v>44828</v>
      </c>
      <c r="B301">
        <f>IF( 'Water Stuff'!G271*1000 &gt;= 'Water Stuff'!$B$6*1000, 'Water Stuff'!$B$6*1000, 'Water Stuff'!G271*1000)</f>
        <v>320</v>
      </c>
      <c r="C301">
        <f>IF( 'Water Stuff'!O271*1000 &gt;= 'Water Stuff'!$B$6*1000, 'Water Stuff'!$B$6*1000, 'Water Stuff'!O271*1000)</f>
        <v>2360</v>
      </c>
      <c r="D301">
        <f>IF( 'Water Stuff'!W271*1000 &gt;= 'Water Stuff'!$B$6*1000, 'Water Stuff'!$B$6*1000, 'Water Stuff'!W271*1000)</f>
        <v>0</v>
      </c>
      <c r="E301">
        <f>IF( 'Water Stuff'!AE271*1000 &gt;= 'Water Stuff'!$B$6*1000, 'Water Stuff'!$B$6*1000, 'Water Stuff'!AE271*1000)</f>
        <v>904.52490023494056</v>
      </c>
      <c r="F301">
        <f>IF('Water Stuff'!AM271*1000&gt;='Water Stuff'!$B$6*1000,'Water Stuff'!$B$6*1000,'Water Stuff'!AM271*1000)</f>
        <v>0</v>
      </c>
      <c r="I301">
        <f t="shared" si="84"/>
        <v>3.2</v>
      </c>
      <c r="J301">
        <f t="shared" si="85"/>
        <v>23.6</v>
      </c>
      <c r="K301">
        <f t="shared" si="86"/>
        <v>0</v>
      </c>
      <c r="L301">
        <f t="shared" si="87"/>
        <v>9.0452490023494061</v>
      </c>
      <c r="M301">
        <f t="shared" si="88"/>
        <v>0</v>
      </c>
      <c r="O301">
        <f t="shared" si="89"/>
        <v>6.4000000000000001E-2</v>
      </c>
      <c r="P301">
        <f t="shared" si="90"/>
        <v>0.47199999999999998</v>
      </c>
      <c r="Q301">
        <f t="shared" si="91"/>
        <v>0</v>
      </c>
      <c r="R301">
        <f t="shared" si="92"/>
        <v>0.1809049800469881</v>
      </c>
      <c r="S301">
        <f t="shared" si="93"/>
        <v>0</v>
      </c>
      <c r="U301">
        <f t="shared" si="94"/>
        <v>1.6</v>
      </c>
      <c r="V301">
        <f t="shared" si="95"/>
        <v>11.8</v>
      </c>
      <c r="W301">
        <f t="shared" si="96"/>
        <v>0</v>
      </c>
      <c r="X301">
        <f t="shared" si="97"/>
        <v>4.522624501174703</v>
      </c>
      <c r="Y301">
        <f t="shared" si="98"/>
        <v>0</v>
      </c>
      <c r="AA301">
        <f t="shared" si="99"/>
        <v>3.2</v>
      </c>
      <c r="AB301">
        <f t="shared" si="100"/>
        <v>23.6</v>
      </c>
      <c r="AC301">
        <f t="shared" si="101"/>
        <v>0</v>
      </c>
      <c r="AD301">
        <f t="shared" si="102"/>
        <v>9.0452490023494061</v>
      </c>
      <c r="AE301">
        <f t="shared" si="103"/>
        <v>0</v>
      </c>
      <c r="AG301" s="109">
        <f t="shared" si="104"/>
        <v>44828</v>
      </c>
      <c r="AH301">
        <f>'Water Stuff'!I271*1000</f>
        <v>620</v>
      </c>
      <c r="AI301">
        <f>'Water Stuff'!Q271*1000</f>
        <v>620</v>
      </c>
      <c r="AJ301">
        <f>'Water Stuff'!Y271*1000</f>
        <v>620</v>
      </c>
      <c r="AK301">
        <f>'Water Stuff'!AG271*1000</f>
        <v>620</v>
      </c>
      <c r="AL301">
        <f>'Water Stuff'!AO271*1000</f>
        <v>620</v>
      </c>
    </row>
    <row r="302" spans="1:38">
      <c r="A302" s="109">
        <f>'Water Stuff'!F272</f>
        <v>44829</v>
      </c>
      <c r="B302">
        <f>IF( 'Water Stuff'!G272*1000 &gt;= 'Water Stuff'!$B$6*1000, 'Water Stuff'!$B$6*1000, 'Water Stuff'!G272*1000)</f>
        <v>120</v>
      </c>
      <c r="C302">
        <f>IF( 'Water Stuff'!O272*1000 &gt;= 'Water Stuff'!$B$6*1000, 'Water Stuff'!$B$6*1000, 'Water Stuff'!O272*1000)</f>
        <v>320</v>
      </c>
      <c r="D302">
        <f>IF( 'Water Stuff'!W272*1000 &gt;= 'Water Stuff'!$B$6*1000, 'Water Stuff'!$B$6*1000, 'Water Stuff'!W272*1000)</f>
        <v>0</v>
      </c>
      <c r="E302">
        <f>IF( 'Water Stuff'!AE272*1000 &gt;= 'Water Stuff'!$B$6*1000, 'Water Stuff'!$B$6*1000, 'Water Stuff'!AE272*1000)</f>
        <v>593.01298921359967</v>
      </c>
      <c r="F302">
        <f>IF('Water Stuff'!AM272*1000&gt;='Water Stuff'!$B$6*1000,'Water Stuff'!$B$6*1000,'Water Stuff'!AM272*1000)</f>
        <v>0</v>
      </c>
      <c r="I302">
        <f t="shared" si="84"/>
        <v>1.2</v>
      </c>
      <c r="J302">
        <f t="shared" si="85"/>
        <v>3.2</v>
      </c>
      <c r="K302">
        <f t="shared" si="86"/>
        <v>0</v>
      </c>
      <c r="L302">
        <f t="shared" si="87"/>
        <v>5.9301298921359971</v>
      </c>
      <c r="M302">
        <f t="shared" si="88"/>
        <v>0</v>
      </c>
      <c r="O302">
        <f t="shared" si="89"/>
        <v>2.4E-2</v>
      </c>
      <c r="P302">
        <f t="shared" si="90"/>
        <v>6.4000000000000001E-2</v>
      </c>
      <c r="Q302">
        <f t="shared" si="91"/>
        <v>0</v>
      </c>
      <c r="R302">
        <f t="shared" si="92"/>
        <v>0.11860259784271993</v>
      </c>
      <c r="S302">
        <f t="shared" si="93"/>
        <v>0</v>
      </c>
      <c r="U302">
        <f t="shared" si="94"/>
        <v>0.6</v>
      </c>
      <c r="V302">
        <f t="shared" si="95"/>
        <v>1.6</v>
      </c>
      <c r="W302">
        <f t="shared" si="96"/>
        <v>0</v>
      </c>
      <c r="X302">
        <f t="shared" si="97"/>
        <v>2.9650649460679985</v>
      </c>
      <c r="Y302">
        <f t="shared" si="98"/>
        <v>0</v>
      </c>
      <c r="AA302">
        <f t="shared" si="99"/>
        <v>1.2</v>
      </c>
      <c r="AB302">
        <f t="shared" si="100"/>
        <v>3.2</v>
      </c>
      <c r="AC302">
        <f t="shared" si="101"/>
        <v>0</v>
      </c>
      <c r="AD302">
        <f t="shared" si="102"/>
        <v>5.9301298921359971</v>
      </c>
      <c r="AE302">
        <f t="shared" si="103"/>
        <v>0</v>
      </c>
      <c r="AG302" s="109">
        <f t="shared" si="104"/>
        <v>44829</v>
      </c>
      <c r="AH302">
        <f>'Water Stuff'!I272*1000</f>
        <v>620</v>
      </c>
      <c r="AI302">
        <f>'Water Stuff'!Q272*1000</f>
        <v>620</v>
      </c>
      <c r="AJ302">
        <f>'Water Stuff'!Y272*1000</f>
        <v>620</v>
      </c>
      <c r="AK302">
        <f>'Water Stuff'!AG272*1000</f>
        <v>620</v>
      </c>
      <c r="AL302">
        <f>'Water Stuff'!AO272*1000</f>
        <v>620</v>
      </c>
    </row>
    <row r="303" spans="1:38">
      <c r="A303" s="109">
        <f>'Water Stuff'!F273</f>
        <v>44830</v>
      </c>
      <c r="B303">
        <f>IF( 'Water Stuff'!G273*1000 &gt;= 'Water Stuff'!$B$6*1000, 'Water Stuff'!$B$6*1000, 'Water Stuff'!G273*1000)</f>
        <v>1639.9999999999998</v>
      </c>
      <c r="C303">
        <f>IF( 'Water Stuff'!O273*1000 &gt;= 'Water Stuff'!$B$6*1000, 'Water Stuff'!$B$6*1000, 'Water Stuff'!O273*1000)</f>
        <v>0</v>
      </c>
      <c r="D303">
        <f>IF( 'Water Stuff'!W273*1000 &gt;= 'Water Stuff'!$B$6*1000, 'Water Stuff'!$B$6*1000, 'Water Stuff'!W273*1000)</f>
        <v>0</v>
      </c>
      <c r="E303">
        <f>IF( 'Water Stuff'!AE273*1000 &gt;= 'Water Stuff'!$B$6*1000, 'Water Stuff'!$B$6*1000, 'Water Stuff'!AE273*1000)</f>
        <v>0</v>
      </c>
      <c r="F303">
        <f>IF('Water Stuff'!AM273*1000&gt;='Water Stuff'!$B$6*1000,'Water Stuff'!$B$6*1000,'Water Stuff'!AM273*1000)</f>
        <v>0</v>
      </c>
      <c r="I303">
        <f t="shared" si="84"/>
        <v>16.399999999999995</v>
      </c>
      <c r="J303">
        <f t="shared" si="85"/>
        <v>0</v>
      </c>
      <c r="K303">
        <f t="shared" si="86"/>
        <v>0</v>
      </c>
      <c r="L303">
        <f t="shared" si="87"/>
        <v>0</v>
      </c>
      <c r="M303">
        <f t="shared" si="88"/>
        <v>0</v>
      </c>
      <c r="O303">
        <f t="shared" si="89"/>
        <v>0.3279999999999999</v>
      </c>
      <c r="P303">
        <f t="shared" si="90"/>
        <v>0</v>
      </c>
      <c r="Q303">
        <f t="shared" si="91"/>
        <v>0</v>
      </c>
      <c r="R303">
        <f t="shared" si="92"/>
        <v>0</v>
      </c>
      <c r="S303">
        <f t="shared" si="93"/>
        <v>0</v>
      </c>
      <c r="U303">
        <f t="shared" si="94"/>
        <v>8.1999999999999993</v>
      </c>
      <c r="V303">
        <f t="shared" si="95"/>
        <v>0</v>
      </c>
      <c r="W303">
        <f t="shared" si="96"/>
        <v>0</v>
      </c>
      <c r="X303">
        <f t="shared" si="97"/>
        <v>0</v>
      </c>
      <c r="Y303">
        <f t="shared" si="98"/>
        <v>0</v>
      </c>
      <c r="AA303">
        <f t="shared" si="99"/>
        <v>16.399999999999999</v>
      </c>
      <c r="AB303">
        <f t="shared" si="100"/>
        <v>0</v>
      </c>
      <c r="AC303">
        <f t="shared" si="101"/>
        <v>0</v>
      </c>
      <c r="AD303">
        <f t="shared" si="102"/>
        <v>0</v>
      </c>
      <c r="AE303">
        <f t="shared" si="103"/>
        <v>0</v>
      </c>
      <c r="AG303" s="109">
        <f t="shared" si="104"/>
        <v>44830</v>
      </c>
      <c r="AH303">
        <f>'Water Stuff'!I273*1000</f>
        <v>620</v>
      </c>
      <c r="AI303">
        <f>'Water Stuff'!Q273*1000</f>
        <v>620</v>
      </c>
      <c r="AJ303">
        <f>'Water Stuff'!Y273*1000</f>
        <v>620</v>
      </c>
      <c r="AK303">
        <f>'Water Stuff'!AG273*1000</f>
        <v>620</v>
      </c>
      <c r="AL303">
        <f>'Water Stuff'!AO273*1000</f>
        <v>620</v>
      </c>
    </row>
    <row r="304" spans="1:38">
      <c r="A304" s="109">
        <f>'Water Stuff'!F274</f>
        <v>44831</v>
      </c>
      <c r="B304">
        <f>IF( 'Water Stuff'!G274*1000 &gt;= 'Water Stuff'!$B$6*1000, 'Water Stuff'!$B$6*1000, 'Water Stuff'!G274*1000)</f>
        <v>0</v>
      </c>
      <c r="C304">
        <f>IF( 'Water Stuff'!O274*1000 &gt;= 'Water Stuff'!$B$6*1000, 'Water Stuff'!$B$6*1000, 'Water Stuff'!O274*1000)</f>
        <v>0</v>
      </c>
      <c r="D304">
        <f>IF( 'Water Stuff'!W274*1000 &gt;= 'Water Stuff'!$B$6*1000, 'Water Stuff'!$B$6*1000, 'Water Stuff'!W274*1000)</f>
        <v>0</v>
      </c>
      <c r="E304">
        <f>IF( 'Water Stuff'!AE274*1000 &gt;= 'Water Stuff'!$B$6*1000, 'Water Stuff'!$B$6*1000, 'Water Stuff'!AE274*1000)</f>
        <v>0</v>
      </c>
      <c r="F304">
        <f>IF('Water Stuff'!AM274*1000&gt;='Water Stuff'!$B$6*1000,'Water Stuff'!$B$6*1000,'Water Stuff'!AM274*1000)</f>
        <v>1466.1775297150909</v>
      </c>
      <c r="I304">
        <f t="shared" si="84"/>
        <v>0</v>
      </c>
      <c r="J304">
        <f t="shared" si="85"/>
        <v>0</v>
      </c>
      <c r="K304">
        <f t="shared" si="86"/>
        <v>0</v>
      </c>
      <c r="L304">
        <f t="shared" si="87"/>
        <v>0</v>
      </c>
      <c r="M304">
        <f t="shared" si="88"/>
        <v>14.661775297150909</v>
      </c>
      <c r="O304">
        <f t="shared" si="89"/>
        <v>0</v>
      </c>
      <c r="P304">
        <f t="shared" si="90"/>
        <v>0</v>
      </c>
      <c r="Q304">
        <f t="shared" si="91"/>
        <v>0</v>
      </c>
      <c r="R304">
        <f t="shared" si="92"/>
        <v>0</v>
      </c>
      <c r="S304">
        <f t="shared" si="93"/>
        <v>0.29323550594301823</v>
      </c>
      <c r="U304">
        <f t="shared" si="94"/>
        <v>0</v>
      </c>
      <c r="V304">
        <f t="shared" si="95"/>
        <v>0</v>
      </c>
      <c r="W304">
        <f t="shared" si="96"/>
        <v>0</v>
      </c>
      <c r="X304">
        <f t="shared" si="97"/>
        <v>0</v>
      </c>
      <c r="Y304">
        <f t="shared" si="98"/>
        <v>7.3308876485754553</v>
      </c>
      <c r="AA304">
        <f t="shared" si="99"/>
        <v>0</v>
      </c>
      <c r="AB304">
        <f t="shared" si="100"/>
        <v>0</v>
      </c>
      <c r="AC304">
        <f t="shared" si="101"/>
        <v>0</v>
      </c>
      <c r="AD304">
        <f t="shared" si="102"/>
        <v>0</v>
      </c>
      <c r="AE304">
        <f t="shared" si="103"/>
        <v>14.661775297150911</v>
      </c>
      <c r="AG304" s="109">
        <f t="shared" si="104"/>
        <v>44831</v>
      </c>
      <c r="AH304">
        <f>'Water Stuff'!I274*1000</f>
        <v>620</v>
      </c>
      <c r="AI304">
        <f>'Water Stuff'!Q274*1000</f>
        <v>620</v>
      </c>
      <c r="AJ304">
        <f>'Water Stuff'!Y274*1000</f>
        <v>620</v>
      </c>
      <c r="AK304">
        <f>'Water Stuff'!AG274*1000</f>
        <v>620</v>
      </c>
      <c r="AL304">
        <f>'Water Stuff'!AO274*1000</f>
        <v>620</v>
      </c>
    </row>
    <row r="305" spans="1:38">
      <c r="A305" s="109">
        <f>'Water Stuff'!F275</f>
        <v>44832</v>
      </c>
      <c r="B305">
        <f>IF( 'Water Stuff'!G275*1000 &gt;= 'Water Stuff'!$B$6*1000, 'Water Stuff'!$B$6*1000, 'Water Stuff'!G275*1000)</f>
        <v>2480</v>
      </c>
      <c r="C305">
        <f>IF( 'Water Stuff'!O275*1000 &gt;= 'Water Stuff'!$B$6*1000, 'Water Stuff'!$B$6*1000, 'Water Stuff'!O275*1000)</f>
        <v>0</v>
      </c>
      <c r="D305">
        <f>IF( 'Water Stuff'!W275*1000 &gt;= 'Water Stuff'!$B$6*1000, 'Water Stuff'!$B$6*1000, 'Water Stuff'!W275*1000)</f>
        <v>2426.9336872603299</v>
      </c>
      <c r="E305">
        <f>IF( 'Water Stuff'!AE275*1000 &gt;= 'Water Stuff'!$B$6*1000, 'Water Stuff'!$B$6*1000, 'Water Stuff'!AE275*1000)</f>
        <v>0</v>
      </c>
      <c r="F305">
        <f>IF('Water Stuff'!AM275*1000&gt;='Water Stuff'!$B$6*1000,'Water Stuff'!$B$6*1000,'Water Stuff'!AM275*1000)</f>
        <v>2088.8257964518102</v>
      </c>
      <c r="I305">
        <f t="shared" si="84"/>
        <v>24.8</v>
      </c>
      <c r="J305">
        <f t="shared" si="85"/>
        <v>0</v>
      </c>
      <c r="K305">
        <f t="shared" si="86"/>
        <v>24.269336872603301</v>
      </c>
      <c r="L305">
        <f t="shared" si="87"/>
        <v>0</v>
      </c>
      <c r="M305">
        <f t="shared" si="88"/>
        <v>20.888257964518104</v>
      </c>
      <c r="O305">
        <f t="shared" si="89"/>
        <v>0.496</v>
      </c>
      <c r="P305">
        <f t="shared" si="90"/>
        <v>0</v>
      </c>
      <c r="Q305">
        <f t="shared" si="91"/>
        <v>0.48538673745206595</v>
      </c>
      <c r="R305">
        <f t="shared" si="92"/>
        <v>0</v>
      </c>
      <c r="S305">
        <f t="shared" si="93"/>
        <v>0.41776515929036201</v>
      </c>
      <c r="U305">
        <f t="shared" si="94"/>
        <v>12.4</v>
      </c>
      <c r="V305">
        <f t="shared" si="95"/>
        <v>0</v>
      </c>
      <c r="W305">
        <f t="shared" si="96"/>
        <v>12.13466843630165</v>
      </c>
      <c r="X305">
        <f t="shared" si="97"/>
        <v>0</v>
      </c>
      <c r="Y305">
        <f t="shared" si="98"/>
        <v>10.444128982259052</v>
      </c>
      <c r="AA305">
        <f t="shared" si="99"/>
        <v>24.8</v>
      </c>
      <c r="AB305">
        <f t="shared" si="100"/>
        <v>0</v>
      </c>
      <c r="AC305">
        <f t="shared" si="101"/>
        <v>24.269336872603301</v>
      </c>
      <c r="AD305">
        <f t="shared" si="102"/>
        <v>0</v>
      </c>
      <c r="AE305">
        <f t="shared" si="103"/>
        <v>20.888257964518104</v>
      </c>
      <c r="AG305" s="109">
        <f t="shared" si="104"/>
        <v>44832</v>
      </c>
      <c r="AH305">
        <f>'Water Stuff'!I275*1000</f>
        <v>620</v>
      </c>
      <c r="AI305">
        <f>'Water Stuff'!Q275*1000</f>
        <v>620</v>
      </c>
      <c r="AJ305">
        <f>'Water Stuff'!Y275*1000</f>
        <v>620</v>
      </c>
      <c r="AK305">
        <f>'Water Stuff'!AG275*1000</f>
        <v>620</v>
      </c>
      <c r="AL305">
        <f>'Water Stuff'!AO275*1000</f>
        <v>620</v>
      </c>
    </row>
    <row r="306" spans="1:38">
      <c r="A306" s="109">
        <f>'Water Stuff'!F276</f>
        <v>44833</v>
      </c>
      <c r="B306">
        <f>IF( 'Water Stuff'!G276*1000 &gt;= 'Water Stuff'!$B$6*1000, 'Water Stuff'!$B$6*1000, 'Water Stuff'!G276*1000)</f>
        <v>1120</v>
      </c>
      <c r="C306">
        <f>IF( 'Water Stuff'!O276*1000 &gt;= 'Water Stuff'!$B$6*1000, 'Water Stuff'!$B$6*1000, 'Water Stuff'!O276*1000)</f>
        <v>0</v>
      </c>
      <c r="D306">
        <f>IF( 'Water Stuff'!W276*1000 &gt;= 'Water Stuff'!$B$6*1000, 'Water Stuff'!$B$6*1000, 'Water Stuff'!W276*1000)</f>
        <v>0</v>
      </c>
      <c r="E306">
        <f>IF( 'Water Stuff'!AE276*1000 &gt;= 'Water Stuff'!$B$6*1000, 'Water Stuff'!$B$6*1000, 'Water Stuff'!AE276*1000)</f>
        <v>0</v>
      </c>
      <c r="F306">
        <f>IF('Water Stuff'!AM276*1000&gt;='Water Stuff'!$B$6*1000,'Water Stuff'!$B$6*1000,'Water Stuff'!AM276*1000)</f>
        <v>1018.4102635159438</v>
      </c>
      <c r="I306">
        <f t="shared" si="84"/>
        <v>11.2</v>
      </c>
      <c r="J306">
        <f t="shared" si="85"/>
        <v>0</v>
      </c>
      <c r="K306">
        <f t="shared" si="86"/>
        <v>0</v>
      </c>
      <c r="L306">
        <f t="shared" si="87"/>
        <v>0</v>
      </c>
      <c r="M306">
        <f t="shared" si="88"/>
        <v>10.184102635159437</v>
      </c>
      <c r="O306">
        <f t="shared" si="89"/>
        <v>0.224</v>
      </c>
      <c r="P306">
        <f t="shared" si="90"/>
        <v>0</v>
      </c>
      <c r="Q306">
        <f t="shared" si="91"/>
        <v>0</v>
      </c>
      <c r="R306">
        <f t="shared" si="92"/>
        <v>0</v>
      </c>
      <c r="S306">
        <f t="shared" si="93"/>
        <v>0.20368205270318873</v>
      </c>
      <c r="U306">
        <f t="shared" si="94"/>
        <v>5.6000000000000005</v>
      </c>
      <c r="V306">
        <f t="shared" si="95"/>
        <v>0</v>
      </c>
      <c r="W306">
        <f t="shared" si="96"/>
        <v>0</v>
      </c>
      <c r="X306">
        <f t="shared" si="97"/>
        <v>0</v>
      </c>
      <c r="Y306">
        <f t="shared" si="98"/>
        <v>5.0920513175797195</v>
      </c>
      <c r="AA306">
        <f t="shared" si="99"/>
        <v>11.200000000000001</v>
      </c>
      <c r="AB306">
        <f t="shared" si="100"/>
        <v>0</v>
      </c>
      <c r="AC306">
        <f t="shared" si="101"/>
        <v>0</v>
      </c>
      <c r="AD306">
        <f t="shared" si="102"/>
        <v>0</v>
      </c>
      <c r="AE306">
        <f t="shared" si="103"/>
        <v>10.184102635159439</v>
      </c>
      <c r="AG306" s="109">
        <f t="shared" si="104"/>
        <v>44833</v>
      </c>
      <c r="AH306">
        <f>'Water Stuff'!I276*1000</f>
        <v>620</v>
      </c>
      <c r="AI306">
        <f>'Water Stuff'!Q276*1000</f>
        <v>620</v>
      </c>
      <c r="AJ306">
        <f>'Water Stuff'!Y276*1000</f>
        <v>620</v>
      </c>
      <c r="AK306">
        <f>'Water Stuff'!AG276*1000</f>
        <v>620</v>
      </c>
      <c r="AL306">
        <f>'Water Stuff'!AO276*1000</f>
        <v>620</v>
      </c>
    </row>
    <row r="307" spans="1:38">
      <c r="A307" s="109">
        <f>'Water Stuff'!F277</f>
        <v>44834</v>
      </c>
      <c r="B307">
        <f>IF( 'Water Stuff'!G277*1000 &gt;= 'Water Stuff'!$B$6*1000, 'Water Stuff'!$B$6*1000, 'Water Stuff'!G277*1000)</f>
        <v>0</v>
      </c>
      <c r="C307">
        <f>IF( 'Water Stuff'!O277*1000 &gt;= 'Water Stuff'!$B$6*1000, 'Water Stuff'!$B$6*1000, 'Water Stuff'!O277*1000)</f>
        <v>0</v>
      </c>
      <c r="D307">
        <f>IF( 'Water Stuff'!W277*1000 &gt;= 'Water Stuff'!$B$6*1000, 'Water Stuff'!$B$6*1000, 'Water Stuff'!W277*1000)</f>
        <v>0</v>
      </c>
      <c r="E307">
        <f>IF( 'Water Stuff'!AE277*1000 &gt;= 'Water Stuff'!$B$6*1000, 'Water Stuff'!$B$6*1000, 'Water Stuff'!AE277*1000)</f>
        <v>0</v>
      </c>
      <c r="F307">
        <f>IF('Water Stuff'!AM277*1000&gt;='Water Stuff'!$B$6*1000,'Water Stuff'!$B$6*1000,'Water Stuff'!AM277*1000)</f>
        <v>0</v>
      </c>
      <c r="I307">
        <f t="shared" si="84"/>
        <v>0</v>
      </c>
      <c r="J307">
        <f t="shared" si="85"/>
        <v>0</v>
      </c>
      <c r="K307">
        <f t="shared" si="86"/>
        <v>0</v>
      </c>
      <c r="L307">
        <f t="shared" si="87"/>
        <v>0</v>
      </c>
      <c r="M307">
        <f t="shared" si="88"/>
        <v>0</v>
      </c>
      <c r="O307">
        <f t="shared" si="89"/>
        <v>0</v>
      </c>
      <c r="P307">
        <f t="shared" si="90"/>
        <v>0</v>
      </c>
      <c r="Q307">
        <f t="shared" si="91"/>
        <v>0</v>
      </c>
      <c r="R307">
        <f t="shared" si="92"/>
        <v>0</v>
      </c>
      <c r="S307">
        <f t="shared" si="93"/>
        <v>0</v>
      </c>
      <c r="U307">
        <f t="shared" si="94"/>
        <v>0</v>
      </c>
      <c r="V307">
        <f t="shared" si="95"/>
        <v>0</v>
      </c>
      <c r="W307">
        <f t="shared" si="96"/>
        <v>0</v>
      </c>
      <c r="X307">
        <f t="shared" si="97"/>
        <v>0</v>
      </c>
      <c r="Y307">
        <f t="shared" si="98"/>
        <v>0</v>
      </c>
      <c r="AA307">
        <f t="shared" si="99"/>
        <v>0</v>
      </c>
      <c r="AB307">
        <f t="shared" si="100"/>
        <v>0</v>
      </c>
      <c r="AC307">
        <f t="shared" si="101"/>
        <v>0</v>
      </c>
      <c r="AD307">
        <f t="shared" si="102"/>
        <v>0</v>
      </c>
      <c r="AE307">
        <f t="shared" si="103"/>
        <v>0</v>
      </c>
      <c r="AG307" s="109">
        <f t="shared" si="104"/>
        <v>44834</v>
      </c>
      <c r="AH307">
        <f>'Water Stuff'!I277*1000</f>
        <v>620</v>
      </c>
      <c r="AI307">
        <f>'Water Stuff'!Q277*1000</f>
        <v>620</v>
      </c>
      <c r="AJ307">
        <f>'Water Stuff'!Y277*1000</f>
        <v>620</v>
      </c>
      <c r="AK307">
        <f>'Water Stuff'!AG277*1000</f>
        <v>620</v>
      </c>
      <c r="AL307">
        <f>'Water Stuff'!AO277*1000</f>
        <v>620</v>
      </c>
    </row>
    <row r="308" spans="1:38">
      <c r="A308" s="109">
        <f>'Water Stuff'!F278</f>
        <v>44835</v>
      </c>
      <c r="B308">
        <f>IF( 'Water Stuff'!G278*1000 &gt;= 'Water Stuff'!$B$6*1000, 'Water Stuff'!$B$6*1000, 'Water Stuff'!G278*1000)</f>
        <v>0</v>
      </c>
      <c r="C308">
        <f>IF( 'Water Stuff'!O278*1000 &gt;= 'Water Stuff'!$B$6*1000, 'Water Stuff'!$B$6*1000, 'Water Stuff'!O278*1000)</f>
        <v>0</v>
      </c>
      <c r="D308">
        <f>IF( 'Water Stuff'!W278*1000 &gt;= 'Water Stuff'!$B$6*1000, 'Water Stuff'!$B$6*1000, 'Water Stuff'!W278*1000)</f>
        <v>0</v>
      </c>
      <c r="E308">
        <f>IF( 'Water Stuff'!AE278*1000 &gt;= 'Water Stuff'!$B$6*1000, 'Water Stuff'!$B$6*1000, 'Water Stuff'!AE278*1000)</f>
        <v>0</v>
      </c>
      <c r="F308">
        <f>IF('Water Stuff'!AM278*1000&gt;='Water Stuff'!$B$6*1000,'Water Stuff'!$B$6*1000,'Water Stuff'!AM278*1000)</f>
        <v>755.4467529340676</v>
      </c>
      <c r="I308">
        <f t="shared" si="84"/>
        <v>0</v>
      </c>
      <c r="J308">
        <f t="shared" si="85"/>
        <v>0</v>
      </c>
      <c r="K308">
        <f t="shared" si="86"/>
        <v>0</v>
      </c>
      <c r="L308">
        <f t="shared" si="87"/>
        <v>0</v>
      </c>
      <c r="M308">
        <f t="shared" si="88"/>
        <v>7.554467529340676</v>
      </c>
      <c r="O308">
        <f t="shared" si="89"/>
        <v>0</v>
      </c>
      <c r="P308">
        <f t="shared" si="90"/>
        <v>0</v>
      </c>
      <c r="Q308">
        <f t="shared" si="91"/>
        <v>0</v>
      </c>
      <c r="R308">
        <f t="shared" si="92"/>
        <v>0</v>
      </c>
      <c r="S308">
        <f t="shared" si="93"/>
        <v>0.1510893505868135</v>
      </c>
      <c r="U308">
        <f t="shared" si="94"/>
        <v>0</v>
      </c>
      <c r="V308">
        <f t="shared" si="95"/>
        <v>0</v>
      </c>
      <c r="W308">
        <f t="shared" si="96"/>
        <v>0</v>
      </c>
      <c r="X308">
        <f t="shared" si="97"/>
        <v>0</v>
      </c>
      <c r="Y308">
        <f t="shared" si="98"/>
        <v>3.777233764670338</v>
      </c>
      <c r="AA308">
        <f t="shared" si="99"/>
        <v>0</v>
      </c>
      <c r="AB308">
        <f t="shared" si="100"/>
        <v>0</v>
      </c>
      <c r="AC308">
        <f t="shared" si="101"/>
        <v>0</v>
      </c>
      <c r="AD308">
        <f t="shared" si="102"/>
        <v>0</v>
      </c>
      <c r="AE308">
        <f t="shared" si="103"/>
        <v>7.554467529340676</v>
      </c>
      <c r="AG308" s="109">
        <f t="shared" si="104"/>
        <v>44835</v>
      </c>
      <c r="AH308">
        <f>'Water Stuff'!I278*1000</f>
        <v>620</v>
      </c>
      <c r="AI308">
        <f>'Water Stuff'!Q278*1000</f>
        <v>620</v>
      </c>
      <c r="AJ308">
        <f>'Water Stuff'!Y278*1000</f>
        <v>620</v>
      </c>
      <c r="AK308">
        <f>'Water Stuff'!AG278*1000</f>
        <v>620</v>
      </c>
      <c r="AL308">
        <f>'Water Stuff'!AO278*1000</f>
        <v>620</v>
      </c>
    </row>
    <row r="309" spans="1:38">
      <c r="A309" s="109">
        <f>'Water Stuff'!F279</f>
        <v>44836</v>
      </c>
      <c r="B309">
        <f>IF( 'Water Stuff'!G279*1000 &gt;= 'Water Stuff'!$B$6*1000, 'Water Stuff'!$B$6*1000, 'Water Stuff'!G279*1000)</f>
        <v>0</v>
      </c>
      <c r="C309">
        <f>IF( 'Water Stuff'!O279*1000 &gt;= 'Water Stuff'!$B$6*1000, 'Water Stuff'!$B$6*1000, 'Water Stuff'!O279*1000)</f>
        <v>0</v>
      </c>
      <c r="D309">
        <f>IF( 'Water Stuff'!W279*1000 &gt;= 'Water Stuff'!$B$6*1000, 'Water Stuff'!$B$6*1000, 'Water Stuff'!W279*1000)</f>
        <v>0</v>
      </c>
      <c r="E309">
        <f>IF( 'Water Stuff'!AE279*1000 &gt;= 'Water Stuff'!$B$6*1000, 'Water Stuff'!$B$6*1000, 'Water Stuff'!AE279*1000)</f>
        <v>113.04831358274203</v>
      </c>
      <c r="F309">
        <f>IF('Water Stuff'!AM279*1000&gt;='Water Stuff'!$B$6*1000,'Water Stuff'!$B$6*1000,'Water Stuff'!AM279*1000)</f>
        <v>0</v>
      </c>
      <c r="I309">
        <f t="shared" si="84"/>
        <v>0</v>
      </c>
      <c r="J309">
        <f t="shared" si="85"/>
        <v>0</v>
      </c>
      <c r="K309">
        <f t="shared" si="86"/>
        <v>0</v>
      </c>
      <c r="L309">
        <f t="shared" si="87"/>
        <v>1.1304831358274203</v>
      </c>
      <c r="M309">
        <f t="shared" si="88"/>
        <v>0</v>
      </c>
      <c r="O309">
        <f t="shared" si="89"/>
        <v>0</v>
      </c>
      <c r="P309">
        <f t="shared" si="90"/>
        <v>0</v>
      </c>
      <c r="Q309">
        <f t="shared" si="91"/>
        <v>0</v>
      </c>
      <c r="R309">
        <f t="shared" si="92"/>
        <v>2.2609662716548407E-2</v>
      </c>
      <c r="S309">
        <f t="shared" si="93"/>
        <v>0</v>
      </c>
      <c r="U309">
        <f t="shared" si="94"/>
        <v>0</v>
      </c>
      <c r="V309">
        <f t="shared" si="95"/>
        <v>0</v>
      </c>
      <c r="W309">
        <f t="shared" si="96"/>
        <v>0</v>
      </c>
      <c r="X309">
        <f t="shared" si="97"/>
        <v>0.56524156791371016</v>
      </c>
      <c r="Y309">
        <f t="shared" si="98"/>
        <v>0</v>
      </c>
      <c r="AA309">
        <f t="shared" si="99"/>
        <v>0</v>
      </c>
      <c r="AB309">
        <f t="shared" si="100"/>
        <v>0</v>
      </c>
      <c r="AC309">
        <f t="shared" si="101"/>
        <v>0</v>
      </c>
      <c r="AD309">
        <f t="shared" si="102"/>
        <v>1.1304831358274203</v>
      </c>
      <c r="AE309">
        <f t="shared" si="103"/>
        <v>0</v>
      </c>
      <c r="AG309" s="109">
        <f t="shared" si="104"/>
        <v>44836</v>
      </c>
      <c r="AH309">
        <f>'Water Stuff'!I279*1000</f>
        <v>620</v>
      </c>
      <c r="AI309">
        <f>'Water Stuff'!Q279*1000</f>
        <v>620</v>
      </c>
      <c r="AJ309">
        <f>'Water Stuff'!Y279*1000</f>
        <v>620</v>
      </c>
      <c r="AK309">
        <f>'Water Stuff'!AG279*1000</f>
        <v>620</v>
      </c>
      <c r="AL309">
        <f>'Water Stuff'!AO279*1000</f>
        <v>620</v>
      </c>
    </row>
    <row r="310" spans="1:38">
      <c r="A310" s="109">
        <f>'Water Stuff'!F280</f>
        <v>44837</v>
      </c>
      <c r="B310">
        <f>IF( 'Water Stuff'!G280*1000 &gt;= 'Water Stuff'!$B$6*1000, 'Water Stuff'!$B$6*1000, 'Water Stuff'!G280*1000)</f>
        <v>10000</v>
      </c>
      <c r="C310">
        <f>IF( 'Water Stuff'!O280*1000 &gt;= 'Water Stuff'!$B$6*1000, 'Water Stuff'!$B$6*1000, 'Water Stuff'!O280*1000)</f>
        <v>0</v>
      </c>
      <c r="D310">
        <f>IF( 'Water Stuff'!W280*1000 &gt;= 'Water Stuff'!$B$6*1000, 'Water Stuff'!$B$6*1000, 'Water Stuff'!W280*1000)</f>
        <v>10000</v>
      </c>
      <c r="E310">
        <f>IF( 'Water Stuff'!AE280*1000 &gt;= 'Water Stuff'!$B$6*1000, 'Water Stuff'!$B$6*1000, 'Water Stuff'!AE280*1000)</f>
        <v>0</v>
      </c>
      <c r="F310">
        <f>IF('Water Stuff'!AM280*1000&gt;='Water Stuff'!$B$6*1000,'Water Stuff'!$B$6*1000,'Water Stuff'!AM280*1000)</f>
        <v>10000</v>
      </c>
      <c r="I310">
        <f t="shared" si="84"/>
        <v>100</v>
      </c>
      <c r="J310">
        <f t="shared" si="85"/>
        <v>0</v>
      </c>
      <c r="K310">
        <f t="shared" si="86"/>
        <v>100</v>
      </c>
      <c r="L310">
        <f t="shared" si="87"/>
        <v>0</v>
      </c>
      <c r="M310">
        <f t="shared" si="88"/>
        <v>100</v>
      </c>
      <c r="O310">
        <f t="shared" si="89"/>
        <v>2</v>
      </c>
      <c r="P310">
        <f t="shared" si="90"/>
        <v>0</v>
      </c>
      <c r="Q310">
        <f t="shared" si="91"/>
        <v>2</v>
      </c>
      <c r="R310">
        <f t="shared" si="92"/>
        <v>0</v>
      </c>
      <c r="S310">
        <f t="shared" si="93"/>
        <v>2</v>
      </c>
      <c r="U310">
        <f t="shared" si="94"/>
        <v>50</v>
      </c>
      <c r="V310">
        <f t="shared" si="95"/>
        <v>0</v>
      </c>
      <c r="W310">
        <f t="shared" si="96"/>
        <v>50</v>
      </c>
      <c r="X310">
        <f t="shared" si="97"/>
        <v>0</v>
      </c>
      <c r="Y310">
        <f t="shared" si="98"/>
        <v>50</v>
      </c>
      <c r="AA310">
        <f t="shared" si="99"/>
        <v>100</v>
      </c>
      <c r="AB310">
        <f t="shared" si="100"/>
        <v>0</v>
      </c>
      <c r="AC310">
        <f t="shared" si="101"/>
        <v>100</v>
      </c>
      <c r="AD310">
        <f t="shared" si="102"/>
        <v>0</v>
      </c>
      <c r="AE310">
        <f t="shared" si="103"/>
        <v>100</v>
      </c>
      <c r="AG310" s="109">
        <f t="shared" si="104"/>
        <v>44837</v>
      </c>
      <c r="AH310">
        <f>'Water Stuff'!I280*1000</f>
        <v>620</v>
      </c>
      <c r="AI310">
        <f>'Water Stuff'!Q280*1000</f>
        <v>620</v>
      </c>
      <c r="AJ310">
        <f>'Water Stuff'!Y280*1000</f>
        <v>620</v>
      </c>
      <c r="AK310">
        <f>'Water Stuff'!AG280*1000</f>
        <v>620</v>
      </c>
      <c r="AL310">
        <f>'Water Stuff'!AO280*1000</f>
        <v>620</v>
      </c>
    </row>
    <row r="311" spans="1:38">
      <c r="A311" s="109">
        <f>'Water Stuff'!F281</f>
        <v>44838</v>
      </c>
      <c r="B311">
        <f>IF( 'Water Stuff'!G281*1000 &gt;= 'Water Stuff'!$B$6*1000, 'Water Stuff'!$B$6*1000, 'Water Stuff'!G281*1000)</f>
        <v>1200</v>
      </c>
      <c r="C311">
        <f>IF( 'Water Stuff'!O281*1000 &gt;= 'Water Stuff'!$B$6*1000, 'Water Stuff'!$B$6*1000, 'Water Stuff'!O281*1000)</f>
        <v>0</v>
      </c>
      <c r="D311">
        <f>IF( 'Water Stuff'!W281*1000 &gt;= 'Water Stuff'!$B$6*1000, 'Water Stuff'!$B$6*1000, 'Water Stuff'!W281*1000)</f>
        <v>781.17760230275235</v>
      </c>
      <c r="E311">
        <f>IF( 'Water Stuff'!AE281*1000 &gt;= 'Water Stuff'!$B$6*1000, 'Water Stuff'!$B$6*1000, 'Water Stuff'!AE281*1000)</f>
        <v>1580.1832254249221</v>
      </c>
      <c r="F311">
        <f>IF('Water Stuff'!AM281*1000&gt;='Water Stuff'!$B$6*1000,'Water Stuff'!$B$6*1000,'Water Stuff'!AM281*1000)</f>
        <v>0</v>
      </c>
      <c r="I311">
        <f t="shared" si="84"/>
        <v>12</v>
      </c>
      <c r="J311">
        <f t="shared" si="85"/>
        <v>0</v>
      </c>
      <c r="K311">
        <f t="shared" si="86"/>
        <v>7.8117760230275231</v>
      </c>
      <c r="L311">
        <f t="shared" si="87"/>
        <v>15.80183225424922</v>
      </c>
      <c r="M311">
        <f t="shared" si="88"/>
        <v>0</v>
      </c>
      <c r="O311">
        <f t="shared" si="89"/>
        <v>0.24</v>
      </c>
      <c r="P311">
        <f t="shared" si="90"/>
        <v>0</v>
      </c>
      <c r="Q311">
        <f t="shared" si="91"/>
        <v>0.15623552046055048</v>
      </c>
      <c r="R311">
        <f t="shared" si="92"/>
        <v>0.31603664508498441</v>
      </c>
      <c r="S311">
        <f t="shared" si="93"/>
        <v>0</v>
      </c>
      <c r="U311">
        <f t="shared" si="94"/>
        <v>6</v>
      </c>
      <c r="V311">
        <f t="shared" si="95"/>
        <v>0</v>
      </c>
      <c r="W311">
        <f t="shared" si="96"/>
        <v>3.905888011513762</v>
      </c>
      <c r="X311">
        <f t="shared" si="97"/>
        <v>7.9009161271246109</v>
      </c>
      <c r="Y311">
        <f t="shared" si="98"/>
        <v>0</v>
      </c>
      <c r="AA311">
        <f t="shared" si="99"/>
        <v>12</v>
      </c>
      <c r="AB311">
        <f t="shared" si="100"/>
        <v>0</v>
      </c>
      <c r="AC311">
        <f t="shared" si="101"/>
        <v>7.8117760230275239</v>
      </c>
      <c r="AD311">
        <f t="shared" si="102"/>
        <v>15.801832254249222</v>
      </c>
      <c r="AE311">
        <f t="shared" si="103"/>
        <v>0</v>
      </c>
      <c r="AG311" s="109">
        <f t="shared" si="104"/>
        <v>44838</v>
      </c>
      <c r="AH311">
        <f>'Water Stuff'!I281*1000</f>
        <v>620</v>
      </c>
      <c r="AI311">
        <f>'Water Stuff'!Q281*1000</f>
        <v>620</v>
      </c>
      <c r="AJ311">
        <f>'Water Stuff'!Y281*1000</f>
        <v>620</v>
      </c>
      <c r="AK311">
        <f>'Water Stuff'!AG281*1000</f>
        <v>620</v>
      </c>
      <c r="AL311">
        <f>'Water Stuff'!AO281*1000</f>
        <v>620</v>
      </c>
    </row>
    <row r="312" spans="1:38">
      <c r="A312" s="109">
        <f>'Water Stuff'!F282</f>
        <v>44839</v>
      </c>
      <c r="B312">
        <f>IF( 'Water Stuff'!G282*1000 &gt;= 'Water Stuff'!$B$6*1000, 'Water Stuff'!$B$6*1000, 'Water Stuff'!G282*1000)</f>
        <v>1839.9999999999998</v>
      </c>
      <c r="C312">
        <f>IF( 'Water Stuff'!O282*1000 &gt;= 'Water Stuff'!$B$6*1000, 'Water Stuff'!$B$6*1000, 'Water Stuff'!O282*1000)</f>
        <v>0</v>
      </c>
      <c r="D312">
        <f>IF( 'Water Stuff'!W282*1000 &gt;= 'Water Stuff'!$B$6*1000, 'Water Stuff'!$B$6*1000, 'Water Stuff'!W282*1000)</f>
        <v>2141.0441269996318</v>
      </c>
      <c r="E312">
        <f>IF( 'Water Stuff'!AE282*1000 &gt;= 'Water Stuff'!$B$6*1000, 'Water Stuff'!$B$6*1000, 'Water Stuff'!AE282*1000)</f>
        <v>1707.1055475079295</v>
      </c>
      <c r="F312">
        <f>IF('Water Stuff'!AM282*1000&gt;='Water Stuff'!$B$6*1000,'Water Stuff'!$B$6*1000,'Water Stuff'!AM282*1000)</f>
        <v>2199.0123914315218</v>
      </c>
      <c r="I312">
        <f t="shared" si="84"/>
        <v>18.399999999999995</v>
      </c>
      <c r="J312">
        <f t="shared" si="85"/>
        <v>0</v>
      </c>
      <c r="K312">
        <f t="shared" si="86"/>
        <v>21.410441269996319</v>
      </c>
      <c r="L312">
        <f t="shared" si="87"/>
        <v>17.071055475079294</v>
      </c>
      <c r="M312">
        <f t="shared" si="88"/>
        <v>21.99012391431522</v>
      </c>
      <c r="O312">
        <f t="shared" si="89"/>
        <v>0.36799999999999988</v>
      </c>
      <c r="P312">
        <f t="shared" si="90"/>
        <v>0</v>
      </c>
      <c r="Q312">
        <f t="shared" si="91"/>
        <v>0.42820882539992633</v>
      </c>
      <c r="R312">
        <f t="shared" si="92"/>
        <v>0.34142110950158588</v>
      </c>
      <c r="S312">
        <f t="shared" si="93"/>
        <v>0.43980247828630431</v>
      </c>
      <c r="U312">
        <f t="shared" si="94"/>
        <v>9.1999999999999993</v>
      </c>
      <c r="V312">
        <f t="shared" si="95"/>
        <v>0</v>
      </c>
      <c r="W312">
        <f t="shared" si="96"/>
        <v>10.70522063499816</v>
      </c>
      <c r="X312">
        <f t="shared" si="97"/>
        <v>8.5355277375396472</v>
      </c>
      <c r="Y312">
        <f t="shared" si="98"/>
        <v>10.99506195715761</v>
      </c>
      <c r="AA312">
        <f t="shared" si="99"/>
        <v>18.399999999999999</v>
      </c>
      <c r="AB312">
        <f t="shared" si="100"/>
        <v>0</v>
      </c>
      <c r="AC312">
        <f t="shared" si="101"/>
        <v>21.410441269996319</v>
      </c>
      <c r="AD312">
        <f t="shared" si="102"/>
        <v>17.071055475079294</v>
      </c>
      <c r="AE312">
        <f t="shared" si="103"/>
        <v>21.99012391431522</v>
      </c>
      <c r="AG312" s="109">
        <f t="shared" si="104"/>
        <v>44839</v>
      </c>
      <c r="AH312">
        <f>'Water Stuff'!I282*1000</f>
        <v>620</v>
      </c>
      <c r="AI312">
        <f>'Water Stuff'!Q282*1000</f>
        <v>620</v>
      </c>
      <c r="AJ312">
        <f>'Water Stuff'!Y282*1000</f>
        <v>620</v>
      </c>
      <c r="AK312">
        <f>'Water Stuff'!AG282*1000</f>
        <v>620</v>
      </c>
      <c r="AL312">
        <f>'Water Stuff'!AO282*1000</f>
        <v>620</v>
      </c>
    </row>
    <row r="313" spans="1:38">
      <c r="A313" s="109">
        <f>'Water Stuff'!F283</f>
        <v>44840</v>
      </c>
      <c r="B313">
        <f>IF( 'Water Stuff'!G283*1000 &gt;= 'Water Stuff'!$B$6*1000, 'Water Stuff'!$B$6*1000, 'Water Stuff'!G283*1000)</f>
        <v>80</v>
      </c>
      <c r="C313">
        <f>IF( 'Water Stuff'!O283*1000 &gt;= 'Water Stuff'!$B$6*1000, 'Water Stuff'!$B$6*1000, 'Water Stuff'!O283*1000)</f>
        <v>800</v>
      </c>
      <c r="D313">
        <f>IF( 'Water Stuff'!W283*1000 &gt;= 'Water Stuff'!$B$6*1000, 'Water Stuff'!$B$6*1000, 'Water Stuff'!W283*1000)</f>
        <v>1396.2587295406693</v>
      </c>
      <c r="E313">
        <f>IF( 'Water Stuff'!AE283*1000 &gt;= 'Water Stuff'!$B$6*1000, 'Water Stuff'!$B$6*1000, 'Water Stuff'!AE283*1000)</f>
        <v>0</v>
      </c>
      <c r="F313">
        <f>IF('Water Stuff'!AM283*1000&gt;='Water Stuff'!$B$6*1000,'Water Stuff'!$B$6*1000,'Water Stuff'!AM283*1000)</f>
        <v>0</v>
      </c>
      <c r="I313">
        <f t="shared" si="84"/>
        <v>0.8</v>
      </c>
      <c r="J313">
        <f t="shared" si="85"/>
        <v>8</v>
      </c>
      <c r="K313">
        <f t="shared" si="86"/>
        <v>13.962587295406692</v>
      </c>
      <c r="L313">
        <f t="shared" si="87"/>
        <v>0</v>
      </c>
      <c r="M313">
        <f t="shared" si="88"/>
        <v>0</v>
      </c>
      <c r="O313">
        <f t="shared" si="89"/>
        <v>1.6E-2</v>
      </c>
      <c r="P313">
        <f t="shared" si="90"/>
        <v>0.16</v>
      </c>
      <c r="Q313">
        <f t="shared" si="91"/>
        <v>0.27925174590813384</v>
      </c>
      <c r="R313">
        <f t="shared" si="92"/>
        <v>0</v>
      </c>
      <c r="S313">
        <f t="shared" si="93"/>
        <v>0</v>
      </c>
      <c r="U313">
        <f t="shared" si="94"/>
        <v>0.4</v>
      </c>
      <c r="V313">
        <f t="shared" si="95"/>
        <v>4</v>
      </c>
      <c r="W313">
        <f t="shared" si="96"/>
        <v>6.981293647703346</v>
      </c>
      <c r="X313">
        <f t="shared" si="97"/>
        <v>0</v>
      </c>
      <c r="Y313">
        <f t="shared" si="98"/>
        <v>0</v>
      </c>
      <c r="AA313">
        <f t="shared" si="99"/>
        <v>0.8</v>
      </c>
      <c r="AB313">
        <f t="shared" si="100"/>
        <v>8</v>
      </c>
      <c r="AC313">
        <f t="shared" si="101"/>
        <v>13.962587295406692</v>
      </c>
      <c r="AD313">
        <f t="shared" si="102"/>
        <v>0</v>
      </c>
      <c r="AE313">
        <f t="shared" si="103"/>
        <v>0</v>
      </c>
      <c r="AG313" s="109">
        <f t="shared" si="104"/>
        <v>44840</v>
      </c>
      <c r="AH313">
        <f>'Water Stuff'!I283*1000</f>
        <v>620</v>
      </c>
      <c r="AI313">
        <f>'Water Stuff'!Q283*1000</f>
        <v>620</v>
      </c>
      <c r="AJ313">
        <f>'Water Stuff'!Y283*1000</f>
        <v>620</v>
      </c>
      <c r="AK313">
        <f>'Water Stuff'!AG283*1000</f>
        <v>620</v>
      </c>
      <c r="AL313">
        <f>'Water Stuff'!AO283*1000</f>
        <v>620</v>
      </c>
    </row>
    <row r="314" spans="1:38">
      <c r="A314" s="109">
        <f>'Water Stuff'!F284</f>
        <v>44841</v>
      </c>
      <c r="B314">
        <f>IF( 'Water Stuff'!G284*1000 &gt;= 'Water Stuff'!$B$6*1000, 'Water Stuff'!$B$6*1000, 'Water Stuff'!G284*1000)</f>
        <v>0</v>
      </c>
      <c r="C314">
        <f>IF( 'Water Stuff'!O284*1000 &gt;= 'Water Stuff'!$B$6*1000, 'Water Stuff'!$B$6*1000, 'Water Stuff'!O284*1000)</f>
        <v>3120</v>
      </c>
      <c r="D314">
        <f>IF( 'Water Stuff'!W284*1000 &gt;= 'Water Stuff'!$B$6*1000, 'Water Stuff'!$B$6*1000, 'Water Stuff'!W284*1000)</f>
        <v>0</v>
      </c>
      <c r="E314">
        <f>IF( 'Water Stuff'!AE284*1000 &gt;= 'Water Stuff'!$B$6*1000, 'Water Stuff'!$B$6*1000, 'Water Stuff'!AE284*1000)</f>
        <v>1938.347192120299</v>
      </c>
      <c r="F314">
        <f>IF('Water Stuff'!AM284*1000&gt;='Water Stuff'!$B$6*1000,'Water Stuff'!$B$6*1000,'Water Stuff'!AM284*1000)</f>
        <v>1203.9932605828503</v>
      </c>
      <c r="I314">
        <f t="shared" si="84"/>
        <v>0</v>
      </c>
      <c r="J314">
        <f t="shared" si="85"/>
        <v>31.2</v>
      </c>
      <c r="K314">
        <f t="shared" si="86"/>
        <v>0</v>
      </c>
      <c r="L314">
        <f t="shared" si="87"/>
        <v>19.38347192120299</v>
      </c>
      <c r="M314">
        <f t="shared" si="88"/>
        <v>12.039932605828504</v>
      </c>
      <c r="O314">
        <f t="shared" si="89"/>
        <v>0</v>
      </c>
      <c r="P314">
        <f t="shared" si="90"/>
        <v>0.624</v>
      </c>
      <c r="Q314">
        <f t="shared" si="91"/>
        <v>0</v>
      </c>
      <c r="R314">
        <f t="shared" si="92"/>
        <v>0.38766943842405982</v>
      </c>
      <c r="S314">
        <f t="shared" si="93"/>
        <v>0.24079865211657006</v>
      </c>
      <c r="U314">
        <f t="shared" si="94"/>
        <v>0</v>
      </c>
      <c r="V314">
        <f t="shared" si="95"/>
        <v>15.6</v>
      </c>
      <c r="W314">
        <f t="shared" si="96"/>
        <v>0</v>
      </c>
      <c r="X314">
        <f t="shared" si="97"/>
        <v>9.6917359606014948</v>
      </c>
      <c r="Y314">
        <f t="shared" si="98"/>
        <v>6.0199663029142521</v>
      </c>
      <c r="AA314">
        <f t="shared" si="99"/>
        <v>0</v>
      </c>
      <c r="AB314">
        <f t="shared" si="100"/>
        <v>31.2</v>
      </c>
      <c r="AC314">
        <f t="shared" si="101"/>
        <v>0</v>
      </c>
      <c r="AD314">
        <f t="shared" si="102"/>
        <v>19.38347192120299</v>
      </c>
      <c r="AE314">
        <f t="shared" si="103"/>
        <v>12.039932605828504</v>
      </c>
      <c r="AG314" s="109">
        <f t="shared" si="104"/>
        <v>44841</v>
      </c>
      <c r="AH314">
        <f>'Water Stuff'!I284*1000</f>
        <v>620</v>
      </c>
      <c r="AI314">
        <f>'Water Stuff'!Q284*1000</f>
        <v>620</v>
      </c>
      <c r="AJ314">
        <f>'Water Stuff'!Y284*1000</f>
        <v>620</v>
      </c>
      <c r="AK314">
        <f>'Water Stuff'!AG284*1000</f>
        <v>620</v>
      </c>
      <c r="AL314">
        <f>'Water Stuff'!AO284*1000</f>
        <v>620</v>
      </c>
    </row>
    <row r="315" spans="1:38">
      <c r="A315" s="109">
        <f>'Water Stuff'!F285</f>
        <v>44842</v>
      </c>
      <c r="B315">
        <f>IF( 'Water Stuff'!G285*1000 &gt;= 'Water Stuff'!$B$6*1000, 'Water Stuff'!$B$6*1000, 'Water Stuff'!G285*1000)</f>
        <v>280</v>
      </c>
      <c r="C315">
        <f>IF( 'Water Stuff'!O285*1000 &gt;= 'Water Stuff'!$B$6*1000, 'Water Stuff'!$B$6*1000, 'Water Stuff'!O285*1000)</f>
        <v>1839.9999999999998</v>
      </c>
      <c r="D315">
        <f>IF( 'Water Stuff'!W285*1000 &gt;= 'Water Stuff'!$B$6*1000, 'Water Stuff'!$B$6*1000, 'Water Stuff'!W285*1000)</f>
        <v>0</v>
      </c>
      <c r="E315">
        <f>IF( 'Water Stuff'!AE285*1000 &gt;= 'Water Stuff'!$B$6*1000, 'Water Stuff'!$B$6*1000, 'Water Stuff'!AE285*1000)</f>
        <v>0</v>
      </c>
      <c r="F315">
        <f>IF('Water Stuff'!AM285*1000&gt;='Water Stuff'!$B$6*1000,'Water Stuff'!$B$6*1000,'Water Stuff'!AM285*1000)</f>
        <v>0</v>
      </c>
      <c r="I315">
        <f t="shared" si="84"/>
        <v>2.8</v>
      </c>
      <c r="J315">
        <f t="shared" si="85"/>
        <v>18.399999999999995</v>
      </c>
      <c r="K315">
        <f t="shared" si="86"/>
        <v>0</v>
      </c>
      <c r="L315">
        <f t="shared" si="87"/>
        <v>0</v>
      </c>
      <c r="M315">
        <f t="shared" si="88"/>
        <v>0</v>
      </c>
      <c r="O315">
        <f t="shared" si="89"/>
        <v>5.6000000000000001E-2</v>
      </c>
      <c r="P315">
        <f t="shared" si="90"/>
        <v>0.36799999999999988</v>
      </c>
      <c r="Q315">
        <f t="shared" si="91"/>
        <v>0</v>
      </c>
      <c r="R315">
        <f t="shared" si="92"/>
        <v>0</v>
      </c>
      <c r="S315">
        <f t="shared" si="93"/>
        <v>0</v>
      </c>
      <c r="U315">
        <f t="shared" si="94"/>
        <v>1.4000000000000001</v>
      </c>
      <c r="V315">
        <f t="shared" si="95"/>
        <v>9.1999999999999993</v>
      </c>
      <c r="W315">
        <f t="shared" si="96"/>
        <v>0</v>
      </c>
      <c r="X315">
        <f t="shared" si="97"/>
        <v>0</v>
      </c>
      <c r="Y315">
        <f t="shared" si="98"/>
        <v>0</v>
      </c>
      <c r="AA315">
        <f t="shared" si="99"/>
        <v>2.8000000000000003</v>
      </c>
      <c r="AB315">
        <f t="shared" si="100"/>
        <v>18.399999999999999</v>
      </c>
      <c r="AC315">
        <f t="shared" si="101"/>
        <v>0</v>
      </c>
      <c r="AD315">
        <f t="shared" si="102"/>
        <v>0</v>
      </c>
      <c r="AE315">
        <f t="shared" si="103"/>
        <v>0</v>
      </c>
      <c r="AG315" s="109">
        <f t="shared" si="104"/>
        <v>44842</v>
      </c>
      <c r="AH315">
        <f>'Water Stuff'!I285*1000</f>
        <v>620</v>
      </c>
      <c r="AI315">
        <f>'Water Stuff'!Q285*1000</f>
        <v>620</v>
      </c>
      <c r="AJ315">
        <f>'Water Stuff'!Y285*1000</f>
        <v>620</v>
      </c>
      <c r="AK315">
        <f>'Water Stuff'!AG285*1000</f>
        <v>620</v>
      </c>
      <c r="AL315">
        <f>'Water Stuff'!AO285*1000</f>
        <v>620</v>
      </c>
    </row>
    <row r="316" spans="1:38">
      <c r="A316" s="109">
        <f>'Water Stuff'!F286</f>
        <v>44843</v>
      </c>
      <c r="B316">
        <f>IF( 'Water Stuff'!G286*1000 &gt;= 'Water Stuff'!$B$6*1000, 'Water Stuff'!$B$6*1000, 'Water Stuff'!G286*1000)</f>
        <v>360</v>
      </c>
      <c r="C316">
        <f>IF( 'Water Stuff'!O286*1000 &gt;= 'Water Stuff'!$B$6*1000, 'Water Stuff'!$B$6*1000, 'Water Stuff'!O286*1000)</f>
        <v>5280</v>
      </c>
      <c r="D316">
        <f>IF( 'Water Stuff'!W286*1000 &gt;= 'Water Stuff'!$B$6*1000, 'Water Stuff'!$B$6*1000, 'Water Stuff'!W286*1000)</f>
        <v>2044.9772115954556</v>
      </c>
      <c r="E316">
        <f>IF( 'Water Stuff'!AE286*1000 &gt;= 'Water Stuff'!$B$6*1000, 'Water Stuff'!$B$6*1000, 'Water Stuff'!AE286*1000)</f>
        <v>6678.8248291511482</v>
      </c>
      <c r="F316">
        <f>IF('Water Stuff'!AM286*1000&gt;='Water Stuff'!$B$6*1000,'Water Stuff'!$B$6*1000,'Water Stuff'!AM286*1000)</f>
        <v>2545.3861465985783</v>
      </c>
      <c r="I316">
        <f t="shared" si="84"/>
        <v>3.6</v>
      </c>
      <c r="J316">
        <f t="shared" si="85"/>
        <v>52.8</v>
      </c>
      <c r="K316">
        <f t="shared" si="86"/>
        <v>20.449772115954556</v>
      </c>
      <c r="L316">
        <f t="shared" si="87"/>
        <v>66.788248291511479</v>
      </c>
      <c r="M316">
        <f t="shared" si="88"/>
        <v>25.453861465985785</v>
      </c>
      <c r="O316">
        <f t="shared" si="89"/>
        <v>7.1999999999999995E-2</v>
      </c>
      <c r="P316">
        <f t="shared" si="90"/>
        <v>1.056</v>
      </c>
      <c r="Q316">
        <f t="shared" si="91"/>
        <v>0.40899544231909113</v>
      </c>
      <c r="R316">
        <f t="shared" si="92"/>
        <v>1.3357649658302295</v>
      </c>
      <c r="S316">
        <f t="shared" si="93"/>
        <v>0.50907722931971566</v>
      </c>
      <c r="U316">
        <f t="shared" si="94"/>
        <v>1.8</v>
      </c>
      <c r="V316">
        <f t="shared" si="95"/>
        <v>26.400000000000002</v>
      </c>
      <c r="W316">
        <f t="shared" si="96"/>
        <v>10.224886057977278</v>
      </c>
      <c r="X316">
        <f t="shared" si="97"/>
        <v>33.39412414575574</v>
      </c>
      <c r="Y316">
        <f t="shared" si="98"/>
        <v>12.726930732992892</v>
      </c>
      <c r="AA316">
        <f t="shared" si="99"/>
        <v>3.6</v>
      </c>
      <c r="AB316">
        <f t="shared" si="100"/>
        <v>52.800000000000004</v>
      </c>
      <c r="AC316">
        <f t="shared" si="101"/>
        <v>20.449772115954556</v>
      </c>
      <c r="AD316">
        <f t="shared" si="102"/>
        <v>66.788248291511479</v>
      </c>
      <c r="AE316">
        <f t="shared" si="103"/>
        <v>25.453861465985785</v>
      </c>
      <c r="AG316" s="109">
        <f t="shared" si="104"/>
        <v>44843</v>
      </c>
      <c r="AH316">
        <f>'Water Stuff'!I286*1000</f>
        <v>620</v>
      </c>
      <c r="AI316">
        <f>'Water Stuff'!Q286*1000</f>
        <v>620</v>
      </c>
      <c r="AJ316">
        <f>'Water Stuff'!Y286*1000</f>
        <v>620</v>
      </c>
      <c r="AK316">
        <f>'Water Stuff'!AG286*1000</f>
        <v>620</v>
      </c>
      <c r="AL316">
        <f>'Water Stuff'!AO286*1000</f>
        <v>620</v>
      </c>
    </row>
    <row r="317" spans="1:38">
      <c r="A317" s="109">
        <f>'Water Stuff'!F287</f>
        <v>44844</v>
      </c>
      <c r="B317">
        <f>IF( 'Water Stuff'!G287*1000 &gt;= 'Water Stuff'!$B$6*1000, 'Water Stuff'!$B$6*1000, 'Water Stuff'!G287*1000)</f>
        <v>3560</v>
      </c>
      <c r="C317">
        <f>IF( 'Water Stuff'!O287*1000 &gt;= 'Water Stuff'!$B$6*1000, 'Water Stuff'!$B$6*1000, 'Water Stuff'!O287*1000)</f>
        <v>5400</v>
      </c>
      <c r="D317">
        <f>IF( 'Water Stuff'!W287*1000 &gt;= 'Water Stuff'!$B$6*1000, 'Water Stuff'!$B$6*1000, 'Water Stuff'!W287*1000)</f>
        <v>1235.4620055366318</v>
      </c>
      <c r="E317">
        <f>IF( 'Water Stuff'!AE287*1000 &gt;= 'Water Stuff'!$B$6*1000, 'Water Stuff'!$B$6*1000, 'Water Stuff'!AE287*1000)</f>
        <v>4837.4390655523075</v>
      </c>
      <c r="F317">
        <f>IF('Water Stuff'!AM287*1000&gt;='Water Stuff'!$B$6*1000,'Water Stuff'!$B$6*1000,'Water Stuff'!AM287*1000)</f>
        <v>763.51359125244119</v>
      </c>
      <c r="I317">
        <f t="shared" si="84"/>
        <v>35.6</v>
      </c>
      <c r="J317">
        <f t="shared" si="85"/>
        <v>54</v>
      </c>
      <c r="K317">
        <f t="shared" si="86"/>
        <v>12.354620055366318</v>
      </c>
      <c r="L317">
        <f t="shared" si="87"/>
        <v>48.374390655523079</v>
      </c>
      <c r="M317">
        <f t="shared" si="88"/>
        <v>7.6351359125244116</v>
      </c>
      <c r="O317">
        <f t="shared" si="89"/>
        <v>0.71199999999999997</v>
      </c>
      <c r="P317">
        <f t="shared" si="90"/>
        <v>1.08</v>
      </c>
      <c r="Q317">
        <f t="shared" si="91"/>
        <v>0.24709240110732633</v>
      </c>
      <c r="R317">
        <f t="shared" si="92"/>
        <v>0.9674878131104615</v>
      </c>
      <c r="S317">
        <f t="shared" si="93"/>
        <v>0.15270271825048823</v>
      </c>
      <c r="U317">
        <f t="shared" si="94"/>
        <v>17.8</v>
      </c>
      <c r="V317">
        <f t="shared" si="95"/>
        <v>27</v>
      </c>
      <c r="W317">
        <f t="shared" si="96"/>
        <v>6.1773100276831592</v>
      </c>
      <c r="X317">
        <f t="shared" si="97"/>
        <v>24.18719532776154</v>
      </c>
      <c r="Y317">
        <f t="shared" si="98"/>
        <v>3.8175679562622058</v>
      </c>
      <c r="AA317">
        <f t="shared" si="99"/>
        <v>35.6</v>
      </c>
      <c r="AB317">
        <f t="shared" si="100"/>
        <v>54</v>
      </c>
      <c r="AC317">
        <f t="shared" si="101"/>
        <v>12.354620055366318</v>
      </c>
      <c r="AD317">
        <f t="shared" si="102"/>
        <v>48.374390655523079</v>
      </c>
      <c r="AE317">
        <f t="shared" si="103"/>
        <v>7.6351359125244116</v>
      </c>
      <c r="AG317" s="109">
        <f t="shared" si="104"/>
        <v>44844</v>
      </c>
      <c r="AH317">
        <f>'Water Stuff'!I287*1000</f>
        <v>620</v>
      </c>
      <c r="AI317">
        <f>'Water Stuff'!Q287*1000</f>
        <v>620</v>
      </c>
      <c r="AJ317">
        <f>'Water Stuff'!Y287*1000</f>
        <v>620</v>
      </c>
      <c r="AK317">
        <f>'Water Stuff'!AG287*1000</f>
        <v>620</v>
      </c>
      <c r="AL317">
        <f>'Water Stuff'!AO287*1000</f>
        <v>620</v>
      </c>
    </row>
    <row r="318" spans="1:38">
      <c r="A318" s="109">
        <f>'Water Stuff'!F288</f>
        <v>44845</v>
      </c>
      <c r="B318">
        <f>IF( 'Water Stuff'!G288*1000 &gt;= 'Water Stuff'!$B$6*1000, 'Water Stuff'!$B$6*1000, 'Water Stuff'!G288*1000)</f>
        <v>3080</v>
      </c>
      <c r="C318">
        <f>IF( 'Water Stuff'!O288*1000 &gt;= 'Water Stuff'!$B$6*1000, 'Water Stuff'!$B$6*1000, 'Water Stuff'!O288*1000)</f>
        <v>7520</v>
      </c>
      <c r="D318">
        <f>IF( 'Water Stuff'!W288*1000 &gt;= 'Water Stuff'!$B$6*1000, 'Water Stuff'!$B$6*1000, 'Water Stuff'!W288*1000)</f>
        <v>2249.566561306644</v>
      </c>
      <c r="E318">
        <f>IF( 'Water Stuff'!AE288*1000 &gt;= 'Water Stuff'!$B$6*1000, 'Water Stuff'!$B$6*1000, 'Water Stuff'!AE288*1000)</f>
        <v>4855.2823736271675</v>
      </c>
      <c r="F318">
        <f>IF('Water Stuff'!AM288*1000&gt;='Water Stuff'!$B$6*1000,'Water Stuff'!$B$6*1000,'Water Stuff'!AM288*1000)</f>
        <v>792.34571529281504</v>
      </c>
      <c r="I318">
        <f t="shared" si="84"/>
        <v>30.8</v>
      </c>
      <c r="J318">
        <f t="shared" si="85"/>
        <v>75.2</v>
      </c>
      <c r="K318">
        <f t="shared" si="86"/>
        <v>22.495665613066443</v>
      </c>
      <c r="L318">
        <f t="shared" si="87"/>
        <v>48.552823736271677</v>
      </c>
      <c r="M318">
        <f t="shared" si="88"/>
        <v>7.9234571529281501</v>
      </c>
      <c r="O318">
        <f t="shared" si="89"/>
        <v>0.61599999999999999</v>
      </c>
      <c r="P318">
        <f t="shared" si="90"/>
        <v>1.504</v>
      </c>
      <c r="Q318">
        <f t="shared" si="91"/>
        <v>0.44991331226132886</v>
      </c>
      <c r="R318">
        <f t="shared" si="92"/>
        <v>0.97105647472543355</v>
      </c>
      <c r="S318">
        <f t="shared" si="93"/>
        <v>0.15846914305856302</v>
      </c>
      <c r="U318">
        <f t="shared" si="94"/>
        <v>15.4</v>
      </c>
      <c r="V318">
        <f t="shared" si="95"/>
        <v>37.6</v>
      </c>
      <c r="W318">
        <f t="shared" si="96"/>
        <v>11.24783280653322</v>
      </c>
      <c r="X318">
        <f t="shared" si="97"/>
        <v>24.276411868135838</v>
      </c>
      <c r="Y318">
        <f t="shared" si="98"/>
        <v>3.9617285764640755</v>
      </c>
      <c r="AA318">
        <f t="shared" si="99"/>
        <v>30.8</v>
      </c>
      <c r="AB318">
        <f t="shared" si="100"/>
        <v>75.2</v>
      </c>
      <c r="AC318">
        <f t="shared" si="101"/>
        <v>22.495665613066439</v>
      </c>
      <c r="AD318">
        <f t="shared" si="102"/>
        <v>48.552823736271677</v>
      </c>
      <c r="AE318">
        <f t="shared" si="103"/>
        <v>7.923457152928151</v>
      </c>
      <c r="AG318" s="109">
        <f t="shared" si="104"/>
        <v>44845</v>
      </c>
      <c r="AH318">
        <f>'Water Stuff'!I288*1000</f>
        <v>620</v>
      </c>
      <c r="AI318">
        <f>'Water Stuff'!Q288*1000</f>
        <v>620</v>
      </c>
      <c r="AJ318">
        <f>'Water Stuff'!Y288*1000</f>
        <v>620</v>
      </c>
      <c r="AK318">
        <f>'Water Stuff'!AG288*1000</f>
        <v>620</v>
      </c>
      <c r="AL318">
        <f>'Water Stuff'!AO288*1000</f>
        <v>620</v>
      </c>
    </row>
    <row r="319" spans="1:38">
      <c r="A319" s="109">
        <f>'Water Stuff'!F289</f>
        <v>44846</v>
      </c>
      <c r="B319">
        <f>IF( 'Water Stuff'!G289*1000 &gt;= 'Water Stuff'!$B$6*1000, 'Water Stuff'!$B$6*1000, 'Water Stuff'!G289*1000)</f>
        <v>6600</v>
      </c>
      <c r="C319">
        <f>IF( 'Water Stuff'!O289*1000 &gt;= 'Water Stuff'!$B$6*1000, 'Water Stuff'!$B$6*1000, 'Water Stuff'!O289*1000)</f>
        <v>160</v>
      </c>
      <c r="D319">
        <f>IF( 'Water Stuff'!W289*1000 &gt;= 'Water Stuff'!$B$6*1000, 'Water Stuff'!$B$6*1000, 'Water Stuff'!W289*1000)</f>
        <v>3836.0181776035261</v>
      </c>
      <c r="E319">
        <f>IF( 'Water Stuff'!AE289*1000 &gt;= 'Water Stuff'!$B$6*1000, 'Water Stuff'!$B$6*1000, 'Water Stuff'!AE289*1000)</f>
        <v>0</v>
      </c>
      <c r="F319">
        <f>IF('Water Stuff'!AM289*1000&gt;='Water Stuff'!$B$6*1000,'Water Stuff'!$B$6*1000,'Water Stuff'!AM289*1000)</f>
        <v>2339.7501945228823</v>
      </c>
      <c r="I319">
        <f t="shared" si="84"/>
        <v>66</v>
      </c>
      <c r="J319">
        <f t="shared" si="85"/>
        <v>1.6</v>
      </c>
      <c r="K319">
        <f t="shared" si="86"/>
        <v>38.360181776035255</v>
      </c>
      <c r="L319">
        <f t="shared" si="87"/>
        <v>0</v>
      </c>
      <c r="M319">
        <f t="shared" si="88"/>
        <v>23.397501945228825</v>
      </c>
      <c r="O319">
        <f t="shared" si="89"/>
        <v>1.32</v>
      </c>
      <c r="P319">
        <f t="shared" si="90"/>
        <v>3.2000000000000001E-2</v>
      </c>
      <c r="Q319">
        <f t="shared" si="91"/>
        <v>0.76720363552070514</v>
      </c>
      <c r="R319">
        <f t="shared" si="92"/>
        <v>0</v>
      </c>
      <c r="S319">
        <f t="shared" si="93"/>
        <v>0.46795003890457643</v>
      </c>
      <c r="U319">
        <f t="shared" si="94"/>
        <v>33</v>
      </c>
      <c r="V319">
        <f t="shared" si="95"/>
        <v>0.8</v>
      </c>
      <c r="W319">
        <f t="shared" si="96"/>
        <v>19.180090888017631</v>
      </c>
      <c r="X319">
        <f t="shared" si="97"/>
        <v>0</v>
      </c>
      <c r="Y319">
        <f t="shared" si="98"/>
        <v>11.698750972614413</v>
      </c>
      <c r="AA319">
        <f t="shared" si="99"/>
        <v>66</v>
      </c>
      <c r="AB319">
        <f t="shared" si="100"/>
        <v>1.6</v>
      </c>
      <c r="AC319">
        <f t="shared" si="101"/>
        <v>38.360181776035262</v>
      </c>
      <c r="AD319">
        <f t="shared" si="102"/>
        <v>0</v>
      </c>
      <c r="AE319">
        <f t="shared" si="103"/>
        <v>23.397501945228825</v>
      </c>
      <c r="AG319" s="109">
        <f t="shared" si="104"/>
        <v>44846</v>
      </c>
      <c r="AH319">
        <f>'Water Stuff'!I289*1000</f>
        <v>620</v>
      </c>
      <c r="AI319">
        <f>'Water Stuff'!Q289*1000</f>
        <v>620</v>
      </c>
      <c r="AJ319">
        <f>'Water Stuff'!Y289*1000</f>
        <v>620</v>
      </c>
      <c r="AK319">
        <f>'Water Stuff'!AG289*1000</f>
        <v>620</v>
      </c>
      <c r="AL319">
        <f>'Water Stuff'!AO289*1000</f>
        <v>620</v>
      </c>
    </row>
    <row r="320" spans="1:38">
      <c r="A320" s="109">
        <f>'Water Stuff'!F290</f>
        <v>44847</v>
      </c>
      <c r="B320">
        <f>IF( 'Water Stuff'!G290*1000 &gt;= 'Water Stuff'!$B$6*1000, 'Water Stuff'!$B$6*1000, 'Water Stuff'!G290*1000)</f>
        <v>6280</v>
      </c>
      <c r="C320">
        <f>IF( 'Water Stuff'!O290*1000 &gt;= 'Water Stuff'!$B$6*1000, 'Water Stuff'!$B$6*1000, 'Water Stuff'!O290*1000)</f>
        <v>120</v>
      </c>
      <c r="D320">
        <f>IF( 'Water Stuff'!W290*1000 &gt;= 'Water Stuff'!$B$6*1000, 'Water Stuff'!$B$6*1000, 'Water Stuff'!W290*1000)</f>
        <v>3863.5553062684644</v>
      </c>
      <c r="E320">
        <f>IF( 'Water Stuff'!AE290*1000 &gt;= 'Water Stuff'!$B$6*1000, 'Water Stuff'!$B$6*1000, 'Water Stuff'!AE290*1000)</f>
        <v>0</v>
      </c>
      <c r="F320">
        <f>IF('Water Stuff'!AM290*1000&gt;='Water Stuff'!$B$6*1000,'Water Stuff'!$B$6*1000,'Water Stuff'!AM290*1000)</f>
        <v>1964.2578516611061</v>
      </c>
      <c r="I320">
        <f t="shared" si="84"/>
        <v>62.8</v>
      </c>
      <c r="J320">
        <f t="shared" si="85"/>
        <v>1.2</v>
      </c>
      <c r="K320">
        <f t="shared" si="86"/>
        <v>38.635553062684643</v>
      </c>
      <c r="L320">
        <f t="shared" si="87"/>
        <v>0</v>
      </c>
      <c r="M320">
        <f t="shared" si="88"/>
        <v>19.64257851661106</v>
      </c>
      <c r="O320">
        <f t="shared" si="89"/>
        <v>1.256</v>
      </c>
      <c r="P320">
        <f t="shared" si="90"/>
        <v>2.4E-2</v>
      </c>
      <c r="Q320">
        <f t="shared" si="91"/>
        <v>0.77271106125369282</v>
      </c>
      <c r="R320">
        <f t="shared" si="92"/>
        <v>0</v>
      </c>
      <c r="S320">
        <f t="shared" si="93"/>
        <v>0.39285157033222123</v>
      </c>
      <c r="U320">
        <f t="shared" si="94"/>
        <v>31.400000000000002</v>
      </c>
      <c r="V320">
        <f t="shared" si="95"/>
        <v>0.6</v>
      </c>
      <c r="W320">
        <f t="shared" si="96"/>
        <v>19.317776531342322</v>
      </c>
      <c r="X320">
        <f t="shared" si="97"/>
        <v>0</v>
      </c>
      <c r="Y320">
        <f t="shared" si="98"/>
        <v>9.82128925830553</v>
      </c>
      <c r="AA320">
        <f t="shared" si="99"/>
        <v>62.800000000000004</v>
      </c>
      <c r="AB320">
        <f t="shared" si="100"/>
        <v>1.2</v>
      </c>
      <c r="AC320">
        <f t="shared" si="101"/>
        <v>38.635553062684643</v>
      </c>
      <c r="AD320">
        <f t="shared" si="102"/>
        <v>0</v>
      </c>
      <c r="AE320">
        <f t="shared" si="103"/>
        <v>19.64257851661106</v>
      </c>
      <c r="AG320" s="109">
        <f t="shared" si="104"/>
        <v>44847</v>
      </c>
      <c r="AH320">
        <f>'Water Stuff'!I290*1000</f>
        <v>620</v>
      </c>
      <c r="AI320">
        <f>'Water Stuff'!Q290*1000</f>
        <v>620</v>
      </c>
      <c r="AJ320">
        <f>'Water Stuff'!Y290*1000</f>
        <v>620</v>
      </c>
      <c r="AK320">
        <f>'Water Stuff'!AG290*1000</f>
        <v>620</v>
      </c>
      <c r="AL320">
        <f>'Water Stuff'!AO290*1000</f>
        <v>620</v>
      </c>
    </row>
    <row r="321" spans="1:38">
      <c r="A321" s="109">
        <f>'Water Stuff'!F291</f>
        <v>44848</v>
      </c>
      <c r="B321">
        <f>IF( 'Water Stuff'!G291*1000 &gt;= 'Water Stuff'!$B$6*1000, 'Water Stuff'!$B$6*1000, 'Water Stuff'!G291*1000)</f>
        <v>5680</v>
      </c>
      <c r="C321">
        <f>IF( 'Water Stuff'!O291*1000 &gt;= 'Water Stuff'!$B$6*1000, 'Water Stuff'!$B$6*1000, 'Water Stuff'!O291*1000)</f>
        <v>0</v>
      </c>
      <c r="D321">
        <f>IF( 'Water Stuff'!W291*1000 &gt;= 'Water Stuff'!$B$6*1000, 'Water Stuff'!$B$6*1000, 'Water Stuff'!W291*1000)</f>
        <v>4124.7835351029898</v>
      </c>
      <c r="E321">
        <f>IF( 'Water Stuff'!AE291*1000 &gt;= 'Water Stuff'!$B$6*1000, 'Water Stuff'!$B$6*1000, 'Water Stuff'!AE291*1000)</f>
        <v>0</v>
      </c>
      <c r="F321">
        <f>IF('Water Stuff'!AM291*1000&gt;='Water Stuff'!$B$6*1000,'Water Stuff'!$B$6*1000,'Water Stuff'!AM291*1000)</f>
        <v>4159.1738200890759</v>
      </c>
      <c r="I321">
        <f t="shared" si="84"/>
        <v>56.8</v>
      </c>
      <c r="J321">
        <f t="shared" si="85"/>
        <v>0</v>
      </c>
      <c r="K321">
        <f t="shared" si="86"/>
        <v>41.247835351029899</v>
      </c>
      <c r="L321">
        <f t="shared" si="87"/>
        <v>0</v>
      </c>
      <c r="M321">
        <f t="shared" si="88"/>
        <v>41.591738200890759</v>
      </c>
      <c r="O321">
        <f t="shared" si="89"/>
        <v>1.1359999999999999</v>
      </c>
      <c r="P321">
        <f t="shared" si="90"/>
        <v>0</v>
      </c>
      <c r="Q321">
        <f t="shared" si="91"/>
        <v>0.82495670702059798</v>
      </c>
      <c r="R321">
        <f t="shared" si="92"/>
        <v>0</v>
      </c>
      <c r="S321">
        <f t="shared" si="93"/>
        <v>0.83183476401781509</v>
      </c>
      <c r="U321">
        <f t="shared" si="94"/>
        <v>28.400000000000002</v>
      </c>
      <c r="V321">
        <f t="shared" si="95"/>
        <v>0</v>
      </c>
      <c r="W321">
        <f t="shared" si="96"/>
        <v>20.623917675514949</v>
      </c>
      <c r="X321">
        <f t="shared" si="97"/>
        <v>0</v>
      </c>
      <c r="Y321">
        <f t="shared" si="98"/>
        <v>20.79586910044538</v>
      </c>
      <c r="AA321">
        <f t="shared" si="99"/>
        <v>56.800000000000004</v>
      </c>
      <c r="AB321">
        <f t="shared" si="100"/>
        <v>0</v>
      </c>
      <c r="AC321">
        <f t="shared" si="101"/>
        <v>41.247835351029899</v>
      </c>
      <c r="AD321">
        <f t="shared" si="102"/>
        <v>0</v>
      </c>
      <c r="AE321">
        <f t="shared" si="103"/>
        <v>41.591738200890759</v>
      </c>
      <c r="AG321" s="109">
        <f t="shared" si="104"/>
        <v>44848</v>
      </c>
      <c r="AH321">
        <f>'Water Stuff'!I291*1000</f>
        <v>620</v>
      </c>
      <c r="AI321">
        <f>'Water Stuff'!Q291*1000</f>
        <v>620</v>
      </c>
      <c r="AJ321">
        <f>'Water Stuff'!Y291*1000</f>
        <v>620</v>
      </c>
      <c r="AK321">
        <f>'Water Stuff'!AG291*1000</f>
        <v>620</v>
      </c>
      <c r="AL321">
        <f>'Water Stuff'!AO291*1000</f>
        <v>620</v>
      </c>
    </row>
    <row r="322" spans="1:38">
      <c r="A322" s="109">
        <f>'Water Stuff'!F292</f>
        <v>44849</v>
      </c>
      <c r="B322">
        <f>IF( 'Water Stuff'!G292*1000 &gt;= 'Water Stuff'!$B$6*1000, 'Water Stuff'!$B$6*1000, 'Water Stuff'!G292*1000)</f>
        <v>1280</v>
      </c>
      <c r="C322">
        <f>IF( 'Water Stuff'!O292*1000 &gt;= 'Water Stuff'!$B$6*1000, 'Water Stuff'!$B$6*1000, 'Water Stuff'!O292*1000)</f>
        <v>0</v>
      </c>
      <c r="D322">
        <f>IF( 'Water Stuff'!W292*1000 &gt;= 'Water Stuff'!$B$6*1000, 'Water Stuff'!$B$6*1000, 'Water Stuff'!W292*1000)</f>
        <v>50.467863779156716</v>
      </c>
      <c r="E322">
        <f>IF( 'Water Stuff'!AE292*1000 &gt;= 'Water Stuff'!$B$6*1000, 'Water Stuff'!$B$6*1000, 'Water Stuff'!AE292*1000)</f>
        <v>1637.0943884379451</v>
      </c>
      <c r="F322">
        <f>IF('Water Stuff'!AM292*1000&gt;='Water Stuff'!$B$6*1000,'Water Stuff'!$B$6*1000,'Water Stuff'!AM292*1000)</f>
        <v>896.99942382366282</v>
      </c>
      <c r="I322">
        <f t="shared" si="84"/>
        <v>12.8</v>
      </c>
      <c r="J322">
        <f t="shared" si="85"/>
        <v>0</v>
      </c>
      <c r="K322">
        <f t="shared" si="86"/>
        <v>0.50467863779156719</v>
      </c>
      <c r="L322">
        <f t="shared" si="87"/>
        <v>16.37094388437945</v>
      </c>
      <c r="M322">
        <f t="shared" si="88"/>
        <v>8.9699942382366284</v>
      </c>
      <c r="O322">
        <f t="shared" si="89"/>
        <v>0.25600000000000001</v>
      </c>
      <c r="P322">
        <f t="shared" si="90"/>
        <v>0</v>
      </c>
      <c r="Q322">
        <f t="shared" si="91"/>
        <v>1.0093572755831342E-2</v>
      </c>
      <c r="R322">
        <f t="shared" si="92"/>
        <v>0.32741887768758904</v>
      </c>
      <c r="S322">
        <f t="shared" si="93"/>
        <v>0.17939988476473256</v>
      </c>
      <c r="U322">
        <f t="shared" si="94"/>
        <v>6.4</v>
      </c>
      <c r="V322">
        <f t="shared" si="95"/>
        <v>0</v>
      </c>
      <c r="W322">
        <f t="shared" si="96"/>
        <v>0.25233931889578359</v>
      </c>
      <c r="X322">
        <f t="shared" si="97"/>
        <v>8.1854719421897251</v>
      </c>
      <c r="Y322">
        <f t="shared" si="98"/>
        <v>4.4849971191183142</v>
      </c>
      <c r="AA322">
        <f t="shared" si="99"/>
        <v>12.8</v>
      </c>
      <c r="AB322">
        <f t="shared" si="100"/>
        <v>0</v>
      </c>
      <c r="AC322">
        <f t="shared" si="101"/>
        <v>0.50467863779156719</v>
      </c>
      <c r="AD322">
        <f t="shared" si="102"/>
        <v>16.37094388437945</v>
      </c>
      <c r="AE322">
        <f t="shared" si="103"/>
        <v>8.9699942382366284</v>
      </c>
      <c r="AG322" s="109">
        <f t="shared" si="104"/>
        <v>44849</v>
      </c>
      <c r="AH322">
        <f>'Water Stuff'!I292*1000</f>
        <v>620</v>
      </c>
      <c r="AI322">
        <f>'Water Stuff'!Q292*1000</f>
        <v>620</v>
      </c>
      <c r="AJ322">
        <f>'Water Stuff'!Y292*1000</f>
        <v>620</v>
      </c>
      <c r="AK322">
        <f>'Water Stuff'!AG292*1000</f>
        <v>620</v>
      </c>
      <c r="AL322">
        <f>'Water Stuff'!AO292*1000</f>
        <v>620</v>
      </c>
    </row>
    <row r="323" spans="1:38">
      <c r="A323" s="109">
        <f>'Water Stuff'!F293</f>
        <v>44850</v>
      </c>
      <c r="B323">
        <f>IF( 'Water Stuff'!G293*1000 &gt;= 'Water Stuff'!$B$6*1000, 'Water Stuff'!$B$6*1000, 'Water Stuff'!G293*1000)</f>
        <v>3440</v>
      </c>
      <c r="C323">
        <f>IF( 'Water Stuff'!O293*1000 &gt;= 'Water Stuff'!$B$6*1000, 'Water Stuff'!$B$6*1000, 'Water Stuff'!O293*1000)</f>
        <v>2840</v>
      </c>
      <c r="D323">
        <f>IF( 'Water Stuff'!W293*1000 &gt;= 'Water Stuff'!$B$6*1000, 'Water Stuff'!$B$6*1000, 'Water Stuff'!W293*1000)</f>
        <v>5157.1722428047524</v>
      </c>
      <c r="E323">
        <f>IF( 'Water Stuff'!AE293*1000 &gt;= 'Water Stuff'!$B$6*1000, 'Water Stuff'!$B$6*1000, 'Water Stuff'!AE293*1000)</f>
        <v>3071.1326625935003</v>
      </c>
      <c r="F323">
        <f>IF('Water Stuff'!AM293*1000&gt;='Water Stuff'!$B$6*1000,'Water Stuff'!$B$6*1000,'Water Stuff'!AM293*1000)</f>
        <v>4563.1725980107622</v>
      </c>
      <c r="I323">
        <f t="shared" si="84"/>
        <v>34.4</v>
      </c>
      <c r="J323">
        <f t="shared" si="85"/>
        <v>28.4</v>
      </c>
      <c r="K323">
        <f t="shared" si="86"/>
        <v>51.571722428047522</v>
      </c>
      <c r="L323">
        <f t="shared" si="87"/>
        <v>30.711326625935001</v>
      </c>
      <c r="M323">
        <f t="shared" si="88"/>
        <v>45.631725980107625</v>
      </c>
      <c r="O323">
        <f t="shared" si="89"/>
        <v>0.68799999999999994</v>
      </c>
      <c r="P323">
        <f t="shared" si="90"/>
        <v>0.56799999999999995</v>
      </c>
      <c r="Q323">
        <f t="shared" si="91"/>
        <v>1.0314344485609503</v>
      </c>
      <c r="R323">
        <f t="shared" si="92"/>
        <v>0.61422653251870007</v>
      </c>
      <c r="S323">
        <f t="shared" si="93"/>
        <v>0.91263451960215236</v>
      </c>
      <c r="U323">
        <f t="shared" si="94"/>
        <v>17.2</v>
      </c>
      <c r="V323">
        <f t="shared" si="95"/>
        <v>14.200000000000001</v>
      </c>
      <c r="W323">
        <f t="shared" si="96"/>
        <v>25.785861214023761</v>
      </c>
      <c r="X323">
        <f t="shared" si="97"/>
        <v>15.355663312967502</v>
      </c>
      <c r="Y323">
        <f t="shared" si="98"/>
        <v>22.815862990053812</v>
      </c>
      <c r="AA323">
        <f t="shared" si="99"/>
        <v>34.4</v>
      </c>
      <c r="AB323">
        <f t="shared" si="100"/>
        <v>28.400000000000002</v>
      </c>
      <c r="AC323">
        <f t="shared" si="101"/>
        <v>51.571722428047522</v>
      </c>
      <c r="AD323">
        <f t="shared" si="102"/>
        <v>30.711326625935005</v>
      </c>
      <c r="AE323">
        <f t="shared" si="103"/>
        <v>45.631725980107625</v>
      </c>
      <c r="AG323" s="109">
        <f t="shared" si="104"/>
        <v>44850</v>
      </c>
      <c r="AH323">
        <f>'Water Stuff'!I293*1000</f>
        <v>620</v>
      </c>
      <c r="AI323">
        <f>'Water Stuff'!Q293*1000</f>
        <v>620</v>
      </c>
      <c r="AJ323">
        <f>'Water Stuff'!Y293*1000</f>
        <v>620</v>
      </c>
      <c r="AK323">
        <f>'Water Stuff'!AG293*1000</f>
        <v>620</v>
      </c>
      <c r="AL323">
        <f>'Water Stuff'!AO293*1000</f>
        <v>620</v>
      </c>
    </row>
    <row r="324" spans="1:38">
      <c r="A324" s="109">
        <f>'Water Stuff'!F294</f>
        <v>44851</v>
      </c>
      <c r="B324">
        <f>IF( 'Water Stuff'!G294*1000 &gt;= 'Water Stuff'!$B$6*1000, 'Water Stuff'!$B$6*1000, 'Water Stuff'!G294*1000)</f>
        <v>5400</v>
      </c>
      <c r="C324">
        <f>IF( 'Water Stuff'!O294*1000 &gt;= 'Water Stuff'!$B$6*1000, 'Water Stuff'!$B$6*1000, 'Water Stuff'!O294*1000)</f>
        <v>1280</v>
      </c>
      <c r="D324">
        <f>IF( 'Water Stuff'!W294*1000 &gt;= 'Water Stuff'!$B$6*1000, 'Water Stuff'!$B$6*1000, 'Water Stuff'!W294*1000)</f>
        <v>6886.3727025374146</v>
      </c>
      <c r="E324">
        <f>IF( 'Water Stuff'!AE294*1000 &gt;= 'Water Stuff'!$B$6*1000, 'Water Stuff'!$B$6*1000, 'Water Stuff'!AE294*1000)</f>
        <v>2397.6200064415839</v>
      </c>
      <c r="F324">
        <f>IF('Water Stuff'!AM294*1000&gt;='Water Stuff'!$B$6*1000,'Water Stuff'!$B$6*1000,'Water Stuff'!AM294*1000)</f>
        <v>7869.5199294154872</v>
      </c>
      <c r="I324">
        <f t="shared" si="84"/>
        <v>54</v>
      </c>
      <c r="J324">
        <f t="shared" si="85"/>
        <v>12.8</v>
      </c>
      <c r="K324">
        <f t="shared" si="86"/>
        <v>68.863727025374146</v>
      </c>
      <c r="L324">
        <f t="shared" si="87"/>
        <v>23.976200064415838</v>
      </c>
      <c r="M324">
        <f t="shared" si="88"/>
        <v>78.695199294154861</v>
      </c>
      <c r="O324">
        <f t="shared" si="89"/>
        <v>1.08</v>
      </c>
      <c r="P324">
        <f t="shared" si="90"/>
        <v>0.25600000000000001</v>
      </c>
      <c r="Q324">
        <f t="shared" si="91"/>
        <v>1.3772745405074829</v>
      </c>
      <c r="R324">
        <f t="shared" si="92"/>
        <v>0.47952400128831674</v>
      </c>
      <c r="S324">
        <f t="shared" si="93"/>
        <v>1.5739039858830972</v>
      </c>
      <c r="U324">
        <f t="shared" si="94"/>
        <v>27</v>
      </c>
      <c r="V324">
        <f t="shared" si="95"/>
        <v>6.4</v>
      </c>
      <c r="W324">
        <f t="shared" si="96"/>
        <v>34.431863512687073</v>
      </c>
      <c r="X324">
        <f t="shared" si="97"/>
        <v>11.988100032207919</v>
      </c>
      <c r="Y324">
        <f t="shared" si="98"/>
        <v>39.347599647077438</v>
      </c>
      <c r="AA324">
        <f t="shared" si="99"/>
        <v>54</v>
      </c>
      <c r="AB324">
        <f t="shared" si="100"/>
        <v>12.8</v>
      </c>
      <c r="AC324">
        <f t="shared" si="101"/>
        <v>68.863727025374146</v>
      </c>
      <c r="AD324">
        <f t="shared" si="102"/>
        <v>23.976200064415838</v>
      </c>
      <c r="AE324">
        <f t="shared" si="103"/>
        <v>78.695199294154875</v>
      </c>
      <c r="AG324" s="109">
        <f t="shared" si="104"/>
        <v>44851</v>
      </c>
      <c r="AH324">
        <f>'Water Stuff'!I294*1000</f>
        <v>620</v>
      </c>
      <c r="AI324">
        <f>'Water Stuff'!Q294*1000</f>
        <v>620</v>
      </c>
      <c r="AJ324">
        <f>'Water Stuff'!Y294*1000</f>
        <v>620</v>
      </c>
      <c r="AK324">
        <f>'Water Stuff'!AG294*1000</f>
        <v>620</v>
      </c>
      <c r="AL324">
        <f>'Water Stuff'!AO294*1000</f>
        <v>620</v>
      </c>
    </row>
    <row r="325" spans="1:38">
      <c r="A325" s="109">
        <f>'Water Stuff'!F295</f>
        <v>44852</v>
      </c>
      <c r="B325">
        <f>IF( 'Water Stuff'!G295*1000 &gt;= 'Water Stuff'!$B$6*1000, 'Water Stuff'!$B$6*1000, 'Water Stuff'!G295*1000)</f>
        <v>3360</v>
      </c>
      <c r="C325">
        <f>IF( 'Water Stuff'!O295*1000 &gt;= 'Water Stuff'!$B$6*1000, 'Water Stuff'!$B$6*1000, 'Water Stuff'!O295*1000)</f>
        <v>4680</v>
      </c>
      <c r="D325">
        <f>IF( 'Water Stuff'!W295*1000 &gt;= 'Water Stuff'!$B$6*1000, 'Water Stuff'!$B$6*1000, 'Water Stuff'!W295*1000)</f>
        <v>1061.4310951522054</v>
      </c>
      <c r="E325">
        <f>IF( 'Water Stuff'!AE295*1000 &gt;= 'Water Stuff'!$B$6*1000, 'Water Stuff'!$B$6*1000, 'Water Stuff'!AE295*1000)</f>
        <v>2674.9299265188101</v>
      </c>
      <c r="F325">
        <f>IF('Water Stuff'!AM295*1000&gt;='Water Stuff'!$B$6*1000,'Water Stuff'!$B$6*1000,'Water Stuff'!AM295*1000)</f>
        <v>0</v>
      </c>
      <c r="I325">
        <f t="shared" si="84"/>
        <v>33.6</v>
      </c>
      <c r="J325">
        <f t="shared" si="85"/>
        <v>46.8</v>
      </c>
      <c r="K325">
        <f t="shared" si="86"/>
        <v>10.614310951522056</v>
      </c>
      <c r="L325">
        <f t="shared" si="87"/>
        <v>26.7492992651881</v>
      </c>
      <c r="M325">
        <f t="shared" si="88"/>
        <v>0</v>
      </c>
      <c r="O325">
        <f t="shared" si="89"/>
        <v>0.67200000000000004</v>
      </c>
      <c r="P325">
        <f t="shared" si="90"/>
        <v>0.93600000000000005</v>
      </c>
      <c r="Q325">
        <f t="shared" si="91"/>
        <v>0.21228621903044109</v>
      </c>
      <c r="R325">
        <f t="shared" si="92"/>
        <v>0.53498598530376207</v>
      </c>
      <c r="S325">
        <f t="shared" si="93"/>
        <v>0</v>
      </c>
      <c r="U325">
        <f t="shared" si="94"/>
        <v>16.8</v>
      </c>
      <c r="V325">
        <f t="shared" si="95"/>
        <v>23.400000000000002</v>
      </c>
      <c r="W325">
        <f t="shared" si="96"/>
        <v>5.3071554757610278</v>
      </c>
      <c r="X325">
        <f t="shared" si="97"/>
        <v>13.374649632594052</v>
      </c>
      <c r="Y325">
        <f t="shared" si="98"/>
        <v>0</v>
      </c>
      <c r="AA325">
        <f t="shared" si="99"/>
        <v>33.6</v>
      </c>
      <c r="AB325">
        <f t="shared" si="100"/>
        <v>46.800000000000004</v>
      </c>
      <c r="AC325">
        <f t="shared" si="101"/>
        <v>10.614310951522056</v>
      </c>
      <c r="AD325">
        <f t="shared" si="102"/>
        <v>26.749299265188103</v>
      </c>
      <c r="AE325">
        <f t="shared" si="103"/>
        <v>0</v>
      </c>
      <c r="AG325" s="109">
        <f t="shared" si="104"/>
        <v>44852</v>
      </c>
      <c r="AH325">
        <f>'Water Stuff'!I295*1000</f>
        <v>620</v>
      </c>
      <c r="AI325">
        <f>'Water Stuff'!Q295*1000</f>
        <v>620</v>
      </c>
      <c r="AJ325">
        <f>'Water Stuff'!Y295*1000</f>
        <v>620</v>
      </c>
      <c r="AK325">
        <f>'Water Stuff'!AG295*1000</f>
        <v>620</v>
      </c>
      <c r="AL325">
        <f>'Water Stuff'!AO295*1000</f>
        <v>620</v>
      </c>
    </row>
    <row r="326" spans="1:38">
      <c r="A326" s="109">
        <f>'Water Stuff'!F296</f>
        <v>44853</v>
      </c>
      <c r="B326">
        <f>IF( 'Water Stuff'!G296*1000 &gt;= 'Water Stuff'!$B$6*1000, 'Water Stuff'!$B$6*1000, 'Water Stuff'!G296*1000)</f>
        <v>9240</v>
      </c>
      <c r="C326">
        <f>IF( 'Water Stuff'!O296*1000 &gt;= 'Water Stuff'!$B$6*1000, 'Water Stuff'!$B$6*1000, 'Water Stuff'!O296*1000)</f>
        <v>120</v>
      </c>
      <c r="D326">
        <f>IF( 'Water Stuff'!W296*1000 &gt;= 'Water Stuff'!$B$6*1000, 'Water Stuff'!$B$6*1000, 'Water Stuff'!W296*1000)</f>
        <v>6611.2048059199933</v>
      </c>
      <c r="E326">
        <f>IF( 'Water Stuff'!AE296*1000 &gt;= 'Water Stuff'!$B$6*1000, 'Water Stuff'!$B$6*1000, 'Water Stuff'!AE296*1000)</f>
        <v>0</v>
      </c>
      <c r="F326">
        <f>IF('Water Stuff'!AM296*1000&gt;='Water Stuff'!$B$6*1000,'Water Stuff'!$B$6*1000,'Water Stuff'!AM296*1000)</f>
        <v>4600.1709026145681</v>
      </c>
      <c r="I326">
        <f t="shared" si="84"/>
        <v>92.4</v>
      </c>
      <c r="J326">
        <f t="shared" si="85"/>
        <v>1.2</v>
      </c>
      <c r="K326">
        <f t="shared" si="86"/>
        <v>66.112048059199935</v>
      </c>
      <c r="L326">
        <f t="shared" si="87"/>
        <v>0</v>
      </c>
      <c r="M326">
        <f t="shared" si="88"/>
        <v>46.001709026145683</v>
      </c>
      <c r="O326">
        <f t="shared" si="89"/>
        <v>1.8480000000000001</v>
      </c>
      <c r="P326">
        <f t="shared" si="90"/>
        <v>2.4E-2</v>
      </c>
      <c r="Q326">
        <f t="shared" si="91"/>
        <v>1.3222409611839987</v>
      </c>
      <c r="R326">
        <f t="shared" si="92"/>
        <v>0</v>
      </c>
      <c r="S326">
        <f t="shared" si="93"/>
        <v>0.92003418052291364</v>
      </c>
      <c r="U326">
        <f t="shared" si="94"/>
        <v>46.2</v>
      </c>
      <c r="V326">
        <f t="shared" si="95"/>
        <v>0.6</v>
      </c>
      <c r="W326">
        <f t="shared" si="96"/>
        <v>33.056024029599968</v>
      </c>
      <c r="X326">
        <f t="shared" si="97"/>
        <v>0</v>
      </c>
      <c r="Y326">
        <f t="shared" si="98"/>
        <v>23.000854513072841</v>
      </c>
      <c r="AA326">
        <f t="shared" si="99"/>
        <v>92.4</v>
      </c>
      <c r="AB326">
        <f t="shared" si="100"/>
        <v>1.2</v>
      </c>
      <c r="AC326">
        <f t="shared" si="101"/>
        <v>66.112048059199935</v>
      </c>
      <c r="AD326">
        <f t="shared" si="102"/>
        <v>0</v>
      </c>
      <c r="AE326">
        <f t="shared" si="103"/>
        <v>46.001709026145683</v>
      </c>
      <c r="AG326" s="109">
        <f t="shared" si="104"/>
        <v>44853</v>
      </c>
      <c r="AH326">
        <f>'Water Stuff'!I296*1000</f>
        <v>620</v>
      </c>
      <c r="AI326">
        <f>'Water Stuff'!Q296*1000</f>
        <v>620</v>
      </c>
      <c r="AJ326">
        <f>'Water Stuff'!Y296*1000</f>
        <v>620</v>
      </c>
      <c r="AK326">
        <f>'Water Stuff'!AG296*1000</f>
        <v>620</v>
      </c>
      <c r="AL326">
        <f>'Water Stuff'!AO296*1000</f>
        <v>620</v>
      </c>
    </row>
    <row r="327" spans="1:38">
      <c r="A327" s="109">
        <f>'Water Stuff'!F297</f>
        <v>44854</v>
      </c>
      <c r="B327">
        <f>IF( 'Water Stuff'!G297*1000 &gt;= 'Water Stuff'!$B$6*1000, 'Water Stuff'!$B$6*1000, 'Water Stuff'!G297*1000)</f>
        <v>2160</v>
      </c>
      <c r="C327">
        <f>IF( 'Water Stuff'!O297*1000 &gt;= 'Water Stuff'!$B$6*1000, 'Water Stuff'!$B$6*1000, 'Water Stuff'!O297*1000)</f>
        <v>2039.9999999999995</v>
      </c>
      <c r="D327">
        <f>IF( 'Water Stuff'!W297*1000 &gt;= 'Water Stuff'!$B$6*1000, 'Water Stuff'!$B$6*1000, 'Water Stuff'!W297*1000)</f>
        <v>0</v>
      </c>
      <c r="E327">
        <f>IF( 'Water Stuff'!AE297*1000 &gt;= 'Water Stuff'!$B$6*1000, 'Water Stuff'!$B$6*1000, 'Water Stuff'!AE297*1000)</f>
        <v>0</v>
      </c>
      <c r="F327">
        <f>IF('Water Stuff'!AM297*1000&gt;='Water Stuff'!$B$6*1000,'Water Stuff'!$B$6*1000,'Water Stuff'!AM297*1000)</f>
        <v>1761.9583513563207</v>
      </c>
      <c r="I327">
        <f t="shared" si="84"/>
        <v>21.6</v>
      </c>
      <c r="J327">
        <f t="shared" si="85"/>
        <v>20.399999999999995</v>
      </c>
      <c r="K327">
        <f t="shared" si="86"/>
        <v>0</v>
      </c>
      <c r="L327">
        <f t="shared" si="87"/>
        <v>0</v>
      </c>
      <c r="M327">
        <f t="shared" si="88"/>
        <v>17.619583513563207</v>
      </c>
      <c r="O327">
        <f t="shared" si="89"/>
        <v>0.432</v>
      </c>
      <c r="P327">
        <f t="shared" si="90"/>
        <v>0.40799999999999986</v>
      </c>
      <c r="Q327">
        <f t="shared" si="91"/>
        <v>0</v>
      </c>
      <c r="R327">
        <f t="shared" si="92"/>
        <v>0</v>
      </c>
      <c r="S327">
        <f t="shared" si="93"/>
        <v>0.35239167027126417</v>
      </c>
      <c r="U327">
        <f t="shared" si="94"/>
        <v>10.8</v>
      </c>
      <c r="V327">
        <f t="shared" si="95"/>
        <v>10.199999999999998</v>
      </c>
      <c r="W327">
        <f t="shared" si="96"/>
        <v>0</v>
      </c>
      <c r="X327">
        <f t="shared" si="97"/>
        <v>0</v>
      </c>
      <c r="Y327">
        <f t="shared" si="98"/>
        <v>8.8097917567816033</v>
      </c>
      <c r="AA327">
        <f t="shared" si="99"/>
        <v>21.6</v>
      </c>
      <c r="AB327">
        <f t="shared" si="100"/>
        <v>20.399999999999995</v>
      </c>
      <c r="AC327">
        <f t="shared" si="101"/>
        <v>0</v>
      </c>
      <c r="AD327">
        <f t="shared" si="102"/>
        <v>0</v>
      </c>
      <c r="AE327">
        <f t="shared" si="103"/>
        <v>17.619583513563207</v>
      </c>
      <c r="AG327" s="109">
        <f t="shared" si="104"/>
        <v>44854</v>
      </c>
      <c r="AH327">
        <f>'Water Stuff'!I297*1000</f>
        <v>620</v>
      </c>
      <c r="AI327">
        <f>'Water Stuff'!Q297*1000</f>
        <v>620</v>
      </c>
      <c r="AJ327">
        <f>'Water Stuff'!Y297*1000</f>
        <v>620</v>
      </c>
      <c r="AK327">
        <f>'Water Stuff'!AG297*1000</f>
        <v>620</v>
      </c>
      <c r="AL327">
        <f>'Water Stuff'!AO297*1000</f>
        <v>620</v>
      </c>
    </row>
    <row r="328" spans="1:38">
      <c r="A328" s="109">
        <f>'Water Stuff'!F298</f>
        <v>44855</v>
      </c>
      <c r="B328">
        <f>IF( 'Water Stuff'!G298*1000 &gt;= 'Water Stuff'!$B$6*1000, 'Water Stuff'!$B$6*1000, 'Water Stuff'!G298*1000)</f>
        <v>8040.0000000000009</v>
      </c>
      <c r="C328">
        <f>IF( 'Water Stuff'!O298*1000 &gt;= 'Water Stuff'!$B$6*1000, 'Water Stuff'!$B$6*1000, 'Water Stuff'!O298*1000)</f>
        <v>800</v>
      </c>
      <c r="D328">
        <f>IF( 'Water Stuff'!W298*1000 &gt;= 'Water Stuff'!$B$6*1000, 'Water Stuff'!$B$6*1000, 'Water Stuff'!W298*1000)</f>
        <v>5127.8551023917234</v>
      </c>
      <c r="E328">
        <f>IF( 'Water Stuff'!AE298*1000 &gt;= 'Water Stuff'!$B$6*1000, 'Water Stuff'!$B$6*1000, 'Water Stuff'!AE298*1000)</f>
        <v>1537.7489069125613</v>
      </c>
      <c r="F328">
        <f>IF('Water Stuff'!AM298*1000&gt;='Water Stuff'!$B$6*1000,'Water Stuff'!$B$6*1000,'Water Stuff'!AM298*1000)</f>
        <v>5275.7233464764222</v>
      </c>
      <c r="I328">
        <f t="shared" si="84"/>
        <v>80.40000000000002</v>
      </c>
      <c r="J328">
        <f t="shared" si="85"/>
        <v>8</v>
      </c>
      <c r="K328">
        <f t="shared" si="86"/>
        <v>51.278551023917238</v>
      </c>
      <c r="L328">
        <f t="shared" si="87"/>
        <v>15.377489069125613</v>
      </c>
      <c r="M328">
        <f t="shared" si="88"/>
        <v>52.757233464764219</v>
      </c>
      <c r="O328">
        <f t="shared" si="89"/>
        <v>1.6080000000000005</v>
      </c>
      <c r="P328">
        <f t="shared" si="90"/>
        <v>0.16</v>
      </c>
      <c r="Q328">
        <f t="shared" si="91"/>
        <v>1.0255710204783448</v>
      </c>
      <c r="R328">
        <f t="shared" si="92"/>
        <v>0.30754978138251227</v>
      </c>
      <c r="S328">
        <f t="shared" si="93"/>
        <v>1.0551446692952846</v>
      </c>
      <c r="U328">
        <f t="shared" si="94"/>
        <v>40.200000000000003</v>
      </c>
      <c r="V328">
        <f t="shared" si="95"/>
        <v>4</v>
      </c>
      <c r="W328">
        <f t="shared" si="96"/>
        <v>25.639275511958619</v>
      </c>
      <c r="X328">
        <f t="shared" si="97"/>
        <v>7.6887445345628072</v>
      </c>
      <c r="Y328">
        <f t="shared" si="98"/>
        <v>26.378616732382113</v>
      </c>
      <c r="AA328">
        <f t="shared" si="99"/>
        <v>80.400000000000006</v>
      </c>
      <c r="AB328">
        <f t="shared" si="100"/>
        <v>8</v>
      </c>
      <c r="AC328">
        <f t="shared" si="101"/>
        <v>51.278551023917238</v>
      </c>
      <c r="AD328">
        <f t="shared" si="102"/>
        <v>15.377489069125614</v>
      </c>
      <c r="AE328">
        <f t="shared" si="103"/>
        <v>52.757233464764226</v>
      </c>
      <c r="AG328" s="109">
        <f t="shared" si="104"/>
        <v>44855</v>
      </c>
      <c r="AH328">
        <f>'Water Stuff'!I298*1000</f>
        <v>620</v>
      </c>
      <c r="AI328">
        <f>'Water Stuff'!Q298*1000</f>
        <v>620</v>
      </c>
      <c r="AJ328">
        <f>'Water Stuff'!Y298*1000</f>
        <v>620</v>
      </c>
      <c r="AK328">
        <f>'Water Stuff'!AG298*1000</f>
        <v>620</v>
      </c>
      <c r="AL328">
        <f>'Water Stuff'!AO298*1000</f>
        <v>620</v>
      </c>
    </row>
    <row r="329" spans="1:38">
      <c r="A329" s="109">
        <f>'Water Stuff'!F299</f>
        <v>44856</v>
      </c>
      <c r="B329">
        <f>IF( 'Water Stuff'!G299*1000 &gt;= 'Water Stuff'!$B$6*1000, 'Water Stuff'!$B$6*1000, 'Water Stuff'!G299*1000)</f>
        <v>4280</v>
      </c>
      <c r="C329">
        <f>IF( 'Water Stuff'!O299*1000 &gt;= 'Water Stuff'!$B$6*1000, 'Water Stuff'!$B$6*1000, 'Water Stuff'!O299*1000)</f>
        <v>1960.0000000000002</v>
      </c>
      <c r="D329">
        <f>IF( 'Water Stuff'!W299*1000 &gt;= 'Water Stuff'!$B$6*1000, 'Water Stuff'!$B$6*1000, 'Water Stuff'!W299*1000)</f>
        <v>2572.6481315765259</v>
      </c>
      <c r="E329">
        <f>IF( 'Water Stuff'!AE299*1000 &gt;= 'Water Stuff'!$B$6*1000, 'Water Stuff'!$B$6*1000, 'Water Stuff'!AE299*1000)</f>
        <v>1055.9929816652443</v>
      </c>
      <c r="F329">
        <f>IF('Water Stuff'!AM299*1000&gt;='Water Stuff'!$B$6*1000,'Water Stuff'!$B$6*1000,'Water Stuff'!AM299*1000)</f>
        <v>233.83514677632218</v>
      </c>
      <c r="I329">
        <f t="shared" si="84"/>
        <v>42.8</v>
      </c>
      <c r="J329">
        <f t="shared" si="85"/>
        <v>19.600000000000005</v>
      </c>
      <c r="K329">
        <f t="shared" si="86"/>
        <v>25.726481315765259</v>
      </c>
      <c r="L329">
        <f t="shared" si="87"/>
        <v>10.559929816652442</v>
      </c>
      <c r="M329">
        <f t="shared" si="88"/>
        <v>2.3383514677632218</v>
      </c>
      <c r="O329">
        <f t="shared" si="89"/>
        <v>0.85599999999999998</v>
      </c>
      <c r="P329">
        <f t="shared" si="90"/>
        <v>0.39200000000000013</v>
      </c>
      <c r="Q329">
        <f t="shared" si="91"/>
        <v>0.51452962631530519</v>
      </c>
      <c r="R329">
        <f t="shared" si="92"/>
        <v>0.21119859633304888</v>
      </c>
      <c r="S329">
        <f t="shared" si="93"/>
        <v>4.6767029355264431E-2</v>
      </c>
      <c r="U329">
        <f t="shared" si="94"/>
        <v>21.400000000000002</v>
      </c>
      <c r="V329">
        <f t="shared" si="95"/>
        <v>9.8000000000000007</v>
      </c>
      <c r="W329">
        <f t="shared" si="96"/>
        <v>12.863240657882629</v>
      </c>
      <c r="X329">
        <f t="shared" si="97"/>
        <v>5.2799649083262219</v>
      </c>
      <c r="Y329">
        <f t="shared" si="98"/>
        <v>1.1691757338816109</v>
      </c>
      <c r="AA329">
        <f t="shared" si="99"/>
        <v>42.800000000000004</v>
      </c>
      <c r="AB329">
        <f t="shared" si="100"/>
        <v>19.600000000000001</v>
      </c>
      <c r="AC329">
        <f t="shared" si="101"/>
        <v>25.726481315765259</v>
      </c>
      <c r="AD329">
        <f t="shared" si="102"/>
        <v>10.559929816652444</v>
      </c>
      <c r="AE329">
        <f t="shared" si="103"/>
        <v>2.3383514677632218</v>
      </c>
      <c r="AG329" s="109">
        <f t="shared" si="104"/>
        <v>44856</v>
      </c>
      <c r="AH329">
        <f>'Water Stuff'!I299*1000</f>
        <v>620</v>
      </c>
      <c r="AI329">
        <f>'Water Stuff'!Q299*1000</f>
        <v>620</v>
      </c>
      <c r="AJ329">
        <f>'Water Stuff'!Y299*1000</f>
        <v>620</v>
      </c>
      <c r="AK329">
        <f>'Water Stuff'!AG299*1000</f>
        <v>620</v>
      </c>
      <c r="AL329">
        <f>'Water Stuff'!AO299*1000</f>
        <v>620</v>
      </c>
    </row>
    <row r="330" spans="1:38">
      <c r="A330" s="109">
        <f>'Water Stuff'!F300</f>
        <v>44857</v>
      </c>
      <c r="B330">
        <f>IF( 'Water Stuff'!G300*1000 &gt;= 'Water Stuff'!$B$6*1000, 'Water Stuff'!$B$6*1000, 'Water Stuff'!G300*1000)</f>
        <v>1880</v>
      </c>
      <c r="C330">
        <f>IF( 'Water Stuff'!O300*1000 &gt;= 'Water Stuff'!$B$6*1000, 'Water Stuff'!$B$6*1000, 'Water Stuff'!O300*1000)</f>
        <v>0</v>
      </c>
      <c r="D330">
        <f>IF( 'Water Stuff'!W300*1000 &gt;= 'Water Stuff'!$B$6*1000, 'Water Stuff'!$B$6*1000, 'Water Stuff'!W300*1000)</f>
        <v>600.43247457178097</v>
      </c>
      <c r="E330">
        <f>IF( 'Water Stuff'!AE300*1000 &gt;= 'Water Stuff'!$B$6*1000, 'Water Stuff'!$B$6*1000, 'Water Stuff'!AE300*1000)</f>
        <v>0</v>
      </c>
      <c r="F330">
        <f>IF('Water Stuff'!AM300*1000&gt;='Water Stuff'!$B$6*1000,'Water Stuff'!$B$6*1000,'Water Stuff'!AM300*1000)</f>
        <v>0</v>
      </c>
      <c r="I330">
        <f t="shared" si="84"/>
        <v>18.8</v>
      </c>
      <c r="J330">
        <f t="shared" si="85"/>
        <v>0</v>
      </c>
      <c r="K330">
        <f t="shared" si="86"/>
        <v>6.0043247457178097</v>
      </c>
      <c r="L330">
        <f t="shared" si="87"/>
        <v>0</v>
      </c>
      <c r="M330">
        <f t="shared" si="88"/>
        <v>0</v>
      </c>
      <c r="O330">
        <f t="shared" si="89"/>
        <v>0.376</v>
      </c>
      <c r="P330">
        <f t="shared" si="90"/>
        <v>0</v>
      </c>
      <c r="Q330">
        <f t="shared" si="91"/>
        <v>0.12008649491435619</v>
      </c>
      <c r="R330">
        <f t="shared" si="92"/>
        <v>0</v>
      </c>
      <c r="S330">
        <f t="shared" si="93"/>
        <v>0</v>
      </c>
      <c r="U330">
        <f t="shared" si="94"/>
        <v>9.4</v>
      </c>
      <c r="V330">
        <f t="shared" si="95"/>
        <v>0</v>
      </c>
      <c r="W330">
        <f t="shared" si="96"/>
        <v>3.0021623728589049</v>
      </c>
      <c r="X330">
        <f t="shared" si="97"/>
        <v>0</v>
      </c>
      <c r="Y330">
        <f t="shared" si="98"/>
        <v>0</v>
      </c>
      <c r="AA330">
        <f t="shared" si="99"/>
        <v>18.8</v>
      </c>
      <c r="AB330">
        <f t="shared" si="100"/>
        <v>0</v>
      </c>
      <c r="AC330">
        <f t="shared" si="101"/>
        <v>6.0043247457178097</v>
      </c>
      <c r="AD330">
        <f t="shared" si="102"/>
        <v>0</v>
      </c>
      <c r="AE330">
        <f t="shared" si="103"/>
        <v>0</v>
      </c>
      <c r="AG330" s="109">
        <f t="shared" si="104"/>
        <v>44857</v>
      </c>
      <c r="AH330">
        <f>'Water Stuff'!I300*1000</f>
        <v>620</v>
      </c>
      <c r="AI330">
        <f>'Water Stuff'!Q300*1000</f>
        <v>620</v>
      </c>
      <c r="AJ330">
        <f>'Water Stuff'!Y300*1000</f>
        <v>620</v>
      </c>
      <c r="AK330">
        <f>'Water Stuff'!AG300*1000</f>
        <v>620</v>
      </c>
      <c r="AL330">
        <f>'Water Stuff'!AO300*1000</f>
        <v>620</v>
      </c>
    </row>
    <row r="331" spans="1:38">
      <c r="A331" s="109">
        <f>'Water Stuff'!F301</f>
        <v>44858</v>
      </c>
      <c r="B331">
        <f>IF( 'Water Stuff'!G301*1000 &gt;= 'Water Stuff'!$B$6*1000, 'Water Stuff'!$B$6*1000, 'Water Stuff'!G301*1000)</f>
        <v>320</v>
      </c>
      <c r="C331">
        <f>IF( 'Water Stuff'!O301*1000 &gt;= 'Water Stuff'!$B$6*1000, 'Water Stuff'!$B$6*1000, 'Water Stuff'!O301*1000)</f>
        <v>1160</v>
      </c>
      <c r="D331">
        <f>IF( 'Water Stuff'!W301*1000 &gt;= 'Water Stuff'!$B$6*1000, 'Water Stuff'!$B$6*1000, 'Water Stuff'!W301*1000)</f>
        <v>1947.4264062088889</v>
      </c>
      <c r="E331">
        <f>IF( 'Water Stuff'!AE301*1000 &gt;= 'Water Stuff'!$B$6*1000, 'Water Stuff'!$B$6*1000, 'Water Stuff'!AE301*1000)</f>
        <v>0</v>
      </c>
      <c r="F331">
        <f>IF('Water Stuff'!AM301*1000&gt;='Water Stuff'!$B$6*1000,'Water Stuff'!$B$6*1000,'Water Stuff'!AM301*1000)</f>
        <v>2624.531632569564</v>
      </c>
      <c r="I331">
        <f t="shared" si="84"/>
        <v>3.2</v>
      </c>
      <c r="J331">
        <f t="shared" si="85"/>
        <v>11.6</v>
      </c>
      <c r="K331">
        <f t="shared" si="86"/>
        <v>19.474264062088888</v>
      </c>
      <c r="L331">
        <f t="shared" si="87"/>
        <v>0</v>
      </c>
      <c r="M331">
        <f t="shared" si="88"/>
        <v>26.24531632569564</v>
      </c>
      <c r="O331">
        <f t="shared" si="89"/>
        <v>6.4000000000000001E-2</v>
      </c>
      <c r="P331">
        <f t="shared" si="90"/>
        <v>0.23200000000000001</v>
      </c>
      <c r="Q331">
        <f t="shared" si="91"/>
        <v>0.38948528124177778</v>
      </c>
      <c r="R331">
        <f t="shared" si="92"/>
        <v>0</v>
      </c>
      <c r="S331">
        <f t="shared" si="93"/>
        <v>0.52490632651391278</v>
      </c>
      <c r="U331">
        <f t="shared" si="94"/>
        <v>1.6</v>
      </c>
      <c r="V331">
        <f t="shared" si="95"/>
        <v>5.8</v>
      </c>
      <c r="W331">
        <f t="shared" si="96"/>
        <v>9.7371320310444442</v>
      </c>
      <c r="X331">
        <f t="shared" si="97"/>
        <v>0</v>
      </c>
      <c r="Y331">
        <f t="shared" si="98"/>
        <v>13.12265816284782</v>
      </c>
      <c r="AA331">
        <f t="shared" si="99"/>
        <v>3.2</v>
      </c>
      <c r="AB331">
        <f t="shared" si="100"/>
        <v>11.6</v>
      </c>
      <c r="AC331">
        <f t="shared" si="101"/>
        <v>19.474264062088888</v>
      </c>
      <c r="AD331">
        <f t="shared" si="102"/>
        <v>0</v>
      </c>
      <c r="AE331">
        <f t="shared" si="103"/>
        <v>26.24531632569564</v>
      </c>
      <c r="AG331" s="109">
        <f t="shared" si="104"/>
        <v>44858</v>
      </c>
      <c r="AH331">
        <f>'Water Stuff'!I301*1000</f>
        <v>620</v>
      </c>
      <c r="AI331">
        <f>'Water Stuff'!Q301*1000</f>
        <v>620</v>
      </c>
      <c r="AJ331">
        <f>'Water Stuff'!Y301*1000</f>
        <v>620</v>
      </c>
      <c r="AK331">
        <f>'Water Stuff'!AG301*1000</f>
        <v>620</v>
      </c>
      <c r="AL331">
        <f>'Water Stuff'!AO301*1000</f>
        <v>620</v>
      </c>
    </row>
    <row r="332" spans="1:38">
      <c r="A332" s="109">
        <f>'Water Stuff'!F302</f>
        <v>44859</v>
      </c>
      <c r="B332">
        <f>IF( 'Water Stuff'!G302*1000 &gt;= 'Water Stuff'!$B$6*1000, 'Water Stuff'!$B$6*1000, 'Water Stuff'!G302*1000)</f>
        <v>4360</v>
      </c>
      <c r="C332">
        <f>IF( 'Water Stuff'!O302*1000 &gt;= 'Water Stuff'!$B$6*1000, 'Water Stuff'!$B$6*1000, 'Water Stuff'!O302*1000)</f>
        <v>800</v>
      </c>
      <c r="D332">
        <f>IF( 'Water Stuff'!W302*1000 &gt;= 'Water Stuff'!$B$6*1000, 'Water Stuff'!$B$6*1000, 'Water Stuff'!W302*1000)</f>
        <v>5084.3879622084696</v>
      </c>
      <c r="E332">
        <f>IF( 'Water Stuff'!AE302*1000 &gt;= 'Water Stuff'!$B$6*1000, 'Water Stuff'!$B$6*1000, 'Water Stuff'!AE302*1000)</f>
        <v>0</v>
      </c>
      <c r="F332">
        <f>IF('Water Stuff'!AM302*1000&gt;='Water Stuff'!$B$6*1000,'Water Stuff'!$B$6*1000,'Water Stuff'!AM302*1000)</f>
        <v>3039.9347211014801</v>
      </c>
      <c r="I332">
        <f t="shared" si="84"/>
        <v>43.6</v>
      </c>
      <c r="J332">
        <f t="shared" si="85"/>
        <v>8</v>
      </c>
      <c r="K332">
        <f t="shared" si="86"/>
        <v>50.8438796220847</v>
      </c>
      <c r="L332">
        <f t="shared" si="87"/>
        <v>0</v>
      </c>
      <c r="M332">
        <f t="shared" si="88"/>
        <v>30.399347211014799</v>
      </c>
      <c r="O332">
        <f t="shared" si="89"/>
        <v>0.872</v>
      </c>
      <c r="P332">
        <f t="shared" si="90"/>
        <v>0.16</v>
      </c>
      <c r="Q332">
        <f t="shared" si="91"/>
        <v>1.016877592441694</v>
      </c>
      <c r="R332">
        <f t="shared" si="92"/>
        <v>0</v>
      </c>
      <c r="S332">
        <f t="shared" si="93"/>
        <v>0.60798694422029598</v>
      </c>
      <c r="U332">
        <f t="shared" si="94"/>
        <v>21.8</v>
      </c>
      <c r="V332">
        <f t="shared" si="95"/>
        <v>4</v>
      </c>
      <c r="W332">
        <f t="shared" si="96"/>
        <v>25.42193981104235</v>
      </c>
      <c r="X332">
        <f t="shared" si="97"/>
        <v>0</v>
      </c>
      <c r="Y332">
        <f t="shared" si="98"/>
        <v>15.199673605507401</v>
      </c>
      <c r="AA332">
        <f t="shared" si="99"/>
        <v>43.6</v>
      </c>
      <c r="AB332">
        <f t="shared" si="100"/>
        <v>8</v>
      </c>
      <c r="AC332">
        <f t="shared" si="101"/>
        <v>50.8438796220847</v>
      </c>
      <c r="AD332">
        <f t="shared" si="102"/>
        <v>0</v>
      </c>
      <c r="AE332">
        <f t="shared" si="103"/>
        <v>30.399347211014803</v>
      </c>
      <c r="AG332" s="109">
        <f t="shared" si="104"/>
        <v>44859</v>
      </c>
      <c r="AH332">
        <f>'Water Stuff'!I302*1000</f>
        <v>620</v>
      </c>
      <c r="AI332">
        <f>'Water Stuff'!Q302*1000</f>
        <v>620</v>
      </c>
      <c r="AJ332">
        <f>'Water Stuff'!Y302*1000</f>
        <v>620</v>
      </c>
      <c r="AK332">
        <f>'Water Stuff'!AG302*1000</f>
        <v>620</v>
      </c>
      <c r="AL332">
        <f>'Water Stuff'!AO302*1000</f>
        <v>620</v>
      </c>
    </row>
    <row r="333" spans="1:38">
      <c r="A333" s="109">
        <f>'Water Stuff'!F303</f>
        <v>44860</v>
      </c>
      <c r="B333">
        <f>IF( 'Water Stuff'!G303*1000 &gt;= 'Water Stuff'!$B$6*1000, 'Water Stuff'!$B$6*1000, 'Water Stuff'!G303*1000)</f>
        <v>480</v>
      </c>
      <c r="C333">
        <f>IF( 'Water Stuff'!O303*1000 &gt;= 'Water Stuff'!$B$6*1000, 'Water Stuff'!$B$6*1000, 'Water Stuff'!O303*1000)</f>
        <v>0</v>
      </c>
      <c r="D333">
        <f>IF( 'Water Stuff'!W303*1000 &gt;= 'Water Stuff'!$B$6*1000, 'Water Stuff'!$B$6*1000, 'Water Stuff'!W303*1000)</f>
        <v>0</v>
      </c>
      <c r="E333">
        <f>IF( 'Water Stuff'!AE303*1000 &gt;= 'Water Stuff'!$B$6*1000, 'Water Stuff'!$B$6*1000, 'Water Stuff'!AE303*1000)</f>
        <v>877.22533932182159</v>
      </c>
      <c r="F333">
        <f>IF('Water Stuff'!AM303*1000&gt;='Water Stuff'!$B$6*1000,'Water Stuff'!$B$6*1000,'Water Stuff'!AM303*1000)</f>
        <v>703.82031763552459</v>
      </c>
      <c r="I333">
        <f t="shared" si="84"/>
        <v>4.8</v>
      </c>
      <c r="J333">
        <f t="shared" si="85"/>
        <v>0</v>
      </c>
      <c r="K333">
        <f t="shared" si="86"/>
        <v>0</v>
      </c>
      <c r="L333">
        <f t="shared" si="87"/>
        <v>8.7722533932182163</v>
      </c>
      <c r="M333">
        <f t="shared" si="88"/>
        <v>7.0382031763552462</v>
      </c>
      <c r="O333">
        <f t="shared" si="89"/>
        <v>9.6000000000000002E-2</v>
      </c>
      <c r="P333">
        <f t="shared" si="90"/>
        <v>0</v>
      </c>
      <c r="Q333">
        <f t="shared" si="91"/>
        <v>0</v>
      </c>
      <c r="R333">
        <f t="shared" si="92"/>
        <v>0.17544506786436431</v>
      </c>
      <c r="S333">
        <f t="shared" si="93"/>
        <v>0.14076406352710491</v>
      </c>
      <c r="U333">
        <f t="shared" si="94"/>
        <v>2.4</v>
      </c>
      <c r="V333">
        <f t="shared" si="95"/>
        <v>0</v>
      </c>
      <c r="W333">
        <f t="shared" si="96"/>
        <v>0</v>
      </c>
      <c r="X333">
        <f t="shared" si="97"/>
        <v>4.3861266966091081</v>
      </c>
      <c r="Y333">
        <f t="shared" si="98"/>
        <v>3.5191015881776231</v>
      </c>
      <c r="AA333">
        <f t="shared" si="99"/>
        <v>4.8</v>
      </c>
      <c r="AB333">
        <f t="shared" si="100"/>
        <v>0</v>
      </c>
      <c r="AC333">
        <f t="shared" si="101"/>
        <v>0</v>
      </c>
      <c r="AD333">
        <f t="shared" si="102"/>
        <v>8.7722533932182163</v>
      </c>
      <c r="AE333">
        <f t="shared" si="103"/>
        <v>7.0382031763552462</v>
      </c>
      <c r="AG333" s="109">
        <f t="shared" si="104"/>
        <v>44860</v>
      </c>
      <c r="AH333">
        <f>'Water Stuff'!I303*1000</f>
        <v>620</v>
      </c>
      <c r="AI333">
        <f>'Water Stuff'!Q303*1000</f>
        <v>620</v>
      </c>
      <c r="AJ333">
        <f>'Water Stuff'!Y303*1000</f>
        <v>620</v>
      </c>
      <c r="AK333">
        <f>'Water Stuff'!AG303*1000</f>
        <v>620</v>
      </c>
      <c r="AL333">
        <f>'Water Stuff'!AO303*1000</f>
        <v>620</v>
      </c>
    </row>
    <row r="334" spans="1:38">
      <c r="A334" s="109">
        <f>'Water Stuff'!F304</f>
        <v>44861</v>
      </c>
      <c r="B334">
        <f>IF( 'Water Stuff'!G304*1000 &gt;= 'Water Stuff'!$B$6*1000, 'Water Stuff'!$B$6*1000, 'Water Stuff'!G304*1000)</f>
        <v>6720</v>
      </c>
      <c r="C334">
        <f>IF( 'Water Stuff'!O304*1000 &gt;= 'Water Stuff'!$B$6*1000, 'Water Stuff'!$B$6*1000, 'Water Stuff'!O304*1000)</f>
        <v>1360</v>
      </c>
      <c r="D334">
        <f>IF( 'Water Stuff'!W304*1000 &gt;= 'Water Stuff'!$B$6*1000, 'Water Stuff'!$B$6*1000, 'Water Stuff'!W304*1000)</f>
        <v>5453.7974251482783</v>
      </c>
      <c r="E334">
        <f>IF( 'Water Stuff'!AE304*1000 &gt;= 'Water Stuff'!$B$6*1000, 'Water Stuff'!$B$6*1000, 'Water Stuff'!AE304*1000)</f>
        <v>585.13183523741395</v>
      </c>
      <c r="F334">
        <f>IF('Water Stuff'!AM304*1000&gt;='Water Stuff'!$B$6*1000,'Water Stuff'!$B$6*1000,'Water Stuff'!AM304*1000)</f>
        <v>6644.4557291883657</v>
      </c>
      <c r="I334">
        <f t="shared" si="84"/>
        <v>67.2</v>
      </c>
      <c r="J334">
        <f t="shared" si="85"/>
        <v>13.6</v>
      </c>
      <c r="K334">
        <f t="shared" si="86"/>
        <v>54.53797425148278</v>
      </c>
      <c r="L334">
        <f t="shared" si="87"/>
        <v>5.8513183523741388</v>
      </c>
      <c r="M334">
        <f t="shared" si="88"/>
        <v>66.444557291883655</v>
      </c>
      <c r="O334">
        <f t="shared" si="89"/>
        <v>1.3440000000000001</v>
      </c>
      <c r="P334">
        <f t="shared" si="90"/>
        <v>0.27200000000000002</v>
      </c>
      <c r="Q334">
        <f t="shared" si="91"/>
        <v>1.0907594850296558</v>
      </c>
      <c r="R334">
        <f t="shared" si="92"/>
        <v>0.11702636704748276</v>
      </c>
      <c r="S334">
        <f t="shared" si="93"/>
        <v>1.3288911458376731</v>
      </c>
      <c r="U334">
        <f t="shared" si="94"/>
        <v>33.6</v>
      </c>
      <c r="V334">
        <f t="shared" si="95"/>
        <v>6.8</v>
      </c>
      <c r="W334">
        <f t="shared" si="96"/>
        <v>27.268987125741393</v>
      </c>
      <c r="X334">
        <f t="shared" si="97"/>
        <v>2.9256591761870698</v>
      </c>
      <c r="Y334">
        <f t="shared" si="98"/>
        <v>33.222278645941827</v>
      </c>
      <c r="AA334">
        <f t="shared" si="99"/>
        <v>67.2</v>
      </c>
      <c r="AB334">
        <f t="shared" si="100"/>
        <v>13.6</v>
      </c>
      <c r="AC334">
        <f t="shared" si="101"/>
        <v>54.537974251482787</v>
      </c>
      <c r="AD334">
        <f t="shared" si="102"/>
        <v>5.8513183523741397</v>
      </c>
      <c r="AE334">
        <f t="shared" si="103"/>
        <v>66.444557291883655</v>
      </c>
      <c r="AG334" s="109">
        <f t="shared" si="104"/>
        <v>44861</v>
      </c>
      <c r="AH334">
        <f>'Water Stuff'!I304*1000</f>
        <v>620</v>
      </c>
      <c r="AI334">
        <f>'Water Stuff'!Q304*1000</f>
        <v>620</v>
      </c>
      <c r="AJ334">
        <f>'Water Stuff'!Y304*1000</f>
        <v>620</v>
      </c>
      <c r="AK334">
        <f>'Water Stuff'!AG304*1000</f>
        <v>620</v>
      </c>
      <c r="AL334">
        <f>'Water Stuff'!AO304*1000</f>
        <v>620</v>
      </c>
    </row>
    <row r="335" spans="1:38">
      <c r="A335" s="109">
        <f>'Water Stuff'!F305</f>
        <v>44862</v>
      </c>
      <c r="B335">
        <f>IF( 'Water Stuff'!G305*1000 &gt;= 'Water Stuff'!$B$6*1000, 'Water Stuff'!$B$6*1000, 'Water Stuff'!G305*1000)</f>
        <v>4880</v>
      </c>
      <c r="C335">
        <f>IF( 'Water Stuff'!O305*1000 &gt;= 'Water Stuff'!$B$6*1000, 'Water Stuff'!$B$6*1000, 'Water Stuff'!O305*1000)</f>
        <v>7800</v>
      </c>
      <c r="D335">
        <f>IF( 'Water Stuff'!W305*1000 &gt;= 'Water Stuff'!$B$6*1000, 'Water Stuff'!$B$6*1000, 'Water Stuff'!W305*1000)</f>
        <v>3401.6367045867783</v>
      </c>
      <c r="E335">
        <f>IF( 'Water Stuff'!AE305*1000 &gt;= 'Water Stuff'!$B$6*1000, 'Water Stuff'!$B$6*1000, 'Water Stuff'!AE305*1000)</f>
        <v>7005.5918859664516</v>
      </c>
      <c r="F335">
        <f>IF('Water Stuff'!AM305*1000&gt;='Water Stuff'!$B$6*1000,'Water Stuff'!$B$6*1000,'Water Stuff'!AM305*1000)</f>
        <v>919.22514606296591</v>
      </c>
      <c r="I335">
        <f t="shared" si="84"/>
        <v>48.8</v>
      </c>
      <c r="J335">
        <f t="shared" si="85"/>
        <v>78</v>
      </c>
      <c r="K335">
        <f t="shared" si="86"/>
        <v>34.016367045867781</v>
      </c>
      <c r="L335">
        <f t="shared" si="87"/>
        <v>70.055918859664516</v>
      </c>
      <c r="M335">
        <f t="shared" si="88"/>
        <v>9.1922514606296595</v>
      </c>
      <c r="O335">
        <f t="shared" si="89"/>
        <v>0.97599999999999998</v>
      </c>
      <c r="P335">
        <f t="shared" si="90"/>
        <v>1.56</v>
      </c>
      <c r="Q335">
        <f t="shared" si="91"/>
        <v>0.68032734091735558</v>
      </c>
      <c r="R335">
        <f t="shared" si="92"/>
        <v>1.4011183771932905</v>
      </c>
      <c r="S335">
        <f t="shared" si="93"/>
        <v>0.18384502921259319</v>
      </c>
      <c r="U335">
        <f t="shared" si="94"/>
        <v>24.400000000000002</v>
      </c>
      <c r="V335">
        <f t="shared" si="95"/>
        <v>39</v>
      </c>
      <c r="W335">
        <f t="shared" si="96"/>
        <v>17.008183522933891</v>
      </c>
      <c r="X335">
        <f t="shared" si="97"/>
        <v>35.027959429832258</v>
      </c>
      <c r="Y335">
        <f t="shared" si="98"/>
        <v>4.5961257303148297</v>
      </c>
      <c r="AA335">
        <f t="shared" si="99"/>
        <v>48.800000000000004</v>
      </c>
      <c r="AB335">
        <f t="shared" si="100"/>
        <v>78</v>
      </c>
      <c r="AC335">
        <f t="shared" si="101"/>
        <v>34.016367045867781</v>
      </c>
      <c r="AD335">
        <f t="shared" si="102"/>
        <v>70.055918859664516</v>
      </c>
      <c r="AE335">
        <f t="shared" si="103"/>
        <v>9.1922514606296595</v>
      </c>
      <c r="AG335" s="109">
        <f t="shared" si="104"/>
        <v>44862</v>
      </c>
      <c r="AH335">
        <f>'Water Stuff'!I305*1000</f>
        <v>620</v>
      </c>
      <c r="AI335">
        <f>'Water Stuff'!Q305*1000</f>
        <v>620</v>
      </c>
      <c r="AJ335">
        <f>'Water Stuff'!Y305*1000</f>
        <v>620</v>
      </c>
      <c r="AK335">
        <f>'Water Stuff'!AG305*1000</f>
        <v>620</v>
      </c>
      <c r="AL335">
        <f>'Water Stuff'!AO305*1000</f>
        <v>620</v>
      </c>
    </row>
    <row r="336" spans="1:38">
      <c r="A336" s="109">
        <f>'Water Stuff'!F306</f>
        <v>44863</v>
      </c>
      <c r="B336">
        <f>IF( 'Water Stuff'!G306*1000 &gt;= 'Water Stuff'!$B$6*1000, 'Water Stuff'!$B$6*1000, 'Water Stuff'!G306*1000)</f>
        <v>1400</v>
      </c>
      <c r="C336">
        <f>IF( 'Water Stuff'!O306*1000 &gt;= 'Water Stuff'!$B$6*1000, 'Water Stuff'!$B$6*1000, 'Water Stuff'!O306*1000)</f>
        <v>8119.9999999999991</v>
      </c>
      <c r="D336">
        <f>IF( 'Water Stuff'!W306*1000 &gt;= 'Water Stuff'!$B$6*1000, 'Water Stuff'!$B$6*1000, 'Water Stuff'!W306*1000)</f>
        <v>41.870441331165345</v>
      </c>
      <c r="E336">
        <f>IF( 'Water Stuff'!AE306*1000 &gt;= 'Water Stuff'!$B$6*1000, 'Water Stuff'!$B$6*1000, 'Water Stuff'!AE306*1000)</f>
        <v>8595.6267175126195</v>
      </c>
      <c r="F336">
        <f>IF('Water Stuff'!AM306*1000&gt;='Water Stuff'!$B$6*1000,'Water Stuff'!$B$6*1000,'Water Stuff'!AM306*1000)</f>
        <v>0</v>
      </c>
      <c r="I336">
        <f t="shared" si="84"/>
        <v>14</v>
      </c>
      <c r="J336">
        <f t="shared" si="85"/>
        <v>81.199999999999989</v>
      </c>
      <c r="K336">
        <f t="shared" si="86"/>
        <v>0.41870441331165348</v>
      </c>
      <c r="L336">
        <f t="shared" si="87"/>
        <v>85.9562671751262</v>
      </c>
      <c r="M336">
        <f t="shared" si="88"/>
        <v>0</v>
      </c>
      <c r="O336">
        <f t="shared" si="89"/>
        <v>0.28000000000000003</v>
      </c>
      <c r="P336">
        <f t="shared" si="90"/>
        <v>1.6239999999999997</v>
      </c>
      <c r="Q336">
        <f t="shared" si="91"/>
        <v>8.3740882662330703E-3</v>
      </c>
      <c r="R336">
        <f t="shared" si="92"/>
        <v>1.719125343502524</v>
      </c>
      <c r="S336">
        <f t="shared" si="93"/>
        <v>0</v>
      </c>
      <c r="U336">
        <f t="shared" si="94"/>
        <v>7</v>
      </c>
      <c r="V336">
        <f t="shared" si="95"/>
        <v>40.599999999999994</v>
      </c>
      <c r="W336">
        <f t="shared" si="96"/>
        <v>0.20935220665582674</v>
      </c>
      <c r="X336">
        <f t="shared" si="97"/>
        <v>42.9781335875631</v>
      </c>
      <c r="Y336">
        <f t="shared" si="98"/>
        <v>0</v>
      </c>
      <c r="AA336">
        <f t="shared" si="99"/>
        <v>14</v>
      </c>
      <c r="AB336">
        <f t="shared" si="100"/>
        <v>81.199999999999989</v>
      </c>
      <c r="AC336">
        <f t="shared" si="101"/>
        <v>0.41870441331165348</v>
      </c>
      <c r="AD336">
        <f t="shared" si="102"/>
        <v>85.9562671751262</v>
      </c>
      <c r="AE336">
        <f t="shared" si="103"/>
        <v>0</v>
      </c>
      <c r="AG336" s="109">
        <f t="shared" si="104"/>
        <v>44863</v>
      </c>
      <c r="AH336">
        <f>'Water Stuff'!I306*1000</f>
        <v>620</v>
      </c>
      <c r="AI336">
        <f>'Water Stuff'!Q306*1000</f>
        <v>620</v>
      </c>
      <c r="AJ336">
        <f>'Water Stuff'!Y306*1000</f>
        <v>620</v>
      </c>
      <c r="AK336">
        <f>'Water Stuff'!AG306*1000</f>
        <v>620</v>
      </c>
      <c r="AL336">
        <f>'Water Stuff'!AO306*1000</f>
        <v>620</v>
      </c>
    </row>
    <row r="337" spans="1:38">
      <c r="A337" s="109">
        <f>'Water Stuff'!F307</f>
        <v>44864</v>
      </c>
      <c r="B337">
        <f>IF( 'Water Stuff'!G307*1000 &gt;= 'Water Stuff'!$B$6*1000, 'Water Stuff'!$B$6*1000, 'Water Stuff'!G307*1000)</f>
        <v>1800</v>
      </c>
      <c r="C337">
        <f>IF( 'Water Stuff'!O307*1000 &gt;= 'Water Stuff'!$B$6*1000, 'Water Stuff'!$B$6*1000, 'Water Stuff'!O307*1000)</f>
        <v>7080</v>
      </c>
      <c r="D337">
        <f>IF( 'Water Stuff'!W307*1000 &gt;= 'Water Stuff'!$B$6*1000, 'Water Stuff'!$B$6*1000, 'Water Stuff'!W307*1000)</f>
        <v>596.85282987751873</v>
      </c>
      <c r="E337">
        <f>IF( 'Water Stuff'!AE307*1000 &gt;= 'Water Stuff'!$B$6*1000, 'Water Stuff'!$B$6*1000, 'Water Stuff'!AE307*1000)</f>
        <v>4252.9984834204542</v>
      </c>
      <c r="F337">
        <f>IF('Water Stuff'!AM307*1000&gt;='Water Stuff'!$B$6*1000,'Water Stuff'!$B$6*1000,'Water Stuff'!AM307*1000)</f>
        <v>2116.3461387814523</v>
      </c>
      <c r="I337">
        <f t="shared" si="84"/>
        <v>18</v>
      </c>
      <c r="J337">
        <f t="shared" si="85"/>
        <v>70.8</v>
      </c>
      <c r="K337">
        <f t="shared" si="86"/>
        <v>5.9685282987751869</v>
      </c>
      <c r="L337">
        <f t="shared" si="87"/>
        <v>42.529984834204541</v>
      </c>
      <c r="M337">
        <f t="shared" si="88"/>
        <v>21.163461387814525</v>
      </c>
      <c r="O337">
        <f t="shared" si="89"/>
        <v>0.36</v>
      </c>
      <c r="P337">
        <f t="shared" si="90"/>
        <v>1.4159999999999999</v>
      </c>
      <c r="Q337">
        <f t="shared" si="91"/>
        <v>0.11937056597550375</v>
      </c>
      <c r="R337">
        <f t="shared" si="92"/>
        <v>0.85059969668409086</v>
      </c>
      <c r="S337">
        <f t="shared" si="93"/>
        <v>0.42326922775629056</v>
      </c>
      <c r="U337">
        <f t="shared" si="94"/>
        <v>9</v>
      </c>
      <c r="V337">
        <f t="shared" si="95"/>
        <v>35.4</v>
      </c>
      <c r="W337">
        <f t="shared" si="96"/>
        <v>2.9842641493875939</v>
      </c>
      <c r="X337">
        <f t="shared" si="97"/>
        <v>21.26499241710227</v>
      </c>
      <c r="Y337">
        <f t="shared" si="98"/>
        <v>10.581730693907261</v>
      </c>
      <c r="AA337">
        <f t="shared" si="99"/>
        <v>18</v>
      </c>
      <c r="AB337">
        <f t="shared" si="100"/>
        <v>70.8</v>
      </c>
      <c r="AC337">
        <f t="shared" si="101"/>
        <v>5.9685282987751878</v>
      </c>
      <c r="AD337">
        <f t="shared" si="102"/>
        <v>42.529984834204541</v>
      </c>
      <c r="AE337">
        <f t="shared" si="103"/>
        <v>21.163461387814522</v>
      </c>
      <c r="AG337" s="109">
        <f t="shared" si="104"/>
        <v>44864</v>
      </c>
      <c r="AH337">
        <f>'Water Stuff'!I307*1000</f>
        <v>620</v>
      </c>
      <c r="AI337">
        <f>'Water Stuff'!Q307*1000</f>
        <v>620</v>
      </c>
      <c r="AJ337">
        <f>'Water Stuff'!Y307*1000</f>
        <v>620</v>
      </c>
      <c r="AK337">
        <f>'Water Stuff'!AG307*1000</f>
        <v>620</v>
      </c>
      <c r="AL337">
        <f>'Water Stuff'!AO307*1000</f>
        <v>620</v>
      </c>
    </row>
    <row r="338" spans="1:38">
      <c r="A338" s="109">
        <f>'Water Stuff'!F308</f>
        <v>44865</v>
      </c>
      <c r="B338">
        <f>IF( 'Water Stuff'!G308*1000 &gt;= 'Water Stuff'!$B$6*1000, 'Water Stuff'!$B$6*1000, 'Water Stuff'!G308*1000)</f>
        <v>3000</v>
      </c>
      <c r="C338">
        <f>IF( 'Water Stuff'!O308*1000 &gt;= 'Water Stuff'!$B$6*1000, 'Water Stuff'!$B$6*1000, 'Water Stuff'!O308*1000)</f>
        <v>4240</v>
      </c>
      <c r="D338">
        <f>IF( 'Water Stuff'!W308*1000 &gt;= 'Water Stuff'!$B$6*1000, 'Water Stuff'!$B$6*1000, 'Water Stuff'!W308*1000)</f>
        <v>3029.5898744798278</v>
      </c>
      <c r="E338">
        <f>IF( 'Water Stuff'!AE308*1000 &gt;= 'Water Stuff'!$B$6*1000, 'Water Stuff'!$B$6*1000, 'Water Stuff'!AE308*1000)</f>
        <v>5226.6106012313476</v>
      </c>
      <c r="F338">
        <f>IF('Water Stuff'!AM308*1000&gt;='Water Stuff'!$B$6*1000,'Water Stuff'!$B$6*1000,'Water Stuff'!AM308*1000)</f>
        <v>4154.576608993706</v>
      </c>
      <c r="I338">
        <f t="shared" si="84"/>
        <v>30</v>
      </c>
      <c r="J338">
        <f t="shared" si="85"/>
        <v>42.4</v>
      </c>
      <c r="K338">
        <f t="shared" si="86"/>
        <v>30.295898744798279</v>
      </c>
      <c r="L338">
        <f t="shared" si="87"/>
        <v>52.266106012313472</v>
      </c>
      <c r="M338">
        <f t="shared" si="88"/>
        <v>41.545766089937061</v>
      </c>
      <c r="O338">
        <f t="shared" si="89"/>
        <v>0.6</v>
      </c>
      <c r="P338">
        <f t="shared" si="90"/>
        <v>0.84799999999999998</v>
      </c>
      <c r="Q338">
        <f t="shared" si="91"/>
        <v>0.60591797489596555</v>
      </c>
      <c r="R338">
        <f t="shared" si="92"/>
        <v>1.0453221202462697</v>
      </c>
      <c r="S338">
        <f t="shared" si="93"/>
        <v>0.83091532179874117</v>
      </c>
      <c r="U338">
        <f t="shared" si="94"/>
        <v>15</v>
      </c>
      <c r="V338">
        <f t="shared" si="95"/>
        <v>21.2</v>
      </c>
      <c r="W338">
        <f t="shared" si="96"/>
        <v>15.14794937239914</v>
      </c>
      <c r="X338">
        <f t="shared" si="97"/>
        <v>26.133053006156739</v>
      </c>
      <c r="Y338">
        <f t="shared" si="98"/>
        <v>20.77288304496853</v>
      </c>
      <c r="AA338">
        <f t="shared" si="99"/>
        <v>30</v>
      </c>
      <c r="AB338">
        <f t="shared" si="100"/>
        <v>42.4</v>
      </c>
      <c r="AC338">
        <f t="shared" si="101"/>
        <v>30.295898744798279</v>
      </c>
      <c r="AD338">
        <f t="shared" si="102"/>
        <v>52.266106012313479</v>
      </c>
      <c r="AE338">
        <f t="shared" si="103"/>
        <v>41.545766089937061</v>
      </c>
      <c r="AG338" s="109">
        <f t="shared" si="104"/>
        <v>44865</v>
      </c>
      <c r="AH338">
        <f>'Water Stuff'!I308*1000</f>
        <v>620</v>
      </c>
      <c r="AI338">
        <f>'Water Stuff'!Q308*1000</f>
        <v>620</v>
      </c>
      <c r="AJ338">
        <f>'Water Stuff'!Y308*1000</f>
        <v>620</v>
      </c>
      <c r="AK338">
        <f>'Water Stuff'!AG308*1000</f>
        <v>620</v>
      </c>
      <c r="AL338">
        <f>'Water Stuff'!AO308*1000</f>
        <v>620</v>
      </c>
    </row>
    <row r="339" spans="1:38">
      <c r="A339" s="109">
        <f>'Water Stuff'!F309</f>
        <v>44866</v>
      </c>
      <c r="B339">
        <f>IF( 'Water Stuff'!G309*1000 &gt;= 'Water Stuff'!$B$6*1000, 'Water Stuff'!$B$6*1000, 'Water Stuff'!G309*1000)</f>
        <v>1280</v>
      </c>
      <c r="C339">
        <f>IF( 'Water Stuff'!O309*1000 &gt;= 'Water Stuff'!$B$6*1000, 'Water Stuff'!$B$6*1000, 'Water Stuff'!O309*1000)</f>
        <v>240</v>
      </c>
      <c r="D339">
        <f>IF( 'Water Stuff'!W309*1000 &gt;= 'Water Stuff'!$B$6*1000, 'Water Stuff'!$B$6*1000, 'Water Stuff'!W309*1000)</f>
        <v>0</v>
      </c>
      <c r="E339">
        <f>IF( 'Water Stuff'!AE309*1000 &gt;= 'Water Stuff'!$B$6*1000, 'Water Stuff'!$B$6*1000, 'Water Stuff'!AE309*1000)</f>
        <v>1218.606110780303</v>
      </c>
      <c r="F339">
        <f>IF('Water Stuff'!AM309*1000&gt;='Water Stuff'!$B$6*1000,'Water Stuff'!$B$6*1000,'Water Stuff'!AM309*1000)</f>
        <v>404.79570060402318</v>
      </c>
      <c r="I339">
        <f t="shared" si="84"/>
        <v>12.8</v>
      </c>
      <c r="J339">
        <f t="shared" si="85"/>
        <v>2.4</v>
      </c>
      <c r="K339">
        <f t="shared" si="86"/>
        <v>0</v>
      </c>
      <c r="L339">
        <f t="shared" si="87"/>
        <v>12.186061107803031</v>
      </c>
      <c r="M339">
        <f t="shared" si="88"/>
        <v>4.0479570060402317</v>
      </c>
      <c r="O339">
        <f t="shared" si="89"/>
        <v>0.25600000000000001</v>
      </c>
      <c r="P339">
        <f t="shared" si="90"/>
        <v>4.8000000000000001E-2</v>
      </c>
      <c r="Q339">
        <f t="shared" si="91"/>
        <v>0</v>
      </c>
      <c r="R339">
        <f t="shared" si="92"/>
        <v>0.24372122215606062</v>
      </c>
      <c r="S339">
        <f t="shared" si="93"/>
        <v>8.0959140120804629E-2</v>
      </c>
      <c r="U339">
        <f t="shared" si="94"/>
        <v>6.4</v>
      </c>
      <c r="V339">
        <f t="shared" si="95"/>
        <v>1.2</v>
      </c>
      <c r="W339">
        <f t="shared" si="96"/>
        <v>0</v>
      </c>
      <c r="X339">
        <f t="shared" si="97"/>
        <v>6.0930305539015146</v>
      </c>
      <c r="Y339">
        <f t="shared" si="98"/>
        <v>2.0239785030201158</v>
      </c>
      <c r="AA339">
        <f t="shared" si="99"/>
        <v>12.8</v>
      </c>
      <c r="AB339">
        <f t="shared" si="100"/>
        <v>2.4</v>
      </c>
      <c r="AC339">
        <f t="shared" si="101"/>
        <v>0</v>
      </c>
      <c r="AD339">
        <f t="shared" si="102"/>
        <v>12.186061107803029</v>
      </c>
      <c r="AE339">
        <f t="shared" si="103"/>
        <v>4.0479570060402317</v>
      </c>
      <c r="AG339" s="109">
        <f t="shared" si="104"/>
        <v>44866</v>
      </c>
      <c r="AH339">
        <f>'Water Stuff'!I309*1000</f>
        <v>620</v>
      </c>
      <c r="AI339">
        <f>'Water Stuff'!Q309*1000</f>
        <v>620</v>
      </c>
      <c r="AJ339">
        <f>'Water Stuff'!Y309*1000</f>
        <v>620</v>
      </c>
      <c r="AK339">
        <f>'Water Stuff'!AG309*1000</f>
        <v>620</v>
      </c>
      <c r="AL339">
        <f>'Water Stuff'!AO309*1000</f>
        <v>620</v>
      </c>
    </row>
    <row r="340" spans="1:38">
      <c r="A340" s="109">
        <f>'Water Stuff'!F310</f>
        <v>44867</v>
      </c>
      <c r="B340">
        <f>IF( 'Water Stuff'!G310*1000 &gt;= 'Water Stuff'!$B$6*1000, 'Water Stuff'!$B$6*1000, 'Water Stuff'!G310*1000)</f>
        <v>7520</v>
      </c>
      <c r="C340">
        <f>IF( 'Water Stuff'!O310*1000 &gt;= 'Water Stuff'!$B$6*1000, 'Water Stuff'!$B$6*1000, 'Water Stuff'!O310*1000)</f>
        <v>0</v>
      </c>
      <c r="D340">
        <f>IF( 'Water Stuff'!W310*1000 &gt;= 'Water Stuff'!$B$6*1000, 'Water Stuff'!$B$6*1000, 'Water Stuff'!W310*1000)</f>
        <v>5709.6155637353022</v>
      </c>
      <c r="E340">
        <f>IF( 'Water Stuff'!AE310*1000 &gt;= 'Water Stuff'!$B$6*1000, 'Water Stuff'!$B$6*1000, 'Water Stuff'!AE310*1000)</f>
        <v>0</v>
      </c>
      <c r="F340">
        <f>IF('Water Stuff'!AM310*1000&gt;='Water Stuff'!$B$6*1000,'Water Stuff'!$B$6*1000,'Water Stuff'!AM310*1000)</f>
        <v>6834.6915852120601</v>
      </c>
      <c r="I340">
        <f t="shared" si="84"/>
        <v>75.2</v>
      </c>
      <c r="J340">
        <f t="shared" si="85"/>
        <v>0</v>
      </c>
      <c r="K340">
        <f t="shared" si="86"/>
        <v>57.096155637353021</v>
      </c>
      <c r="L340">
        <f t="shared" si="87"/>
        <v>0</v>
      </c>
      <c r="M340">
        <f t="shared" si="88"/>
        <v>68.346915852120603</v>
      </c>
      <c r="O340">
        <f t="shared" si="89"/>
        <v>1.504</v>
      </c>
      <c r="P340">
        <f t="shared" si="90"/>
        <v>0</v>
      </c>
      <c r="Q340">
        <f t="shared" si="91"/>
        <v>1.1419231127470604</v>
      </c>
      <c r="R340">
        <f t="shared" si="92"/>
        <v>0</v>
      </c>
      <c r="S340">
        <f t="shared" si="93"/>
        <v>1.3669383170424121</v>
      </c>
      <c r="U340">
        <f t="shared" si="94"/>
        <v>37.6</v>
      </c>
      <c r="V340">
        <f t="shared" si="95"/>
        <v>0</v>
      </c>
      <c r="W340">
        <f t="shared" si="96"/>
        <v>28.548077818676511</v>
      </c>
      <c r="X340">
        <f t="shared" si="97"/>
        <v>0</v>
      </c>
      <c r="Y340">
        <f t="shared" si="98"/>
        <v>34.173457926060301</v>
      </c>
      <c r="AA340">
        <f t="shared" si="99"/>
        <v>75.2</v>
      </c>
      <c r="AB340">
        <f t="shared" si="100"/>
        <v>0</v>
      </c>
      <c r="AC340">
        <f t="shared" si="101"/>
        <v>57.096155637353021</v>
      </c>
      <c r="AD340">
        <f t="shared" si="102"/>
        <v>0</v>
      </c>
      <c r="AE340">
        <f t="shared" si="103"/>
        <v>68.346915852120603</v>
      </c>
      <c r="AG340" s="109">
        <f t="shared" si="104"/>
        <v>44867</v>
      </c>
      <c r="AH340">
        <f>'Water Stuff'!I310*1000</f>
        <v>620</v>
      </c>
      <c r="AI340">
        <f>'Water Stuff'!Q310*1000</f>
        <v>620</v>
      </c>
      <c r="AJ340">
        <f>'Water Stuff'!Y310*1000</f>
        <v>620</v>
      </c>
      <c r="AK340">
        <f>'Water Stuff'!AG310*1000</f>
        <v>620</v>
      </c>
      <c r="AL340">
        <f>'Water Stuff'!AO310*1000</f>
        <v>620</v>
      </c>
    </row>
    <row r="341" spans="1:38">
      <c r="A341" s="109">
        <f>'Water Stuff'!F311</f>
        <v>44868</v>
      </c>
      <c r="B341">
        <f>IF( 'Water Stuff'!G311*1000 &gt;= 'Water Stuff'!$B$6*1000, 'Water Stuff'!$B$6*1000, 'Water Stuff'!G311*1000)</f>
        <v>7040.0000000000009</v>
      </c>
      <c r="C341">
        <f>IF( 'Water Stuff'!O311*1000 &gt;= 'Water Stuff'!$B$6*1000, 'Water Stuff'!$B$6*1000, 'Water Stuff'!O311*1000)</f>
        <v>0</v>
      </c>
      <c r="D341">
        <f>IF( 'Water Stuff'!W311*1000 &gt;= 'Water Stuff'!$B$6*1000, 'Water Stuff'!$B$6*1000, 'Water Stuff'!W311*1000)</f>
        <v>4758.0266844214666</v>
      </c>
      <c r="E341">
        <f>IF( 'Water Stuff'!AE311*1000 &gt;= 'Water Stuff'!$B$6*1000, 'Water Stuff'!$B$6*1000, 'Water Stuff'!AE311*1000)</f>
        <v>0</v>
      </c>
      <c r="F341">
        <f>IF('Water Stuff'!AM311*1000&gt;='Water Stuff'!$B$6*1000,'Water Stuff'!$B$6*1000,'Water Stuff'!AM311*1000)</f>
        <v>4121.8545763354859</v>
      </c>
      <c r="I341">
        <f t="shared" si="84"/>
        <v>70.40000000000002</v>
      </c>
      <c r="J341">
        <f t="shared" si="85"/>
        <v>0</v>
      </c>
      <c r="K341">
        <f t="shared" si="86"/>
        <v>47.58026684421467</v>
      </c>
      <c r="L341">
        <f t="shared" si="87"/>
        <v>0</v>
      </c>
      <c r="M341">
        <f t="shared" si="88"/>
        <v>41.218545763354861</v>
      </c>
      <c r="O341">
        <f t="shared" si="89"/>
        <v>1.4080000000000004</v>
      </c>
      <c r="P341">
        <f t="shared" si="90"/>
        <v>0</v>
      </c>
      <c r="Q341">
        <f t="shared" si="91"/>
        <v>0.95160533688429338</v>
      </c>
      <c r="R341">
        <f t="shared" si="92"/>
        <v>0</v>
      </c>
      <c r="S341">
        <f t="shared" si="93"/>
        <v>0.82437091526709716</v>
      </c>
      <c r="U341">
        <f t="shared" si="94"/>
        <v>35.200000000000003</v>
      </c>
      <c r="V341">
        <f t="shared" si="95"/>
        <v>0</v>
      </c>
      <c r="W341">
        <f t="shared" si="96"/>
        <v>23.790133422107335</v>
      </c>
      <c r="X341">
        <f t="shared" si="97"/>
        <v>0</v>
      </c>
      <c r="Y341">
        <f t="shared" si="98"/>
        <v>20.60927288167743</v>
      </c>
      <c r="AA341">
        <f t="shared" si="99"/>
        <v>70.400000000000006</v>
      </c>
      <c r="AB341">
        <f t="shared" si="100"/>
        <v>0</v>
      </c>
      <c r="AC341">
        <f t="shared" si="101"/>
        <v>47.58026684421467</v>
      </c>
      <c r="AD341">
        <f t="shared" si="102"/>
        <v>0</v>
      </c>
      <c r="AE341">
        <f t="shared" si="103"/>
        <v>41.218545763354861</v>
      </c>
      <c r="AG341" s="109">
        <f t="shared" si="104"/>
        <v>44868</v>
      </c>
      <c r="AH341">
        <f>'Water Stuff'!I311*1000</f>
        <v>620</v>
      </c>
      <c r="AI341">
        <f>'Water Stuff'!Q311*1000</f>
        <v>620</v>
      </c>
      <c r="AJ341">
        <f>'Water Stuff'!Y311*1000</f>
        <v>620</v>
      </c>
      <c r="AK341">
        <f>'Water Stuff'!AG311*1000</f>
        <v>620</v>
      </c>
      <c r="AL341">
        <f>'Water Stuff'!AO311*1000</f>
        <v>620</v>
      </c>
    </row>
    <row r="342" spans="1:38">
      <c r="A342" s="109">
        <f>'Water Stuff'!F312</f>
        <v>44869</v>
      </c>
      <c r="B342">
        <f>IF( 'Water Stuff'!G312*1000 &gt;= 'Water Stuff'!$B$6*1000, 'Water Stuff'!$B$6*1000, 'Water Stuff'!G312*1000)</f>
        <v>1800</v>
      </c>
      <c r="C342">
        <f>IF( 'Water Stuff'!O312*1000 &gt;= 'Water Stuff'!$B$6*1000, 'Water Stuff'!$B$6*1000, 'Water Stuff'!O312*1000)</f>
        <v>680</v>
      </c>
      <c r="D342">
        <f>IF( 'Water Stuff'!W312*1000 &gt;= 'Water Stuff'!$B$6*1000, 'Water Stuff'!$B$6*1000, 'Water Stuff'!W312*1000)</f>
        <v>2880.9073117610224</v>
      </c>
      <c r="E342">
        <f>IF( 'Water Stuff'!AE312*1000 &gt;= 'Water Stuff'!$B$6*1000, 'Water Stuff'!$B$6*1000, 'Water Stuff'!AE312*1000)</f>
        <v>0</v>
      </c>
      <c r="F342">
        <f>IF('Water Stuff'!AM312*1000&gt;='Water Stuff'!$B$6*1000,'Water Stuff'!$B$6*1000,'Water Stuff'!AM312*1000)</f>
        <v>855.29975635710809</v>
      </c>
      <c r="I342">
        <f t="shared" si="84"/>
        <v>18</v>
      </c>
      <c r="J342">
        <f t="shared" si="85"/>
        <v>6.8</v>
      </c>
      <c r="K342">
        <f t="shared" si="86"/>
        <v>28.809073117610225</v>
      </c>
      <c r="L342">
        <f t="shared" si="87"/>
        <v>0</v>
      </c>
      <c r="M342">
        <f t="shared" si="88"/>
        <v>8.5529975635710809</v>
      </c>
      <c r="O342">
        <f t="shared" si="89"/>
        <v>0.36</v>
      </c>
      <c r="P342">
        <f t="shared" si="90"/>
        <v>0.13600000000000001</v>
      </c>
      <c r="Q342">
        <f t="shared" si="91"/>
        <v>0.57618146235220447</v>
      </c>
      <c r="R342">
        <f t="shared" si="92"/>
        <v>0</v>
      </c>
      <c r="S342">
        <f t="shared" si="93"/>
        <v>0.17105995127142162</v>
      </c>
      <c r="U342">
        <f t="shared" si="94"/>
        <v>9</v>
      </c>
      <c r="V342">
        <f t="shared" si="95"/>
        <v>3.4</v>
      </c>
      <c r="W342">
        <f t="shared" si="96"/>
        <v>14.404536558805113</v>
      </c>
      <c r="X342">
        <f t="shared" si="97"/>
        <v>0</v>
      </c>
      <c r="Y342">
        <f t="shared" si="98"/>
        <v>4.2764987817855404</v>
      </c>
      <c r="AA342">
        <f t="shared" si="99"/>
        <v>18</v>
      </c>
      <c r="AB342">
        <f t="shared" si="100"/>
        <v>6.8</v>
      </c>
      <c r="AC342">
        <f t="shared" si="101"/>
        <v>28.809073117610225</v>
      </c>
      <c r="AD342">
        <f t="shared" si="102"/>
        <v>0</v>
      </c>
      <c r="AE342">
        <f t="shared" si="103"/>
        <v>8.5529975635710809</v>
      </c>
      <c r="AG342" s="109">
        <f t="shared" si="104"/>
        <v>44869</v>
      </c>
      <c r="AH342">
        <f>'Water Stuff'!I312*1000</f>
        <v>620</v>
      </c>
      <c r="AI342">
        <f>'Water Stuff'!Q312*1000</f>
        <v>620</v>
      </c>
      <c r="AJ342">
        <f>'Water Stuff'!Y312*1000</f>
        <v>620</v>
      </c>
      <c r="AK342">
        <f>'Water Stuff'!AG312*1000</f>
        <v>620</v>
      </c>
      <c r="AL342">
        <f>'Water Stuff'!AO312*1000</f>
        <v>620</v>
      </c>
    </row>
    <row r="343" spans="1:38">
      <c r="A343" s="109">
        <f>'Water Stuff'!F313</f>
        <v>44870</v>
      </c>
      <c r="B343">
        <f>IF( 'Water Stuff'!G313*1000 &gt;= 'Water Stuff'!$B$6*1000, 'Water Stuff'!$B$6*1000, 'Water Stuff'!G313*1000)</f>
        <v>880.00000000000011</v>
      </c>
      <c r="C343">
        <f>IF( 'Water Stuff'!O313*1000 &gt;= 'Water Stuff'!$B$6*1000, 'Water Stuff'!$B$6*1000, 'Water Stuff'!O313*1000)</f>
        <v>1200</v>
      </c>
      <c r="D343">
        <f>IF( 'Water Stuff'!W313*1000 &gt;= 'Water Stuff'!$B$6*1000, 'Water Stuff'!$B$6*1000, 'Water Stuff'!W313*1000)</f>
        <v>0</v>
      </c>
      <c r="E343">
        <f>IF( 'Water Stuff'!AE313*1000 &gt;= 'Water Stuff'!$B$6*1000, 'Water Stuff'!$B$6*1000, 'Water Stuff'!AE313*1000)</f>
        <v>2385.0721101758259</v>
      </c>
      <c r="F343">
        <f>IF('Water Stuff'!AM313*1000&gt;='Water Stuff'!$B$6*1000,'Water Stuff'!$B$6*1000,'Water Stuff'!AM313*1000)</f>
        <v>402.50619967824701</v>
      </c>
      <c r="I343">
        <f t="shared" si="84"/>
        <v>8.8000000000000025</v>
      </c>
      <c r="J343">
        <f t="shared" si="85"/>
        <v>12</v>
      </c>
      <c r="K343">
        <f t="shared" si="86"/>
        <v>0</v>
      </c>
      <c r="L343">
        <f t="shared" si="87"/>
        <v>23.850721101758261</v>
      </c>
      <c r="M343">
        <f t="shared" si="88"/>
        <v>4.0250619967824699</v>
      </c>
      <c r="O343">
        <f t="shared" si="89"/>
        <v>0.17600000000000005</v>
      </c>
      <c r="P343">
        <f t="shared" si="90"/>
        <v>0.24</v>
      </c>
      <c r="Q343">
        <f t="shared" si="91"/>
        <v>0</v>
      </c>
      <c r="R343">
        <f t="shared" si="92"/>
        <v>0.4770144220351652</v>
      </c>
      <c r="S343">
        <f t="shared" si="93"/>
        <v>8.0501239935649407E-2</v>
      </c>
      <c r="U343">
        <f t="shared" si="94"/>
        <v>4.4000000000000004</v>
      </c>
      <c r="V343">
        <f t="shared" si="95"/>
        <v>6</v>
      </c>
      <c r="W343">
        <f t="shared" si="96"/>
        <v>0</v>
      </c>
      <c r="X343">
        <f t="shared" si="97"/>
        <v>11.92536055087913</v>
      </c>
      <c r="Y343">
        <f t="shared" si="98"/>
        <v>2.0125309983912349</v>
      </c>
      <c r="AA343">
        <f t="shared" si="99"/>
        <v>8.8000000000000007</v>
      </c>
      <c r="AB343">
        <f t="shared" si="100"/>
        <v>12</v>
      </c>
      <c r="AC343">
        <f t="shared" si="101"/>
        <v>0</v>
      </c>
      <c r="AD343">
        <f t="shared" si="102"/>
        <v>23.850721101758261</v>
      </c>
      <c r="AE343">
        <f t="shared" si="103"/>
        <v>4.0250619967824699</v>
      </c>
      <c r="AG343" s="109">
        <f t="shared" si="104"/>
        <v>44870</v>
      </c>
      <c r="AH343">
        <f>'Water Stuff'!I313*1000</f>
        <v>620</v>
      </c>
      <c r="AI343">
        <f>'Water Stuff'!Q313*1000</f>
        <v>620</v>
      </c>
      <c r="AJ343">
        <f>'Water Stuff'!Y313*1000</f>
        <v>620</v>
      </c>
      <c r="AK343">
        <f>'Water Stuff'!AG313*1000</f>
        <v>620</v>
      </c>
      <c r="AL343">
        <f>'Water Stuff'!AO313*1000</f>
        <v>620</v>
      </c>
    </row>
    <row r="344" spans="1:38">
      <c r="A344" s="109">
        <f>'Water Stuff'!F314</f>
        <v>44871</v>
      </c>
      <c r="B344">
        <f>IF( 'Water Stuff'!G314*1000 &gt;= 'Water Stuff'!$B$6*1000, 'Water Stuff'!$B$6*1000, 'Water Stuff'!G314*1000)</f>
        <v>4040</v>
      </c>
      <c r="C344">
        <f>IF( 'Water Stuff'!O314*1000 &gt;= 'Water Stuff'!$B$6*1000, 'Water Stuff'!$B$6*1000, 'Water Stuff'!O314*1000)</f>
        <v>8840</v>
      </c>
      <c r="D344">
        <f>IF( 'Water Stuff'!W314*1000 &gt;= 'Water Stuff'!$B$6*1000, 'Water Stuff'!$B$6*1000, 'Water Stuff'!W314*1000)</f>
        <v>4844.2852821844017</v>
      </c>
      <c r="E344">
        <f>IF( 'Water Stuff'!AE314*1000 &gt;= 'Water Stuff'!$B$6*1000, 'Water Stuff'!$B$6*1000, 'Water Stuff'!AE314*1000)</f>
        <v>7099.4177721933002</v>
      </c>
      <c r="F344">
        <f>IF('Water Stuff'!AM314*1000&gt;='Water Stuff'!$B$6*1000,'Water Stuff'!$B$6*1000,'Water Stuff'!AM314*1000)</f>
        <v>4732.4229864163499</v>
      </c>
      <c r="I344">
        <f t="shared" si="84"/>
        <v>40.4</v>
      </c>
      <c r="J344">
        <f t="shared" si="85"/>
        <v>88.4</v>
      </c>
      <c r="K344">
        <f t="shared" si="86"/>
        <v>48.442852821844021</v>
      </c>
      <c r="L344">
        <f t="shared" si="87"/>
        <v>70.994177721932999</v>
      </c>
      <c r="M344">
        <f t="shared" si="88"/>
        <v>47.324229864163499</v>
      </c>
      <c r="O344">
        <f t="shared" si="89"/>
        <v>0.80800000000000005</v>
      </c>
      <c r="P344">
        <f t="shared" si="90"/>
        <v>1.768</v>
      </c>
      <c r="Q344">
        <f t="shared" si="91"/>
        <v>0.96885705643688036</v>
      </c>
      <c r="R344">
        <f t="shared" si="92"/>
        <v>1.4198835544386599</v>
      </c>
      <c r="S344">
        <f t="shared" si="93"/>
        <v>0.94648459728326995</v>
      </c>
      <c r="U344">
        <f t="shared" si="94"/>
        <v>20.2</v>
      </c>
      <c r="V344">
        <f t="shared" si="95"/>
        <v>44.2</v>
      </c>
      <c r="W344">
        <f t="shared" si="96"/>
        <v>24.22142641092201</v>
      </c>
      <c r="X344">
        <f t="shared" si="97"/>
        <v>35.4970888609665</v>
      </c>
      <c r="Y344">
        <f t="shared" si="98"/>
        <v>23.662114932081749</v>
      </c>
      <c r="AA344">
        <f t="shared" si="99"/>
        <v>40.4</v>
      </c>
      <c r="AB344">
        <f t="shared" si="100"/>
        <v>88.4</v>
      </c>
      <c r="AC344">
        <f t="shared" si="101"/>
        <v>48.442852821844021</v>
      </c>
      <c r="AD344">
        <f t="shared" si="102"/>
        <v>70.994177721932999</v>
      </c>
      <c r="AE344">
        <f t="shared" si="103"/>
        <v>47.324229864163499</v>
      </c>
      <c r="AG344" s="109">
        <f t="shared" si="104"/>
        <v>44871</v>
      </c>
      <c r="AH344">
        <f>'Water Stuff'!I314*1000</f>
        <v>620</v>
      </c>
      <c r="AI344">
        <f>'Water Stuff'!Q314*1000</f>
        <v>620</v>
      </c>
      <c r="AJ344">
        <f>'Water Stuff'!Y314*1000</f>
        <v>620</v>
      </c>
      <c r="AK344">
        <f>'Water Stuff'!AG314*1000</f>
        <v>620</v>
      </c>
      <c r="AL344">
        <f>'Water Stuff'!AO314*1000</f>
        <v>620</v>
      </c>
    </row>
    <row r="345" spans="1:38">
      <c r="A345" s="109">
        <f>'Water Stuff'!F315</f>
        <v>44872</v>
      </c>
      <c r="B345">
        <f>IF( 'Water Stuff'!G315*1000 &gt;= 'Water Stuff'!$B$6*1000, 'Water Stuff'!$B$6*1000, 'Water Stuff'!G315*1000)</f>
        <v>280</v>
      </c>
      <c r="C345">
        <f>IF( 'Water Stuff'!O315*1000 &gt;= 'Water Stuff'!$B$6*1000, 'Water Stuff'!$B$6*1000, 'Water Stuff'!O315*1000)</f>
        <v>440.00000000000006</v>
      </c>
      <c r="D345">
        <f>IF( 'Water Stuff'!W315*1000 &gt;= 'Water Stuff'!$B$6*1000, 'Water Stuff'!$B$6*1000, 'Water Stuff'!W315*1000)</f>
        <v>0</v>
      </c>
      <c r="E345">
        <f>IF( 'Water Stuff'!AE315*1000 &gt;= 'Water Stuff'!$B$6*1000, 'Water Stuff'!$B$6*1000, 'Water Stuff'!AE315*1000)</f>
        <v>23.872670996949619</v>
      </c>
      <c r="F345">
        <f>IF('Water Stuff'!AM315*1000&gt;='Water Stuff'!$B$6*1000,'Water Stuff'!$B$6*1000,'Water Stuff'!AM315*1000)</f>
        <v>0</v>
      </c>
      <c r="I345">
        <f t="shared" si="84"/>
        <v>2.8</v>
      </c>
      <c r="J345">
        <f t="shared" si="85"/>
        <v>4.4000000000000012</v>
      </c>
      <c r="K345">
        <f t="shared" si="86"/>
        <v>0</v>
      </c>
      <c r="L345">
        <f t="shared" si="87"/>
        <v>0.23872670996949619</v>
      </c>
      <c r="M345">
        <f t="shared" si="88"/>
        <v>0</v>
      </c>
      <c r="O345">
        <f t="shared" si="89"/>
        <v>5.6000000000000001E-2</v>
      </c>
      <c r="P345">
        <f t="shared" si="90"/>
        <v>8.8000000000000023E-2</v>
      </c>
      <c r="Q345">
        <f t="shared" si="91"/>
        <v>0</v>
      </c>
      <c r="R345">
        <f t="shared" si="92"/>
        <v>4.7745341993899243E-3</v>
      </c>
      <c r="S345">
        <f t="shared" si="93"/>
        <v>0</v>
      </c>
      <c r="U345">
        <f t="shared" si="94"/>
        <v>1.4000000000000001</v>
      </c>
      <c r="V345">
        <f t="shared" si="95"/>
        <v>2.2000000000000002</v>
      </c>
      <c r="W345">
        <f t="shared" si="96"/>
        <v>0</v>
      </c>
      <c r="X345">
        <f t="shared" si="97"/>
        <v>0.11936335498474809</v>
      </c>
      <c r="Y345">
        <f t="shared" si="98"/>
        <v>0</v>
      </c>
      <c r="AA345">
        <f t="shared" si="99"/>
        <v>2.8000000000000003</v>
      </c>
      <c r="AB345">
        <f t="shared" si="100"/>
        <v>4.4000000000000004</v>
      </c>
      <c r="AC345">
        <f t="shared" si="101"/>
        <v>0</v>
      </c>
      <c r="AD345">
        <f t="shared" si="102"/>
        <v>0.23872670996949619</v>
      </c>
      <c r="AE345">
        <f t="shared" si="103"/>
        <v>0</v>
      </c>
      <c r="AG345" s="109">
        <f t="shared" si="104"/>
        <v>44872</v>
      </c>
      <c r="AH345">
        <f>'Water Stuff'!I315*1000</f>
        <v>620</v>
      </c>
      <c r="AI345">
        <f>'Water Stuff'!Q315*1000</f>
        <v>620</v>
      </c>
      <c r="AJ345">
        <f>'Water Stuff'!Y315*1000</f>
        <v>620</v>
      </c>
      <c r="AK345">
        <f>'Water Stuff'!AG315*1000</f>
        <v>620</v>
      </c>
      <c r="AL345">
        <f>'Water Stuff'!AO315*1000</f>
        <v>620</v>
      </c>
    </row>
    <row r="346" spans="1:38">
      <c r="A346" s="109">
        <f>'Water Stuff'!F316</f>
        <v>44873</v>
      </c>
      <c r="B346">
        <f>IF( 'Water Stuff'!G316*1000 &gt;= 'Water Stuff'!$B$6*1000, 'Water Stuff'!$B$6*1000, 'Water Stuff'!G316*1000)</f>
        <v>6800</v>
      </c>
      <c r="C346">
        <f>IF( 'Water Stuff'!O316*1000 &gt;= 'Water Stuff'!$B$6*1000, 'Water Stuff'!$B$6*1000, 'Water Stuff'!O316*1000)</f>
        <v>320</v>
      </c>
      <c r="D346">
        <f>IF( 'Water Stuff'!W316*1000 &gt;= 'Water Stuff'!$B$6*1000, 'Water Stuff'!$B$6*1000, 'Water Stuff'!W316*1000)</f>
        <v>7417.6413113410645</v>
      </c>
      <c r="E346">
        <f>IF( 'Water Stuff'!AE316*1000 &gt;= 'Water Stuff'!$B$6*1000, 'Water Stuff'!$B$6*1000, 'Water Stuff'!AE316*1000)</f>
        <v>0</v>
      </c>
      <c r="F346">
        <f>IF('Water Stuff'!AM316*1000&gt;='Water Stuff'!$B$6*1000,'Water Stuff'!$B$6*1000,'Water Stuff'!AM316*1000)</f>
        <v>5032.5944894646218</v>
      </c>
      <c r="I346">
        <f t="shared" si="84"/>
        <v>68</v>
      </c>
      <c r="J346">
        <f t="shared" si="85"/>
        <v>3.2</v>
      </c>
      <c r="K346">
        <f t="shared" si="86"/>
        <v>74.176413113410646</v>
      </c>
      <c r="L346">
        <f t="shared" si="87"/>
        <v>0</v>
      </c>
      <c r="M346">
        <f t="shared" si="88"/>
        <v>50.32594489464622</v>
      </c>
      <c r="O346">
        <f t="shared" si="89"/>
        <v>1.36</v>
      </c>
      <c r="P346">
        <f t="shared" si="90"/>
        <v>6.4000000000000001E-2</v>
      </c>
      <c r="Q346">
        <f t="shared" si="91"/>
        <v>1.4835282622682129</v>
      </c>
      <c r="R346">
        <f t="shared" si="92"/>
        <v>0</v>
      </c>
      <c r="S346">
        <f t="shared" si="93"/>
        <v>1.0065188978929243</v>
      </c>
      <c r="U346">
        <f t="shared" si="94"/>
        <v>34</v>
      </c>
      <c r="V346">
        <f t="shared" si="95"/>
        <v>1.6</v>
      </c>
      <c r="W346">
        <f t="shared" si="96"/>
        <v>37.088206556705323</v>
      </c>
      <c r="X346">
        <f t="shared" si="97"/>
        <v>0</v>
      </c>
      <c r="Y346">
        <f t="shared" si="98"/>
        <v>25.16297244732311</v>
      </c>
      <c r="AA346">
        <f t="shared" si="99"/>
        <v>68</v>
      </c>
      <c r="AB346">
        <f t="shared" si="100"/>
        <v>3.2</v>
      </c>
      <c r="AC346">
        <f t="shared" si="101"/>
        <v>74.176413113410646</v>
      </c>
      <c r="AD346">
        <f t="shared" si="102"/>
        <v>0</v>
      </c>
      <c r="AE346">
        <f t="shared" si="103"/>
        <v>50.32594489464622</v>
      </c>
      <c r="AG346" s="109">
        <f t="shared" si="104"/>
        <v>44873</v>
      </c>
      <c r="AH346">
        <f>'Water Stuff'!I316*1000</f>
        <v>620</v>
      </c>
      <c r="AI346">
        <f>'Water Stuff'!Q316*1000</f>
        <v>620</v>
      </c>
      <c r="AJ346">
        <f>'Water Stuff'!Y316*1000</f>
        <v>620</v>
      </c>
      <c r="AK346">
        <f>'Water Stuff'!AG316*1000</f>
        <v>620</v>
      </c>
      <c r="AL346">
        <f>'Water Stuff'!AO316*1000</f>
        <v>620</v>
      </c>
    </row>
    <row r="347" spans="1:38">
      <c r="A347" s="109">
        <f>'Water Stuff'!F317</f>
        <v>44874</v>
      </c>
      <c r="B347">
        <f>IF( 'Water Stuff'!G317*1000 &gt;= 'Water Stuff'!$B$6*1000, 'Water Stuff'!$B$6*1000, 'Water Stuff'!G317*1000)</f>
        <v>0</v>
      </c>
      <c r="C347">
        <f>IF( 'Water Stuff'!O317*1000 &gt;= 'Water Stuff'!$B$6*1000, 'Water Stuff'!$B$6*1000, 'Water Stuff'!O317*1000)</f>
        <v>0</v>
      </c>
      <c r="D347">
        <f>IF( 'Water Stuff'!W317*1000 &gt;= 'Water Stuff'!$B$6*1000, 'Water Stuff'!$B$6*1000, 'Water Stuff'!W317*1000)</f>
        <v>0</v>
      </c>
      <c r="E347">
        <f>IF( 'Water Stuff'!AE317*1000 &gt;= 'Water Stuff'!$B$6*1000, 'Water Stuff'!$B$6*1000, 'Water Stuff'!AE317*1000)</f>
        <v>369.40233978439261</v>
      </c>
      <c r="F347">
        <f>IF('Water Stuff'!AM317*1000&gt;='Water Stuff'!$B$6*1000,'Water Stuff'!$B$6*1000,'Water Stuff'!AM317*1000)</f>
        <v>0</v>
      </c>
      <c r="I347">
        <f t="shared" si="84"/>
        <v>0</v>
      </c>
      <c r="J347">
        <f t="shared" si="85"/>
        <v>0</v>
      </c>
      <c r="K347">
        <f t="shared" si="86"/>
        <v>0</v>
      </c>
      <c r="L347">
        <f t="shared" si="87"/>
        <v>3.6940233978439259</v>
      </c>
      <c r="M347">
        <f t="shared" si="88"/>
        <v>0</v>
      </c>
      <c r="O347">
        <f t="shared" si="89"/>
        <v>0</v>
      </c>
      <c r="P347">
        <f t="shared" si="90"/>
        <v>0</v>
      </c>
      <c r="Q347">
        <f t="shared" si="91"/>
        <v>0</v>
      </c>
      <c r="R347">
        <f t="shared" si="92"/>
        <v>7.3880467956878512E-2</v>
      </c>
      <c r="S347">
        <f t="shared" si="93"/>
        <v>0</v>
      </c>
      <c r="U347">
        <f t="shared" si="94"/>
        <v>0</v>
      </c>
      <c r="V347">
        <f t="shared" si="95"/>
        <v>0</v>
      </c>
      <c r="W347">
        <f t="shared" si="96"/>
        <v>0</v>
      </c>
      <c r="X347">
        <f t="shared" si="97"/>
        <v>1.8470116989219632</v>
      </c>
      <c r="Y347">
        <f t="shared" si="98"/>
        <v>0</v>
      </c>
      <c r="AA347">
        <f t="shared" si="99"/>
        <v>0</v>
      </c>
      <c r="AB347">
        <f t="shared" si="100"/>
        <v>0</v>
      </c>
      <c r="AC347">
        <f t="shared" si="101"/>
        <v>0</v>
      </c>
      <c r="AD347">
        <f t="shared" si="102"/>
        <v>3.6940233978439263</v>
      </c>
      <c r="AE347">
        <f t="shared" si="103"/>
        <v>0</v>
      </c>
      <c r="AG347" s="109">
        <f t="shared" si="104"/>
        <v>44874</v>
      </c>
      <c r="AH347">
        <f>'Water Stuff'!I317*1000</f>
        <v>620</v>
      </c>
      <c r="AI347">
        <f>'Water Stuff'!Q317*1000</f>
        <v>620</v>
      </c>
      <c r="AJ347">
        <f>'Water Stuff'!Y317*1000</f>
        <v>620</v>
      </c>
      <c r="AK347">
        <f>'Water Stuff'!AG317*1000</f>
        <v>620</v>
      </c>
      <c r="AL347">
        <f>'Water Stuff'!AO317*1000</f>
        <v>620</v>
      </c>
    </row>
    <row r="348" spans="1:38">
      <c r="A348" s="109">
        <f>'Water Stuff'!F318</f>
        <v>44875</v>
      </c>
      <c r="B348">
        <f>IF( 'Water Stuff'!G318*1000 &gt;= 'Water Stuff'!$B$6*1000, 'Water Stuff'!$B$6*1000, 'Water Stuff'!G318*1000)</f>
        <v>0</v>
      </c>
      <c r="C348">
        <f>IF( 'Water Stuff'!O318*1000 &gt;= 'Water Stuff'!$B$6*1000, 'Water Stuff'!$B$6*1000, 'Water Stuff'!O318*1000)</f>
        <v>4100</v>
      </c>
      <c r="D348">
        <f>IF( 'Water Stuff'!W318*1000 &gt;= 'Water Stuff'!$B$6*1000, 'Water Stuff'!$B$6*1000, 'Water Stuff'!W318*1000)</f>
        <v>0</v>
      </c>
      <c r="E348">
        <f>IF( 'Water Stuff'!AE318*1000 &gt;= 'Water Stuff'!$B$6*1000, 'Water Stuff'!$B$6*1000, 'Water Stuff'!AE318*1000)</f>
        <v>1049.6674393578623</v>
      </c>
      <c r="F348">
        <f>IF('Water Stuff'!AM318*1000&gt;='Water Stuff'!$B$6*1000,'Water Stuff'!$B$6*1000,'Water Stuff'!AM318*1000)</f>
        <v>263.22083430227582</v>
      </c>
      <c r="I348">
        <f t="shared" si="84"/>
        <v>0</v>
      </c>
      <c r="J348">
        <f t="shared" si="85"/>
        <v>41</v>
      </c>
      <c r="K348">
        <f t="shared" si="86"/>
        <v>0</v>
      </c>
      <c r="L348">
        <f t="shared" si="87"/>
        <v>10.496674393578623</v>
      </c>
      <c r="M348">
        <f t="shared" si="88"/>
        <v>2.6322083430227581</v>
      </c>
      <c r="O348">
        <f t="shared" si="89"/>
        <v>0</v>
      </c>
      <c r="P348">
        <f t="shared" si="90"/>
        <v>0.82</v>
      </c>
      <c r="Q348">
        <f t="shared" si="91"/>
        <v>0</v>
      </c>
      <c r="R348">
        <f t="shared" si="92"/>
        <v>0.20993348787157248</v>
      </c>
      <c r="S348">
        <f t="shared" si="93"/>
        <v>5.2644166860455165E-2</v>
      </c>
      <c r="U348">
        <f t="shared" si="94"/>
        <v>0</v>
      </c>
      <c r="V348">
        <f t="shared" si="95"/>
        <v>20.5</v>
      </c>
      <c r="W348">
        <f t="shared" si="96"/>
        <v>0</v>
      </c>
      <c r="X348">
        <f t="shared" si="97"/>
        <v>5.2483371967893122</v>
      </c>
      <c r="Y348">
        <f t="shared" si="98"/>
        <v>1.316104171511379</v>
      </c>
      <c r="AA348">
        <f t="shared" si="99"/>
        <v>0</v>
      </c>
      <c r="AB348">
        <f t="shared" si="100"/>
        <v>41</v>
      </c>
      <c r="AC348">
        <f t="shared" si="101"/>
        <v>0</v>
      </c>
      <c r="AD348">
        <f t="shared" si="102"/>
        <v>10.496674393578624</v>
      </c>
      <c r="AE348">
        <f t="shared" si="103"/>
        <v>2.6322083430227581</v>
      </c>
      <c r="AG348" s="109">
        <f t="shared" si="104"/>
        <v>44875</v>
      </c>
      <c r="AH348">
        <f>'Water Stuff'!I318*1000</f>
        <v>620</v>
      </c>
      <c r="AI348">
        <f>'Water Stuff'!Q318*1000</f>
        <v>620</v>
      </c>
      <c r="AJ348">
        <f>'Water Stuff'!Y318*1000</f>
        <v>620</v>
      </c>
      <c r="AK348">
        <f>'Water Stuff'!AG318*1000</f>
        <v>620</v>
      </c>
      <c r="AL348">
        <f>'Water Stuff'!AO318*1000</f>
        <v>620</v>
      </c>
    </row>
    <row r="349" spans="1:38">
      <c r="A349" s="109">
        <f>'Water Stuff'!F319</f>
        <v>44876</v>
      </c>
      <c r="B349">
        <f>IF( 'Water Stuff'!G319*1000 &gt;= 'Water Stuff'!$B$6*1000, 'Water Stuff'!$B$6*1000, 'Water Stuff'!G319*1000)</f>
        <v>0</v>
      </c>
      <c r="C349">
        <f>IF( 'Water Stuff'!O319*1000 &gt;= 'Water Stuff'!$B$6*1000, 'Water Stuff'!$B$6*1000, 'Water Stuff'!O319*1000)</f>
        <v>3760</v>
      </c>
      <c r="D349">
        <f>IF( 'Water Stuff'!W319*1000 &gt;= 'Water Stuff'!$B$6*1000, 'Water Stuff'!$B$6*1000, 'Water Stuff'!W319*1000)</f>
        <v>0</v>
      </c>
      <c r="E349">
        <f>IF( 'Water Stuff'!AE319*1000 &gt;= 'Water Stuff'!$B$6*1000, 'Water Stuff'!$B$6*1000, 'Water Stuff'!AE319*1000)</f>
        <v>4943.8717440210139</v>
      </c>
      <c r="F349">
        <f>IF('Water Stuff'!AM319*1000&gt;='Water Stuff'!$B$6*1000,'Water Stuff'!$B$6*1000,'Water Stuff'!AM319*1000)</f>
        <v>0</v>
      </c>
      <c r="I349">
        <f t="shared" si="84"/>
        <v>0</v>
      </c>
      <c r="J349">
        <f t="shared" si="85"/>
        <v>37.6</v>
      </c>
      <c r="K349">
        <f t="shared" si="86"/>
        <v>0</v>
      </c>
      <c r="L349">
        <f t="shared" si="87"/>
        <v>49.438717440210141</v>
      </c>
      <c r="M349">
        <f t="shared" si="88"/>
        <v>0</v>
      </c>
      <c r="O349">
        <f t="shared" si="89"/>
        <v>0</v>
      </c>
      <c r="P349">
        <f t="shared" si="90"/>
        <v>0.752</v>
      </c>
      <c r="Q349">
        <f t="shared" si="91"/>
        <v>0</v>
      </c>
      <c r="R349">
        <f t="shared" si="92"/>
        <v>0.98877434880420279</v>
      </c>
      <c r="S349">
        <f t="shared" si="93"/>
        <v>0</v>
      </c>
      <c r="U349">
        <f t="shared" si="94"/>
        <v>0</v>
      </c>
      <c r="V349">
        <f t="shared" si="95"/>
        <v>18.8</v>
      </c>
      <c r="W349">
        <f t="shared" si="96"/>
        <v>0</v>
      </c>
      <c r="X349">
        <f t="shared" si="97"/>
        <v>24.71935872010507</v>
      </c>
      <c r="Y349">
        <f t="shared" si="98"/>
        <v>0</v>
      </c>
      <c r="AA349">
        <f t="shared" si="99"/>
        <v>0</v>
      </c>
      <c r="AB349">
        <f t="shared" si="100"/>
        <v>37.6</v>
      </c>
      <c r="AC349">
        <f t="shared" si="101"/>
        <v>0</v>
      </c>
      <c r="AD349">
        <f t="shared" si="102"/>
        <v>49.438717440210141</v>
      </c>
      <c r="AE349">
        <f t="shared" si="103"/>
        <v>0</v>
      </c>
      <c r="AG349" s="109">
        <f t="shared" si="104"/>
        <v>44876</v>
      </c>
      <c r="AH349">
        <f>'Water Stuff'!I319*1000</f>
        <v>620</v>
      </c>
      <c r="AI349">
        <f>'Water Stuff'!Q319*1000</f>
        <v>620</v>
      </c>
      <c r="AJ349">
        <f>'Water Stuff'!Y319*1000</f>
        <v>620</v>
      </c>
      <c r="AK349">
        <f>'Water Stuff'!AG319*1000</f>
        <v>620</v>
      </c>
      <c r="AL349">
        <f>'Water Stuff'!AO319*1000</f>
        <v>620</v>
      </c>
    </row>
    <row r="350" spans="1:38">
      <c r="A350" s="109">
        <f>'Water Stuff'!F320</f>
        <v>44877</v>
      </c>
      <c r="B350">
        <f>IF( 'Water Stuff'!G320*1000 &gt;= 'Water Stuff'!$B$6*1000, 'Water Stuff'!$B$6*1000, 'Water Stuff'!G320*1000)</f>
        <v>0</v>
      </c>
      <c r="C350">
        <f>IF( 'Water Stuff'!O320*1000 &gt;= 'Water Stuff'!$B$6*1000, 'Water Stuff'!$B$6*1000, 'Water Stuff'!O320*1000)</f>
        <v>10000</v>
      </c>
      <c r="D350">
        <f>IF( 'Water Stuff'!W320*1000 &gt;= 'Water Stuff'!$B$6*1000, 'Water Stuff'!$B$6*1000, 'Water Stuff'!W320*1000)</f>
        <v>0</v>
      </c>
      <c r="E350">
        <f>IF( 'Water Stuff'!AE320*1000 &gt;= 'Water Stuff'!$B$6*1000, 'Water Stuff'!$B$6*1000, 'Water Stuff'!AE320*1000)</f>
        <v>10000</v>
      </c>
      <c r="F350">
        <f>IF('Water Stuff'!AM320*1000&gt;='Water Stuff'!$B$6*1000,'Water Stuff'!$B$6*1000,'Water Stuff'!AM320*1000)</f>
        <v>1414.0307354369775</v>
      </c>
      <c r="I350">
        <f t="shared" si="84"/>
        <v>0</v>
      </c>
      <c r="J350">
        <f t="shared" si="85"/>
        <v>100</v>
      </c>
      <c r="K350">
        <f t="shared" si="86"/>
        <v>0</v>
      </c>
      <c r="L350">
        <f t="shared" si="87"/>
        <v>100</v>
      </c>
      <c r="M350">
        <f t="shared" si="88"/>
        <v>14.140307354369776</v>
      </c>
      <c r="O350">
        <f t="shared" si="89"/>
        <v>0</v>
      </c>
      <c r="P350">
        <f t="shared" si="90"/>
        <v>2</v>
      </c>
      <c r="Q350">
        <f t="shared" si="91"/>
        <v>0</v>
      </c>
      <c r="R350">
        <f t="shared" si="92"/>
        <v>2</v>
      </c>
      <c r="S350">
        <f t="shared" si="93"/>
        <v>0.28280614708739554</v>
      </c>
      <c r="U350">
        <f t="shared" si="94"/>
        <v>0</v>
      </c>
      <c r="V350">
        <f t="shared" si="95"/>
        <v>50</v>
      </c>
      <c r="W350">
        <f t="shared" si="96"/>
        <v>0</v>
      </c>
      <c r="X350">
        <f t="shared" si="97"/>
        <v>50</v>
      </c>
      <c r="Y350">
        <f t="shared" si="98"/>
        <v>7.0701536771848872</v>
      </c>
      <c r="AA350">
        <f t="shared" si="99"/>
        <v>0</v>
      </c>
      <c r="AB350">
        <f t="shared" si="100"/>
        <v>100</v>
      </c>
      <c r="AC350">
        <f t="shared" si="101"/>
        <v>0</v>
      </c>
      <c r="AD350">
        <f t="shared" si="102"/>
        <v>100</v>
      </c>
      <c r="AE350">
        <f t="shared" si="103"/>
        <v>14.140307354369774</v>
      </c>
      <c r="AG350" s="109">
        <f t="shared" si="104"/>
        <v>44877</v>
      </c>
      <c r="AH350">
        <f>'Water Stuff'!I320*1000</f>
        <v>620</v>
      </c>
      <c r="AI350">
        <f>'Water Stuff'!Q320*1000</f>
        <v>620</v>
      </c>
      <c r="AJ350">
        <f>'Water Stuff'!Y320*1000</f>
        <v>620</v>
      </c>
      <c r="AK350">
        <f>'Water Stuff'!AG320*1000</f>
        <v>620</v>
      </c>
      <c r="AL350">
        <f>'Water Stuff'!AO320*1000</f>
        <v>620</v>
      </c>
    </row>
    <row r="351" spans="1:38">
      <c r="A351" s="109">
        <f>'Water Stuff'!F321</f>
        <v>44878</v>
      </c>
      <c r="B351">
        <f>IF( 'Water Stuff'!G321*1000 &gt;= 'Water Stuff'!$B$6*1000, 'Water Stuff'!$B$6*1000, 'Water Stuff'!G321*1000)</f>
        <v>0</v>
      </c>
      <c r="C351">
        <f>IF( 'Water Stuff'!O321*1000 &gt;= 'Water Stuff'!$B$6*1000, 'Water Stuff'!$B$6*1000, 'Water Stuff'!O321*1000)</f>
        <v>2280</v>
      </c>
      <c r="D351">
        <f>IF( 'Water Stuff'!W321*1000 &gt;= 'Water Stuff'!$B$6*1000, 'Water Stuff'!$B$6*1000, 'Water Stuff'!W321*1000)</f>
        <v>1330.0747798453272</v>
      </c>
      <c r="E351">
        <f>IF( 'Water Stuff'!AE321*1000 &gt;= 'Water Stuff'!$B$6*1000, 'Water Stuff'!$B$6*1000, 'Water Stuff'!AE321*1000)</f>
        <v>0</v>
      </c>
      <c r="F351">
        <f>IF('Water Stuff'!AM321*1000&gt;='Water Stuff'!$B$6*1000,'Water Stuff'!$B$6*1000,'Water Stuff'!AM321*1000)</f>
        <v>1260.9311443534928</v>
      </c>
      <c r="I351">
        <f t="shared" si="84"/>
        <v>0</v>
      </c>
      <c r="J351">
        <f t="shared" si="85"/>
        <v>22.8</v>
      </c>
      <c r="K351">
        <f t="shared" si="86"/>
        <v>13.300747798453271</v>
      </c>
      <c r="L351">
        <f t="shared" si="87"/>
        <v>0</v>
      </c>
      <c r="M351">
        <f t="shared" si="88"/>
        <v>12.609311443534928</v>
      </c>
      <c r="O351">
        <f t="shared" si="89"/>
        <v>0</v>
      </c>
      <c r="P351">
        <f t="shared" si="90"/>
        <v>0.45600000000000002</v>
      </c>
      <c r="Q351">
        <f t="shared" si="91"/>
        <v>0.26601495596906544</v>
      </c>
      <c r="R351">
        <f t="shared" si="92"/>
        <v>0</v>
      </c>
      <c r="S351">
        <f t="shared" si="93"/>
        <v>0.25218622887069858</v>
      </c>
      <c r="U351">
        <f t="shared" si="94"/>
        <v>0</v>
      </c>
      <c r="V351">
        <f t="shared" si="95"/>
        <v>11.4</v>
      </c>
      <c r="W351">
        <f t="shared" si="96"/>
        <v>6.6503738992266364</v>
      </c>
      <c r="X351">
        <f t="shared" si="97"/>
        <v>0</v>
      </c>
      <c r="Y351">
        <f t="shared" si="98"/>
        <v>6.3046557217674639</v>
      </c>
      <c r="AA351">
        <f t="shared" si="99"/>
        <v>0</v>
      </c>
      <c r="AB351">
        <f t="shared" si="100"/>
        <v>22.8</v>
      </c>
      <c r="AC351">
        <f t="shared" si="101"/>
        <v>13.300747798453273</v>
      </c>
      <c r="AD351">
        <f t="shared" si="102"/>
        <v>0</v>
      </c>
      <c r="AE351">
        <f t="shared" si="103"/>
        <v>12.609311443534928</v>
      </c>
      <c r="AG351" s="109">
        <f t="shared" si="104"/>
        <v>44878</v>
      </c>
      <c r="AH351">
        <f>'Water Stuff'!I321*1000</f>
        <v>620</v>
      </c>
      <c r="AI351">
        <f>'Water Stuff'!Q321*1000</f>
        <v>620</v>
      </c>
      <c r="AJ351">
        <f>'Water Stuff'!Y321*1000</f>
        <v>620</v>
      </c>
      <c r="AK351">
        <f>'Water Stuff'!AG321*1000</f>
        <v>620</v>
      </c>
      <c r="AL351">
        <f>'Water Stuff'!AO321*1000</f>
        <v>620</v>
      </c>
    </row>
    <row r="352" spans="1:38">
      <c r="A352" s="109">
        <f>'Water Stuff'!F322</f>
        <v>44879</v>
      </c>
      <c r="B352">
        <f>IF( 'Water Stuff'!G322*1000 &gt;= 'Water Stuff'!$B$6*1000, 'Water Stuff'!$B$6*1000, 'Water Stuff'!G322*1000)</f>
        <v>0</v>
      </c>
      <c r="C352">
        <f>IF( 'Water Stuff'!O322*1000 &gt;= 'Water Stuff'!$B$6*1000, 'Water Stuff'!$B$6*1000, 'Water Stuff'!O322*1000)</f>
        <v>120</v>
      </c>
      <c r="D352">
        <f>IF( 'Water Stuff'!W322*1000 &gt;= 'Water Stuff'!$B$6*1000, 'Water Stuff'!$B$6*1000, 'Water Stuff'!W322*1000)</f>
        <v>0</v>
      </c>
      <c r="E352">
        <f>IF( 'Water Stuff'!AE322*1000 &gt;= 'Water Stuff'!$B$6*1000, 'Water Stuff'!$B$6*1000, 'Water Stuff'!AE322*1000)</f>
        <v>0</v>
      </c>
      <c r="F352">
        <f>IF('Water Stuff'!AM322*1000&gt;='Water Stuff'!$B$6*1000,'Water Stuff'!$B$6*1000,'Water Stuff'!AM322*1000)</f>
        <v>0</v>
      </c>
      <c r="I352">
        <f t="shared" si="84"/>
        <v>0</v>
      </c>
      <c r="J352">
        <f t="shared" si="85"/>
        <v>1.2</v>
      </c>
      <c r="K352">
        <f t="shared" si="86"/>
        <v>0</v>
      </c>
      <c r="L352">
        <f t="shared" si="87"/>
        <v>0</v>
      </c>
      <c r="M352">
        <f t="shared" si="88"/>
        <v>0</v>
      </c>
      <c r="O352">
        <f t="shared" si="89"/>
        <v>0</v>
      </c>
      <c r="P352">
        <f t="shared" si="90"/>
        <v>2.4E-2</v>
      </c>
      <c r="Q352">
        <f t="shared" si="91"/>
        <v>0</v>
      </c>
      <c r="R352">
        <f t="shared" si="92"/>
        <v>0</v>
      </c>
      <c r="S352">
        <f t="shared" si="93"/>
        <v>0</v>
      </c>
      <c r="U352">
        <f t="shared" si="94"/>
        <v>0</v>
      </c>
      <c r="V352">
        <f t="shared" si="95"/>
        <v>0.6</v>
      </c>
      <c r="W352">
        <f t="shared" si="96"/>
        <v>0</v>
      </c>
      <c r="X352">
        <f t="shared" si="97"/>
        <v>0</v>
      </c>
      <c r="Y352">
        <f t="shared" si="98"/>
        <v>0</v>
      </c>
      <c r="AA352">
        <f t="shared" si="99"/>
        <v>0</v>
      </c>
      <c r="AB352">
        <f t="shared" si="100"/>
        <v>1.2</v>
      </c>
      <c r="AC352">
        <f t="shared" si="101"/>
        <v>0</v>
      </c>
      <c r="AD352">
        <f t="shared" si="102"/>
        <v>0</v>
      </c>
      <c r="AE352">
        <f t="shared" si="103"/>
        <v>0</v>
      </c>
      <c r="AG352" s="109">
        <f t="shared" si="104"/>
        <v>44879</v>
      </c>
      <c r="AH352">
        <f>'Water Stuff'!I322*1000</f>
        <v>620</v>
      </c>
      <c r="AI352">
        <f>'Water Stuff'!Q322*1000</f>
        <v>620</v>
      </c>
      <c r="AJ352">
        <f>'Water Stuff'!Y322*1000</f>
        <v>620</v>
      </c>
      <c r="AK352">
        <f>'Water Stuff'!AG322*1000</f>
        <v>620</v>
      </c>
      <c r="AL352">
        <f>'Water Stuff'!AO322*1000</f>
        <v>620</v>
      </c>
    </row>
    <row r="353" spans="1:38">
      <c r="A353" s="109">
        <f>'Water Stuff'!F323</f>
        <v>44880</v>
      </c>
      <c r="B353">
        <f>IF( 'Water Stuff'!G323*1000 &gt;= 'Water Stuff'!$B$6*1000, 'Water Stuff'!$B$6*1000, 'Water Stuff'!G323*1000)</f>
        <v>0</v>
      </c>
      <c r="C353">
        <f>IF( 'Water Stuff'!O323*1000 &gt;= 'Water Stuff'!$B$6*1000, 'Water Stuff'!$B$6*1000, 'Water Stuff'!O323*1000)</f>
        <v>1200</v>
      </c>
      <c r="D353">
        <f>IF( 'Water Stuff'!W323*1000 &gt;= 'Water Stuff'!$B$6*1000, 'Water Stuff'!$B$6*1000, 'Water Stuff'!W323*1000)</f>
        <v>0</v>
      </c>
      <c r="E353">
        <f>IF( 'Water Stuff'!AE323*1000 &gt;= 'Water Stuff'!$B$6*1000, 'Water Stuff'!$B$6*1000, 'Water Stuff'!AE323*1000)</f>
        <v>2102.480950502978</v>
      </c>
      <c r="F353">
        <f>IF('Water Stuff'!AM323*1000&gt;='Water Stuff'!$B$6*1000,'Water Stuff'!$B$6*1000,'Water Stuff'!AM323*1000)</f>
        <v>1189.398957413254</v>
      </c>
      <c r="I353">
        <f t="shared" si="84"/>
        <v>0</v>
      </c>
      <c r="J353">
        <f t="shared" si="85"/>
        <v>12</v>
      </c>
      <c r="K353">
        <f t="shared" si="86"/>
        <v>0</v>
      </c>
      <c r="L353">
        <f t="shared" si="87"/>
        <v>21.024809505029779</v>
      </c>
      <c r="M353">
        <f t="shared" si="88"/>
        <v>11.89398957413254</v>
      </c>
      <c r="O353">
        <f t="shared" si="89"/>
        <v>0</v>
      </c>
      <c r="P353">
        <f t="shared" si="90"/>
        <v>0.24</v>
      </c>
      <c r="Q353">
        <f t="shared" si="91"/>
        <v>0</v>
      </c>
      <c r="R353">
        <f t="shared" si="92"/>
        <v>0.42049619010059558</v>
      </c>
      <c r="S353">
        <f t="shared" si="93"/>
        <v>0.23787979148265082</v>
      </c>
      <c r="U353">
        <f t="shared" si="94"/>
        <v>0</v>
      </c>
      <c r="V353">
        <f t="shared" si="95"/>
        <v>6</v>
      </c>
      <c r="W353">
        <f t="shared" si="96"/>
        <v>0</v>
      </c>
      <c r="X353">
        <f t="shared" si="97"/>
        <v>10.51240475251489</v>
      </c>
      <c r="Y353">
        <f t="shared" si="98"/>
        <v>5.94699478706627</v>
      </c>
      <c r="AA353">
        <f t="shared" si="99"/>
        <v>0</v>
      </c>
      <c r="AB353">
        <f t="shared" si="100"/>
        <v>12</v>
      </c>
      <c r="AC353">
        <f t="shared" si="101"/>
        <v>0</v>
      </c>
      <c r="AD353">
        <f t="shared" si="102"/>
        <v>21.024809505029779</v>
      </c>
      <c r="AE353">
        <f t="shared" si="103"/>
        <v>11.89398957413254</v>
      </c>
      <c r="AG353" s="109">
        <f t="shared" si="104"/>
        <v>44880</v>
      </c>
      <c r="AH353">
        <f>'Water Stuff'!I323*1000</f>
        <v>620</v>
      </c>
      <c r="AI353">
        <f>'Water Stuff'!Q323*1000</f>
        <v>620</v>
      </c>
      <c r="AJ353">
        <f>'Water Stuff'!Y323*1000</f>
        <v>620</v>
      </c>
      <c r="AK353">
        <f>'Water Stuff'!AG323*1000</f>
        <v>620</v>
      </c>
      <c r="AL353">
        <f>'Water Stuff'!AO323*1000</f>
        <v>620</v>
      </c>
    </row>
    <row r="354" spans="1:38">
      <c r="A354" s="109">
        <f>'Water Stuff'!F324</f>
        <v>44881</v>
      </c>
      <c r="B354">
        <f>IF( 'Water Stuff'!G324*1000 &gt;= 'Water Stuff'!$B$6*1000, 'Water Stuff'!$B$6*1000, 'Water Stuff'!G324*1000)</f>
        <v>0</v>
      </c>
      <c r="C354">
        <f>IF( 'Water Stuff'!O324*1000 &gt;= 'Water Stuff'!$B$6*1000, 'Water Stuff'!$B$6*1000, 'Water Stuff'!O324*1000)</f>
        <v>10000</v>
      </c>
      <c r="D354">
        <f>IF( 'Water Stuff'!W324*1000 &gt;= 'Water Stuff'!$B$6*1000, 'Water Stuff'!$B$6*1000, 'Water Stuff'!W324*1000)</f>
        <v>0</v>
      </c>
      <c r="E354">
        <f>IF( 'Water Stuff'!AE324*1000 &gt;= 'Water Stuff'!$B$6*1000, 'Water Stuff'!$B$6*1000, 'Water Stuff'!AE324*1000)</f>
        <v>10000</v>
      </c>
      <c r="F354">
        <f>IF('Water Stuff'!AM324*1000&gt;='Water Stuff'!$B$6*1000,'Water Stuff'!$B$6*1000,'Water Stuff'!AM324*1000)</f>
        <v>62.058358236917179</v>
      </c>
      <c r="I354">
        <f t="shared" si="84"/>
        <v>0</v>
      </c>
      <c r="J354">
        <f t="shared" si="85"/>
        <v>100</v>
      </c>
      <c r="K354">
        <f t="shared" si="86"/>
        <v>0</v>
      </c>
      <c r="L354">
        <f t="shared" si="87"/>
        <v>100</v>
      </c>
      <c r="M354">
        <f t="shared" si="88"/>
        <v>0.62058358236917188</v>
      </c>
      <c r="O354">
        <f t="shared" si="89"/>
        <v>0</v>
      </c>
      <c r="P354">
        <f t="shared" si="90"/>
        <v>2</v>
      </c>
      <c r="Q354">
        <f t="shared" si="91"/>
        <v>0</v>
      </c>
      <c r="R354">
        <f t="shared" si="92"/>
        <v>2</v>
      </c>
      <c r="S354">
        <f t="shared" si="93"/>
        <v>1.2411671647383438E-2</v>
      </c>
      <c r="U354">
        <f t="shared" si="94"/>
        <v>0</v>
      </c>
      <c r="V354">
        <f t="shared" si="95"/>
        <v>50</v>
      </c>
      <c r="W354">
        <f t="shared" si="96"/>
        <v>0</v>
      </c>
      <c r="X354">
        <f t="shared" si="97"/>
        <v>50</v>
      </c>
      <c r="Y354">
        <f t="shared" si="98"/>
        <v>0.31029179118458589</v>
      </c>
      <c r="AA354">
        <f t="shared" si="99"/>
        <v>0</v>
      </c>
      <c r="AB354">
        <f t="shared" si="100"/>
        <v>100</v>
      </c>
      <c r="AC354">
        <f t="shared" si="101"/>
        <v>0</v>
      </c>
      <c r="AD354">
        <f t="shared" si="102"/>
        <v>100</v>
      </c>
      <c r="AE354">
        <f t="shared" si="103"/>
        <v>0.62058358236917177</v>
      </c>
      <c r="AG354" s="109">
        <f t="shared" si="104"/>
        <v>44881</v>
      </c>
      <c r="AH354">
        <f>'Water Stuff'!I324*1000</f>
        <v>620</v>
      </c>
      <c r="AI354">
        <f>'Water Stuff'!Q324*1000</f>
        <v>620</v>
      </c>
      <c r="AJ354">
        <f>'Water Stuff'!Y324*1000</f>
        <v>620</v>
      </c>
      <c r="AK354">
        <f>'Water Stuff'!AG324*1000</f>
        <v>620</v>
      </c>
      <c r="AL354">
        <f>'Water Stuff'!AO324*1000</f>
        <v>620</v>
      </c>
    </row>
    <row r="355" spans="1:38">
      <c r="A355" s="109">
        <f>'Water Stuff'!F325</f>
        <v>44882</v>
      </c>
      <c r="B355">
        <f>IF( 'Water Stuff'!G325*1000 &gt;= 'Water Stuff'!$B$6*1000, 'Water Stuff'!$B$6*1000, 'Water Stuff'!G325*1000)</f>
        <v>0</v>
      </c>
      <c r="C355">
        <f>IF( 'Water Stuff'!O325*1000 &gt;= 'Water Stuff'!$B$6*1000, 'Water Stuff'!$B$6*1000, 'Water Stuff'!O325*1000)</f>
        <v>1240</v>
      </c>
      <c r="D355">
        <f>IF( 'Water Stuff'!W325*1000 &gt;= 'Water Stuff'!$B$6*1000, 'Water Stuff'!$B$6*1000, 'Water Stuff'!W325*1000)</f>
        <v>0</v>
      </c>
      <c r="E355">
        <f>IF( 'Water Stuff'!AE325*1000 &gt;= 'Water Stuff'!$B$6*1000, 'Water Stuff'!$B$6*1000, 'Water Stuff'!AE325*1000)</f>
        <v>1360.1043338017571</v>
      </c>
      <c r="F355">
        <f>IF('Water Stuff'!AM325*1000&gt;='Water Stuff'!$B$6*1000,'Water Stuff'!$B$6*1000,'Water Stuff'!AM325*1000)</f>
        <v>0</v>
      </c>
      <c r="I355">
        <f t="shared" ref="I355:I399" si="105">10*B355/1000</f>
        <v>0</v>
      </c>
      <c r="J355">
        <f t="shared" ref="J355:J399" si="106">10*C355/1000</f>
        <v>12.4</v>
      </c>
      <c r="K355">
        <f t="shared" ref="K355:K399" si="107">10*D355/1000</f>
        <v>0</v>
      </c>
      <c r="L355">
        <f t="shared" ref="L355:L399" si="108">10*E355/1000</f>
        <v>13.60104333801757</v>
      </c>
      <c r="M355">
        <f t="shared" ref="M355:M399" si="109">10*F355/1000</f>
        <v>0</v>
      </c>
      <c r="O355">
        <f t="shared" ref="O355:O399" si="110">I355*(100/5)/1000</f>
        <v>0</v>
      </c>
      <c r="P355">
        <f t="shared" ref="P355:P399" si="111">J355*100/5/1000</f>
        <v>0.248</v>
      </c>
      <c r="Q355">
        <f t="shared" ref="Q355:Q399" si="112">K355*100/5/1000</f>
        <v>0</v>
      </c>
      <c r="R355">
        <f t="shared" ref="R355:R399" si="113">L355*100/5/1000</f>
        <v>0.27202086676035142</v>
      </c>
      <c r="S355">
        <f t="shared" ref="S355:S399" si="114">M355*100/5/1000</f>
        <v>0</v>
      </c>
      <c r="U355">
        <f t="shared" ref="U355:U399" si="115">$U$10/$L$12/1000*B355</f>
        <v>0</v>
      </c>
      <c r="V355">
        <f t="shared" ref="V355:V399" si="116">$U$10/$L$12/1000*C355</f>
        <v>6.2</v>
      </c>
      <c r="W355">
        <f t="shared" ref="W355:W399" si="117">$U$10/$L$12/1000*D355</f>
        <v>0</v>
      </c>
      <c r="X355">
        <f t="shared" ref="X355:X399" si="118">$U$10/$L$12/1000*E355</f>
        <v>6.800521669008786</v>
      </c>
      <c r="Y355">
        <f t="shared" ref="Y355:Y399" si="119">$U$10/$L$12/1000*F355</f>
        <v>0</v>
      </c>
      <c r="AA355">
        <f t="shared" ref="AA355:AA399" si="120">$U$14*U355</f>
        <v>0</v>
      </c>
      <c r="AB355">
        <f t="shared" ref="AB355:AB399" si="121">$U$14*V355</f>
        <v>12.4</v>
      </c>
      <c r="AC355">
        <f t="shared" ref="AC355:AC399" si="122">$U$14*W355</f>
        <v>0</v>
      </c>
      <c r="AD355">
        <f t="shared" ref="AD355:AD399" si="123">$U$14*X355</f>
        <v>13.601043338017572</v>
      </c>
      <c r="AE355">
        <f t="shared" ref="AE355:AE399" si="124">$U$14*Y355</f>
        <v>0</v>
      </c>
      <c r="AG355" s="109">
        <f t="shared" ref="AG355:AG399" si="125">A355</f>
        <v>44882</v>
      </c>
      <c r="AH355">
        <f>'Water Stuff'!I325*1000</f>
        <v>620</v>
      </c>
      <c r="AI355">
        <f>'Water Stuff'!Q325*1000</f>
        <v>620</v>
      </c>
      <c r="AJ355">
        <f>'Water Stuff'!Y325*1000</f>
        <v>620</v>
      </c>
      <c r="AK355">
        <f>'Water Stuff'!AG325*1000</f>
        <v>620</v>
      </c>
      <c r="AL355">
        <f>'Water Stuff'!AO325*1000</f>
        <v>620</v>
      </c>
    </row>
    <row r="356" spans="1:38">
      <c r="A356" s="109">
        <f>'Water Stuff'!F326</f>
        <v>44883</v>
      </c>
      <c r="B356">
        <f>IF( 'Water Stuff'!G326*1000 &gt;= 'Water Stuff'!$B$6*1000, 'Water Stuff'!$B$6*1000, 'Water Stuff'!G326*1000)</f>
        <v>0</v>
      </c>
      <c r="C356">
        <f>IF( 'Water Stuff'!O326*1000 &gt;= 'Water Stuff'!$B$6*1000, 'Water Stuff'!$B$6*1000, 'Water Stuff'!O326*1000)</f>
        <v>0</v>
      </c>
      <c r="D356">
        <f>IF( 'Water Stuff'!W326*1000 &gt;= 'Water Stuff'!$B$6*1000, 'Water Stuff'!$B$6*1000, 'Water Stuff'!W326*1000)</f>
        <v>0</v>
      </c>
      <c r="E356">
        <f>IF( 'Water Stuff'!AE326*1000 &gt;= 'Water Stuff'!$B$6*1000, 'Water Stuff'!$B$6*1000, 'Water Stuff'!AE326*1000)</f>
        <v>0</v>
      </c>
      <c r="F356">
        <f>IF('Water Stuff'!AM326*1000&gt;='Water Stuff'!$B$6*1000,'Water Stuff'!$B$6*1000,'Water Stuff'!AM326*1000)</f>
        <v>0</v>
      </c>
      <c r="I356">
        <f t="shared" si="105"/>
        <v>0</v>
      </c>
      <c r="J356">
        <f t="shared" si="106"/>
        <v>0</v>
      </c>
      <c r="K356">
        <f t="shared" si="107"/>
        <v>0</v>
      </c>
      <c r="L356">
        <f t="shared" si="108"/>
        <v>0</v>
      </c>
      <c r="M356">
        <f t="shared" si="109"/>
        <v>0</v>
      </c>
      <c r="O356">
        <f t="shared" si="110"/>
        <v>0</v>
      </c>
      <c r="P356">
        <f t="shared" si="111"/>
        <v>0</v>
      </c>
      <c r="Q356">
        <f t="shared" si="112"/>
        <v>0</v>
      </c>
      <c r="R356">
        <f t="shared" si="113"/>
        <v>0</v>
      </c>
      <c r="S356">
        <f t="shared" si="114"/>
        <v>0</v>
      </c>
      <c r="U356">
        <f t="shared" si="115"/>
        <v>0</v>
      </c>
      <c r="V356">
        <f t="shared" si="116"/>
        <v>0</v>
      </c>
      <c r="W356">
        <f t="shared" si="117"/>
        <v>0</v>
      </c>
      <c r="X356">
        <f t="shared" si="118"/>
        <v>0</v>
      </c>
      <c r="Y356">
        <f t="shared" si="119"/>
        <v>0</v>
      </c>
      <c r="AA356">
        <f t="shared" si="120"/>
        <v>0</v>
      </c>
      <c r="AB356">
        <f t="shared" si="121"/>
        <v>0</v>
      </c>
      <c r="AC356">
        <f t="shared" si="122"/>
        <v>0</v>
      </c>
      <c r="AD356">
        <f t="shared" si="123"/>
        <v>0</v>
      </c>
      <c r="AE356">
        <f t="shared" si="124"/>
        <v>0</v>
      </c>
      <c r="AG356" s="109">
        <f t="shared" si="125"/>
        <v>44883</v>
      </c>
      <c r="AH356">
        <f>'Water Stuff'!I326*1000</f>
        <v>620</v>
      </c>
      <c r="AI356">
        <f>'Water Stuff'!Q326*1000</f>
        <v>620</v>
      </c>
      <c r="AJ356">
        <f>'Water Stuff'!Y326*1000</f>
        <v>620</v>
      </c>
      <c r="AK356">
        <f>'Water Stuff'!AG326*1000</f>
        <v>620</v>
      </c>
      <c r="AL356">
        <f>'Water Stuff'!AO326*1000</f>
        <v>620</v>
      </c>
    </row>
    <row r="357" spans="1:38">
      <c r="A357" s="109">
        <f>'Water Stuff'!F327</f>
        <v>44884</v>
      </c>
      <c r="B357">
        <f>IF( 'Water Stuff'!G327*1000 &gt;= 'Water Stuff'!$B$6*1000, 'Water Stuff'!$B$6*1000, 'Water Stuff'!G327*1000)</f>
        <v>680</v>
      </c>
      <c r="C357">
        <f>IF( 'Water Stuff'!O327*1000 &gt;= 'Water Stuff'!$B$6*1000, 'Water Stuff'!$B$6*1000, 'Water Stuff'!O327*1000)</f>
        <v>0</v>
      </c>
      <c r="D357">
        <f>IF( 'Water Stuff'!W327*1000 &gt;= 'Water Stuff'!$B$6*1000, 'Water Stuff'!$B$6*1000, 'Water Stuff'!W327*1000)</f>
        <v>615.03093194578014</v>
      </c>
      <c r="E357">
        <f>IF( 'Water Stuff'!AE327*1000 &gt;= 'Water Stuff'!$B$6*1000, 'Water Stuff'!$B$6*1000, 'Water Stuff'!AE327*1000)</f>
        <v>218.22556412764641</v>
      </c>
      <c r="F357">
        <f>IF('Water Stuff'!AM327*1000&gt;='Water Stuff'!$B$6*1000,'Water Stuff'!$B$6*1000,'Water Stuff'!AM327*1000)</f>
        <v>0</v>
      </c>
      <c r="I357">
        <f t="shared" si="105"/>
        <v>6.8</v>
      </c>
      <c r="J357">
        <f t="shared" si="106"/>
        <v>0</v>
      </c>
      <c r="K357">
        <f t="shared" si="107"/>
        <v>6.1503093194578016</v>
      </c>
      <c r="L357">
        <f t="shared" si="108"/>
        <v>2.1822556412764644</v>
      </c>
      <c r="M357">
        <f t="shared" si="109"/>
        <v>0</v>
      </c>
      <c r="O357">
        <f t="shared" si="110"/>
        <v>0.13600000000000001</v>
      </c>
      <c r="P357">
        <f t="shared" si="111"/>
        <v>0</v>
      </c>
      <c r="Q357">
        <f t="shared" si="112"/>
        <v>0.12300618638915603</v>
      </c>
      <c r="R357">
        <f t="shared" si="113"/>
        <v>4.3645112825529291E-2</v>
      </c>
      <c r="S357">
        <f t="shared" si="114"/>
        <v>0</v>
      </c>
      <c r="U357">
        <f t="shared" si="115"/>
        <v>3.4</v>
      </c>
      <c r="V357">
        <f t="shared" si="116"/>
        <v>0</v>
      </c>
      <c r="W357">
        <f t="shared" si="117"/>
        <v>3.0751546597289008</v>
      </c>
      <c r="X357">
        <f t="shared" si="118"/>
        <v>1.091127820638232</v>
      </c>
      <c r="Y357">
        <f t="shared" si="119"/>
        <v>0</v>
      </c>
      <c r="AA357">
        <f t="shared" si="120"/>
        <v>6.8</v>
      </c>
      <c r="AB357">
        <f t="shared" si="121"/>
        <v>0</v>
      </c>
      <c r="AC357">
        <f t="shared" si="122"/>
        <v>6.1503093194578016</v>
      </c>
      <c r="AD357">
        <f t="shared" si="123"/>
        <v>2.182255641276464</v>
      </c>
      <c r="AE357">
        <f t="shared" si="124"/>
        <v>0</v>
      </c>
      <c r="AG357" s="109">
        <f t="shared" si="125"/>
        <v>44884</v>
      </c>
      <c r="AH357">
        <f>'Water Stuff'!I327*1000</f>
        <v>620</v>
      </c>
      <c r="AI357">
        <f>'Water Stuff'!Q327*1000</f>
        <v>620</v>
      </c>
      <c r="AJ357">
        <f>'Water Stuff'!Y327*1000</f>
        <v>620</v>
      </c>
      <c r="AK357">
        <f>'Water Stuff'!AG327*1000</f>
        <v>620</v>
      </c>
      <c r="AL357">
        <f>'Water Stuff'!AO327*1000</f>
        <v>620</v>
      </c>
    </row>
    <row r="358" spans="1:38">
      <c r="A358" s="109">
        <f>'Water Stuff'!F328</f>
        <v>44885</v>
      </c>
      <c r="B358">
        <f>IF( 'Water Stuff'!G328*1000 &gt;= 'Water Stuff'!$B$6*1000, 'Water Stuff'!$B$6*1000, 'Water Stuff'!G328*1000)</f>
        <v>5880</v>
      </c>
      <c r="C358">
        <f>IF( 'Water Stuff'!O328*1000 &gt;= 'Water Stuff'!$B$6*1000, 'Water Stuff'!$B$6*1000, 'Water Stuff'!O328*1000)</f>
        <v>0</v>
      </c>
      <c r="D358">
        <f>IF( 'Water Stuff'!W328*1000 &gt;= 'Water Stuff'!$B$6*1000, 'Water Stuff'!$B$6*1000, 'Water Stuff'!W328*1000)</f>
        <v>7562.6774462466146</v>
      </c>
      <c r="E358">
        <f>IF( 'Water Stuff'!AE328*1000 &gt;= 'Water Stuff'!$B$6*1000, 'Water Stuff'!$B$6*1000, 'Water Stuff'!AE328*1000)</f>
        <v>1367.0884902370267</v>
      </c>
      <c r="F358">
        <f>IF('Water Stuff'!AM328*1000&gt;='Water Stuff'!$B$6*1000,'Water Stuff'!$B$6*1000,'Water Stuff'!AM328*1000)</f>
        <v>4952.6917356021404</v>
      </c>
      <c r="I358">
        <f t="shared" si="105"/>
        <v>58.8</v>
      </c>
      <c r="J358">
        <f t="shared" si="106"/>
        <v>0</v>
      </c>
      <c r="K358">
        <f t="shared" si="107"/>
        <v>75.626774462466145</v>
      </c>
      <c r="L358">
        <f t="shared" si="108"/>
        <v>13.670884902370268</v>
      </c>
      <c r="M358">
        <f t="shared" si="109"/>
        <v>49.526917356021407</v>
      </c>
      <c r="O358">
        <f t="shared" si="110"/>
        <v>1.1759999999999999</v>
      </c>
      <c r="P358">
        <f t="shared" si="111"/>
        <v>0</v>
      </c>
      <c r="Q358">
        <f t="shared" si="112"/>
        <v>1.5125354892493228</v>
      </c>
      <c r="R358">
        <f t="shared" si="113"/>
        <v>0.2734176980474054</v>
      </c>
      <c r="S358">
        <f t="shared" si="114"/>
        <v>0.9905383471204281</v>
      </c>
      <c r="U358">
        <f t="shared" si="115"/>
        <v>29.400000000000002</v>
      </c>
      <c r="V358">
        <f t="shared" si="116"/>
        <v>0</v>
      </c>
      <c r="W358">
        <f t="shared" si="117"/>
        <v>37.813387231233072</v>
      </c>
      <c r="X358">
        <f t="shared" si="118"/>
        <v>6.8354424511851333</v>
      </c>
      <c r="Y358">
        <f t="shared" si="119"/>
        <v>24.763458678010704</v>
      </c>
      <c r="AA358">
        <f t="shared" si="120"/>
        <v>58.800000000000004</v>
      </c>
      <c r="AB358">
        <f t="shared" si="121"/>
        <v>0</v>
      </c>
      <c r="AC358">
        <f t="shared" si="122"/>
        <v>75.626774462466145</v>
      </c>
      <c r="AD358">
        <f t="shared" si="123"/>
        <v>13.670884902370267</v>
      </c>
      <c r="AE358">
        <f t="shared" si="124"/>
        <v>49.526917356021407</v>
      </c>
      <c r="AG358" s="109">
        <f t="shared" si="125"/>
        <v>44885</v>
      </c>
      <c r="AH358">
        <f>'Water Stuff'!I328*1000</f>
        <v>620</v>
      </c>
      <c r="AI358">
        <f>'Water Stuff'!Q328*1000</f>
        <v>620</v>
      </c>
      <c r="AJ358">
        <f>'Water Stuff'!Y328*1000</f>
        <v>620</v>
      </c>
      <c r="AK358">
        <f>'Water Stuff'!AG328*1000</f>
        <v>620</v>
      </c>
      <c r="AL358">
        <f>'Water Stuff'!AO328*1000</f>
        <v>620</v>
      </c>
    </row>
    <row r="359" spans="1:38">
      <c r="A359" s="109">
        <f>'Water Stuff'!F329</f>
        <v>44886</v>
      </c>
      <c r="B359">
        <f>IF( 'Water Stuff'!G329*1000 &gt;= 'Water Stuff'!$B$6*1000, 'Water Stuff'!$B$6*1000, 'Water Stuff'!G329*1000)</f>
        <v>6559.9999999999991</v>
      </c>
      <c r="C359">
        <f>IF( 'Water Stuff'!O329*1000 &gt;= 'Water Stuff'!$B$6*1000, 'Water Stuff'!$B$6*1000, 'Water Stuff'!O329*1000)</f>
        <v>0</v>
      </c>
      <c r="D359">
        <f>IF( 'Water Stuff'!W329*1000 &gt;= 'Water Stuff'!$B$6*1000, 'Water Stuff'!$B$6*1000, 'Water Stuff'!W329*1000)</f>
        <v>4309.3882455479143</v>
      </c>
      <c r="E359">
        <f>IF( 'Water Stuff'!AE329*1000 &gt;= 'Water Stuff'!$B$6*1000, 'Water Stuff'!$B$6*1000, 'Water Stuff'!AE329*1000)</f>
        <v>1172.6358464839325</v>
      </c>
      <c r="F359">
        <f>IF('Water Stuff'!AM329*1000&gt;='Water Stuff'!$B$6*1000,'Water Stuff'!$B$6*1000,'Water Stuff'!AM329*1000)</f>
        <v>3334.5090613194743</v>
      </c>
      <c r="I359">
        <f t="shared" si="105"/>
        <v>65.59999999999998</v>
      </c>
      <c r="J359">
        <f t="shared" si="106"/>
        <v>0</v>
      </c>
      <c r="K359">
        <f t="shared" si="107"/>
        <v>43.09388245547914</v>
      </c>
      <c r="L359">
        <f t="shared" si="108"/>
        <v>11.726358464839324</v>
      </c>
      <c r="M359">
        <f t="shared" si="109"/>
        <v>33.345090613194742</v>
      </c>
      <c r="O359">
        <f t="shared" si="110"/>
        <v>1.3119999999999996</v>
      </c>
      <c r="P359">
        <f t="shared" si="111"/>
        <v>0</v>
      </c>
      <c r="Q359">
        <f t="shared" si="112"/>
        <v>0.86187764910958287</v>
      </c>
      <c r="R359">
        <f t="shared" si="113"/>
        <v>0.23452716929678649</v>
      </c>
      <c r="S359">
        <f t="shared" si="114"/>
        <v>0.66690181226389489</v>
      </c>
      <c r="U359">
        <f t="shared" si="115"/>
        <v>32.799999999999997</v>
      </c>
      <c r="V359">
        <f t="shared" si="116"/>
        <v>0</v>
      </c>
      <c r="W359">
        <f t="shared" si="117"/>
        <v>21.546941227739573</v>
      </c>
      <c r="X359">
        <f t="shared" si="118"/>
        <v>5.8631792324196628</v>
      </c>
      <c r="Y359">
        <f t="shared" si="119"/>
        <v>16.672545306597371</v>
      </c>
      <c r="AA359">
        <f t="shared" si="120"/>
        <v>65.599999999999994</v>
      </c>
      <c r="AB359">
        <f t="shared" si="121"/>
        <v>0</v>
      </c>
      <c r="AC359">
        <f t="shared" si="122"/>
        <v>43.093882455479147</v>
      </c>
      <c r="AD359">
        <f t="shared" si="123"/>
        <v>11.726358464839326</v>
      </c>
      <c r="AE359">
        <f t="shared" si="124"/>
        <v>33.345090613194742</v>
      </c>
      <c r="AG359" s="109">
        <f t="shared" si="125"/>
        <v>44886</v>
      </c>
      <c r="AH359">
        <f>'Water Stuff'!I329*1000</f>
        <v>620</v>
      </c>
      <c r="AI359">
        <f>'Water Stuff'!Q329*1000</f>
        <v>620</v>
      </c>
      <c r="AJ359">
        <f>'Water Stuff'!Y329*1000</f>
        <v>620</v>
      </c>
      <c r="AK359">
        <f>'Water Stuff'!AG329*1000</f>
        <v>620</v>
      </c>
      <c r="AL359">
        <f>'Water Stuff'!AO329*1000</f>
        <v>620</v>
      </c>
    </row>
    <row r="360" spans="1:38">
      <c r="A360" s="109">
        <f>'Water Stuff'!F330</f>
        <v>44887</v>
      </c>
      <c r="B360">
        <f>IF( 'Water Stuff'!G330*1000 &gt;= 'Water Stuff'!$B$6*1000, 'Water Stuff'!$B$6*1000, 'Water Stuff'!G330*1000)</f>
        <v>5120</v>
      </c>
      <c r="C360">
        <f>IF( 'Water Stuff'!O330*1000 &gt;= 'Water Stuff'!$B$6*1000, 'Water Stuff'!$B$6*1000, 'Water Stuff'!O330*1000)</f>
        <v>0</v>
      </c>
      <c r="D360">
        <f>IF( 'Water Stuff'!W330*1000 &gt;= 'Water Stuff'!$B$6*1000, 'Water Stuff'!$B$6*1000, 'Water Stuff'!W330*1000)</f>
        <v>6434.618126536805</v>
      </c>
      <c r="E360">
        <f>IF( 'Water Stuff'!AE330*1000 &gt;= 'Water Stuff'!$B$6*1000, 'Water Stuff'!$B$6*1000, 'Water Stuff'!AE330*1000)</f>
        <v>0</v>
      </c>
      <c r="F360">
        <f>IF('Water Stuff'!AM330*1000&gt;='Water Stuff'!$B$6*1000,'Water Stuff'!$B$6*1000,'Water Stuff'!AM330*1000)</f>
        <v>7239.9919384619052</v>
      </c>
      <c r="I360">
        <f t="shared" si="105"/>
        <v>51.2</v>
      </c>
      <c r="J360">
        <f t="shared" si="106"/>
        <v>0</v>
      </c>
      <c r="K360">
        <f t="shared" si="107"/>
        <v>64.34618126536806</v>
      </c>
      <c r="L360">
        <f t="shared" si="108"/>
        <v>0</v>
      </c>
      <c r="M360">
        <f t="shared" si="109"/>
        <v>72.399919384619039</v>
      </c>
      <c r="O360">
        <f t="shared" si="110"/>
        <v>1.024</v>
      </c>
      <c r="P360">
        <f t="shared" si="111"/>
        <v>0</v>
      </c>
      <c r="Q360">
        <f t="shared" si="112"/>
        <v>1.286923625307361</v>
      </c>
      <c r="R360">
        <f t="shared" si="113"/>
        <v>0</v>
      </c>
      <c r="S360">
        <f t="shared" si="114"/>
        <v>1.447998387692381</v>
      </c>
      <c r="U360">
        <f t="shared" si="115"/>
        <v>25.6</v>
      </c>
      <c r="V360">
        <f t="shared" si="116"/>
        <v>0</v>
      </c>
      <c r="W360">
        <f t="shared" si="117"/>
        <v>32.173090632684023</v>
      </c>
      <c r="X360">
        <f t="shared" si="118"/>
        <v>0</v>
      </c>
      <c r="Y360">
        <f t="shared" si="119"/>
        <v>36.199959692309527</v>
      </c>
      <c r="AA360">
        <f t="shared" si="120"/>
        <v>51.2</v>
      </c>
      <c r="AB360">
        <f t="shared" si="121"/>
        <v>0</v>
      </c>
      <c r="AC360">
        <f t="shared" si="122"/>
        <v>64.346181265368045</v>
      </c>
      <c r="AD360">
        <f t="shared" si="123"/>
        <v>0</v>
      </c>
      <c r="AE360">
        <f t="shared" si="124"/>
        <v>72.399919384619054</v>
      </c>
      <c r="AG360" s="109">
        <f t="shared" si="125"/>
        <v>44887</v>
      </c>
      <c r="AH360">
        <f>'Water Stuff'!I330*1000</f>
        <v>620</v>
      </c>
      <c r="AI360">
        <f>'Water Stuff'!Q330*1000</f>
        <v>620</v>
      </c>
      <c r="AJ360">
        <f>'Water Stuff'!Y330*1000</f>
        <v>620</v>
      </c>
      <c r="AK360">
        <f>'Water Stuff'!AG330*1000</f>
        <v>620</v>
      </c>
      <c r="AL360">
        <f>'Water Stuff'!AO330*1000</f>
        <v>620</v>
      </c>
    </row>
    <row r="361" spans="1:38">
      <c r="A361" s="109">
        <f>'Water Stuff'!F331</f>
        <v>44888</v>
      </c>
      <c r="B361">
        <f>IF( 'Water Stuff'!G331*1000 &gt;= 'Water Stuff'!$B$6*1000, 'Water Stuff'!$B$6*1000, 'Water Stuff'!G331*1000)</f>
        <v>3040</v>
      </c>
      <c r="C361">
        <f>IF( 'Water Stuff'!O331*1000 &gt;= 'Water Stuff'!$B$6*1000, 'Water Stuff'!$B$6*1000, 'Water Stuff'!O331*1000)</f>
        <v>0</v>
      </c>
      <c r="D361">
        <f>IF( 'Water Stuff'!W331*1000 &gt;= 'Water Stuff'!$B$6*1000, 'Water Stuff'!$B$6*1000, 'Water Stuff'!W331*1000)</f>
        <v>4194.6376578804902</v>
      </c>
      <c r="E361">
        <f>IF( 'Water Stuff'!AE331*1000 &gt;= 'Water Stuff'!$B$6*1000, 'Water Stuff'!$B$6*1000, 'Water Stuff'!AE331*1000)</f>
        <v>0</v>
      </c>
      <c r="F361">
        <f>IF('Water Stuff'!AM331*1000&gt;='Water Stuff'!$B$6*1000,'Water Stuff'!$B$6*1000,'Water Stuff'!AM331*1000)</f>
        <v>2053.1028237119622</v>
      </c>
      <c r="I361">
        <f t="shared" si="105"/>
        <v>30.4</v>
      </c>
      <c r="J361">
        <f t="shared" si="106"/>
        <v>0</v>
      </c>
      <c r="K361">
        <f t="shared" si="107"/>
        <v>41.946376578804909</v>
      </c>
      <c r="L361">
        <f t="shared" si="108"/>
        <v>0</v>
      </c>
      <c r="M361">
        <f t="shared" si="109"/>
        <v>20.531028237119621</v>
      </c>
      <c r="O361">
        <f t="shared" si="110"/>
        <v>0.60799999999999998</v>
      </c>
      <c r="P361">
        <f t="shared" si="111"/>
        <v>0</v>
      </c>
      <c r="Q361">
        <f t="shared" si="112"/>
        <v>0.83892753157609823</v>
      </c>
      <c r="R361">
        <f t="shared" si="113"/>
        <v>0</v>
      </c>
      <c r="S361">
        <f t="shared" si="114"/>
        <v>0.41062056474239245</v>
      </c>
      <c r="U361">
        <f t="shared" si="115"/>
        <v>15.200000000000001</v>
      </c>
      <c r="V361">
        <f t="shared" si="116"/>
        <v>0</v>
      </c>
      <c r="W361">
        <f t="shared" si="117"/>
        <v>20.973188289402451</v>
      </c>
      <c r="X361">
        <f t="shared" si="118"/>
        <v>0</v>
      </c>
      <c r="Y361">
        <f t="shared" si="119"/>
        <v>10.26551411855981</v>
      </c>
      <c r="AA361">
        <f t="shared" si="120"/>
        <v>30.400000000000002</v>
      </c>
      <c r="AB361">
        <f t="shared" si="121"/>
        <v>0</v>
      </c>
      <c r="AC361">
        <f t="shared" si="122"/>
        <v>41.946376578804902</v>
      </c>
      <c r="AD361">
        <f t="shared" si="123"/>
        <v>0</v>
      </c>
      <c r="AE361">
        <f t="shared" si="124"/>
        <v>20.531028237119621</v>
      </c>
      <c r="AG361" s="109">
        <f t="shared" si="125"/>
        <v>44888</v>
      </c>
      <c r="AH361">
        <f>'Water Stuff'!I331*1000</f>
        <v>620</v>
      </c>
      <c r="AI361">
        <f>'Water Stuff'!Q331*1000</f>
        <v>620</v>
      </c>
      <c r="AJ361">
        <f>'Water Stuff'!Y331*1000</f>
        <v>620</v>
      </c>
      <c r="AK361">
        <f>'Water Stuff'!AG331*1000</f>
        <v>620</v>
      </c>
      <c r="AL361">
        <f>'Water Stuff'!AO331*1000</f>
        <v>620</v>
      </c>
    </row>
    <row r="362" spans="1:38">
      <c r="A362" s="109">
        <f>'Water Stuff'!F332</f>
        <v>44889</v>
      </c>
      <c r="B362">
        <f>IF( 'Water Stuff'!G332*1000 &gt;= 'Water Stuff'!$B$6*1000, 'Water Stuff'!$B$6*1000, 'Water Stuff'!G332*1000)</f>
        <v>10000</v>
      </c>
      <c r="C362">
        <f>IF( 'Water Stuff'!O332*1000 &gt;= 'Water Stuff'!$B$6*1000, 'Water Stuff'!$B$6*1000, 'Water Stuff'!O332*1000)</f>
        <v>0</v>
      </c>
      <c r="D362">
        <f>IF( 'Water Stuff'!W332*1000 &gt;= 'Water Stuff'!$B$6*1000, 'Water Stuff'!$B$6*1000, 'Water Stuff'!W332*1000)</f>
        <v>10000</v>
      </c>
      <c r="E362">
        <f>IF( 'Water Stuff'!AE332*1000 &gt;= 'Water Stuff'!$B$6*1000, 'Water Stuff'!$B$6*1000, 'Water Stuff'!AE332*1000)</f>
        <v>0</v>
      </c>
      <c r="F362">
        <f>IF('Water Stuff'!AM332*1000&gt;='Water Stuff'!$B$6*1000,'Water Stuff'!$B$6*1000,'Water Stuff'!AM332*1000)</f>
        <v>10000</v>
      </c>
      <c r="I362">
        <f t="shared" si="105"/>
        <v>100</v>
      </c>
      <c r="J362">
        <f t="shared" si="106"/>
        <v>0</v>
      </c>
      <c r="K362">
        <f t="shared" si="107"/>
        <v>100</v>
      </c>
      <c r="L362">
        <f t="shared" si="108"/>
        <v>0</v>
      </c>
      <c r="M362">
        <f t="shared" si="109"/>
        <v>100</v>
      </c>
      <c r="O362">
        <f t="shared" si="110"/>
        <v>2</v>
      </c>
      <c r="P362">
        <f t="shared" si="111"/>
        <v>0</v>
      </c>
      <c r="Q362">
        <f t="shared" si="112"/>
        <v>2</v>
      </c>
      <c r="R362">
        <f t="shared" si="113"/>
        <v>0</v>
      </c>
      <c r="S362">
        <f t="shared" si="114"/>
        <v>2</v>
      </c>
      <c r="U362">
        <f t="shared" si="115"/>
        <v>50</v>
      </c>
      <c r="V362">
        <f t="shared" si="116"/>
        <v>0</v>
      </c>
      <c r="W362">
        <f t="shared" si="117"/>
        <v>50</v>
      </c>
      <c r="X362">
        <f t="shared" si="118"/>
        <v>0</v>
      </c>
      <c r="Y362">
        <f t="shared" si="119"/>
        <v>50</v>
      </c>
      <c r="AA362">
        <f t="shared" si="120"/>
        <v>100</v>
      </c>
      <c r="AB362">
        <f t="shared" si="121"/>
        <v>0</v>
      </c>
      <c r="AC362">
        <f t="shared" si="122"/>
        <v>100</v>
      </c>
      <c r="AD362">
        <f t="shared" si="123"/>
        <v>0</v>
      </c>
      <c r="AE362">
        <f t="shared" si="124"/>
        <v>100</v>
      </c>
      <c r="AG362" s="109">
        <f t="shared" si="125"/>
        <v>44889</v>
      </c>
      <c r="AH362">
        <f>'Water Stuff'!I332*1000</f>
        <v>620</v>
      </c>
      <c r="AI362">
        <f>'Water Stuff'!Q332*1000</f>
        <v>620</v>
      </c>
      <c r="AJ362">
        <f>'Water Stuff'!Y332*1000</f>
        <v>620</v>
      </c>
      <c r="AK362">
        <f>'Water Stuff'!AG332*1000</f>
        <v>620</v>
      </c>
      <c r="AL362">
        <f>'Water Stuff'!AO332*1000</f>
        <v>620</v>
      </c>
    </row>
    <row r="363" spans="1:38">
      <c r="A363" s="109">
        <f>'Water Stuff'!F333</f>
        <v>44890</v>
      </c>
      <c r="B363">
        <f>IF( 'Water Stuff'!G333*1000 &gt;= 'Water Stuff'!$B$6*1000, 'Water Stuff'!$B$6*1000, 'Water Stuff'!G333*1000)</f>
        <v>3000</v>
      </c>
      <c r="C363">
        <f>IF( 'Water Stuff'!O333*1000 &gt;= 'Water Stuff'!$B$6*1000, 'Water Stuff'!$B$6*1000, 'Water Stuff'!O333*1000)</f>
        <v>0</v>
      </c>
      <c r="D363">
        <f>IF( 'Water Stuff'!W333*1000 &gt;= 'Water Stuff'!$B$6*1000, 'Water Stuff'!$B$6*1000, 'Water Stuff'!W333*1000)</f>
        <v>3095.5363320030701</v>
      </c>
      <c r="E363">
        <f>IF( 'Water Stuff'!AE333*1000 &gt;= 'Water Stuff'!$B$6*1000, 'Water Stuff'!$B$6*1000, 'Water Stuff'!AE333*1000)</f>
        <v>0</v>
      </c>
      <c r="F363">
        <f>IF('Water Stuff'!AM333*1000&gt;='Water Stuff'!$B$6*1000,'Water Stuff'!$B$6*1000,'Water Stuff'!AM333*1000)</f>
        <v>2036.7880232537598</v>
      </c>
      <c r="I363">
        <f t="shared" si="105"/>
        <v>30</v>
      </c>
      <c r="J363">
        <f t="shared" si="106"/>
        <v>0</v>
      </c>
      <c r="K363">
        <f t="shared" si="107"/>
        <v>30.955363320030703</v>
      </c>
      <c r="L363">
        <f t="shared" si="108"/>
        <v>0</v>
      </c>
      <c r="M363">
        <f t="shared" si="109"/>
        <v>20.367880232537598</v>
      </c>
      <c r="O363">
        <f t="shared" si="110"/>
        <v>0.6</v>
      </c>
      <c r="P363">
        <f t="shared" si="111"/>
        <v>0</v>
      </c>
      <c r="Q363">
        <f t="shared" si="112"/>
        <v>0.61910726640061398</v>
      </c>
      <c r="R363">
        <f t="shared" si="113"/>
        <v>0</v>
      </c>
      <c r="S363">
        <f t="shared" si="114"/>
        <v>0.40735760465075199</v>
      </c>
      <c r="U363">
        <f t="shared" si="115"/>
        <v>15</v>
      </c>
      <c r="V363">
        <f t="shared" si="116"/>
        <v>0</v>
      </c>
      <c r="W363">
        <f t="shared" si="117"/>
        <v>15.477681660015351</v>
      </c>
      <c r="X363">
        <f t="shared" si="118"/>
        <v>0</v>
      </c>
      <c r="Y363">
        <f t="shared" si="119"/>
        <v>10.183940116268799</v>
      </c>
      <c r="AA363">
        <f t="shared" si="120"/>
        <v>30</v>
      </c>
      <c r="AB363">
        <f t="shared" si="121"/>
        <v>0</v>
      </c>
      <c r="AC363">
        <f t="shared" si="122"/>
        <v>30.955363320030703</v>
      </c>
      <c r="AD363">
        <f t="shared" si="123"/>
        <v>0</v>
      </c>
      <c r="AE363">
        <f t="shared" si="124"/>
        <v>20.367880232537598</v>
      </c>
      <c r="AG363" s="109">
        <f t="shared" si="125"/>
        <v>44890</v>
      </c>
      <c r="AH363">
        <f>'Water Stuff'!I333*1000</f>
        <v>620</v>
      </c>
      <c r="AI363">
        <f>'Water Stuff'!Q333*1000</f>
        <v>620</v>
      </c>
      <c r="AJ363">
        <f>'Water Stuff'!Y333*1000</f>
        <v>620</v>
      </c>
      <c r="AK363">
        <f>'Water Stuff'!AG333*1000</f>
        <v>620</v>
      </c>
      <c r="AL363">
        <f>'Water Stuff'!AO333*1000</f>
        <v>620</v>
      </c>
    </row>
    <row r="364" spans="1:38">
      <c r="A364" s="109">
        <f>'Water Stuff'!F334</f>
        <v>44891</v>
      </c>
      <c r="B364">
        <f>IF( 'Water Stuff'!G334*1000 &gt;= 'Water Stuff'!$B$6*1000, 'Water Stuff'!$B$6*1000, 'Water Stuff'!G334*1000)</f>
        <v>8600</v>
      </c>
      <c r="C364">
        <f>IF( 'Water Stuff'!O334*1000 &gt;= 'Water Stuff'!$B$6*1000, 'Water Stuff'!$B$6*1000, 'Water Stuff'!O334*1000)</f>
        <v>0</v>
      </c>
      <c r="D364">
        <f>IF( 'Water Stuff'!W334*1000 &gt;= 'Water Stuff'!$B$6*1000, 'Water Stuff'!$B$6*1000, 'Water Stuff'!W334*1000)</f>
        <v>7813.975868771261</v>
      </c>
      <c r="E364">
        <f>IF( 'Water Stuff'!AE334*1000 &gt;= 'Water Stuff'!$B$6*1000, 'Water Stuff'!$B$6*1000, 'Water Stuff'!AE334*1000)</f>
        <v>0</v>
      </c>
      <c r="F364">
        <f>IF('Water Stuff'!AM334*1000&gt;='Water Stuff'!$B$6*1000,'Water Stuff'!$B$6*1000,'Water Stuff'!AM334*1000)</f>
        <v>8241.1634196309442</v>
      </c>
      <c r="I364">
        <f t="shared" si="105"/>
        <v>86</v>
      </c>
      <c r="J364">
        <f t="shared" si="106"/>
        <v>0</v>
      </c>
      <c r="K364">
        <f t="shared" si="107"/>
        <v>78.139758687712614</v>
      </c>
      <c r="L364">
        <f t="shared" si="108"/>
        <v>0</v>
      </c>
      <c r="M364">
        <f t="shared" si="109"/>
        <v>82.41163419630945</v>
      </c>
      <c r="O364">
        <f t="shared" si="110"/>
        <v>1.72</v>
      </c>
      <c r="P364">
        <f t="shared" si="111"/>
        <v>0</v>
      </c>
      <c r="Q364">
        <f t="shared" si="112"/>
        <v>1.562795173754252</v>
      </c>
      <c r="R364">
        <f t="shared" si="113"/>
        <v>0</v>
      </c>
      <c r="S364">
        <f t="shared" si="114"/>
        <v>1.6482326839261889</v>
      </c>
      <c r="U364">
        <f t="shared" si="115"/>
        <v>43</v>
      </c>
      <c r="V364">
        <f t="shared" si="116"/>
        <v>0</v>
      </c>
      <c r="W364">
        <f t="shared" si="117"/>
        <v>39.069879343856307</v>
      </c>
      <c r="X364">
        <f t="shared" si="118"/>
        <v>0</v>
      </c>
      <c r="Y364">
        <f t="shared" si="119"/>
        <v>41.205817098154725</v>
      </c>
      <c r="AA364">
        <f t="shared" si="120"/>
        <v>86</v>
      </c>
      <c r="AB364">
        <f t="shared" si="121"/>
        <v>0</v>
      </c>
      <c r="AC364">
        <f t="shared" si="122"/>
        <v>78.139758687712614</v>
      </c>
      <c r="AD364">
        <f t="shared" si="123"/>
        <v>0</v>
      </c>
      <c r="AE364">
        <f t="shared" si="124"/>
        <v>82.41163419630945</v>
      </c>
      <c r="AG364" s="109">
        <f t="shared" si="125"/>
        <v>44891</v>
      </c>
      <c r="AH364">
        <f>'Water Stuff'!I334*1000</f>
        <v>620</v>
      </c>
      <c r="AI364">
        <f>'Water Stuff'!Q334*1000</f>
        <v>620</v>
      </c>
      <c r="AJ364">
        <f>'Water Stuff'!Y334*1000</f>
        <v>620</v>
      </c>
      <c r="AK364">
        <f>'Water Stuff'!AG334*1000</f>
        <v>620</v>
      </c>
      <c r="AL364">
        <f>'Water Stuff'!AO334*1000</f>
        <v>620</v>
      </c>
    </row>
    <row r="365" spans="1:38">
      <c r="A365" s="109">
        <f>'Water Stuff'!F335</f>
        <v>44892</v>
      </c>
      <c r="B365">
        <f>IF( 'Water Stuff'!G335*1000 &gt;= 'Water Stuff'!$B$6*1000, 'Water Stuff'!$B$6*1000, 'Water Stuff'!G335*1000)</f>
        <v>3000</v>
      </c>
      <c r="C365">
        <f>IF( 'Water Stuff'!O335*1000 &gt;= 'Water Stuff'!$B$6*1000, 'Water Stuff'!$B$6*1000, 'Water Stuff'!O335*1000)</f>
        <v>0</v>
      </c>
      <c r="D365">
        <f>IF( 'Water Stuff'!W335*1000 &gt;= 'Water Stuff'!$B$6*1000, 'Water Stuff'!$B$6*1000, 'Water Stuff'!W335*1000)</f>
        <v>1108.7380644397158</v>
      </c>
      <c r="E365">
        <f>IF( 'Water Stuff'!AE335*1000 &gt;= 'Water Stuff'!$B$6*1000, 'Water Stuff'!$B$6*1000, 'Water Stuff'!AE335*1000)</f>
        <v>11.686491294593539</v>
      </c>
      <c r="F365">
        <f>IF('Water Stuff'!AM335*1000&gt;='Water Stuff'!$B$6*1000,'Water Stuff'!$B$6*1000,'Water Stuff'!AM335*1000)</f>
        <v>0</v>
      </c>
      <c r="I365">
        <f t="shared" si="105"/>
        <v>30</v>
      </c>
      <c r="J365">
        <f t="shared" si="106"/>
        <v>0</v>
      </c>
      <c r="K365">
        <f t="shared" si="107"/>
        <v>11.087380644397159</v>
      </c>
      <c r="L365">
        <f t="shared" si="108"/>
        <v>0.11686491294593539</v>
      </c>
      <c r="M365">
        <f t="shared" si="109"/>
        <v>0</v>
      </c>
      <c r="O365">
        <f t="shared" si="110"/>
        <v>0.6</v>
      </c>
      <c r="P365">
        <f t="shared" si="111"/>
        <v>0</v>
      </c>
      <c r="Q365">
        <f t="shared" si="112"/>
        <v>0.2217476128879432</v>
      </c>
      <c r="R365">
        <f t="shared" si="113"/>
        <v>2.3372982589187079E-3</v>
      </c>
      <c r="S365">
        <f t="shared" si="114"/>
        <v>0</v>
      </c>
      <c r="U365">
        <f t="shared" si="115"/>
        <v>15</v>
      </c>
      <c r="V365">
        <f t="shared" si="116"/>
        <v>0</v>
      </c>
      <c r="W365">
        <f t="shared" si="117"/>
        <v>5.5436903221985787</v>
      </c>
      <c r="X365">
        <f t="shared" si="118"/>
        <v>5.8432456472967693E-2</v>
      </c>
      <c r="Y365">
        <f t="shared" si="119"/>
        <v>0</v>
      </c>
      <c r="AA365">
        <f t="shared" si="120"/>
        <v>30</v>
      </c>
      <c r="AB365">
        <f t="shared" si="121"/>
        <v>0</v>
      </c>
      <c r="AC365">
        <f t="shared" si="122"/>
        <v>11.087380644397157</v>
      </c>
      <c r="AD365">
        <f t="shared" si="123"/>
        <v>0.11686491294593539</v>
      </c>
      <c r="AE365">
        <f t="shared" si="124"/>
        <v>0</v>
      </c>
      <c r="AG365" s="109">
        <f t="shared" si="125"/>
        <v>44892</v>
      </c>
      <c r="AH365">
        <f>'Water Stuff'!I335*1000</f>
        <v>620</v>
      </c>
      <c r="AI365">
        <f>'Water Stuff'!Q335*1000</f>
        <v>620</v>
      </c>
      <c r="AJ365">
        <f>'Water Stuff'!Y335*1000</f>
        <v>620</v>
      </c>
      <c r="AK365">
        <f>'Water Stuff'!AG335*1000</f>
        <v>620</v>
      </c>
      <c r="AL365">
        <f>'Water Stuff'!AO335*1000</f>
        <v>620</v>
      </c>
    </row>
    <row r="366" spans="1:38">
      <c r="A366" s="109">
        <f>'Water Stuff'!F336</f>
        <v>44893</v>
      </c>
      <c r="B366">
        <f>IF( 'Water Stuff'!G336*1000 &gt;= 'Water Stuff'!$B$6*1000, 'Water Stuff'!$B$6*1000, 'Water Stuff'!G336*1000)</f>
        <v>0</v>
      </c>
      <c r="C366">
        <f>IF( 'Water Stuff'!O336*1000 &gt;= 'Water Stuff'!$B$6*1000, 'Water Stuff'!$B$6*1000, 'Water Stuff'!O336*1000)</f>
        <v>0</v>
      </c>
      <c r="D366">
        <f>IF( 'Water Stuff'!W336*1000 &gt;= 'Water Stuff'!$B$6*1000, 'Water Stuff'!$B$6*1000, 'Water Stuff'!W336*1000)</f>
        <v>0</v>
      </c>
      <c r="E366">
        <f>IF( 'Water Stuff'!AE336*1000 &gt;= 'Water Stuff'!$B$6*1000, 'Water Stuff'!$B$6*1000, 'Water Stuff'!AE336*1000)</f>
        <v>0</v>
      </c>
      <c r="F366">
        <f>IF('Water Stuff'!AM336*1000&gt;='Water Stuff'!$B$6*1000,'Water Stuff'!$B$6*1000,'Water Stuff'!AM336*1000)</f>
        <v>1617.1034891879067</v>
      </c>
      <c r="I366">
        <f t="shared" si="105"/>
        <v>0</v>
      </c>
      <c r="J366">
        <f t="shared" si="106"/>
        <v>0</v>
      </c>
      <c r="K366">
        <f t="shared" si="107"/>
        <v>0</v>
      </c>
      <c r="L366">
        <f t="shared" si="108"/>
        <v>0</v>
      </c>
      <c r="M366">
        <f t="shared" si="109"/>
        <v>16.171034891879067</v>
      </c>
      <c r="O366">
        <f t="shared" si="110"/>
        <v>0</v>
      </c>
      <c r="P366">
        <f t="shared" si="111"/>
        <v>0</v>
      </c>
      <c r="Q366">
        <f t="shared" si="112"/>
        <v>0</v>
      </c>
      <c r="R366">
        <f t="shared" si="113"/>
        <v>0</v>
      </c>
      <c r="S366">
        <f t="shared" si="114"/>
        <v>0.32342069783758132</v>
      </c>
      <c r="U366">
        <f t="shared" si="115"/>
        <v>0</v>
      </c>
      <c r="V366">
        <f t="shared" si="116"/>
        <v>0</v>
      </c>
      <c r="W366">
        <f t="shared" si="117"/>
        <v>0</v>
      </c>
      <c r="X366">
        <f t="shared" si="118"/>
        <v>0</v>
      </c>
      <c r="Y366">
        <f t="shared" si="119"/>
        <v>8.0855174459395336</v>
      </c>
      <c r="AA366">
        <f t="shared" si="120"/>
        <v>0</v>
      </c>
      <c r="AB366">
        <f t="shared" si="121"/>
        <v>0</v>
      </c>
      <c r="AC366">
        <f t="shared" si="122"/>
        <v>0</v>
      </c>
      <c r="AD366">
        <f t="shared" si="123"/>
        <v>0</v>
      </c>
      <c r="AE366">
        <f t="shared" si="124"/>
        <v>16.171034891879067</v>
      </c>
      <c r="AG366" s="109">
        <f t="shared" si="125"/>
        <v>44893</v>
      </c>
      <c r="AH366">
        <f>'Water Stuff'!I336*1000</f>
        <v>620</v>
      </c>
      <c r="AI366">
        <f>'Water Stuff'!Q336*1000</f>
        <v>620</v>
      </c>
      <c r="AJ366">
        <f>'Water Stuff'!Y336*1000</f>
        <v>620</v>
      </c>
      <c r="AK366">
        <f>'Water Stuff'!AG336*1000</f>
        <v>620</v>
      </c>
      <c r="AL366">
        <f>'Water Stuff'!AO336*1000</f>
        <v>620</v>
      </c>
    </row>
    <row r="367" spans="1:38">
      <c r="A367" s="109">
        <f>'Water Stuff'!F337</f>
        <v>44894</v>
      </c>
      <c r="B367">
        <f>IF( 'Water Stuff'!G337*1000 &gt;= 'Water Stuff'!$B$6*1000, 'Water Stuff'!$B$6*1000, 'Water Stuff'!G337*1000)</f>
        <v>0</v>
      </c>
      <c r="C367">
        <f>IF( 'Water Stuff'!O337*1000 &gt;= 'Water Stuff'!$B$6*1000, 'Water Stuff'!$B$6*1000, 'Water Stuff'!O337*1000)</f>
        <v>0</v>
      </c>
      <c r="D367">
        <f>IF( 'Water Stuff'!W337*1000 &gt;= 'Water Stuff'!$B$6*1000, 'Water Stuff'!$B$6*1000, 'Water Stuff'!W337*1000)</f>
        <v>529.76251379505459</v>
      </c>
      <c r="E367">
        <f>IF( 'Water Stuff'!AE337*1000 &gt;= 'Water Stuff'!$B$6*1000, 'Water Stuff'!$B$6*1000, 'Water Stuff'!AE337*1000)</f>
        <v>606.67495474476766</v>
      </c>
      <c r="F367">
        <f>IF('Water Stuff'!AM337*1000&gt;='Water Stuff'!$B$6*1000,'Water Stuff'!$B$6*1000,'Water Stuff'!AM337*1000)</f>
        <v>347.90564436923461</v>
      </c>
      <c r="I367">
        <f t="shared" si="105"/>
        <v>0</v>
      </c>
      <c r="J367">
        <f t="shared" si="106"/>
        <v>0</v>
      </c>
      <c r="K367">
        <f t="shared" si="107"/>
        <v>5.2976251379505452</v>
      </c>
      <c r="L367">
        <f t="shared" si="108"/>
        <v>6.0667495474476762</v>
      </c>
      <c r="M367">
        <f t="shared" si="109"/>
        <v>3.4790564436923459</v>
      </c>
      <c r="O367">
        <f t="shared" si="110"/>
        <v>0</v>
      </c>
      <c r="P367">
        <f t="shared" si="111"/>
        <v>0</v>
      </c>
      <c r="Q367">
        <f t="shared" si="112"/>
        <v>0.1059525027590109</v>
      </c>
      <c r="R367">
        <f t="shared" si="113"/>
        <v>0.12133499094895353</v>
      </c>
      <c r="S367">
        <f t="shared" si="114"/>
        <v>6.9581128873846917E-2</v>
      </c>
      <c r="U367">
        <f t="shared" si="115"/>
        <v>0</v>
      </c>
      <c r="V367">
        <f t="shared" si="116"/>
        <v>0</v>
      </c>
      <c r="W367">
        <f t="shared" si="117"/>
        <v>2.6488125689752731</v>
      </c>
      <c r="X367">
        <f t="shared" si="118"/>
        <v>3.0333747737238386</v>
      </c>
      <c r="Y367">
        <f t="shared" si="119"/>
        <v>1.7395282218461732</v>
      </c>
      <c r="AA367">
        <f t="shared" si="120"/>
        <v>0</v>
      </c>
      <c r="AB367">
        <f t="shared" si="121"/>
        <v>0</v>
      </c>
      <c r="AC367">
        <f t="shared" si="122"/>
        <v>5.2976251379505461</v>
      </c>
      <c r="AD367">
        <f t="shared" si="123"/>
        <v>6.0667495474476771</v>
      </c>
      <c r="AE367">
        <f t="shared" si="124"/>
        <v>3.4790564436923463</v>
      </c>
      <c r="AG367" s="109">
        <f t="shared" si="125"/>
        <v>44894</v>
      </c>
      <c r="AH367">
        <f>'Water Stuff'!I337*1000</f>
        <v>620</v>
      </c>
      <c r="AI367">
        <f>'Water Stuff'!Q337*1000</f>
        <v>620</v>
      </c>
      <c r="AJ367">
        <f>'Water Stuff'!Y337*1000</f>
        <v>620</v>
      </c>
      <c r="AK367">
        <f>'Water Stuff'!AG337*1000</f>
        <v>620</v>
      </c>
      <c r="AL367">
        <f>'Water Stuff'!AO337*1000</f>
        <v>620</v>
      </c>
    </row>
    <row r="368" spans="1:38">
      <c r="A368" s="109">
        <f>'Water Stuff'!F338</f>
        <v>44895</v>
      </c>
      <c r="B368">
        <f>IF( 'Water Stuff'!G338*1000 &gt;= 'Water Stuff'!$B$6*1000, 'Water Stuff'!$B$6*1000, 'Water Stuff'!G338*1000)</f>
        <v>0</v>
      </c>
      <c r="C368">
        <f>IF( 'Water Stuff'!O338*1000 &gt;= 'Water Stuff'!$B$6*1000, 'Water Stuff'!$B$6*1000, 'Water Stuff'!O338*1000)</f>
        <v>2600</v>
      </c>
      <c r="D368">
        <f>IF( 'Water Stuff'!W338*1000 &gt;= 'Water Stuff'!$B$6*1000, 'Water Stuff'!$B$6*1000, 'Water Stuff'!W338*1000)</f>
        <v>0</v>
      </c>
      <c r="E368">
        <f>IF( 'Water Stuff'!AE338*1000 &gt;= 'Water Stuff'!$B$6*1000, 'Water Stuff'!$B$6*1000, 'Water Stuff'!AE338*1000)</f>
        <v>2551.9625536557282</v>
      </c>
      <c r="F368">
        <f>IF('Water Stuff'!AM338*1000&gt;='Water Stuff'!$B$6*1000,'Water Stuff'!$B$6*1000,'Water Stuff'!AM338*1000)</f>
        <v>0</v>
      </c>
      <c r="I368">
        <f t="shared" si="105"/>
        <v>0</v>
      </c>
      <c r="J368">
        <f t="shared" si="106"/>
        <v>26</v>
      </c>
      <c r="K368">
        <f t="shared" si="107"/>
        <v>0</v>
      </c>
      <c r="L368">
        <f t="shared" si="108"/>
        <v>25.519625536557282</v>
      </c>
      <c r="M368">
        <f t="shared" si="109"/>
        <v>0</v>
      </c>
      <c r="O368">
        <f t="shared" si="110"/>
        <v>0</v>
      </c>
      <c r="P368">
        <f t="shared" si="111"/>
        <v>0.52</v>
      </c>
      <c r="Q368">
        <f t="shared" si="112"/>
        <v>0</v>
      </c>
      <c r="R368">
        <f t="shared" si="113"/>
        <v>0.51039251073114567</v>
      </c>
      <c r="S368">
        <f t="shared" si="114"/>
        <v>0</v>
      </c>
      <c r="U368">
        <f t="shared" si="115"/>
        <v>0</v>
      </c>
      <c r="V368">
        <f t="shared" si="116"/>
        <v>13</v>
      </c>
      <c r="W368">
        <f t="shared" si="117"/>
        <v>0</v>
      </c>
      <c r="X368">
        <f t="shared" si="118"/>
        <v>12.759812768278641</v>
      </c>
      <c r="Y368">
        <f t="shared" si="119"/>
        <v>0</v>
      </c>
      <c r="AA368">
        <f t="shared" si="120"/>
        <v>0</v>
      </c>
      <c r="AB368">
        <f t="shared" si="121"/>
        <v>26</v>
      </c>
      <c r="AC368">
        <f t="shared" si="122"/>
        <v>0</v>
      </c>
      <c r="AD368">
        <f t="shared" si="123"/>
        <v>25.519625536557282</v>
      </c>
      <c r="AE368">
        <f t="shared" si="124"/>
        <v>0</v>
      </c>
      <c r="AG368" s="109">
        <f t="shared" si="125"/>
        <v>44895</v>
      </c>
      <c r="AH368">
        <f>'Water Stuff'!I338*1000</f>
        <v>620</v>
      </c>
      <c r="AI368">
        <f>'Water Stuff'!Q338*1000</f>
        <v>620</v>
      </c>
      <c r="AJ368">
        <f>'Water Stuff'!Y338*1000</f>
        <v>620</v>
      </c>
      <c r="AK368">
        <f>'Water Stuff'!AG338*1000</f>
        <v>620</v>
      </c>
      <c r="AL368">
        <f>'Water Stuff'!AO338*1000</f>
        <v>620</v>
      </c>
    </row>
    <row r="369" spans="1:38">
      <c r="A369" s="109">
        <f>'Water Stuff'!F339</f>
        <v>44896</v>
      </c>
      <c r="B369">
        <f>IF( 'Water Stuff'!G339*1000 &gt;= 'Water Stuff'!$B$6*1000, 'Water Stuff'!$B$6*1000, 'Water Stuff'!G339*1000)</f>
        <v>0</v>
      </c>
      <c r="C369">
        <f>IF( 'Water Stuff'!O339*1000 &gt;= 'Water Stuff'!$B$6*1000, 'Water Stuff'!$B$6*1000, 'Water Stuff'!O339*1000)</f>
        <v>6920</v>
      </c>
      <c r="D369">
        <f>IF( 'Water Stuff'!W339*1000 &gt;= 'Water Stuff'!$B$6*1000, 'Water Stuff'!$B$6*1000, 'Water Stuff'!W339*1000)</f>
        <v>0</v>
      </c>
      <c r="E369">
        <f>IF( 'Water Stuff'!AE339*1000 &gt;= 'Water Stuff'!$B$6*1000, 'Water Stuff'!$B$6*1000, 'Water Stuff'!AE339*1000)</f>
        <v>7937.8501272263666</v>
      </c>
      <c r="F369">
        <f>IF('Water Stuff'!AM339*1000&gt;='Water Stuff'!$B$6*1000,'Water Stuff'!$B$6*1000,'Water Stuff'!AM339*1000)</f>
        <v>0</v>
      </c>
      <c r="I369">
        <f t="shared" si="105"/>
        <v>0</v>
      </c>
      <c r="J369">
        <f t="shared" si="106"/>
        <v>69.2</v>
      </c>
      <c r="K369">
        <f t="shared" si="107"/>
        <v>0</v>
      </c>
      <c r="L369">
        <f t="shared" si="108"/>
        <v>79.378501272263662</v>
      </c>
      <c r="M369">
        <f t="shared" si="109"/>
        <v>0</v>
      </c>
      <c r="O369">
        <f t="shared" si="110"/>
        <v>0</v>
      </c>
      <c r="P369">
        <f t="shared" si="111"/>
        <v>1.3839999999999999</v>
      </c>
      <c r="Q369">
        <f t="shared" si="112"/>
        <v>0</v>
      </c>
      <c r="R369">
        <f t="shared" si="113"/>
        <v>1.5875700254452734</v>
      </c>
      <c r="S369">
        <f t="shared" si="114"/>
        <v>0</v>
      </c>
      <c r="U369">
        <f t="shared" si="115"/>
        <v>0</v>
      </c>
      <c r="V369">
        <f t="shared" si="116"/>
        <v>34.6</v>
      </c>
      <c r="W369">
        <f t="shared" si="117"/>
        <v>0</v>
      </c>
      <c r="X369">
        <f t="shared" si="118"/>
        <v>39.689250636131831</v>
      </c>
      <c r="Y369">
        <f t="shared" si="119"/>
        <v>0</v>
      </c>
      <c r="AA369">
        <f t="shared" si="120"/>
        <v>0</v>
      </c>
      <c r="AB369">
        <f t="shared" si="121"/>
        <v>69.2</v>
      </c>
      <c r="AC369">
        <f t="shared" si="122"/>
        <v>0</v>
      </c>
      <c r="AD369">
        <f t="shared" si="123"/>
        <v>79.378501272263662</v>
      </c>
      <c r="AE369">
        <f t="shared" si="124"/>
        <v>0</v>
      </c>
      <c r="AG369" s="109">
        <f t="shared" si="125"/>
        <v>44896</v>
      </c>
      <c r="AH369">
        <f>'Water Stuff'!I339*1000</f>
        <v>620</v>
      </c>
      <c r="AI369">
        <f>'Water Stuff'!Q339*1000</f>
        <v>620</v>
      </c>
      <c r="AJ369">
        <f>'Water Stuff'!Y339*1000</f>
        <v>620</v>
      </c>
      <c r="AK369">
        <f>'Water Stuff'!AG339*1000</f>
        <v>620</v>
      </c>
      <c r="AL369">
        <f>'Water Stuff'!AO339*1000</f>
        <v>620</v>
      </c>
    </row>
    <row r="370" spans="1:38">
      <c r="A370" s="109">
        <f>'Water Stuff'!F340</f>
        <v>44897</v>
      </c>
      <c r="B370">
        <f>IF( 'Water Stuff'!G340*1000 &gt;= 'Water Stuff'!$B$6*1000, 'Water Stuff'!$B$6*1000, 'Water Stuff'!G340*1000)</f>
        <v>0</v>
      </c>
      <c r="C370">
        <f>IF( 'Water Stuff'!O340*1000 &gt;= 'Water Stuff'!$B$6*1000, 'Water Stuff'!$B$6*1000, 'Water Stuff'!O340*1000)</f>
        <v>5480</v>
      </c>
      <c r="D370">
        <f>IF( 'Water Stuff'!W340*1000 &gt;= 'Water Stuff'!$B$6*1000, 'Water Stuff'!$B$6*1000, 'Water Stuff'!W340*1000)</f>
        <v>326.67805249882565</v>
      </c>
      <c r="E370">
        <f>IF( 'Water Stuff'!AE340*1000 &gt;= 'Water Stuff'!$B$6*1000, 'Water Stuff'!$B$6*1000, 'Water Stuff'!AE340*1000)</f>
        <v>5749.8374384115177</v>
      </c>
      <c r="F370">
        <f>IF('Water Stuff'!AM340*1000&gt;='Water Stuff'!$B$6*1000,'Water Stuff'!$B$6*1000,'Water Stuff'!AM340*1000)</f>
        <v>1135.2090963360261</v>
      </c>
      <c r="I370">
        <f t="shared" si="105"/>
        <v>0</v>
      </c>
      <c r="J370">
        <f t="shared" si="106"/>
        <v>54.8</v>
      </c>
      <c r="K370">
        <f t="shared" si="107"/>
        <v>3.2667805249882567</v>
      </c>
      <c r="L370">
        <f t="shared" si="108"/>
        <v>57.498374384115174</v>
      </c>
      <c r="M370">
        <f t="shared" si="109"/>
        <v>11.352090963360261</v>
      </c>
      <c r="O370">
        <f t="shared" si="110"/>
        <v>0</v>
      </c>
      <c r="P370">
        <f t="shared" si="111"/>
        <v>1.0960000000000001</v>
      </c>
      <c r="Q370">
        <f t="shared" si="112"/>
        <v>6.533561049976512E-2</v>
      </c>
      <c r="R370">
        <f t="shared" si="113"/>
        <v>1.1499674876823034</v>
      </c>
      <c r="S370">
        <f t="shared" si="114"/>
        <v>0.22704181926720521</v>
      </c>
      <c r="U370">
        <f t="shared" si="115"/>
        <v>0</v>
      </c>
      <c r="V370">
        <f t="shared" si="116"/>
        <v>27.400000000000002</v>
      </c>
      <c r="W370">
        <f t="shared" si="117"/>
        <v>1.6333902624941283</v>
      </c>
      <c r="X370">
        <f t="shared" si="118"/>
        <v>28.74918719205759</v>
      </c>
      <c r="Y370">
        <f t="shared" si="119"/>
        <v>5.6760454816801307</v>
      </c>
      <c r="AA370">
        <f t="shared" si="120"/>
        <v>0</v>
      </c>
      <c r="AB370">
        <f t="shared" si="121"/>
        <v>54.800000000000004</v>
      </c>
      <c r="AC370">
        <f t="shared" si="122"/>
        <v>3.2667805249882567</v>
      </c>
      <c r="AD370">
        <f t="shared" si="123"/>
        <v>57.498374384115181</v>
      </c>
      <c r="AE370">
        <f t="shared" si="124"/>
        <v>11.352090963360261</v>
      </c>
      <c r="AG370" s="109">
        <f t="shared" si="125"/>
        <v>44897</v>
      </c>
      <c r="AH370">
        <f>'Water Stuff'!I340*1000</f>
        <v>620</v>
      </c>
      <c r="AI370">
        <f>'Water Stuff'!Q340*1000</f>
        <v>620</v>
      </c>
      <c r="AJ370">
        <f>'Water Stuff'!Y340*1000</f>
        <v>620</v>
      </c>
      <c r="AK370">
        <f>'Water Stuff'!AG340*1000</f>
        <v>620</v>
      </c>
      <c r="AL370">
        <f>'Water Stuff'!AO340*1000</f>
        <v>620</v>
      </c>
    </row>
    <row r="371" spans="1:38">
      <c r="A371" s="109">
        <f>'Water Stuff'!F341</f>
        <v>44898</v>
      </c>
      <c r="B371">
        <f>IF( 'Water Stuff'!G341*1000 &gt;= 'Water Stuff'!$B$6*1000, 'Water Stuff'!$B$6*1000, 'Water Stuff'!G341*1000)</f>
        <v>0</v>
      </c>
      <c r="C371">
        <f>IF( 'Water Stuff'!O341*1000 &gt;= 'Water Stuff'!$B$6*1000, 'Water Stuff'!$B$6*1000, 'Water Stuff'!O341*1000)</f>
        <v>6520</v>
      </c>
      <c r="D371">
        <f>IF( 'Water Stuff'!W341*1000 &gt;= 'Water Stuff'!$B$6*1000, 'Water Stuff'!$B$6*1000, 'Water Stuff'!W341*1000)</f>
        <v>0</v>
      </c>
      <c r="E371">
        <f>IF( 'Water Stuff'!AE341*1000 &gt;= 'Water Stuff'!$B$6*1000, 'Water Stuff'!$B$6*1000, 'Water Stuff'!AE341*1000)</f>
        <v>3816.975442673428</v>
      </c>
      <c r="F371">
        <f>IF('Water Stuff'!AM341*1000&gt;='Water Stuff'!$B$6*1000,'Water Stuff'!$B$6*1000,'Water Stuff'!AM341*1000)</f>
        <v>0</v>
      </c>
      <c r="I371">
        <f t="shared" si="105"/>
        <v>0</v>
      </c>
      <c r="J371">
        <f t="shared" si="106"/>
        <v>65.2</v>
      </c>
      <c r="K371">
        <f t="shared" si="107"/>
        <v>0</v>
      </c>
      <c r="L371">
        <f t="shared" si="108"/>
        <v>38.169754426734279</v>
      </c>
      <c r="M371">
        <f t="shared" si="109"/>
        <v>0</v>
      </c>
      <c r="O371">
        <f t="shared" si="110"/>
        <v>0</v>
      </c>
      <c r="P371">
        <f t="shared" si="111"/>
        <v>1.304</v>
      </c>
      <c r="Q371">
        <f t="shared" si="112"/>
        <v>0</v>
      </c>
      <c r="R371">
        <f t="shared" si="113"/>
        <v>0.76339508853468552</v>
      </c>
      <c r="S371">
        <f t="shared" si="114"/>
        <v>0</v>
      </c>
      <c r="U371">
        <f t="shared" si="115"/>
        <v>0</v>
      </c>
      <c r="V371">
        <f t="shared" si="116"/>
        <v>32.6</v>
      </c>
      <c r="W371">
        <f t="shared" si="117"/>
        <v>0</v>
      </c>
      <c r="X371">
        <f t="shared" si="118"/>
        <v>19.08487721336714</v>
      </c>
      <c r="Y371">
        <f t="shared" si="119"/>
        <v>0</v>
      </c>
      <c r="AA371">
        <f t="shared" si="120"/>
        <v>0</v>
      </c>
      <c r="AB371">
        <f t="shared" si="121"/>
        <v>65.2</v>
      </c>
      <c r="AC371">
        <f t="shared" si="122"/>
        <v>0</v>
      </c>
      <c r="AD371">
        <f t="shared" si="123"/>
        <v>38.169754426734279</v>
      </c>
      <c r="AE371">
        <f t="shared" si="124"/>
        <v>0</v>
      </c>
      <c r="AG371" s="109">
        <f t="shared" si="125"/>
        <v>44898</v>
      </c>
      <c r="AH371">
        <f>'Water Stuff'!I341*1000</f>
        <v>620</v>
      </c>
      <c r="AI371">
        <f>'Water Stuff'!Q341*1000</f>
        <v>620</v>
      </c>
      <c r="AJ371">
        <f>'Water Stuff'!Y341*1000</f>
        <v>620</v>
      </c>
      <c r="AK371">
        <f>'Water Stuff'!AG341*1000</f>
        <v>620</v>
      </c>
      <c r="AL371">
        <f>'Water Stuff'!AO341*1000</f>
        <v>620</v>
      </c>
    </row>
    <row r="372" spans="1:38">
      <c r="A372" s="109">
        <f>'Water Stuff'!F342</f>
        <v>44899</v>
      </c>
      <c r="B372">
        <f>IF( 'Water Stuff'!G342*1000 &gt;= 'Water Stuff'!$B$6*1000, 'Water Stuff'!$B$6*1000, 'Water Stuff'!G342*1000)</f>
        <v>240</v>
      </c>
      <c r="C372">
        <f>IF( 'Water Stuff'!O342*1000 &gt;= 'Water Stuff'!$B$6*1000, 'Water Stuff'!$B$6*1000, 'Water Stuff'!O342*1000)</f>
        <v>5440</v>
      </c>
      <c r="D372">
        <f>IF( 'Water Stuff'!W342*1000 &gt;= 'Water Stuff'!$B$6*1000, 'Water Stuff'!$B$6*1000, 'Water Stuff'!W342*1000)</f>
        <v>0</v>
      </c>
      <c r="E372">
        <f>IF( 'Water Stuff'!AE342*1000 &gt;= 'Water Stuff'!$B$6*1000, 'Water Stuff'!$B$6*1000, 'Water Stuff'!AE342*1000)</f>
        <v>5822.2655053686776</v>
      </c>
      <c r="F372">
        <f>IF('Water Stuff'!AM342*1000&gt;='Water Stuff'!$B$6*1000,'Water Stuff'!$B$6*1000,'Water Stuff'!AM342*1000)</f>
        <v>0</v>
      </c>
      <c r="I372">
        <f t="shared" si="105"/>
        <v>2.4</v>
      </c>
      <c r="J372">
        <f t="shared" si="106"/>
        <v>54.4</v>
      </c>
      <c r="K372">
        <f t="shared" si="107"/>
        <v>0</v>
      </c>
      <c r="L372">
        <f t="shared" si="108"/>
        <v>58.222655053686772</v>
      </c>
      <c r="M372">
        <f t="shared" si="109"/>
        <v>0</v>
      </c>
      <c r="O372">
        <f t="shared" si="110"/>
        <v>4.8000000000000001E-2</v>
      </c>
      <c r="P372">
        <f t="shared" si="111"/>
        <v>1.0880000000000001</v>
      </c>
      <c r="Q372">
        <f t="shared" si="112"/>
        <v>0</v>
      </c>
      <c r="R372">
        <f t="shared" si="113"/>
        <v>1.1644531010737356</v>
      </c>
      <c r="S372">
        <f t="shared" si="114"/>
        <v>0</v>
      </c>
      <c r="U372">
        <f t="shared" si="115"/>
        <v>1.2</v>
      </c>
      <c r="V372">
        <f t="shared" si="116"/>
        <v>27.2</v>
      </c>
      <c r="W372">
        <f t="shared" si="117"/>
        <v>0</v>
      </c>
      <c r="X372">
        <f t="shared" si="118"/>
        <v>29.11132752684339</v>
      </c>
      <c r="Y372">
        <f t="shared" si="119"/>
        <v>0</v>
      </c>
      <c r="AA372">
        <f t="shared" si="120"/>
        <v>2.4</v>
      </c>
      <c r="AB372">
        <f t="shared" si="121"/>
        <v>54.4</v>
      </c>
      <c r="AC372">
        <f t="shared" si="122"/>
        <v>0</v>
      </c>
      <c r="AD372">
        <f t="shared" si="123"/>
        <v>58.222655053686779</v>
      </c>
      <c r="AE372">
        <f t="shared" si="124"/>
        <v>0</v>
      </c>
      <c r="AG372" s="109">
        <f t="shared" si="125"/>
        <v>44899</v>
      </c>
      <c r="AH372">
        <f>'Water Stuff'!I342*1000</f>
        <v>620</v>
      </c>
      <c r="AI372">
        <f>'Water Stuff'!Q342*1000</f>
        <v>620</v>
      </c>
      <c r="AJ372">
        <f>'Water Stuff'!Y342*1000</f>
        <v>620</v>
      </c>
      <c r="AK372">
        <f>'Water Stuff'!AG342*1000</f>
        <v>620</v>
      </c>
      <c r="AL372">
        <f>'Water Stuff'!AO342*1000</f>
        <v>620</v>
      </c>
    </row>
    <row r="373" spans="1:38">
      <c r="A373" s="109">
        <f>'Water Stuff'!F343</f>
        <v>44900</v>
      </c>
      <c r="B373">
        <f>IF( 'Water Stuff'!G343*1000 &gt;= 'Water Stuff'!$B$6*1000, 'Water Stuff'!$B$6*1000, 'Water Stuff'!G343*1000)</f>
        <v>9080</v>
      </c>
      <c r="C373">
        <f>IF( 'Water Stuff'!O343*1000 &gt;= 'Water Stuff'!$B$6*1000, 'Water Stuff'!$B$6*1000, 'Water Stuff'!O343*1000)</f>
        <v>6759.9999999999991</v>
      </c>
      <c r="D373">
        <f>IF( 'Water Stuff'!W343*1000 &gt;= 'Water Stuff'!$B$6*1000, 'Water Stuff'!$B$6*1000, 'Water Stuff'!W343*1000)</f>
        <v>9644.9900657568742</v>
      </c>
      <c r="E373">
        <f>IF( 'Water Stuff'!AE343*1000 &gt;= 'Water Stuff'!$B$6*1000, 'Water Stuff'!$B$6*1000, 'Water Stuff'!AE343*1000)</f>
        <v>7362.3844442145109</v>
      </c>
      <c r="F373">
        <f>IF('Water Stuff'!AM343*1000&gt;='Water Stuff'!$B$6*1000,'Water Stuff'!$B$6*1000,'Water Stuff'!AM343*1000)</f>
        <v>6843.0356621340807</v>
      </c>
      <c r="I373">
        <f t="shared" si="105"/>
        <v>90.8</v>
      </c>
      <c r="J373">
        <f t="shared" si="106"/>
        <v>67.59999999999998</v>
      </c>
      <c r="K373">
        <f t="shared" si="107"/>
        <v>96.449900657568733</v>
      </c>
      <c r="L373">
        <f t="shared" si="108"/>
        <v>73.623844442145113</v>
      </c>
      <c r="M373">
        <f t="shared" si="109"/>
        <v>68.430356621340806</v>
      </c>
      <c r="O373">
        <f t="shared" si="110"/>
        <v>1.8160000000000001</v>
      </c>
      <c r="P373">
        <f t="shared" si="111"/>
        <v>1.3519999999999996</v>
      </c>
      <c r="Q373">
        <f t="shared" si="112"/>
        <v>1.9289980131513749</v>
      </c>
      <c r="R373">
        <f t="shared" si="113"/>
        <v>1.4724768888429021</v>
      </c>
      <c r="S373">
        <f t="shared" si="114"/>
        <v>1.3686071324268161</v>
      </c>
      <c r="U373">
        <f t="shared" si="115"/>
        <v>45.4</v>
      </c>
      <c r="V373">
        <f t="shared" si="116"/>
        <v>33.799999999999997</v>
      </c>
      <c r="W373">
        <f t="shared" si="117"/>
        <v>48.224950328784374</v>
      </c>
      <c r="X373">
        <f t="shared" si="118"/>
        <v>36.811922221072557</v>
      </c>
      <c r="Y373">
        <f t="shared" si="119"/>
        <v>34.215178310670403</v>
      </c>
      <c r="AA373">
        <f t="shared" si="120"/>
        <v>90.8</v>
      </c>
      <c r="AB373">
        <f t="shared" si="121"/>
        <v>67.599999999999994</v>
      </c>
      <c r="AC373">
        <f t="shared" si="122"/>
        <v>96.449900657568747</v>
      </c>
      <c r="AD373">
        <f t="shared" si="123"/>
        <v>73.623844442145113</v>
      </c>
      <c r="AE373">
        <f t="shared" si="124"/>
        <v>68.430356621340806</v>
      </c>
      <c r="AG373" s="109">
        <f t="shared" si="125"/>
        <v>44900</v>
      </c>
      <c r="AH373">
        <f>'Water Stuff'!I343*1000</f>
        <v>620</v>
      </c>
      <c r="AI373">
        <f>'Water Stuff'!Q343*1000</f>
        <v>620</v>
      </c>
      <c r="AJ373">
        <f>'Water Stuff'!Y343*1000</f>
        <v>620</v>
      </c>
      <c r="AK373">
        <f>'Water Stuff'!AG343*1000</f>
        <v>620</v>
      </c>
      <c r="AL373">
        <f>'Water Stuff'!AO343*1000</f>
        <v>620</v>
      </c>
    </row>
    <row r="374" spans="1:38">
      <c r="A374" s="109">
        <f>'Water Stuff'!F344</f>
        <v>44901</v>
      </c>
      <c r="B374">
        <f>IF( 'Water Stuff'!G344*1000 &gt;= 'Water Stuff'!$B$6*1000, 'Water Stuff'!$B$6*1000, 'Water Stuff'!G344*1000)</f>
        <v>160</v>
      </c>
      <c r="C374">
        <f>IF( 'Water Stuff'!O344*1000 &gt;= 'Water Stuff'!$B$6*1000, 'Water Stuff'!$B$6*1000, 'Water Stuff'!O344*1000)</f>
        <v>4480</v>
      </c>
      <c r="D374">
        <f>IF( 'Water Stuff'!W344*1000 &gt;= 'Water Stuff'!$B$6*1000, 'Water Stuff'!$B$6*1000, 'Water Stuff'!W344*1000)</f>
        <v>0</v>
      </c>
      <c r="E374">
        <f>IF( 'Water Stuff'!AE344*1000 &gt;= 'Water Stuff'!$B$6*1000, 'Water Stuff'!$B$6*1000, 'Water Stuff'!AE344*1000)</f>
        <v>3402.1921135507177</v>
      </c>
      <c r="F374">
        <f>IF('Water Stuff'!AM344*1000&gt;='Water Stuff'!$B$6*1000,'Water Stuff'!$B$6*1000,'Water Stuff'!AM344*1000)</f>
        <v>0</v>
      </c>
      <c r="I374">
        <f t="shared" si="105"/>
        <v>1.6</v>
      </c>
      <c r="J374">
        <f t="shared" si="106"/>
        <v>44.8</v>
      </c>
      <c r="K374">
        <f t="shared" si="107"/>
        <v>0</v>
      </c>
      <c r="L374">
        <f t="shared" si="108"/>
        <v>34.021921135507178</v>
      </c>
      <c r="M374">
        <f t="shared" si="109"/>
        <v>0</v>
      </c>
      <c r="O374">
        <f t="shared" si="110"/>
        <v>3.2000000000000001E-2</v>
      </c>
      <c r="P374">
        <f t="shared" si="111"/>
        <v>0.89600000000000002</v>
      </c>
      <c r="Q374">
        <f t="shared" si="112"/>
        <v>0</v>
      </c>
      <c r="R374">
        <f t="shared" si="113"/>
        <v>0.68043842271014354</v>
      </c>
      <c r="S374">
        <f t="shared" si="114"/>
        <v>0</v>
      </c>
      <c r="U374">
        <f t="shared" si="115"/>
        <v>0.8</v>
      </c>
      <c r="V374">
        <f t="shared" si="116"/>
        <v>22.400000000000002</v>
      </c>
      <c r="W374">
        <f t="shared" si="117"/>
        <v>0</v>
      </c>
      <c r="X374">
        <f t="shared" si="118"/>
        <v>17.010960567753589</v>
      </c>
      <c r="Y374">
        <f t="shared" si="119"/>
        <v>0</v>
      </c>
      <c r="AA374">
        <f t="shared" si="120"/>
        <v>1.6</v>
      </c>
      <c r="AB374">
        <f t="shared" si="121"/>
        <v>44.800000000000004</v>
      </c>
      <c r="AC374">
        <f t="shared" si="122"/>
        <v>0</v>
      </c>
      <c r="AD374">
        <f t="shared" si="123"/>
        <v>34.021921135507178</v>
      </c>
      <c r="AE374">
        <f t="shared" si="124"/>
        <v>0</v>
      </c>
      <c r="AG374" s="109">
        <f t="shared" si="125"/>
        <v>44901</v>
      </c>
      <c r="AH374">
        <f>'Water Stuff'!I344*1000</f>
        <v>620</v>
      </c>
      <c r="AI374">
        <f>'Water Stuff'!Q344*1000</f>
        <v>620</v>
      </c>
      <c r="AJ374">
        <f>'Water Stuff'!Y344*1000</f>
        <v>620</v>
      </c>
      <c r="AK374">
        <f>'Water Stuff'!AG344*1000</f>
        <v>620</v>
      </c>
      <c r="AL374">
        <f>'Water Stuff'!AO344*1000</f>
        <v>620</v>
      </c>
    </row>
    <row r="375" spans="1:38">
      <c r="A375" s="109">
        <f>'Water Stuff'!F345</f>
        <v>44902</v>
      </c>
      <c r="B375">
        <f>IF( 'Water Stuff'!G345*1000 &gt;= 'Water Stuff'!$B$6*1000, 'Water Stuff'!$B$6*1000, 'Water Stuff'!G345*1000)</f>
        <v>3040</v>
      </c>
      <c r="C375">
        <f>IF( 'Water Stuff'!O345*1000 &gt;= 'Water Stuff'!$B$6*1000, 'Water Stuff'!$B$6*1000, 'Water Stuff'!O345*1000)</f>
        <v>7440.0000000000009</v>
      </c>
      <c r="D375">
        <f>IF( 'Water Stuff'!W345*1000 &gt;= 'Water Stuff'!$B$6*1000, 'Water Stuff'!$B$6*1000, 'Water Stuff'!W345*1000)</f>
        <v>3466.5283116355922</v>
      </c>
      <c r="E375">
        <f>IF( 'Water Stuff'!AE345*1000 &gt;= 'Water Stuff'!$B$6*1000, 'Water Stuff'!$B$6*1000, 'Water Stuff'!AE345*1000)</f>
        <v>8867.1033804985163</v>
      </c>
      <c r="F375">
        <f>IF('Water Stuff'!AM345*1000&gt;='Water Stuff'!$B$6*1000,'Water Stuff'!$B$6*1000,'Water Stuff'!AM345*1000)</f>
        <v>2412.2646104340638</v>
      </c>
      <c r="I375">
        <f t="shared" si="105"/>
        <v>30.4</v>
      </c>
      <c r="J375">
        <f t="shared" si="106"/>
        <v>74.40000000000002</v>
      </c>
      <c r="K375">
        <f t="shared" si="107"/>
        <v>34.665283116355923</v>
      </c>
      <c r="L375">
        <f t="shared" si="108"/>
        <v>88.671033804985171</v>
      </c>
      <c r="M375">
        <f t="shared" si="109"/>
        <v>24.122646104340639</v>
      </c>
      <c r="O375">
        <f t="shared" si="110"/>
        <v>0.60799999999999998</v>
      </c>
      <c r="P375">
        <f t="shared" si="111"/>
        <v>1.4880000000000004</v>
      </c>
      <c r="Q375">
        <f t="shared" si="112"/>
        <v>0.69330566232711843</v>
      </c>
      <c r="R375">
        <f t="shared" si="113"/>
        <v>1.7734206760997033</v>
      </c>
      <c r="S375">
        <f t="shared" si="114"/>
        <v>0.48245292208681273</v>
      </c>
      <c r="U375">
        <f t="shared" si="115"/>
        <v>15.200000000000001</v>
      </c>
      <c r="V375">
        <f t="shared" si="116"/>
        <v>37.200000000000003</v>
      </c>
      <c r="W375">
        <f t="shared" si="117"/>
        <v>17.332641558177961</v>
      </c>
      <c r="X375">
        <f t="shared" si="118"/>
        <v>44.335516902492586</v>
      </c>
      <c r="Y375">
        <f t="shared" si="119"/>
        <v>12.061323052170319</v>
      </c>
      <c r="AA375">
        <f t="shared" si="120"/>
        <v>30.400000000000002</v>
      </c>
      <c r="AB375">
        <f t="shared" si="121"/>
        <v>74.400000000000006</v>
      </c>
      <c r="AC375">
        <f t="shared" si="122"/>
        <v>34.665283116355923</v>
      </c>
      <c r="AD375">
        <f t="shared" si="123"/>
        <v>88.671033804985171</v>
      </c>
      <c r="AE375">
        <f t="shared" si="124"/>
        <v>24.122646104340639</v>
      </c>
      <c r="AG375" s="109">
        <f t="shared" si="125"/>
        <v>44902</v>
      </c>
      <c r="AH375">
        <f>'Water Stuff'!I345*1000</f>
        <v>620</v>
      </c>
      <c r="AI375">
        <f>'Water Stuff'!Q345*1000</f>
        <v>620</v>
      </c>
      <c r="AJ375">
        <f>'Water Stuff'!Y345*1000</f>
        <v>620</v>
      </c>
      <c r="AK375">
        <f>'Water Stuff'!AG345*1000</f>
        <v>620</v>
      </c>
      <c r="AL375">
        <f>'Water Stuff'!AO345*1000</f>
        <v>620</v>
      </c>
    </row>
    <row r="376" spans="1:38">
      <c r="A376" s="109">
        <f>'Water Stuff'!F346</f>
        <v>44903</v>
      </c>
      <c r="B376">
        <f>IF( 'Water Stuff'!G346*1000 &gt;= 'Water Stuff'!$B$6*1000, 'Water Stuff'!$B$6*1000, 'Water Stuff'!G346*1000)</f>
        <v>9720</v>
      </c>
      <c r="C376">
        <f>IF( 'Water Stuff'!O346*1000 &gt;= 'Water Stuff'!$B$6*1000, 'Water Stuff'!$B$6*1000, 'Water Stuff'!O346*1000)</f>
        <v>5400</v>
      </c>
      <c r="D376">
        <f>IF( 'Water Stuff'!W346*1000 &gt;= 'Water Stuff'!$B$6*1000, 'Water Stuff'!$B$6*1000, 'Water Stuff'!W346*1000)</f>
        <v>9366.1665327894007</v>
      </c>
      <c r="E376">
        <f>IF( 'Water Stuff'!AE346*1000 &gt;= 'Water Stuff'!$B$6*1000, 'Water Stuff'!$B$6*1000, 'Water Stuff'!AE346*1000)</f>
        <v>6267.1094660539256</v>
      </c>
      <c r="F376">
        <f>IF('Water Stuff'!AM346*1000&gt;='Water Stuff'!$B$6*1000,'Water Stuff'!$B$6*1000,'Water Stuff'!AM346*1000)</f>
        <v>6348.9521357738686</v>
      </c>
      <c r="I376">
        <f t="shared" si="105"/>
        <v>97.2</v>
      </c>
      <c r="J376">
        <f t="shared" si="106"/>
        <v>54</v>
      </c>
      <c r="K376">
        <f t="shared" si="107"/>
        <v>93.661665327894013</v>
      </c>
      <c r="L376">
        <f t="shared" si="108"/>
        <v>62.671094660539254</v>
      </c>
      <c r="M376">
        <f t="shared" si="109"/>
        <v>63.489521357738688</v>
      </c>
      <c r="O376">
        <f t="shared" si="110"/>
        <v>1.944</v>
      </c>
      <c r="P376">
        <f t="shared" si="111"/>
        <v>1.08</v>
      </c>
      <c r="Q376">
        <f t="shared" si="112"/>
        <v>1.8732333065578801</v>
      </c>
      <c r="R376">
        <f t="shared" si="113"/>
        <v>1.2534218932107852</v>
      </c>
      <c r="S376">
        <f t="shared" si="114"/>
        <v>1.2697904271547735</v>
      </c>
      <c r="U376">
        <f t="shared" si="115"/>
        <v>48.6</v>
      </c>
      <c r="V376">
        <f t="shared" si="116"/>
        <v>27</v>
      </c>
      <c r="W376">
        <f t="shared" si="117"/>
        <v>46.830832663947007</v>
      </c>
      <c r="X376">
        <f t="shared" si="118"/>
        <v>31.33554733026963</v>
      </c>
      <c r="Y376">
        <f t="shared" si="119"/>
        <v>31.744760678869344</v>
      </c>
      <c r="AA376">
        <f t="shared" si="120"/>
        <v>97.2</v>
      </c>
      <c r="AB376">
        <f t="shared" si="121"/>
        <v>54</v>
      </c>
      <c r="AC376">
        <f t="shared" si="122"/>
        <v>93.661665327894013</v>
      </c>
      <c r="AD376">
        <f t="shared" si="123"/>
        <v>62.671094660539261</v>
      </c>
      <c r="AE376">
        <f t="shared" si="124"/>
        <v>63.489521357738688</v>
      </c>
      <c r="AG376" s="109">
        <f t="shared" si="125"/>
        <v>44903</v>
      </c>
      <c r="AH376">
        <f>'Water Stuff'!I346*1000</f>
        <v>620</v>
      </c>
      <c r="AI376">
        <f>'Water Stuff'!Q346*1000</f>
        <v>620</v>
      </c>
      <c r="AJ376">
        <f>'Water Stuff'!Y346*1000</f>
        <v>620</v>
      </c>
      <c r="AK376">
        <f>'Water Stuff'!AG346*1000</f>
        <v>620</v>
      </c>
      <c r="AL376">
        <f>'Water Stuff'!AO346*1000</f>
        <v>620</v>
      </c>
    </row>
    <row r="377" spans="1:38">
      <c r="A377" s="109">
        <f>'Water Stuff'!F347</f>
        <v>44904</v>
      </c>
      <c r="B377">
        <f>IF( 'Water Stuff'!G347*1000 &gt;= 'Water Stuff'!$B$6*1000, 'Water Stuff'!$B$6*1000, 'Water Stuff'!G347*1000)</f>
        <v>6840.0000000000009</v>
      </c>
      <c r="C377">
        <f>IF( 'Water Stuff'!O347*1000 &gt;= 'Water Stuff'!$B$6*1000, 'Water Stuff'!$B$6*1000, 'Water Stuff'!O347*1000)</f>
        <v>960</v>
      </c>
      <c r="D377">
        <f>IF( 'Water Stuff'!W347*1000 &gt;= 'Water Stuff'!$B$6*1000, 'Water Stuff'!$B$6*1000, 'Water Stuff'!W347*1000)</f>
        <v>4458.6591419122842</v>
      </c>
      <c r="E377">
        <f>IF( 'Water Stuff'!AE347*1000 &gt;= 'Water Stuff'!$B$6*1000, 'Water Stuff'!$B$6*1000, 'Water Stuff'!AE347*1000)</f>
        <v>1663.7764348694438</v>
      </c>
      <c r="F377">
        <f>IF('Water Stuff'!AM347*1000&gt;='Water Stuff'!$B$6*1000,'Water Stuff'!$B$6*1000,'Water Stuff'!AM347*1000)</f>
        <v>2901.4842561264122</v>
      </c>
      <c r="I377">
        <f t="shared" si="105"/>
        <v>68.40000000000002</v>
      </c>
      <c r="J377">
        <f t="shared" si="106"/>
        <v>9.6</v>
      </c>
      <c r="K377">
        <f t="shared" si="107"/>
        <v>44.586591419122847</v>
      </c>
      <c r="L377">
        <f t="shared" si="108"/>
        <v>16.637764348694439</v>
      </c>
      <c r="M377">
        <f t="shared" si="109"/>
        <v>29.014842561264121</v>
      </c>
      <c r="O377">
        <f t="shared" si="110"/>
        <v>1.3680000000000005</v>
      </c>
      <c r="P377">
        <f t="shared" si="111"/>
        <v>0.192</v>
      </c>
      <c r="Q377">
        <f t="shared" si="112"/>
        <v>0.89173182838245701</v>
      </c>
      <c r="R377">
        <f t="shared" si="113"/>
        <v>0.33275528697388873</v>
      </c>
      <c r="S377">
        <f t="shared" si="114"/>
        <v>0.58029685122528252</v>
      </c>
      <c r="U377">
        <f t="shared" si="115"/>
        <v>34.200000000000003</v>
      </c>
      <c r="V377">
        <f t="shared" si="116"/>
        <v>4.8</v>
      </c>
      <c r="W377">
        <f t="shared" si="117"/>
        <v>22.29329570956142</v>
      </c>
      <c r="X377">
        <f t="shared" si="118"/>
        <v>8.3188821743472197</v>
      </c>
      <c r="Y377">
        <f t="shared" si="119"/>
        <v>14.507421280632061</v>
      </c>
      <c r="AA377">
        <f t="shared" si="120"/>
        <v>68.400000000000006</v>
      </c>
      <c r="AB377">
        <f t="shared" si="121"/>
        <v>9.6</v>
      </c>
      <c r="AC377">
        <f t="shared" si="122"/>
        <v>44.58659141912284</v>
      </c>
      <c r="AD377">
        <f t="shared" si="123"/>
        <v>16.637764348694439</v>
      </c>
      <c r="AE377">
        <f t="shared" si="124"/>
        <v>29.014842561264121</v>
      </c>
      <c r="AG377" s="109">
        <f t="shared" si="125"/>
        <v>44904</v>
      </c>
      <c r="AH377">
        <f>'Water Stuff'!I347*1000</f>
        <v>620</v>
      </c>
      <c r="AI377">
        <f>'Water Stuff'!Q347*1000</f>
        <v>620</v>
      </c>
      <c r="AJ377">
        <f>'Water Stuff'!Y347*1000</f>
        <v>620</v>
      </c>
      <c r="AK377">
        <f>'Water Stuff'!AG347*1000</f>
        <v>620</v>
      </c>
      <c r="AL377">
        <f>'Water Stuff'!AO347*1000</f>
        <v>620</v>
      </c>
    </row>
    <row r="378" spans="1:38">
      <c r="A378" s="109">
        <f>'Water Stuff'!F348</f>
        <v>44905</v>
      </c>
      <c r="B378">
        <f>IF( 'Water Stuff'!G348*1000 &gt;= 'Water Stuff'!$B$6*1000, 'Water Stuff'!$B$6*1000, 'Water Stuff'!G348*1000)</f>
        <v>880.00000000000011</v>
      </c>
      <c r="C378">
        <f>IF( 'Water Stuff'!O348*1000 &gt;= 'Water Stuff'!$B$6*1000, 'Water Stuff'!$B$6*1000, 'Water Stuff'!O348*1000)</f>
        <v>2440</v>
      </c>
      <c r="D378">
        <f>IF( 'Water Stuff'!W348*1000 &gt;= 'Water Stuff'!$B$6*1000, 'Water Stuff'!$B$6*1000, 'Water Stuff'!W348*1000)</f>
        <v>703.70037605096343</v>
      </c>
      <c r="E378">
        <f>IF( 'Water Stuff'!AE348*1000 &gt;= 'Water Stuff'!$B$6*1000, 'Water Stuff'!$B$6*1000, 'Water Stuff'!AE348*1000)</f>
        <v>2021.551379054102</v>
      </c>
      <c r="F378">
        <f>IF('Water Stuff'!AM348*1000&gt;='Water Stuff'!$B$6*1000,'Water Stuff'!$B$6*1000,'Water Stuff'!AM348*1000)</f>
        <v>0</v>
      </c>
      <c r="I378">
        <f t="shared" si="105"/>
        <v>8.8000000000000025</v>
      </c>
      <c r="J378">
        <f t="shared" si="106"/>
        <v>24.4</v>
      </c>
      <c r="K378">
        <f t="shared" si="107"/>
        <v>7.0370037605096343</v>
      </c>
      <c r="L378">
        <f t="shared" si="108"/>
        <v>20.215513790541021</v>
      </c>
      <c r="M378">
        <f t="shared" si="109"/>
        <v>0</v>
      </c>
      <c r="O378">
        <f t="shared" si="110"/>
        <v>0.17600000000000005</v>
      </c>
      <c r="P378">
        <f t="shared" si="111"/>
        <v>0.48799999999999999</v>
      </c>
      <c r="Q378">
        <f t="shared" si="112"/>
        <v>0.14074007521019269</v>
      </c>
      <c r="R378">
        <f t="shared" si="113"/>
        <v>0.40431027581082035</v>
      </c>
      <c r="S378">
        <f t="shared" si="114"/>
        <v>0</v>
      </c>
      <c r="U378">
        <f t="shared" si="115"/>
        <v>4.4000000000000004</v>
      </c>
      <c r="V378">
        <f t="shared" si="116"/>
        <v>12.200000000000001</v>
      </c>
      <c r="W378">
        <f t="shared" si="117"/>
        <v>3.5185018802548171</v>
      </c>
      <c r="X378">
        <f t="shared" si="118"/>
        <v>10.10775689527051</v>
      </c>
      <c r="Y378">
        <f t="shared" si="119"/>
        <v>0</v>
      </c>
      <c r="AA378">
        <f t="shared" si="120"/>
        <v>8.8000000000000007</v>
      </c>
      <c r="AB378">
        <f t="shared" si="121"/>
        <v>24.400000000000002</v>
      </c>
      <c r="AC378">
        <f t="shared" si="122"/>
        <v>7.0370037605096343</v>
      </c>
      <c r="AD378">
        <f t="shared" si="123"/>
        <v>20.215513790541021</v>
      </c>
      <c r="AE378">
        <f t="shared" si="124"/>
        <v>0</v>
      </c>
      <c r="AG378" s="109">
        <f t="shared" si="125"/>
        <v>44905</v>
      </c>
      <c r="AH378">
        <f>'Water Stuff'!I348*1000</f>
        <v>620</v>
      </c>
      <c r="AI378">
        <f>'Water Stuff'!Q348*1000</f>
        <v>620</v>
      </c>
      <c r="AJ378">
        <f>'Water Stuff'!Y348*1000</f>
        <v>620</v>
      </c>
      <c r="AK378">
        <f>'Water Stuff'!AG348*1000</f>
        <v>620</v>
      </c>
      <c r="AL378">
        <f>'Water Stuff'!AO348*1000</f>
        <v>620</v>
      </c>
    </row>
    <row r="379" spans="1:38">
      <c r="A379" s="109">
        <f>'Water Stuff'!F349</f>
        <v>44906</v>
      </c>
      <c r="B379">
        <f>IF( 'Water Stuff'!G349*1000 &gt;= 'Water Stuff'!$B$6*1000, 'Water Stuff'!$B$6*1000, 'Water Stuff'!G349*1000)</f>
        <v>3560</v>
      </c>
      <c r="C379">
        <f>IF( 'Water Stuff'!O349*1000 &gt;= 'Water Stuff'!$B$6*1000, 'Water Stuff'!$B$6*1000, 'Water Stuff'!O349*1000)</f>
        <v>680</v>
      </c>
      <c r="D379">
        <f>IF( 'Water Stuff'!W349*1000 &gt;= 'Water Stuff'!$B$6*1000, 'Water Stuff'!$B$6*1000, 'Water Stuff'!W349*1000)</f>
        <v>352.0906699424466</v>
      </c>
      <c r="E379">
        <f>IF( 'Water Stuff'!AE349*1000 &gt;= 'Water Stuff'!$B$6*1000, 'Water Stuff'!$B$6*1000, 'Water Stuff'!AE349*1000)</f>
        <v>1028.8678214771101</v>
      </c>
      <c r="F379">
        <f>IF('Water Stuff'!AM349*1000&gt;='Water Stuff'!$B$6*1000,'Water Stuff'!$B$6*1000,'Water Stuff'!AM349*1000)</f>
        <v>102.34145592210098</v>
      </c>
      <c r="I379">
        <f t="shared" si="105"/>
        <v>35.6</v>
      </c>
      <c r="J379">
        <f t="shared" si="106"/>
        <v>6.8</v>
      </c>
      <c r="K379">
        <f t="shared" si="107"/>
        <v>3.520906699424466</v>
      </c>
      <c r="L379">
        <f t="shared" si="108"/>
        <v>10.2886782147711</v>
      </c>
      <c r="M379">
        <f t="shared" si="109"/>
        <v>1.0234145592210098</v>
      </c>
      <c r="O379">
        <f t="shared" si="110"/>
        <v>0.71199999999999997</v>
      </c>
      <c r="P379">
        <f t="shared" si="111"/>
        <v>0.13600000000000001</v>
      </c>
      <c r="Q379">
        <f t="shared" si="112"/>
        <v>7.0418133988489312E-2</v>
      </c>
      <c r="R379">
        <f t="shared" si="113"/>
        <v>0.20577356429542201</v>
      </c>
      <c r="S379">
        <f t="shared" si="114"/>
        <v>2.0468291184420194E-2</v>
      </c>
      <c r="U379">
        <f t="shared" si="115"/>
        <v>17.8</v>
      </c>
      <c r="V379">
        <f t="shared" si="116"/>
        <v>3.4</v>
      </c>
      <c r="W379">
        <f t="shared" si="117"/>
        <v>1.760453349712233</v>
      </c>
      <c r="X379">
        <f t="shared" si="118"/>
        <v>5.1443391073855507</v>
      </c>
      <c r="Y379">
        <f t="shared" si="119"/>
        <v>0.51170727961050488</v>
      </c>
      <c r="AA379">
        <f t="shared" si="120"/>
        <v>35.6</v>
      </c>
      <c r="AB379">
        <f t="shared" si="121"/>
        <v>6.8</v>
      </c>
      <c r="AC379">
        <f t="shared" si="122"/>
        <v>3.520906699424466</v>
      </c>
      <c r="AD379">
        <f t="shared" si="123"/>
        <v>10.288678214771101</v>
      </c>
      <c r="AE379">
        <f t="shared" si="124"/>
        <v>1.0234145592210098</v>
      </c>
      <c r="AG379" s="109">
        <f t="shared" si="125"/>
        <v>44906</v>
      </c>
      <c r="AH379">
        <f>'Water Stuff'!I349*1000</f>
        <v>620</v>
      </c>
      <c r="AI379">
        <f>'Water Stuff'!Q349*1000</f>
        <v>620</v>
      </c>
      <c r="AJ379">
        <f>'Water Stuff'!Y349*1000</f>
        <v>620</v>
      </c>
      <c r="AK379">
        <f>'Water Stuff'!AG349*1000</f>
        <v>620</v>
      </c>
      <c r="AL379">
        <f>'Water Stuff'!AO349*1000</f>
        <v>620</v>
      </c>
    </row>
    <row r="380" spans="1:38">
      <c r="A380" s="109">
        <f>'Water Stuff'!F350</f>
        <v>44907</v>
      </c>
      <c r="B380">
        <f>IF( 'Water Stuff'!G350*1000 &gt;= 'Water Stuff'!$B$6*1000, 'Water Stuff'!$B$6*1000, 'Water Stuff'!G350*1000)</f>
        <v>280</v>
      </c>
      <c r="C380">
        <f>IF( 'Water Stuff'!O350*1000 &gt;= 'Water Stuff'!$B$6*1000, 'Water Stuff'!$B$6*1000, 'Water Stuff'!O350*1000)</f>
        <v>4760</v>
      </c>
      <c r="D380">
        <f>IF( 'Water Stuff'!W350*1000 &gt;= 'Water Stuff'!$B$6*1000, 'Water Stuff'!$B$6*1000, 'Water Stuff'!W350*1000)</f>
        <v>0</v>
      </c>
      <c r="E380">
        <f>IF( 'Water Stuff'!AE350*1000 &gt;= 'Water Stuff'!$B$6*1000, 'Water Stuff'!$B$6*1000, 'Water Stuff'!AE350*1000)</f>
        <v>1951.3244621909805</v>
      </c>
      <c r="F380">
        <f>IF('Water Stuff'!AM350*1000&gt;='Water Stuff'!$B$6*1000,'Water Stuff'!$B$6*1000,'Water Stuff'!AM350*1000)</f>
        <v>802.71814173323185</v>
      </c>
      <c r="I380">
        <f t="shared" si="105"/>
        <v>2.8</v>
      </c>
      <c r="J380">
        <f t="shared" si="106"/>
        <v>47.6</v>
      </c>
      <c r="K380">
        <f t="shared" si="107"/>
        <v>0</v>
      </c>
      <c r="L380">
        <f t="shared" si="108"/>
        <v>19.513244621909806</v>
      </c>
      <c r="M380">
        <f t="shared" si="109"/>
        <v>8.0271814173323186</v>
      </c>
      <c r="O380">
        <f t="shared" si="110"/>
        <v>5.6000000000000001E-2</v>
      </c>
      <c r="P380">
        <f t="shared" si="111"/>
        <v>0.95199999999999996</v>
      </c>
      <c r="Q380">
        <f t="shared" si="112"/>
        <v>0</v>
      </c>
      <c r="R380">
        <f t="shared" si="113"/>
        <v>0.39026489243819612</v>
      </c>
      <c r="S380">
        <f t="shared" si="114"/>
        <v>0.16054362834664634</v>
      </c>
      <c r="U380">
        <f t="shared" si="115"/>
        <v>1.4000000000000001</v>
      </c>
      <c r="V380">
        <f t="shared" si="116"/>
        <v>23.8</v>
      </c>
      <c r="W380">
        <f t="shared" si="117"/>
        <v>0</v>
      </c>
      <c r="X380">
        <f t="shared" si="118"/>
        <v>9.7566223109549028</v>
      </c>
      <c r="Y380">
        <f t="shared" si="119"/>
        <v>4.0135907086661593</v>
      </c>
      <c r="AA380">
        <f t="shared" si="120"/>
        <v>2.8000000000000003</v>
      </c>
      <c r="AB380">
        <f t="shared" si="121"/>
        <v>47.6</v>
      </c>
      <c r="AC380">
        <f t="shared" si="122"/>
        <v>0</v>
      </c>
      <c r="AD380">
        <f t="shared" si="123"/>
        <v>19.513244621909806</v>
      </c>
      <c r="AE380">
        <f t="shared" si="124"/>
        <v>8.0271814173323186</v>
      </c>
      <c r="AG380" s="109">
        <f t="shared" si="125"/>
        <v>44907</v>
      </c>
      <c r="AH380">
        <f>'Water Stuff'!I350*1000</f>
        <v>620</v>
      </c>
      <c r="AI380">
        <f>'Water Stuff'!Q350*1000</f>
        <v>620</v>
      </c>
      <c r="AJ380">
        <f>'Water Stuff'!Y350*1000</f>
        <v>620</v>
      </c>
      <c r="AK380">
        <f>'Water Stuff'!AG350*1000</f>
        <v>620</v>
      </c>
      <c r="AL380">
        <f>'Water Stuff'!AO350*1000</f>
        <v>620</v>
      </c>
    </row>
    <row r="381" spans="1:38">
      <c r="A381" s="109">
        <f>'Water Stuff'!F351</f>
        <v>44908</v>
      </c>
      <c r="B381">
        <f>IF( 'Water Stuff'!G351*1000 &gt;= 'Water Stuff'!$B$6*1000, 'Water Stuff'!$B$6*1000, 'Water Stuff'!G351*1000)</f>
        <v>200</v>
      </c>
      <c r="C381">
        <f>IF( 'Water Stuff'!O351*1000 &gt;= 'Water Stuff'!$B$6*1000, 'Water Stuff'!$B$6*1000, 'Water Stuff'!O351*1000)</f>
        <v>0</v>
      </c>
      <c r="D381">
        <f>IF( 'Water Stuff'!W351*1000 &gt;= 'Water Stuff'!$B$6*1000, 'Water Stuff'!$B$6*1000, 'Water Stuff'!W351*1000)</f>
        <v>0</v>
      </c>
      <c r="E381">
        <f>IF( 'Water Stuff'!AE351*1000 &gt;= 'Water Stuff'!$B$6*1000, 'Water Stuff'!$B$6*1000, 'Water Stuff'!AE351*1000)</f>
        <v>0</v>
      </c>
      <c r="F381">
        <f>IF('Water Stuff'!AM351*1000&gt;='Water Stuff'!$B$6*1000,'Water Stuff'!$B$6*1000,'Water Stuff'!AM351*1000)</f>
        <v>0</v>
      </c>
      <c r="I381">
        <f t="shared" si="105"/>
        <v>2</v>
      </c>
      <c r="J381">
        <f t="shared" si="106"/>
        <v>0</v>
      </c>
      <c r="K381">
        <f t="shared" si="107"/>
        <v>0</v>
      </c>
      <c r="L381">
        <f t="shared" si="108"/>
        <v>0</v>
      </c>
      <c r="M381">
        <f t="shared" si="109"/>
        <v>0</v>
      </c>
      <c r="O381">
        <f t="shared" si="110"/>
        <v>0.04</v>
      </c>
      <c r="P381">
        <f t="shared" si="111"/>
        <v>0</v>
      </c>
      <c r="Q381">
        <f t="shared" si="112"/>
        <v>0</v>
      </c>
      <c r="R381">
        <f t="shared" si="113"/>
        <v>0</v>
      </c>
      <c r="S381">
        <f t="shared" si="114"/>
        <v>0</v>
      </c>
      <c r="U381">
        <f t="shared" si="115"/>
        <v>1</v>
      </c>
      <c r="V381">
        <f t="shared" si="116"/>
        <v>0</v>
      </c>
      <c r="W381">
        <f t="shared" si="117"/>
        <v>0</v>
      </c>
      <c r="X381">
        <f t="shared" si="118"/>
        <v>0</v>
      </c>
      <c r="Y381">
        <f t="shared" si="119"/>
        <v>0</v>
      </c>
      <c r="AA381">
        <f t="shared" si="120"/>
        <v>2</v>
      </c>
      <c r="AB381">
        <f t="shared" si="121"/>
        <v>0</v>
      </c>
      <c r="AC381">
        <f t="shared" si="122"/>
        <v>0</v>
      </c>
      <c r="AD381">
        <f t="shared" si="123"/>
        <v>0</v>
      </c>
      <c r="AE381">
        <f t="shared" si="124"/>
        <v>0</v>
      </c>
      <c r="AG381" s="109">
        <f t="shared" si="125"/>
        <v>44908</v>
      </c>
      <c r="AH381">
        <f>'Water Stuff'!I351*1000</f>
        <v>620</v>
      </c>
      <c r="AI381">
        <f>'Water Stuff'!Q351*1000</f>
        <v>620</v>
      </c>
      <c r="AJ381">
        <f>'Water Stuff'!Y351*1000</f>
        <v>620</v>
      </c>
      <c r="AK381">
        <f>'Water Stuff'!AG351*1000</f>
        <v>620</v>
      </c>
      <c r="AL381">
        <f>'Water Stuff'!AO351*1000</f>
        <v>620</v>
      </c>
    </row>
    <row r="382" spans="1:38">
      <c r="A382" s="109">
        <f>'Water Stuff'!F352</f>
        <v>44909</v>
      </c>
      <c r="B382">
        <f>IF( 'Water Stuff'!G352*1000 &gt;= 'Water Stuff'!$B$6*1000, 'Water Stuff'!$B$6*1000, 'Water Stuff'!G352*1000)</f>
        <v>0</v>
      </c>
      <c r="C382">
        <f>IF( 'Water Stuff'!O352*1000 &gt;= 'Water Stuff'!$B$6*1000, 'Water Stuff'!$B$6*1000, 'Water Stuff'!O352*1000)</f>
        <v>480</v>
      </c>
      <c r="D382">
        <f>IF( 'Water Stuff'!W352*1000 &gt;= 'Water Stuff'!$B$6*1000, 'Water Stuff'!$B$6*1000, 'Water Stuff'!W352*1000)</f>
        <v>0</v>
      </c>
      <c r="E382">
        <f>IF( 'Water Stuff'!AE352*1000 &gt;= 'Water Stuff'!$B$6*1000, 'Water Stuff'!$B$6*1000, 'Water Stuff'!AE352*1000)</f>
        <v>722.16710459144701</v>
      </c>
      <c r="F382">
        <f>IF('Water Stuff'!AM352*1000&gt;='Water Stuff'!$B$6*1000,'Water Stuff'!$B$6*1000,'Water Stuff'!AM352*1000)</f>
        <v>0</v>
      </c>
      <c r="I382">
        <f t="shared" si="105"/>
        <v>0</v>
      </c>
      <c r="J382">
        <f t="shared" si="106"/>
        <v>4.8</v>
      </c>
      <c r="K382">
        <f t="shared" si="107"/>
        <v>0</v>
      </c>
      <c r="L382">
        <f t="shared" si="108"/>
        <v>7.2216710459144702</v>
      </c>
      <c r="M382">
        <f t="shared" si="109"/>
        <v>0</v>
      </c>
      <c r="O382">
        <f t="shared" si="110"/>
        <v>0</v>
      </c>
      <c r="P382">
        <f t="shared" si="111"/>
        <v>9.6000000000000002E-2</v>
      </c>
      <c r="Q382">
        <f t="shared" si="112"/>
        <v>0</v>
      </c>
      <c r="R382">
        <f t="shared" si="113"/>
        <v>0.14443342091828942</v>
      </c>
      <c r="S382">
        <f t="shared" si="114"/>
        <v>0</v>
      </c>
      <c r="U382">
        <f t="shared" si="115"/>
        <v>0</v>
      </c>
      <c r="V382">
        <f t="shared" si="116"/>
        <v>2.4</v>
      </c>
      <c r="W382">
        <f t="shared" si="117"/>
        <v>0</v>
      </c>
      <c r="X382">
        <f t="shared" si="118"/>
        <v>3.6108355229572351</v>
      </c>
      <c r="Y382">
        <f t="shared" si="119"/>
        <v>0</v>
      </c>
      <c r="AA382">
        <f t="shared" si="120"/>
        <v>0</v>
      </c>
      <c r="AB382">
        <f t="shared" si="121"/>
        <v>4.8</v>
      </c>
      <c r="AC382">
        <f t="shared" si="122"/>
        <v>0</v>
      </c>
      <c r="AD382">
        <f t="shared" si="123"/>
        <v>7.2216710459144702</v>
      </c>
      <c r="AE382">
        <f t="shared" si="124"/>
        <v>0</v>
      </c>
      <c r="AG382" s="109">
        <f t="shared" si="125"/>
        <v>44909</v>
      </c>
      <c r="AH382">
        <f>'Water Stuff'!I352*1000</f>
        <v>620</v>
      </c>
      <c r="AI382">
        <f>'Water Stuff'!Q352*1000</f>
        <v>620</v>
      </c>
      <c r="AJ382">
        <f>'Water Stuff'!Y352*1000</f>
        <v>620</v>
      </c>
      <c r="AK382">
        <f>'Water Stuff'!AG352*1000</f>
        <v>620</v>
      </c>
      <c r="AL382">
        <f>'Water Stuff'!AO352*1000</f>
        <v>620</v>
      </c>
    </row>
    <row r="383" spans="1:38">
      <c r="A383" s="109">
        <f>'Water Stuff'!F353</f>
        <v>44910</v>
      </c>
      <c r="B383">
        <f>IF( 'Water Stuff'!G353*1000 &gt;= 'Water Stuff'!$B$6*1000, 'Water Stuff'!$B$6*1000, 'Water Stuff'!G353*1000)</f>
        <v>1800</v>
      </c>
      <c r="C383">
        <f>IF( 'Water Stuff'!O353*1000 &gt;= 'Water Stuff'!$B$6*1000, 'Water Stuff'!$B$6*1000, 'Water Stuff'!O353*1000)</f>
        <v>600</v>
      </c>
      <c r="D383">
        <f>IF( 'Water Stuff'!W353*1000 &gt;= 'Water Stuff'!$B$6*1000, 'Water Stuff'!$B$6*1000, 'Water Stuff'!W353*1000)</f>
        <v>2405.3369293003998</v>
      </c>
      <c r="E383">
        <f>IF( 'Water Stuff'!AE353*1000 &gt;= 'Water Stuff'!$B$6*1000, 'Water Stuff'!$B$6*1000, 'Water Stuff'!AE353*1000)</f>
        <v>0</v>
      </c>
      <c r="F383">
        <f>IF('Water Stuff'!AM353*1000&gt;='Water Stuff'!$B$6*1000,'Water Stuff'!$B$6*1000,'Water Stuff'!AM353*1000)</f>
        <v>985.34718353564813</v>
      </c>
      <c r="I383">
        <f t="shared" si="105"/>
        <v>18</v>
      </c>
      <c r="J383">
        <f t="shared" si="106"/>
        <v>6</v>
      </c>
      <c r="K383">
        <f t="shared" si="107"/>
        <v>24.053369293003996</v>
      </c>
      <c r="L383">
        <f t="shared" si="108"/>
        <v>0</v>
      </c>
      <c r="M383">
        <f t="shared" si="109"/>
        <v>9.8534718353564816</v>
      </c>
      <c r="O383">
        <f t="shared" si="110"/>
        <v>0.36</v>
      </c>
      <c r="P383">
        <f t="shared" si="111"/>
        <v>0.12</v>
      </c>
      <c r="Q383">
        <f t="shared" si="112"/>
        <v>0.48106738586007997</v>
      </c>
      <c r="R383">
        <f t="shared" si="113"/>
        <v>0</v>
      </c>
      <c r="S383">
        <f t="shared" si="114"/>
        <v>0.19706943670712962</v>
      </c>
      <c r="U383">
        <f t="shared" si="115"/>
        <v>9</v>
      </c>
      <c r="V383">
        <f t="shared" si="116"/>
        <v>3</v>
      </c>
      <c r="W383">
        <f t="shared" si="117"/>
        <v>12.026684646502</v>
      </c>
      <c r="X383">
        <f t="shared" si="118"/>
        <v>0</v>
      </c>
      <c r="Y383">
        <f t="shared" si="119"/>
        <v>4.9267359176782408</v>
      </c>
      <c r="AA383">
        <f t="shared" si="120"/>
        <v>18</v>
      </c>
      <c r="AB383">
        <f t="shared" si="121"/>
        <v>6</v>
      </c>
      <c r="AC383">
        <f t="shared" si="122"/>
        <v>24.053369293004</v>
      </c>
      <c r="AD383">
        <f t="shared" si="123"/>
        <v>0</v>
      </c>
      <c r="AE383">
        <f t="shared" si="124"/>
        <v>9.8534718353564816</v>
      </c>
      <c r="AG383" s="109">
        <f t="shared" si="125"/>
        <v>44910</v>
      </c>
      <c r="AH383">
        <f>'Water Stuff'!I353*1000</f>
        <v>620</v>
      </c>
      <c r="AI383">
        <f>'Water Stuff'!Q353*1000</f>
        <v>620</v>
      </c>
      <c r="AJ383">
        <f>'Water Stuff'!Y353*1000</f>
        <v>620</v>
      </c>
      <c r="AK383">
        <f>'Water Stuff'!AG353*1000</f>
        <v>620</v>
      </c>
      <c r="AL383">
        <f>'Water Stuff'!AO353*1000</f>
        <v>620</v>
      </c>
    </row>
    <row r="384" spans="1:38">
      <c r="A384" s="109">
        <f>'Water Stuff'!F354</f>
        <v>44911</v>
      </c>
      <c r="B384">
        <f>IF( 'Water Stuff'!G354*1000 &gt;= 'Water Stuff'!$B$6*1000, 'Water Stuff'!$B$6*1000, 'Water Stuff'!G354*1000)</f>
        <v>4040</v>
      </c>
      <c r="C384">
        <f>IF( 'Water Stuff'!O354*1000 &gt;= 'Water Stuff'!$B$6*1000, 'Water Stuff'!$B$6*1000, 'Water Stuff'!O354*1000)</f>
        <v>440.00000000000006</v>
      </c>
      <c r="D384">
        <f>IF( 'Water Stuff'!W354*1000 &gt;= 'Water Stuff'!$B$6*1000, 'Water Stuff'!$B$6*1000, 'Water Stuff'!W354*1000)</f>
        <v>5289.9013736801917</v>
      </c>
      <c r="E384">
        <f>IF( 'Water Stuff'!AE354*1000 &gt;= 'Water Stuff'!$B$6*1000, 'Water Stuff'!$B$6*1000, 'Water Stuff'!AE354*1000)</f>
        <v>0</v>
      </c>
      <c r="F384">
        <f>IF('Water Stuff'!AM354*1000&gt;='Water Stuff'!$B$6*1000,'Water Stuff'!$B$6*1000,'Water Stuff'!AM354*1000)</f>
        <v>2595.4495227106863</v>
      </c>
      <c r="I384">
        <f t="shared" si="105"/>
        <v>40.4</v>
      </c>
      <c r="J384">
        <f t="shared" si="106"/>
        <v>4.4000000000000012</v>
      </c>
      <c r="K384">
        <f t="shared" si="107"/>
        <v>52.899013736801919</v>
      </c>
      <c r="L384">
        <f t="shared" si="108"/>
        <v>0</v>
      </c>
      <c r="M384">
        <f t="shared" si="109"/>
        <v>25.954495227106861</v>
      </c>
      <c r="O384">
        <f t="shared" si="110"/>
        <v>0.80800000000000005</v>
      </c>
      <c r="P384">
        <f t="shared" si="111"/>
        <v>8.8000000000000023E-2</v>
      </c>
      <c r="Q384">
        <f t="shared" si="112"/>
        <v>1.0579802747360383</v>
      </c>
      <c r="R384">
        <f t="shared" si="113"/>
        <v>0</v>
      </c>
      <c r="S384">
        <f t="shared" si="114"/>
        <v>0.51908990454213721</v>
      </c>
      <c r="U384">
        <f t="shared" si="115"/>
        <v>20.2</v>
      </c>
      <c r="V384">
        <f t="shared" si="116"/>
        <v>2.2000000000000002</v>
      </c>
      <c r="W384">
        <f t="shared" si="117"/>
        <v>26.44950686840096</v>
      </c>
      <c r="X384">
        <f t="shared" si="118"/>
        <v>0</v>
      </c>
      <c r="Y384">
        <f t="shared" si="119"/>
        <v>12.977247613553432</v>
      </c>
      <c r="AA384">
        <f t="shared" si="120"/>
        <v>40.4</v>
      </c>
      <c r="AB384">
        <f t="shared" si="121"/>
        <v>4.4000000000000004</v>
      </c>
      <c r="AC384">
        <f t="shared" si="122"/>
        <v>52.899013736801919</v>
      </c>
      <c r="AD384">
        <f t="shared" si="123"/>
        <v>0</v>
      </c>
      <c r="AE384">
        <f t="shared" si="124"/>
        <v>25.954495227106865</v>
      </c>
      <c r="AG384" s="109">
        <f t="shared" si="125"/>
        <v>44911</v>
      </c>
      <c r="AH384">
        <f>'Water Stuff'!I354*1000</f>
        <v>620</v>
      </c>
      <c r="AI384">
        <f>'Water Stuff'!Q354*1000</f>
        <v>620</v>
      </c>
      <c r="AJ384">
        <f>'Water Stuff'!Y354*1000</f>
        <v>620</v>
      </c>
      <c r="AK384">
        <f>'Water Stuff'!AG354*1000</f>
        <v>620</v>
      </c>
      <c r="AL384">
        <f>'Water Stuff'!AO354*1000</f>
        <v>620</v>
      </c>
    </row>
    <row r="385" spans="1:38">
      <c r="A385" s="109">
        <f>'Water Stuff'!F355</f>
        <v>44912</v>
      </c>
      <c r="B385">
        <f>IF( 'Water Stuff'!G355*1000 &gt;= 'Water Stuff'!$B$6*1000, 'Water Stuff'!$B$6*1000, 'Water Stuff'!G355*1000)</f>
        <v>160</v>
      </c>
      <c r="C385">
        <f>IF( 'Water Stuff'!O355*1000 &gt;= 'Water Stuff'!$B$6*1000, 'Water Stuff'!$B$6*1000, 'Water Stuff'!O355*1000)</f>
        <v>4360</v>
      </c>
      <c r="D385">
        <f>IF( 'Water Stuff'!W355*1000 &gt;= 'Water Stuff'!$B$6*1000, 'Water Stuff'!$B$6*1000, 'Water Stuff'!W355*1000)</f>
        <v>0</v>
      </c>
      <c r="E385">
        <f>IF( 'Water Stuff'!AE355*1000 &gt;= 'Water Stuff'!$B$6*1000, 'Water Stuff'!$B$6*1000, 'Water Stuff'!AE355*1000)</f>
        <v>3363.4352711053539</v>
      </c>
      <c r="F385">
        <f>IF('Water Stuff'!AM355*1000&gt;='Water Stuff'!$B$6*1000,'Water Stuff'!$B$6*1000,'Water Stuff'!AM355*1000)</f>
        <v>1142.4888142481038</v>
      </c>
      <c r="I385">
        <f t="shared" si="105"/>
        <v>1.6</v>
      </c>
      <c r="J385">
        <f t="shared" si="106"/>
        <v>43.6</v>
      </c>
      <c r="K385">
        <f t="shared" si="107"/>
        <v>0</v>
      </c>
      <c r="L385">
        <f t="shared" si="108"/>
        <v>33.634352711053538</v>
      </c>
      <c r="M385">
        <f t="shared" si="109"/>
        <v>11.42488814248104</v>
      </c>
      <c r="O385">
        <f t="shared" si="110"/>
        <v>3.2000000000000001E-2</v>
      </c>
      <c r="P385">
        <f t="shared" si="111"/>
        <v>0.872</v>
      </c>
      <c r="Q385">
        <f t="shared" si="112"/>
        <v>0</v>
      </c>
      <c r="R385">
        <f t="shared" si="113"/>
        <v>0.67268705422107078</v>
      </c>
      <c r="S385">
        <f t="shared" si="114"/>
        <v>0.22849776284962081</v>
      </c>
      <c r="U385">
        <f t="shared" si="115"/>
        <v>0.8</v>
      </c>
      <c r="V385">
        <f t="shared" si="116"/>
        <v>21.8</v>
      </c>
      <c r="W385">
        <f t="shared" si="117"/>
        <v>0</v>
      </c>
      <c r="X385">
        <f t="shared" si="118"/>
        <v>16.817176355526769</v>
      </c>
      <c r="Y385">
        <f t="shared" si="119"/>
        <v>5.7124440712405189</v>
      </c>
      <c r="AA385">
        <f t="shared" si="120"/>
        <v>1.6</v>
      </c>
      <c r="AB385">
        <f t="shared" si="121"/>
        <v>43.6</v>
      </c>
      <c r="AC385">
        <f t="shared" si="122"/>
        <v>0</v>
      </c>
      <c r="AD385">
        <f t="shared" si="123"/>
        <v>33.634352711053538</v>
      </c>
      <c r="AE385">
        <f t="shared" si="124"/>
        <v>11.424888142481038</v>
      </c>
      <c r="AG385" s="109">
        <f t="shared" si="125"/>
        <v>44912</v>
      </c>
      <c r="AH385">
        <f>'Water Stuff'!I355*1000</f>
        <v>620</v>
      </c>
      <c r="AI385">
        <f>'Water Stuff'!Q355*1000</f>
        <v>620</v>
      </c>
      <c r="AJ385">
        <f>'Water Stuff'!Y355*1000</f>
        <v>620</v>
      </c>
      <c r="AK385">
        <f>'Water Stuff'!AG355*1000</f>
        <v>620</v>
      </c>
      <c r="AL385">
        <f>'Water Stuff'!AO355*1000</f>
        <v>620</v>
      </c>
    </row>
    <row r="386" spans="1:38">
      <c r="A386" s="109">
        <f>'Water Stuff'!F356</f>
        <v>44913</v>
      </c>
      <c r="B386">
        <f>IF( 'Water Stuff'!G356*1000 &gt;= 'Water Stuff'!$B$6*1000, 'Water Stuff'!$B$6*1000, 'Water Stuff'!G356*1000)</f>
        <v>4920</v>
      </c>
      <c r="C386">
        <f>IF( 'Water Stuff'!O356*1000 &gt;= 'Water Stuff'!$B$6*1000, 'Water Stuff'!$B$6*1000, 'Water Stuff'!O356*1000)</f>
        <v>5100</v>
      </c>
      <c r="D386">
        <f>IF( 'Water Stuff'!W356*1000 &gt;= 'Water Stuff'!$B$6*1000, 'Water Stuff'!$B$6*1000, 'Water Stuff'!W356*1000)</f>
        <v>2915.7607591867377</v>
      </c>
      <c r="E386">
        <f>IF( 'Water Stuff'!AE356*1000 &gt;= 'Water Stuff'!$B$6*1000, 'Water Stuff'!$B$6*1000, 'Water Stuff'!AE356*1000)</f>
        <v>6009.4761400776661</v>
      </c>
      <c r="F386">
        <f>IF('Water Stuff'!AM356*1000&gt;='Water Stuff'!$B$6*1000,'Water Stuff'!$B$6*1000,'Water Stuff'!AM356*1000)</f>
        <v>4033.2569854992821</v>
      </c>
      <c r="I386">
        <f t="shared" si="105"/>
        <v>49.2</v>
      </c>
      <c r="J386">
        <f t="shared" si="106"/>
        <v>51</v>
      </c>
      <c r="K386">
        <f t="shared" si="107"/>
        <v>29.157607591867379</v>
      </c>
      <c r="L386">
        <f t="shared" si="108"/>
        <v>60.094761400776662</v>
      </c>
      <c r="M386">
        <f t="shared" si="109"/>
        <v>40.332569854992819</v>
      </c>
      <c r="O386">
        <f t="shared" si="110"/>
        <v>0.98399999999999999</v>
      </c>
      <c r="P386">
        <f t="shared" si="111"/>
        <v>1.02</v>
      </c>
      <c r="Q386">
        <f t="shared" si="112"/>
        <v>0.58315215183734759</v>
      </c>
      <c r="R386">
        <f t="shared" si="113"/>
        <v>1.2018952280155331</v>
      </c>
      <c r="S386">
        <f t="shared" si="114"/>
        <v>0.80665139709985645</v>
      </c>
      <c r="U386">
        <f t="shared" si="115"/>
        <v>24.6</v>
      </c>
      <c r="V386">
        <f t="shared" si="116"/>
        <v>25.5</v>
      </c>
      <c r="W386">
        <f t="shared" si="117"/>
        <v>14.578803795933689</v>
      </c>
      <c r="X386">
        <f t="shared" si="118"/>
        <v>30.047380700388331</v>
      </c>
      <c r="Y386">
        <f t="shared" si="119"/>
        <v>20.16628492749641</v>
      </c>
      <c r="AA386">
        <f t="shared" si="120"/>
        <v>49.2</v>
      </c>
      <c r="AB386">
        <f t="shared" si="121"/>
        <v>51</v>
      </c>
      <c r="AC386">
        <f t="shared" si="122"/>
        <v>29.157607591867379</v>
      </c>
      <c r="AD386">
        <f t="shared" si="123"/>
        <v>60.094761400776662</v>
      </c>
      <c r="AE386">
        <f t="shared" si="124"/>
        <v>40.332569854992819</v>
      </c>
      <c r="AG386" s="109">
        <f t="shared" si="125"/>
        <v>44913</v>
      </c>
      <c r="AH386">
        <f>'Water Stuff'!I356*1000</f>
        <v>620</v>
      </c>
      <c r="AI386">
        <f>'Water Stuff'!Q356*1000</f>
        <v>620</v>
      </c>
      <c r="AJ386">
        <f>'Water Stuff'!Y356*1000</f>
        <v>620</v>
      </c>
      <c r="AK386">
        <f>'Water Stuff'!AG356*1000</f>
        <v>620</v>
      </c>
      <c r="AL386">
        <f>'Water Stuff'!AO356*1000</f>
        <v>620</v>
      </c>
    </row>
    <row r="387" spans="1:38">
      <c r="A387" s="109">
        <f>'Water Stuff'!F357</f>
        <v>44914</v>
      </c>
      <c r="B387">
        <f>IF( 'Water Stuff'!G357*1000 &gt;= 'Water Stuff'!$B$6*1000, 'Water Stuff'!$B$6*1000, 'Water Stuff'!G357*1000)</f>
        <v>0</v>
      </c>
      <c r="C387">
        <f>IF( 'Water Stuff'!O357*1000 &gt;= 'Water Stuff'!$B$6*1000, 'Water Stuff'!$B$6*1000, 'Water Stuff'!O357*1000)</f>
        <v>6360</v>
      </c>
      <c r="D387">
        <f>IF( 'Water Stuff'!W357*1000 &gt;= 'Water Stuff'!$B$6*1000, 'Water Stuff'!$B$6*1000, 'Water Stuff'!W357*1000)</f>
        <v>0</v>
      </c>
      <c r="E387">
        <f>IF( 'Water Stuff'!AE357*1000 &gt;= 'Water Stuff'!$B$6*1000, 'Water Stuff'!$B$6*1000, 'Water Stuff'!AE357*1000)</f>
        <v>8106.7564033981334</v>
      </c>
      <c r="F387">
        <f>IF('Water Stuff'!AM357*1000&gt;='Water Stuff'!$B$6*1000,'Water Stuff'!$B$6*1000,'Water Stuff'!AM357*1000)</f>
        <v>1696.4458802379661</v>
      </c>
      <c r="I387">
        <f t="shared" si="105"/>
        <v>0</v>
      </c>
      <c r="J387">
        <f t="shared" si="106"/>
        <v>63.6</v>
      </c>
      <c r="K387">
        <f t="shared" si="107"/>
        <v>0</v>
      </c>
      <c r="L387">
        <f t="shared" si="108"/>
        <v>81.067564033981341</v>
      </c>
      <c r="M387">
        <f t="shared" si="109"/>
        <v>16.96445880237966</v>
      </c>
      <c r="O387">
        <f t="shared" si="110"/>
        <v>0</v>
      </c>
      <c r="P387">
        <f t="shared" si="111"/>
        <v>1.272</v>
      </c>
      <c r="Q387">
        <f t="shared" si="112"/>
        <v>0</v>
      </c>
      <c r="R387">
        <f t="shared" si="113"/>
        <v>1.6213512806796269</v>
      </c>
      <c r="S387">
        <f t="shared" si="114"/>
        <v>0.33928917604759323</v>
      </c>
      <c r="U387">
        <f t="shared" si="115"/>
        <v>0</v>
      </c>
      <c r="V387">
        <f t="shared" si="116"/>
        <v>31.8</v>
      </c>
      <c r="W387">
        <f t="shared" si="117"/>
        <v>0</v>
      </c>
      <c r="X387">
        <f t="shared" si="118"/>
        <v>40.533782016990671</v>
      </c>
      <c r="Y387">
        <f t="shared" si="119"/>
        <v>8.48222940118983</v>
      </c>
      <c r="AA387">
        <f t="shared" si="120"/>
        <v>0</v>
      </c>
      <c r="AB387">
        <f t="shared" si="121"/>
        <v>63.6</v>
      </c>
      <c r="AC387">
        <f t="shared" si="122"/>
        <v>0</v>
      </c>
      <c r="AD387">
        <f t="shared" si="123"/>
        <v>81.067564033981341</v>
      </c>
      <c r="AE387">
        <f t="shared" si="124"/>
        <v>16.96445880237966</v>
      </c>
      <c r="AG387" s="109">
        <f t="shared" si="125"/>
        <v>44914</v>
      </c>
      <c r="AH387">
        <f>'Water Stuff'!I357*1000</f>
        <v>620</v>
      </c>
      <c r="AI387">
        <f>'Water Stuff'!Q357*1000</f>
        <v>620</v>
      </c>
      <c r="AJ387">
        <f>'Water Stuff'!Y357*1000</f>
        <v>620</v>
      </c>
      <c r="AK387">
        <f>'Water Stuff'!AG357*1000</f>
        <v>620</v>
      </c>
      <c r="AL387">
        <f>'Water Stuff'!AO357*1000</f>
        <v>620</v>
      </c>
    </row>
    <row r="388" spans="1:38">
      <c r="A388" s="109">
        <f>'Water Stuff'!F358</f>
        <v>44915</v>
      </c>
      <c r="B388">
        <f>IF( 'Water Stuff'!G358*1000 &gt;= 'Water Stuff'!$B$6*1000, 'Water Stuff'!$B$6*1000, 'Water Stuff'!G358*1000)</f>
        <v>0</v>
      </c>
      <c r="C388">
        <f>IF( 'Water Stuff'!O358*1000 &gt;= 'Water Stuff'!$B$6*1000, 'Water Stuff'!$B$6*1000, 'Water Stuff'!O358*1000)</f>
        <v>4520</v>
      </c>
      <c r="D388">
        <f>IF( 'Water Stuff'!W358*1000 &gt;= 'Water Stuff'!$B$6*1000, 'Water Stuff'!$B$6*1000, 'Water Stuff'!W358*1000)</f>
        <v>0</v>
      </c>
      <c r="E388">
        <f>IF( 'Water Stuff'!AE358*1000 &gt;= 'Water Stuff'!$B$6*1000, 'Water Stuff'!$B$6*1000, 'Water Stuff'!AE358*1000)</f>
        <v>1852.9237070807887</v>
      </c>
      <c r="F388">
        <f>IF('Water Stuff'!AM358*1000&gt;='Water Stuff'!$B$6*1000,'Water Stuff'!$B$6*1000,'Water Stuff'!AM358*1000)</f>
        <v>0</v>
      </c>
      <c r="I388">
        <f t="shared" si="105"/>
        <v>0</v>
      </c>
      <c r="J388">
        <f t="shared" si="106"/>
        <v>45.2</v>
      </c>
      <c r="K388">
        <f t="shared" si="107"/>
        <v>0</v>
      </c>
      <c r="L388">
        <f t="shared" si="108"/>
        <v>18.529237070807888</v>
      </c>
      <c r="M388">
        <f t="shared" si="109"/>
        <v>0</v>
      </c>
      <c r="O388">
        <f t="shared" si="110"/>
        <v>0</v>
      </c>
      <c r="P388">
        <f t="shared" si="111"/>
        <v>0.90400000000000003</v>
      </c>
      <c r="Q388">
        <f t="shared" si="112"/>
        <v>0</v>
      </c>
      <c r="R388">
        <f t="shared" si="113"/>
        <v>0.37058474141615771</v>
      </c>
      <c r="S388">
        <f t="shared" si="114"/>
        <v>0</v>
      </c>
      <c r="U388">
        <f t="shared" si="115"/>
        <v>0</v>
      </c>
      <c r="V388">
        <f t="shared" si="116"/>
        <v>22.6</v>
      </c>
      <c r="W388">
        <f t="shared" si="117"/>
        <v>0</v>
      </c>
      <c r="X388">
        <f t="shared" si="118"/>
        <v>9.2646185354039439</v>
      </c>
      <c r="Y388">
        <f t="shared" si="119"/>
        <v>0</v>
      </c>
      <c r="AA388">
        <f t="shared" si="120"/>
        <v>0</v>
      </c>
      <c r="AB388">
        <f t="shared" si="121"/>
        <v>45.2</v>
      </c>
      <c r="AC388">
        <f t="shared" si="122"/>
        <v>0</v>
      </c>
      <c r="AD388">
        <f t="shared" si="123"/>
        <v>18.529237070807888</v>
      </c>
      <c r="AE388">
        <f t="shared" si="124"/>
        <v>0</v>
      </c>
      <c r="AG388" s="109">
        <f t="shared" si="125"/>
        <v>44915</v>
      </c>
      <c r="AH388">
        <f>'Water Stuff'!I358*1000</f>
        <v>620</v>
      </c>
      <c r="AI388">
        <f>'Water Stuff'!Q358*1000</f>
        <v>620</v>
      </c>
      <c r="AJ388">
        <f>'Water Stuff'!Y358*1000</f>
        <v>620</v>
      </c>
      <c r="AK388">
        <f>'Water Stuff'!AG358*1000</f>
        <v>620</v>
      </c>
      <c r="AL388">
        <f>'Water Stuff'!AO358*1000</f>
        <v>620</v>
      </c>
    </row>
    <row r="389" spans="1:38">
      <c r="A389" s="109">
        <f>'Water Stuff'!F359</f>
        <v>44916</v>
      </c>
      <c r="B389">
        <f>IF( 'Water Stuff'!G359*1000 &gt;= 'Water Stuff'!$B$6*1000, 'Water Stuff'!$B$6*1000, 'Water Stuff'!G359*1000)</f>
        <v>1760.0000000000002</v>
      </c>
      <c r="C389">
        <f>IF( 'Water Stuff'!O359*1000 &gt;= 'Water Stuff'!$B$6*1000, 'Water Stuff'!$B$6*1000, 'Water Stuff'!O359*1000)</f>
        <v>1800</v>
      </c>
      <c r="D389">
        <f>IF( 'Water Stuff'!W359*1000 &gt;= 'Water Stuff'!$B$6*1000, 'Water Stuff'!$B$6*1000, 'Water Stuff'!W359*1000)</f>
        <v>0</v>
      </c>
      <c r="E389">
        <f>IF( 'Water Stuff'!AE359*1000 &gt;= 'Water Stuff'!$B$6*1000, 'Water Stuff'!$B$6*1000, 'Water Stuff'!AE359*1000)</f>
        <v>2516.1725723115542</v>
      </c>
      <c r="F389">
        <f>IF('Water Stuff'!AM359*1000&gt;='Water Stuff'!$B$6*1000,'Water Stuff'!$B$6*1000,'Water Stuff'!AM359*1000)</f>
        <v>0</v>
      </c>
      <c r="I389">
        <f t="shared" si="105"/>
        <v>17.600000000000005</v>
      </c>
      <c r="J389">
        <f t="shared" si="106"/>
        <v>18</v>
      </c>
      <c r="K389">
        <f t="shared" si="107"/>
        <v>0</v>
      </c>
      <c r="L389">
        <f t="shared" si="108"/>
        <v>25.161725723115541</v>
      </c>
      <c r="M389">
        <f t="shared" si="109"/>
        <v>0</v>
      </c>
      <c r="O389">
        <f t="shared" si="110"/>
        <v>0.35200000000000009</v>
      </c>
      <c r="P389">
        <f t="shared" si="111"/>
        <v>0.36</v>
      </c>
      <c r="Q389">
        <f t="shared" si="112"/>
        <v>0</v>
      </c>
      <c r="R389">
        <f t="shared" si="113"/>
        <v>0.50323451446231082</v>
      </c>
      <c r="S389">
        <f t="shared" si="114"/>
        <v>0</v>
      </c>
      <c r="U389">
        <f t="shared" si="115"/>
        <v>8.8000000000000007</v>
      </c>
      <c r="V389">
        <f t="shared" si="116"/>
        <v>9</v>
      </c>
      <c r="W389">
        <f t="shared" si="117"/>
        <v>0</v>
      </c>
      <c r="X389">
        <f t="shared" si="118"/>
        <v>12.580862861557771</v>
      </c>
      <c r="Y389">
        <f t="shared" si="119"/>
        <v>0</v>
      </c>
      <c r="AA389">
        <f t="shared" si="120"/>
        <v>17.600000000000001</v>
      </c>
      <c r="AB389">
        <f t="shared" si="121"/>
        <v>18</v>
      </c>
      <c r="AC389">
        <f t="shared" si="122"/>
        <v>0</v>
      </c>
      <c r="AD389">
        <f t="shared" si="123"/>
        <v>25.161725723115541</v>
      </c>
      <c r="AE389">
        <f t="shared" si="124"/>
        <v>0</v>
      </c>
      <c r="AG389" s="109">
        <f t="shared" si="125"/>
        <v>44916</v>
      </c>
      <c r="AH389">
        <f>'Water Stuff'!I359*1000</f>
        <v>620</v>
      </c>
      <c r="AI389">
        <f>'Water Stuff'!Q359*1000</f>
        <v>620</v>
      </c>
      <c r="AJ389">
        <f>'Water Stuff'!Y359*1000</f>
        <v>620</v>
      </c>
      <c r="AK389">
        <f>'Water Stuff'!AG359*1000</f>
        <v>620</v>
      </c>
      <c r="AL389">
        <f>'Water Stuff'!AO359*1000</f>
        <v>620</v>
      </c>
    </row>
    <row r="390" spans="1:38">
      <c r="A390" s="109">
        <f>'Water Stuff'!F360</f>
        <v>44917</v>
      </c>
      <c r="B390">
        <f>IF( 'Water Stuff'!G360*1000 &gt;= 'Water Stuff'!$B$6*1000, 'Water Stuff'!$B$6*1000, 'Water Stuff'!G360*1000)</f>
        <v>2320</v>
      </c>
      <c r="C390">
        <f>IF( 'Water Stuff'!O360*1000 &gt;= 'Water Stuff'!$B$6*1000, 'Water Stuff'!$B$6*1000, 'Water Stuff'!O360*1000)</f>
        <v>7159.9999999999991</v>
      </c>
      <c r="D390">
        <f>IF( 'Water Stuff'!W360*1000 &gt;= 'Water Stuff'!$B$6*1000, 'Water Stuff'!$B$6*1000, 'Water Stuff'!W360*1000)</f>
        <v>3173.5295555212178</v>
      </c>
      <c r="E390">
        <f>IF( 'Water Stuff'!AE360*1000 &gt;= 'Water Stuff'!$B$6*1000, 'Water Stuff'!$B$6*1000, 'Water Stuff'!AE360*1000)</f>
        <v>8487.2839667386052</v>
      </c>
      <c r="F390">
        <f>IF('Water Stuff'!AM360*1000&gt;='Water Stuff'!$B$6*1000,'Water Stuff'!$B$6*1000,'Water Stuff'!AM360*1000)</f>
        <v>1670.433993672382</v>
      </c>
      <c r="I390">
        <f t="shared" si="105"/>
        <v>23.2</v>
      </c>
      <c r="J390">
        <f t="shared" si="106"/>
        <v>71.59999999999998</v>
      </c>
      <c r="K390">
        <f t="shared" si="107"/>
        <v>31.735295555212179</v>
      </c>
      <c r="L390">
        <f t="shared" si="108"/>
        <v>84.87283966738606</v>
      </c>
      <c r="M390">
        <f t="shared" si="109"/>
        <v>16.704339936723819</v>
      </c>
      <c r="O390">
        <f t="shared" si="110"/>
        <v>0.46400000000000002</v>
      </c>
      <c r="P390">
        <f t="shared" si="111"/>
        <v>1.4319999999999995</v>
      </c>
      <c r="Q390">
        <f t="shared" si="112"/>
        <v>0.63470591110424357</v>
      </c>
      <c r="R390">
        <f t="shared" si="113"/>
        <v>1.6974567933477209</v>
      </c>
      <c r="S390">
        <f t="shared" si="114"/>
        <v>0.33408679873447644</v>
      </c>
      <c r="U390">
        <f t="shared" si="115"/>
        <v>11.6</v>
      </c>
      <c r="V390">
        <f t="shared" si="116"/>
        <v>35.799999999999997</v>
      </c>
      <c r="W390">
        <f t="shared" si="117"/>
        <v>15.86764777760609</v>
      </c>
      <c r="X390">
        <f t="shared" si="118"/>
        <v>42.43641983369303</v>
      </c>
      <c r="Y390">
        <f t="shared" si="119"/>
        <v>8.3521699683619097</v>
      </c>
      <c r="AA390">
        <f t="shared" si="120"/>
        <v>23.2</v>
      </c>
      <c r="AB390">
        <f t="shared" si="121"/>
        <v>71.599999999999994</v>
      </c>
      <c r="AC390">
        <f t="shared" si="122"/>
        <v>31.735295555212179</v>
      </c>
      <c r="AD390">
        <f t="shared" si="123"/>
        <v>84.87283966738606</v>
      </c>
      <c r="AE390">
        <f t="shared" si="124"/>
        <v>16.704339936723819</v>
      </c>
      <c r="AG390" s="109">
        <f t="shared" si="125"/>
        <v>44917</v>
      </c>
      <c r="AH390">
        <f>'Water Stuff'!I360*1000</f>
        <v>620</v>
      </c>
      <c r="AI390">
        <f>'Water Stuff'!Q360*1000</f>
        <v>620</v>
      </c>
      <c r="AJ390">
        <f>'Water Stuff'!Y360*1000</f>
        <v>620</v>
      </c>
      <c r="AK390">
        <f>'Water Stuff'!AG360*1000</f>
        <v>620</v>
      </c>
      <c r="AL390">
        <f>'Water Stuff'!AO360*1000</f>
        <v>620</v>
      </c>
    </row>
    <row r="391" spans="1:38">
      <c r="A391" s="109">
        <f>'Water Stuff'!F361</f>
        <v>44918</v>
      </c>
      <c r="B391">
        <f>IF( 'Water Stuff'!G361*1000 &gt;= 'Water Stuff'!$B$6*1000, 'Water Stuff'!$B$6*1000, 'Water Stuff'!G361*1000)</f>
        <v>2000</v>
      </c>
      <c r="C391">
        <f>IF( 'Water Stuff'!O361*1000 &gt;= 'Water Stuff'!$B$6*1000, 'Water Stuff'!$B$6*1000, 'Water Stuff'!O361*1000)</f>
        <v>1880</v>
      </c>
      <c r="D391">
        <f>IF( 'Water Stuff'!W361*1000 &gt;= 'Water Stuff'!$B$6*1000, 'Water Stuff'!$B$6*1000, 'Water Stuff'!W361*1000)</f>
        <v>395.445664439437</v>
      </c>
      <c r="E391">
        <f>IF( 'Water Stuff'!AE361*1000 &gt;= 'Water Stuff'!$B$6*1000, 'Water Stuff'!$B$6*1000, 'Water Stuff'!AE361*1000)</f>
        <v>0</v>
      </c>
      <c r="F391">
        <f>IF('Water Stuff'!AM361*1000&gt;='Water Stuff'!$B$6*1000,'Water Stuff'!$B$6*1000,'Water Stuff'!AM361*1000)</f>
        <v>0</v>
      </c>
      <c r="I391">
        <f t="shared" si="105"/>
        <v>20</v>
      </c>
      <c r="J391">
        <f t="shared" si="106"/>
        <v>18.8</v>
      </c>
      <c r="K391">
        <f t="shared" si="107"/>
        <v>3.9544566443943698</v>
      </c>
      <c r="L391">
        <f t="shared" si="108"/>
        <v>0</v>
      </c>
      <c r="M391">
        <f t="shared" si="109"/>
        <v>0</v>
      </c>
      <c r="O391">
        <f t="shared" si="110"/>
        <v>0.4</v>
      </c>
      <c r="P391">
        <f t="shared" si="111"/>
        <v>0.376</v>
      </c>
      <c r="Q391">
        <f t="shared" si="112"/>
        <v>7.9089132887887409E-2</v>
      </c>
      <c r="R391">
        <f t="shared" si="113"/>
        <v>0</v>
      </c>
      <c r="S391">
        <f t="shared" si="114"/>
        <v>0</v>
      </c>
      <c r="U391">
        <f t="shared" si="115"/>
        <v>10</v>
      </c>
      <c r="V391">
        <f t="shared" si="116"/>
        <v>9.4</v>
      </c>
      <c r="W391">
        <f t="shared" si="117"/>
        <v>1.9772283221971849</v>
      </c>
      <c r="X391">
        <f t="shared" si="118"/>
        <v>0</v>
      </c>
      <c r="Y391">
        <f t="shared" si="119"/>
        <v>0</v>
      </c>
      <c r="AA391">
        <f t="shared" si="120"/>
        <v>20</v>
      </c>
      <c r="AB391">
        <f t="shared" si="121"/>
        <v>18.8</v>
      </c>
      <c r="AC391">
        <f t="shared" si="122"/>
        <v>3.9544566443943698</v>
      </c>
      <c r="AD391">
        <f t="shared" si="123"/>
        <v>0</v>
      </c>
      <c r="AE391">
        <f t="shared" si="124"/>
        <v>0</v>
      </c>
      <c r="AG391" s="109">
        <f t="shared" si="125"/>
        <v>44918</v>
      </c>
      <c r="AH391">
        <f>'Water Stuff'!I361*1000</f>
        <v>620</v>
      </c>
      <c r="AI391">
        <f>'Water Stuff'!Q361*1000</f>
        <v>620</v>
      </c>
      <c r="AJ391">
        <f>'Water Stuff'!Y361*1000</f>
        <v>620</v>
      </c>
      <c r="AK391">
        <f>'Water Stuff'!AG361*1000</f>
        <v>620</v>
      </c>
      <c r="AL391">
        <f>'Water Stuff'!AO361*1000</f>
        <v>620</v>
      </c>
    </row>
    <row r="392" spans="1:38">
      <c r="A392" s="109">
        <f>'Water Stuff'!F362</f>
        <v>44919</v>
      </c>
      <c r="B392">
        <f>IF( 'Water Stuff'!G362*1000 &gt;= 'Water Stuff'!$B$6*1000, 'Water Stuff'!$B$6*1000, 'Water Stuff'!G362*1000)</f>
        <v>440.00000000000006</v>
      </c>
      <c r="C392">
        <f>IF( 'Water Stuff'!O362*1000 &gt;= 'Water Stuff'!$B$6*1000, 'Water Stuff'!$B$6*1000, 'Water Stuff'!O362*1000)</f>
        <v>0</v>
      </c>
      <c r="D392">
        <f>IF( 'Water Stuff'!W362*1000 &gt;= 'Water Stuff'!$B$6*1000, 'Water Stuff'!$B$6*1000, 'Water Stuff'!W362*1000)</f>
        <v>887.43915552061094</v>
      </c>
      <c r="E392">
        <f>IF( 'Water Stuff'!AE362*1000 &gt;= 'Water Stuff'!$B$6*1000, 'Water Stuff'!$B$6*1000, 'Water Stuff'!AE362*1000)</f>
        <v>698.66267142954962</v>
      </c>
      <c r="F392">
        <f>IF('Water Stuff'!AM362*1000&gt;='Water Stuff'!$B$6*1000,'Water Stuff'!$B$6*1000,'Water Stuff'!AM362*1000)</f>
        <v>1345.8070234268068</v>
      </c>
      <c r="I392">
        <f t="shared" si="105"/>
        <v>4.4000000000000012</v>
      </c>
      <c r="J392">
        <f t="shared" si="106"/>
        <v>0</v>
      </c>
      <c r="K392">
        <f t="shared" si="107"/>
        <v>8.8743915552061097</v>
      </c>
      <c r="L392">
        <f t="shared" si="108"/>
        <v>6.9866267142954968</v>
      </c>
      <c r="M392">
        <f t="shared" si="109"/>
        <v>13.458070234268069</v>
      </c>
      <c r="O392">
        <f t="shared" si="110"/>
        <v>8.8000000000000023E-2</v>
      </c>
      <c r="P392">
        <f t="shared" si="111"/>
        <v>0</v>
      </c>
      <c r="Q392">
        <f t="shared" si="112"/>
        <v>0.1774878311041222</v>
      </c>
      <c r="R392">
        <f t="shared" si="113"/>
        <v>0.13973253428590993</v>
      </c>
      <c r="S392">
        <f t="shared" si="114"/>
        <v>0.26916140468536137</v>
      </c>
      <c r="U392">
        <f t="shared" si="115"/>
        <v>2.2000000000000002</v>
      </c>
      <c r="V392">
        <f t="shared" si="116"/>
        <v>0</v>
      </c>
      <c r="W392">
        <f t="shared" si="117"/>
        <v>4.4371957776030548</v>
      </c>
      <c r="X392">
        <f t="shared" si="118"/>
        <v>3.4933133571477484</v>
      </c>
      <c r="Y392">
        <f t="shared" si="119"/>
        <v>6.7290351171340346</v>
      </c>
      <c r="AA392">
        <f t="shared" si="120"/>
        <v>4.4000000000000004</v>
      </c>
      <c r="AB392">
        <f t="shared" si="121"/>
        <v>0</v>
      </c>
      <c r="AC392">
        <f t="shared" si="122"/>
        <v>8.8743915552061097</v>
      </c>
      <c r="AD392">
        <f t="shared" si="123"/>
        <v>6.9866267142954968</v>
      </c>
      <c r="AE392">
        <f t="shared" si="124"/>
        <v>13.458070234268069</v>
      </c>
      <c r="AG392" s="109">
        <f t="shared" si="125"/>
        <v>44919</v>
      </c>
      <c r="AH392">
        <f>'Water Stuff'!I362*1000</f>
        <v>620</v>
      </c>
      <c r="AI392">
        <f>'Water Stuff'!Q362*1000</f>
        <v>620</v>
      </c>
      <c r="AJ392">
        <f>'Water Stuff'!Y362*1000</f>
        <v>620</v>
      </c>
      <c r="AK392">
        <f>'Water Stuff'!AG362*1000</f>
        <v>620</v>
      </c>
      <c r="AL392">
        <f>'Water Stuff'!AO362*1000</f>
        <v>620</v>
      </c>
    </row>
    <row r="393" spans="1:38">
      <c r="A393" s="109">
        <f>'Water Stuff'!F363</f>
        <v>44920</v>
      </c>
      <c r="B393">
        <f>IF( 'Water Stuff'!G363*1000 &gt;= 'Water Stuff'!$B$6*1000, 'Water Stuff'!$B$6*1000, 'Water Stuff'!G363*1000)</f>
        <v>120</v>
      </c>
      <c r="C393">
        <f>IF( 'Water Stuff'!O363*1000 &gt;= 'Water Stuff'!$B$6*1000, 'Water Stuff'!$B$6*1000, 'Water Stuff'!O363*1000)</f>
        <v>0</v>
      </c>
      <c r="D393">
        <f>IF( 'Water Stuff'!W363*1000 &gt;= 'Water Stuff'!$B$6*1000, 'Water Stuff'!$B$6*1000, 'Water Stuff'!W363*1000)</f>
        <v>576.35170666063198</v>
      </c>
      <c r="E393">
        <f>IF( 'Water Stuff'!AE363*1000 &gt;= 'Water Stuff'!$B$6*1000, 'Water Stuff'!$B$6*1000, 'Water Stuff'!AE363*1000)</f>
        <v>0</v>
      </c>
      <c r="F393">
        <f>IF('Water Stuff'!AM363*1000&gt;='Water Stuff'!$B$6*1000,'Water Stuff'!$B$6*1000,'Water Stuff'!AM363*1000)</f>
        <v>0</v>
      </c>
      <c r="I393">
        <f t="shared" si="105"/>
        <v>1.2</v>
      </c>
      <c r="J393">
        <f t="shared" si="106"/>
        <v>0</v>
      </c>
      <c r="K393">
        <f t="shared" si="107"/>
        <v>5.7635170666063198</v>
      </c>
      <c r="L393">
        <f t="shared" si="108"/>
        <v>0</v>
      </c>
      <c r="M393">
        <f t="shared" si="109"/>
        <v>0</v>
      </c>
      <c r="O393">
        <f t="shared" si="110"/>
        <v>2.4E-2</v>
      </c>
      <c r="P393">
        <f t="shared" si="111"/>
        <v>0</v>
      </c>
      <c r="Q393">
        <f t="shared" si="112"/>
        <v>0.11527034133212639</v>
      </c>
      <c r="R393">
        <f t="shared" si="113"/>
        <v>0</v>
      </c>
      <c r="S393">
        <f t="shared" si="114"/>
        <v>0</v>
      </c>
      <c r="U393">
        <f t="shared" si="115"/>
        <v>0.6</v>
      </c>
      <c r="V393">
        <f t="shared" si="116"/>
        <v>0</v>
      </c>
      <c r="W393">
        <f t="shared" si="117"/>
        <v>2.8817585333031599</v>
      </c>
      <c r="X393">
        <f t="shared" si="118"/>
        <v>0</v>
      </c>
      <c r="Y393">
        <f t="shared" si="119"/>
        <v>0</v>
      </c>
      <c r="AA393">
        <f t="shared" si="120"/>
        <v>1.2</v>
      </c>
      <c r="AB393">
        <f t="shared" si="121"/>
        <v>0</v>
      </c>
      <c r="AC393">
        <f t="shared" si="122"/>
        <v>5.7635170666063198</v>
      </c>
      <c r="AD393">
        <f t="shared" si="123"/>
        <v>0</v>
      </c>
      <c r="AE393">
        <f t="shared" si="124"/>
        <v>0</v>
      </c>
      <c r="AG393" s="109">
        <f t="shared" si="125"/>
        <v>44920</v>
      </c>
      <c r="AH393">
        <f>'Water Stuff'!I363*1000</f>
        <v>620</v>
      </c>
      <c r="AI393">
        <f>'Water Stuff'!Q363*1000</f>
        <v>620</v>
      </c>
      <c r="AJ393">
        <f>'Water Stuff'!Y363*1000</f>
        <v>620</v>
      </c>
      <c r="AK393">
        <f>'Water Stuff'!AG363*1000</f>
        <v>620</v>
      </c>
      <c r="AL393">
        <f>'Water Stuff'!AO363*1000</f>
        <v>620</v>
      </c>
    </row>
    <row r="394" spans="1:38">
      <c r="A394" s="109">
        <f>'Water Stuff'!F364</f>
        <v>44921</v>
      </c>
      <c r="B394">
        <f>IF( 'Water Stuff'!G364*1000 &gt;= 'Water Stuff'!$B$6*1000, 'Water Stuff'!$B$6*1000, 'Water Stuff'!G364*1000)</f>
        <v>2039.9999999999995</v>
      </c>
      <c r="C394">
        <f>IF( 'Water Stuff'!O364*1000 &gt;= 'Water Stuff'!$B$6*1000, 'Water Stuff'!$B$6*1000, 'Water Stuff'!O364*1000)</f>
        <v>5240</v>
      </c>
      <c r="D394">
        <f>IF( 'Water Stuff'!W364*1000 &gt;= 'Water Stuff'!$B$6*1000, 'Water Stuff'!$B$6*1000, 'Water Stuff'!W364*1000)</f>
        <v>0</v>
      </c>
      <c r="E394">
        <f>IF( 'Water Stuff'!AE364*1000 &gt;= 'Water Stuff'!$B$6*1000, 'Water Stuff'!$B$6*1000, 'Water Stuff'!AE364*1000)</f>
        <v>6114.2550600102022</v>
      </c>
      <c r="F394">
        <f>IF('Water Stuff'!AM364*1000&gt;='Water Stuff'!$B$6*1000,'Water Stuff'!$B$6*1000,'Water Stuff'!AM364*1000)</f>
        <v>0</v>
      </c>
      <c r="I394">
        <f t="shared" si="105"/>
        <v>20.399999999999995</v>
      </c>
      <c r="J394">
        <f t="shared" si="106"/>
        <v>52.4</v>
      </c>
      <c r="K394">
        <f t="shared" si="107"/>
        <v>0</v>
      </c>
      <c r="L394">
        <f t="shared" si="108"/>
        <v>61.142550600102027</v>
      </c>
      <c r="M394">
        <f t="shared" si="109"/>
        <v>0</v>
      </c>
      <c r="O394">
        <f t="shared" si="110"/>
        <v>0.40799999999999986</v>
      </c>
      <c r="P394">
        <f t="shared" si="111"/>
        <v>1.048</v>
      </c>
      <c r="Q394">
        <f t="shared" si="112"/>
        <v>0</v>
      </c>
      <c r="R394">
        <f t="shared" si="113"/>
        <v>1.2228510120020406</v>
      </c>
      <c r="S394">
        <f t="shared" si="114"/>
        <v>0</v>
      </c>
      <c r="U394">
        <f t="shared" si="115"/>
        <v>10.199999999999998</v>
      </c>
      <c r="V394">
        <f t="shared" si="116"/>
        <v>26.2</v>
      </c>
      <c r="W394">
        <f t="shared" si="117"/>
        <v>0</v>
      </c>
      <c r="X394">
        <f t="shared" si="118"/>
        <v>30.571275300051013</v>
      </c>
      <c r="Y394">
        <f t="shared" si="119"/>
        <v>0</v>
      </c>
      <c r="AA394">
        <f t="shared" si="120"/>
        <v>20.399999999999995</v>
      </c>
      <c r="AB394">
        <f t="shared" si="121"/>
        <v>52.4</v>
      </c>
      <c r="AC394">
        <f t="shared" si="122"/>
        <v>0</v>
      </c>
      <c r="AD394">
        <f t="shared" si="123"/>
        <v>61.142550600102027</v>
      </c>
      <c r="AE394">
        <f t="shared" si="124"/>
        <v>0</v>
      </c>
      <c r="AG394" s="109">
        <f t="shared" si="125"/>
        <v>44921</v>
      </c>
      <c r="AH394">
        <f>'Water Stuff'!I364*1000</f>
        <v>620</v>
      </c>
      <c r="AI394">
        <f>'Water Stuff'!Q364*1000</f>
        <v>620</v>
      </c>
      <c r="AJ394">
        <f>'Water Stuff'!Y364*1000</f>
        <v>620</v>
      </c>
      <c r="AK394">
        <f>'Water Stuff'!AG364*1000</f>
        <v>620</v>
      </c>
      <c r="AL394">
        <f>'Water Stuff'!AO364*1000</f>
        <v>620</v>
      </c>
    </row>
    <row r="395" spans="1:38">
      <c r="A395" s="109">
        <f>'Water Stuff'!F365</f>
        <v>44922</v>
      </c>
      <c r="B395">
        <f>IF( 'Water Stuff'!G365*1000 &gt;= 'Water Stuff'!$B$6*1000, 'Water Stuff'!$B$6*1000, 'Water Stuff'!G365*1000)</f>
        <v>1080</v>
      </c>
      <c r="C395">
        <f>IF( 'Water Stuff'!O365*1000 &gt;= 'Water Stuff'!$B$6*1000, 'Water Stuff'!$B$6*1000, 'Water Stuff'!O365*1000)</f>
        <v>320</v>
      </c>
      <c r="D395">
        <f>IF( 'Water Stuff'!W365*1000 &gt;= 'Water Stuff'!$B$6*1000, 'Water Stuff'!$B$6*1000, 'Water Stuff'!W365*1000)</f>
        <v>0</v>
      </c>
      <c r="E395">
        <f>IF( 'Water Stuff'!AE365*1000 &gt;= 'Water Stuff'!$B$6*1000, 'Water Stuff'!$B$6*1000, 'Water Stuff'!AE365*1000)</f>
        <v>0</v>
      </c>
      <c r="F395">
        <f>IF('Water Stuff'!AM365*1000&gt;='Water Stuff'!$B$6*1000,'Water Stuff'!$B$6*1000,'Water Stuff'!AM365*1000)</f>
        <v>1625.7670985291422</v>
      </c>
      <c r="I395">
        <f t="shared" si="105"/>
        <v>10.8</v>
      </c>
      <c r="J395">
        <f t="shared" si="106"/>
        <v>3.2</v>
      </c>
      <c r="K395">
        <f t="shared" si="107"/>
        <v>0</v>
      </c>
      <c r="L395">
        <f t="shared" si="108"/>
        <v>0</v>
      </c>
      <c r="M395">
        <f t="shared" si="109"/>
        <v>16.257670985291423</v>
      </c>
      <c r="O395">
        <f t="shared" si="110"/>
        <v>0.216</v>
      </c>
      <c r="P395">
        <f t="shared" si="111"/>
        <v>6.4000000000000001E-2</v>
      </c>
      <c r="Q395">
        <f t="shared" si="112"/>
        <v>0</v>
      </c>
      <c r="R395">
        <f t="shared" si="113"/>
        <v>0</v>
      </c>
      <c r="S395">
        <f t="shared" si="114"/>
        <v>0.32515341970582845</v>
      </c>
      <c r="U395">
        <f t="shared" si="115"/>
        <v>5.4</v>
      </c>
      <c r="V395">
        <f t="shared" si="116"/>
        <v>1.6</v>
      </c>
      <c r="W395">
        <f t="shared" si="117"/>
        <v>0</v>
      </c>
      <c r="X395">
        <f t="shared" si="118"/>
        <v>0</v>
      </c>
      <c r="Y395">
        <f t="shared" si="119"/>
        <v>8.1288354926457114</v>
      </c>
      <c r="AA395">
        <f t="shared" si="120"/>
        <v>10.8</v>
      </c>
      <c r="AB395">
        <f t="shared" si="121"/>
        <v>3.2</v>
      </c>
      <c r="AC395">
        <f t="shared" si="122"/>
        <v>0</v>
      </c>
      <c r="AD395">
        <f t="shared" si="123"/>
        <v>0</v>
      </c>
      <c r="AE395">
        <f t="shared" si="124"/>
        <v>16.257670985291423</v>
      </c>
      <c r="AG395" s="109">
        <f t="shared" si="125"/>
        <v>44922</v>
      </c>
      <c r="AH395">
        <f>'Water Stuff'!I365*1000</f>
        <v>620</v>
      </c>
      <c r="AI395">
        <f>'Water Stuff'!Q365*1000</f>
        <v>620</v>
      </c>
      <c r="AJ395">
        <f>'Water Stuff'!Y365*1000</f>
        <v>620</v>
      </c>
      <c r="AK395">
        <f>'Water Stuff'!AG365*1000</f>
        <v>620</v>
      </c>
      <c r="AL395">
        <f>'Water Stuff'!AO365*1000</f>
        <v>620</v>
      </c>
    </row>
    <row r="396" spans="1:38">
      <c r="A396" s="109">
        <f>'Water Stuff'!F366</f>
        <v>44923</v>
      </c>
      <c r="B396">
        <f>IF( 'Water Stuff'!G366*1000 &gt;= 'Water Stuff'!$B$6*1000, 'Water Stuff'!$B$6*1000, 'Water Stuff'!G366*1000)</f>
        <v>0</v>
      </c>
      <c r="C396">
        <f>IF( 'Water Stuff'!O366*1000 &gt;= 'Water Stuff'!$B$6*1000, 'Water Stuff'!$B$6*1000, 'Water Stuff'!O366*1000)</f>
        <v>40</v>
      </c>
      <c r="D396">
        <f>IF( 'Water Stuff'!W366*1000 &gt;= 'Water Stuff'!$B$6*1000, 'Water Stuff'!$B$6*1000, 'Water Stuff'!W366*1000)</f>
        <v>0</v>
      </c>
      <c r="E396">
        <f>IF( 'Water Stuff'!AE366*1000 &gt;= 'Water Stuff'!$B$6*1000, 'Water Stuff'!$B$6*1000, 'Water Stuff'!AE366*1000)</f>
        <v>0</v>
      </c>
      <c r="F396">
        <f>IF('Water Stuff'!AM366*1000&gt;='Water Stuff'!$B$6*1000,'Water Stuff'!$B$6*1000,'Water Stuff'!AM366*1000)</f>
        <v>0</v>
      </c>
      <c r="I396">
        <f t="shared" si="105"/>
        <v>0</v>
      </c>
      <c r="J396">
        <f t="shared" si="106"/>
        <v>0.4</v>
      </c>
      <c r="K396">
        <f t="shared" si="107"/>
        <v>0</v>
      </c>
      <c r="L396">
        <f t="shared" si="108"/>
        <v>0</v>
      </c>
      <c r="M396">
        <f t="shared" si="109"/>
        <v>0</v>
      </c>
      <c r="O396">
        <f t="shared" si="110"/>
        <v>0</v>
      </c>
      <c r="P396">
        <f t="shared" si="111"/>
        <v>8.0000000000000002E-3</v>
      </c>
      <c r="Q396">
        <f t="shared" si="112"/>
        <v>0</v>
      </c>
      <c r="R396">
        <f t="shared" si="113"/>
        <v>0</v>
      </c>
      <c r="S396">
        <f t="shared" si="114"/>
        <v>0</v>
      </c>
      <c r="U396">
        <f t="shared" si="115"/>
        <v>0</v>
      </c>
      <c r="V396">
        <f t="shared" si="116"/>
        <v>0.2</v>
      </c>
      <c r="W396">
        <f t="shared" si="117"/>
        <v>0</v>
      </c>
      <c r="X396">
        <f t="shared" si="118"/>
        <v>0</v>
      </c>
      <c r="Y396">
        <f t="shared" si="119"/>
        <v>0</v>
      </c>
      <c r="AA396">
        <f t="shared" si="120"/>
        <v>0</v>
      </c>
      <c r="AB396">
        <f t="shared" si="121"/>
        <v>0.4</v>
      </c>
      <c r="AC396">
        <f t="shared" si="122"/>
        <v>0</v>
      </c>
      <c r="AD396">
        <f t="shared" si="123"/>
        <v>0</v>
      </c>
      <c r="AE396">
        <f t="shared" si="124"/>
        <v>0</v>
      </c>
      <c r="AG396" s="109">
        <f t="shared" si="125"/>
        <v>44923</v>
      </c>
      <c r="AH396">
        <f>'Water Stuff'!I366*1000</f>
        <v>620</v>
      </c>
      <c r="AI396">
        <f>'Water Stuff'!Q366*1000</f>
        <v>620</v>
      </c>
      <c r="AJ396">
        <f>'Water Stuff'!Y366*1000</f>
        <v>620</v>
      </c>
      <c r="AK396">
        <f>'Water Stuff'!AG366*1000</f>
        <v>620</v>
      </c>
      <c r="AL396">
        <f>'Water Stuff'!AO366*1000</f>
        <v>620</v>
      </c>
    </row>
    <row r="397" spans="1:38">
      <c r="A397" s="109">
        <f>'Water Stuff'!F367</f>
        <v>44924</v>
      </c>
      <c r="B397">
        <f>IF( 'Water Stuff'!G367*1000 &gt;= 'Water Stuff'!$B$6*1000, 'Water Stuff'!$B$6*1000, 'Water Stuff'!G367*1000)</f>
        <v>0</v>
      </c>
      <c r="C397">
        <f>IF( 'Water Stuff'!O367*1000 &gt;= 'Water Stuff'!$B$6*1000, 'Water Stuff'!$B$6*1000, 'Water Stuff'!O367*1000)</f>
        <v>0</v>
      </c>
      <c r="D397">
        <f>IF( 'Water Stuff'!W367*1000 &gt;= 'Water Stuff'!$B$6*1000, 'Water Stuff'!$B$6*1000, 'Water Stuff'!W367*1000)</f>
        <v>0</v>
      </c>
      <c r="E397">
        <f>IF( 'Water Stuff'!AE367*1000 &gt;= 'Water Stuff'!$B$6*1000, 'Water Stuff'!$B$6*1000, 'Water Stuff'!AE367*1000)</f>
        <v>1595.1500042091095</v>
      </c>
      <c r="F397">
        <f>IF('Water Stuff'!AM367*1000&gt;='Water Stuff'!$B$6*1000,'Water Stuff'!$B$6*1000,'Water Stuff'!AM367*1000)</f>
        <v>1340.9986146577301</v>
      </c>
      <c r="I397">
        <f t="shared" si="105"/>
        <v>0</v>
      </c>
      <c r="J397">
        <f t="shared" si="106"/>
        <v>0</v>
      </c>
      <c r="K397">
        <f t="shared" si="107"/>
        <v>0</v>
      </c>
      <c r="L397">
        <f t="shared" si="108"/>
        <v>15.951500042091094</v>
      </c>
      <c r="M397">
        <f t="shared" si="109"/>
        <v>13.409986146577301</v>
      </c>
      <c r="O397">
        <f t="shared" si="110"/>
        <v>0</v>
      </c>
      <c r="P397">
        <f t="shared" si="111"/>
        <v>0</v>
      </c>
      <c r="Q397">
        <f t="shared" si="112"/>
        <v>0</v>
      </c>
      <c r="R397">
        <f t="shared" si="113"/>
        <v>0.31903000084182193</v>
      </c>
      <c r="S397">
        <f t="shared" si="114"/>
        <v>0.26819972293154604</v>
      </c>
      <c r="U397">
        <f t="shared" si="115"/>
        <v>0</v>
      </c>
      <c r="V397">
        <f t="shared" si="116"/>
        <v>0</v>
      </c>
      <c r="W397">
        <f t="shared" si="117"/>
        <v>0</v>
      </c>
      <c r="X397">
        <f t="shared" si="118"/>
        <v>7.9757500210455481</v>
      </c>
      <c r="Y397">
        <f t="shared" si="119"/>
        <v>6.7049930732886507</v>
      </c>
      <c r="AA397">
        <f t="shared" si="120"/>
        <v>0</v>
      </c>
      <c r="AB397">
        <f t="shared" si="121"/>
        <v>0</v>
      </c>
      <c r="AC397">
        <f t="shared" si="122"/>
        <v>0</v>
      </c>
      <c r="AD397">
        <f t="shared" si="123"/>
        <v>15.951500042091096</v>
      </c>
      <c r="AE397">
        <f t="shared" si="124"/>
        <v>13.409986146577301</v>
      </c>
      <c r="AG397" s="109">
        <f t="shared" si="125"/>
        <v>44924</v>
      </c>
      <c r="AH397">
        <f>'Water Stuff'!I367*1000</f>
        <v>620</v>
      </c>
      <c r="AI397">
        <f>'Water Stuff'!Q367*1000</f>
        <v>620</v>
      </c>
      <c r="AJ397">
        <f>'Water Stuff'!Y367*1000</f>
        <v>620</v>
      </c>
      <c r="AK397">
        <f>'Water Stuff'!AG367*1000</f>
        <v>620</v>
      </c>
      <c r="AL397">
        <f>'Water Stuff'!AO367*1000</f>
        <v>620</v>
      </c>
    </row>
    <row r="398" spans="1:38">
      <c r="A398" s="109">
        <f>'Water Stuff'!F368</f>
        <v>44925</v>
      </c>
      <c r="B398">
        <f>IF( 'Water Stuff'!G368*1000 &gt;= 'Water Stuff'!$B$6*1000, 'Water Stuff'!$B$6*1000, 'Water Stuff'!G368*1000)</f>
        <v>0</v>
      </c>
      <c r="C398">
        <f>IF( 'Water Stuff'!O368*1000 &gt;= 'Water Stuff'!$B$6*1000, 'Water Stuff'!$B$6*1000, 'Water Stuff'!O368*1000)</f>
        <v>0</v>
      </c>
      <c r="D398">
        <f>IF( 'Water Stuff'!W368*1000 &gt;= 'Water Stuff'!$B$6*1000, 'Water Stuff'!$B$6*1000, 'Water Stuff'!W368*1000)</f>
        <v>0</v>
      </c>
      <c r="E398">
        <f>IF( 'Water Stuff'!AE368*1000 &gt;= 'Water Stuff'!$B$6*1000, 'Water Stuff'!$B$6*1000, 'Water Stuff'!AE368*1000)</f>
        <v>0</v>
      </c>
      <c r="F398">
        <f>IF('Water Stuff'!AM368*1000&gt;='Water Stuff'!$B$6*1000,'Water Stuff'!$B$6*1000,'Water Stuff'!AM368*1000)</f>
        <v>279.48930160133779</v>
      </c>
      <c r="I398">
        <f t="shared" si="105"/>
        <v>0</v>
      </c>
      <c r="J398">
        <f t="shared" si="106"/>
        <v>0</v>
      </c>
      <c r="K398">
        <f t="shared" si="107"/>
        <v>0</v>
      </c>
      <c r="L398">
        <f t="shared" si="108"/>
        <v>0</v>
      </c>
      <c r="M398">
        <f t="shared" si="109"/>
        <v>2.7948930160133778</v>
      </c>
      <c r="O398">
        <f t="shared" si="110"/>
        <v>0</v>
      </c>
      <c r="P398">
        <f t="shared" si="111"/>
        <v>0</v>
      </c>
      <c r="Q398">
        <f t="shared" si="112"/>
        <v>0</v>
      </c>
      <c r="R398">
        <f t="shared" si="113"/>
        <v>0</v>
      </c>
      <c r="S398">
        <f t="shared" si="114"/>
        <v>5.5897860320267556E-2</v>
      </c>
      <c r="U398">
        <f t="shared" si="115"/>
        <v>0</v>
      </c>
      <c r="V398">
        <f t="shared" si="116"/>
        <v>0</v>
      </c>
      <c r="W398">
        <f t="shared" si="117"/>
        <v>0</v>
      </c>
      <c r="X398">
        <f t="shared" si="118"/>
        <v>0</v>
      </c>
      <c r="Y398">
        <f t="shared" si="119"/>
        <v>1.3974465080066889</v>
      </c>
      <c r="AA398">
        <f t="shared" si="120"/>
        <v>0</v>
      </c>
      <c r="AB398">
        <f t="shared" si="121"/>
        <v>0</v>
      </c>
      <c r="AC398">
        <f t="shared" si="122"/>
        <v>0</v>
      </c>
      <c r="AD398">
        <f t="shared" si="123"/>
        <v>0</v>
      </c>
      <c r="AE398">
        <f t="shared" si="124"/>
        <v>2.7948930160133778</v>
      </c>
      <c r="AG398" s="109">
        <f t="shared" si="125"/>
        <v>44925</v>
      </c>
      <c r="AH398">
        <f>'Water Stuff'!I368*1000</f>
        <v>620</v>
      </c>
      <c r="AI398">
        <f>'Water Stuff'!Q368*1000</f>
        <v>620</v>
      </c>
      <c r="AJ398">
        <f>'Water Stuff'!Y368*1000</f>
        <v>620</v>
      </c>
      <c r="AK398">
        <f>'Water Stuff'!AG368*1000</f>
        <v>620</v>
      </c>
      <c r="AL398">
        <f>'Water Stuff'!AO368*1000</f>
        <v>620</v>
      </c>
    </row>
    <row r="399" spans="1:38">
      <c r="A399" s="109">
        <f>'Water Stuff'!F369</f>
        <v>44926</v>
      </c>
      <c r="B399">
        <f>IF( 'Water Stuff'!G369*1000 &gt;= 'Water Stuff'!$B$6*1000, 'Water Stuff'!$B$6*1000, 'Water Stuff'!G369*1000)</f>
        <v>0</v>
      </c>
      <c r="C399">
        <f>IF( 'Water Stuff'!O369*1000 &gt;= 'Water Stuff'!$B$6*1000, 'Water Stuff'!$B$6*1000, 'Water Stuff'!O369*1000)</f>
        <v>0</v>
      </c>
      <c r="D399">
        <f>IF( 'Water Stuff'!W369*1000 &gt;= 'Water Stuff'!$B$6*1000, 'Water Stuff'!$B$6*1000, 'Water Stuff'!W369*1000)</f>
        <v>0</v>
      </c>
      <c r="E399">
        <f>IF( 'Water Stuff'!AE369*1000 &gt;= 'Water Stuff'!$B$6*1000, 'Water Stuff'!$B$6*1000, 'Water Stuff'!AE369*1000)</f>
        <v>994.14783116581486</v>
      </c>
      <c r="F399">
        <f>IF('Water Stuff'!AM369*1000&gt;='Water Stuff'!$B$6*1000,'Water Stuff'!$B$6*1000,'Water Stuff'!AM369*1000)</f>
        <v>0</v>
      </c>
      <c r="I399">
        <f t="shared" si="105"/>
        <v>0</v>
      </c>
      <c r="J399">
        <f t="shared" si="106"/>
        <v>0</v>
      </c>
      <c r="K399">
        <f t="shared" si="107"/>
        <v>0</v>
      </c>
      <c r="L399">
        <f t="shared" si="108"/>
        <v>9.94147831165815</v>
      </c>
      <c r="M399">
        <f t="shared" si="109"/>
        <v>0</v>
      </c>
      <c r="O399">
        <f t="shared" si="110"/>
        <v>0</v>
      </c>
      <c r="P399">
        <f t="shared" si="111"/>
        <v>0</v>
      </c>
      <c r="Q399">
        <f t="shared" si="112"/>
        <v>0</v>
      </c>
      <c r="R399">
        <f t="shared" si="113"/>
        <v>0.198829566233163</v>
      </c>
      <c r="S399">
        <f t="shared" si="114"/>
        <v>0</v>
      </c>
      <c r="U399">
        <f t="shared" si="115"/>
        <v>0</v>
      </c>
      <c r="V399">
        <f t="shared" si="116"/>
        <v>0</v>
      </c>
      <c r="W399">
        <f t="shared" si="117"/>
        <v>0</v>
      </c>
      <c r="X399">
        <f t="shared" si="118"/>
        <v>4.9707391558290741</v>
      </c>
      <c r="Y399">
        <f t="shared" si="119"/>
        <v>0</v>
      </c>
      <c r="AA399">
        <f t="shared" si="120"/>
        <v>0</v>
      </c>
      <c r="AB399">
        <f t="shared" si="121"/>
        <v>0</v>
      </c>
      <c r="AC399">
        <f t="shared" si="122"/>
        <v>0</v>
      </c>
      <c r="AD399">
        <f t="shared" si="123"/>
        <v>9.9414783116581482</v>
      </c>
      <c r="AE399">
        <f t="shared" si="124"/>
        <v>0</v>
      </c>
      <c r="AG399" s="109">
        <f t="shared" si="125"/>
        <v>44926</v>
      </c>
      <c r="AH399">
        <f>'Water Stuff'!I369*1000</f>
        <v>620</v>
      </c>
      <c r="AI399">
        <f>'Water Stuff'!Q369*1000</f>
        <v>620</v>
      </c>
      <c r="AJ399">
        <f>'Water Stuff'!Y369*1000</f>
        <v>620</v>
      </c>
      <c r="AK399">
        <f>'Water Stuff'!AG369*1000</f>
        <v>620</v>
      </c>
      <c r="AL399">
        <f>'Water Stuff'!AO369*1000</f>
        <v>620</v>
      </c>
    </row>
  </sheetData>
  <autoFilter ref="AG33:AL34" xr:uid="{00000000-0009-0000-0000-000008000000}"/>
  <mergeCells count="30">
    <mergeCell ref="A2:AL2"/>
    <mergeCell ref="T26:Y26"/>
    <mergeCell ref="A9:D9"/>
    <mergeCell ref="F9:I9"/>
    <mergeCell ref="K9:V9"/>
    <mergeCell ref="A26:C26"/>
    <mergeCell ref="E26:G26"/>
    <mergeCell ref="I26:N26"/>
    <mergeCell ref="T12:T13"/>
    <mergeCell ref="V10:V11"/>
    <mergeCell ref="U10:U11"/>
    <mergeCell ref="T10:T11"/>
    <mergeCell ref="V12:V13"/>
    <mergeCell ref="AE26:AG26"/>
    <mergeCell ref="A31:F31"/>
    <mergeCell ref="AG31:AL31"/>
    <mergeCell ref="T14:T15"/>
    <mergeCell ref="U14:U15"/>
    <mergeCell ref="V14:V15"/>
    <mergeCell ref="A18:A23"/>
    <mergeCell ref="E18:E19"/>
    <mergeCell ref="F18:H18"/>
    <mergeCell ref="AA26:AC26"/>
    <mergeCell ref="I31:S31"/>
    <mergeCell ref="P14:P15"/>
    <mergeCell ref="S10:S15"/>
    <mergeCell ref="O10:O15"/>
    <mergeCell ref="P26:R26"/>
    <mergeCell ref="U31:AE31"/>
    <mergeCell ref="U12:U1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6"/>
  <sheetViews>
    <sheetView topLeftCell="A37" zoomScale="85" zoomScaleNormal="85" workbookViewId="0">
      <selection activeCell="G44" sqref="G44"/>
    </sheetView>
  </sheetViews>
  <sheetFormatPr defaultRowHeight="14.4"/>
  <cols>
    <col min="1" max="1" width="24.109375" style="195" customWidth="1"/>
    <col min="2" max="2" width="27.6640625" style="195" customWidth="1"/>
    <col min="3" max="3" width="25.109375" style="195" customWidth="1"/>
    <col min="4" max="4" width="23.44140625" style="195" customWidth="1"/>
    <col min="5" max="5" width="24.33203125" style="195" customWidth="1"/>
    <col min="6" max="6" width="26.88671875" style="195" customWidth="1"/>
    <col min="7" max="7" width="23.109375" style="195" customWidth="1"/>
    <col min="8" max="8" width="22.33203125" style="195" customWidth="1"/>
    <col min="9" max="9" width="21.33203125" style="195" customWidth="1"/>
    <col min="10" max="10" width="15.6640625" style="195" customWidth="1"/>
    <col min="14" max="14" width="13.44140625" style="195" customWidth="1"/>
    <col min="15" max="16" width="12.44140625" style="195" customWidth="1"/>
    <col min="17" max="17" width="15" style="195" customWidth="1"/>
  </cols>
  <sheetData>
    <row r="1" spans="1:17" ht="15" customHeight="1" thickBot="1">
      <c r="A1" s="186" t="s">
        <v>362</v>
      </c>
    </row>
    <row r="2" spans="1:17" ht="29.4" customHeight="1" thickBot="1">
      <c r="A2" s="101" t="s">
        <v>363</v>
      </c>
      <c r="B2" s="177" t="str">
        <f>'Parameters and Satisfaction'!C18</f>
        <v>50W</v>
      </c>
      <c r="D2" s="131" t="s">
        <v>364</v>
      </c>
      <c r="E2" s="188">
        <f>(1/2)*(1+COS( (E3-B4)/(B5-B4) *PI()))</f>
        <v>0.70757656254544321</v>
      </c>
    </row>
    <row r="3" spans="1:17" ht="28.8" customHeight="1">
      <c r="D3" s="118" t="s">
        <v>365</v>
      </c>
      <c r="E3" s="187">
        <f>IF(C62/C32&gt;'Parameters and Satisfaction'!G8,C62/C32,0.2)</f>
        <v>0.49098240058436454</v>
      </c>
    </row>
    <row r="4" spans="1:17">
      <c r="A4" t="s">
        <v>366</v>
      </c>
      <c r="B4" s="102">
        <v>0.2</v>
      </c>
    </row>
    <row r="5" spans="1:17">
      <c r="A5" t="s">
        <v>367</v>
      </c>
      <c r="B5" s="102">
        <v>1</v>
      </c>
    </row>
    <row r="7" spans="1:17">
      <c r="A7" s="213" t="s">
        <v>1</v>
      </c>
      <c r="B7" s="212"/>
      <c r="C7" s="212"/>
      <c r="D7" s="212"/>
      <c r="E7" s="212"/>
      <c r="F7" s="212"/>
      <c r="G7" s="212"/>
      <c r="H7" s="212"/>
      <c r="I7" s="212"/>
      <c r="J7" s="212"/>
      <c r="K7" s="212"/>
      <c r="L7" s="212"/>
      <c r="M7" s="212"/>
      <c r="N7" s="212"/>
      <c r="O7" s="212"/>
      <c r="P7" s="212"/>
      <c r="Q7" s="212"/>
    </row>
    <row r="8" spans="1:17" ht="15" customHeight="1" thickBot="1"/>
    <row r="9" spans="1:17" ht="15" customHeight="1" thickBot="1">
      <c r="B9" s="239" t="s">
        <v>368</v>
      </c>
      <c r="C9" s="225"/>
      <c r="D9" s="226"/>
      <c r="F9" s="244" t="s">
        <v>369</v>
      </c>
      <c r="G9" s="216"/>
      <c r="H9" s="217"/>
      <c r="J9" s="240" t="s">
        <v>370</v>
      </c>
      <c r="K9" s="226"/>
    </row>
    <row r="10" spans="1:17" ht="28.8" customHeight="1">
      <c r="B10" s="123" t="s">
        <v>371</v>
      </c>
      <c r="C10" s="200">
        <v>0.1</v>
      </c>
      <c r="D10" s="201" t="s">
        <v>372</v>
      </c>
      <c r="F10" s="126" t="s">
        <v>373</v>
      </c>
      <c r="G10">
        <f>365*5</f>
        <v>1825</v>
      </c>
      <c r="H10" s="206" t="s">
        <v>69</v>
      </c>
      <c r="J10" s="170" t="s">
        <v>374</v>
      </c>
      <c r="K10" s="201" t="str">
        <f>'Parameters and Satisfaction'!C13</f>
        <v>Pump B</v>
      </c>
    </row>
    <row r="11" spans="1:17" ht="29.4" customHeight="1" thickBot="1">
      <c r="B11" s="124" t="s">
        <v>375</v>
      </c>
      <c r="C11">
        <v>6.4</v>
      </c>
      <c r="D11" s="206" t="s">
        <v>372</v>
      </c>
      <c r="F11" s="126" t="s">
        <v>376</v>
      </c>
      <c r="G11">
        <f>'Parameters and Satisfaction'!B2</f>
        <v>620</v>
      </c>
      <c r="H11" s="206" t="s">
        <v>3</v>
      </c>
      <c r="J11" s="207" t="s">
        <v>377</v>
      </c>
      <c r="K11" s="171">
        <f>IF(K10="Pump A",0.7,IF(K10="Pump B", 0.72, IF(K10="Pump C",0.65, "Error!")))</f>
        <v>0.72</v>
      </c>
    </row>
    <row r="12" spans="1:17" ht="29.4" customHeight="1" thickBot="1">
      <c r="B12" s="125" t="s">
        <v>378</v>
      </c>
      <c r="C12" s="208">
        <v>2408</v>
      </c>
      <c r="D12" s="209" t="s">
        <v>379</v>
      </c>
      <c r="F12" s="126" t="s">
        <v>380</v>
      </c>
      <c r="G12">
        <f>G11*G10</f>
        <v>1131500</v>
      </c>
      <c r="H12" s="206" t="s">
        <v>259</v>
      </c>
    </row>
    <row r="13" spans="1:17" ht="15" customHeight="1" thickBot="1">
      <c r="A13" t="s">
        <v>381</v>
      </c>
      <c r="F13" s="246" t="s">
        <v>382</v>
      </c>
      <c r="G13" s="225"/>
      <c r="H13" s="226"/>
    </row>
    <row r="14" spans="1:17" ht="14.25" customHeight="1" thickBot="1">
      <c r="B14" s="239" t="s">
        <v>383</v>
      </c>
      <c r="C14" s="225"/>
      <c r="D14" s="226"/>
      <c r="F14" s="247"/>
      <c r="G14" s="212"/>
      <c r="H14" s="248"/>
    </row>
    <row r="15" spans="1:17" ht="29.4" customHeight="1" thickBot="1">
      <c r="B15" s="127" t="s">
        <v>384</v>
      </c>
      <c r="C15" s="200">
        <v>2408</v>
      </c>
      <c r="D15" s="201" t="s">
        <v>379</v>
      </c>
      <c r="F15" s="249"/>
      <c r="G15" s="250"/>
      <c r="H15" s="251"/>
    </row>
    <row r="16" spans="1:17" ht="43.8" customHeight="1" thickBot="1">
      <c r="B16" s="128" t="s">
        <v>385</v>
      </c>
      <c r="C16" s="193" t="s">
        <v>386</v>
      </c>
      <c r="D16" s="209" t="s">
        <v>372</v>
      </c>
    </row>
    <row r="17" spans="1:17" ht="29.4" customHeight="1" thickBot="1"/>
    <row r="18" spans="1:17" ht="15" customHeight="1" thickBot="1">
      <c r="C18" s="239" t="s">
        <v>387</v>
      </c>
      <c r="D18" s="226"/>
    </row>
    <row r="19" spans="1:17" ht="15" customHeight="1" thickBot="1">
      <c r="C19" s="108" t="s">
        <v>388</v>
      </c>
      <c r="D19" s="192" t="s">
        <v>389</v>
      </c>
      <c r="E19" s="242" t="s">
        <v>390</v>
      </c>
    </row>
    <row r="20" spans="1:17" ht="15" customHeight="1" thickBot="1">
      <c r="B20" s="191" t="s">
        <v>391</v>
      </c>
      <c r="C20" s="129" t="s">
        <v>379</v>
      </c>
      <c r="D20" s="130" t="s">
        <v>392</v>
      </c>
      <c r="E20" s="220"/>
    </row>
    <row r="21" spans="1:17">
      <c r="A21" s="243" t="s">
        <v>393</v>
      </c>
      <c r="B21" s="100" t="s">
        <v>394</v>
      </c>
      <c r="C21">
        <v>496</v>
      </c>
      <c r="D21" t="s">
        <v>395</v>
      </c>
      <c r="E21" s="100" t="s">
        <v>395</v>
      </c>
    </row>
    <row r="22" spans="1:17">
      <c r="A22" s="223"/>
      <c r="B22" s="199" t="s">
        <v>396</v>
      </c>
      <c r="C22">
        <v>192</v>
      </c>
      <c r="D22" t="s">
        <v>395</v>
      </c>
      <c r="E22" s="199" t="s">
        <v>395</v>
      </c>
    </row>
    <row r="23" spans="1:17" ht="15" customHeight="1" thickBot="1">
      <c r="A23" s="220"/>
      <c r="B23" s="198" t="s">
        <v>397</v>
      </c>
      <c r="C23">
        <v>620</v>
      </c>
      <c r="D23" t="s">
        <v>395</v>
      </c>
      <c r="E23" s="199" t="s">
        <v>395</v>
      </c>
    </row>
    <row r="24" spans="1:17" ht="29.4" customHeight="1" thickBot="1">
      <c r="A24" s="110" t="s">
        <v>183</v>
      </c>
      <c r="B24" s="122" t="s">
        <v>398</v>
      </c>
      <c r="C24">
        <v>240</v>
      </c>
      <c r="D24" t="s">
        <v>395</v>
      </c>
      <c r="E24" s="178">
        <v>0.92</v>
      </c>
    </row>
    <row r="25" spans="1:17" ht="29.4" customHeight="1" thickBot="1">
      <c r="A25" s="110" t="s">
        <v>399</v>
      </c>
      <c r="B25" s="122" t="s">
        <v>400</v>
      </c>
      <c r="C25">
        <v>100</v>
      </c>
      <c r="D25" t="s">
        <v>395</v>
      </c>
      <c r="E25" s="178">
        <v>0.92</v>
      </c>
    </row>
    <row r="26" spans="1:17" ht="15" customHeight="1" thickBot="1">
      <c r="A26" s="110" t="s">
        <v>33</v>
      </c>
      <c r="B26" s="122" t="s">
        <v>401</v>
      </c>
      <c r="C26" s="208">
        <v>1250</v>
      </c>
      <c r="D26" s="208">
        <v>3.25</v>
      </c>
      <c r="E26" s="179">
        <v>0.35</v>
      </c>
    </row>
    <row r="28" spans="1:17">
      <c r="A28" s="213" t="s">
        <v>402</v>
      </c>
      <c r="B28" s="212"/>
      <c r="C28" s="212"/>
      <c r="D28" s="212"/>
      <c r="E28" s="212"/>
      <c r="F28" s="212"/>
      <c r="G28" s="212"/>
      <c r="H28" s="212"/>
      <c r="I28" s="212"/>
      <c r="J28" s="212"/>
      <c r="K28" s="212"/>
      <c r="L28" s="212"/>
      <c r="M28" s="212"/>
      <c r="N28" s="212"/>
      <c r="O28" s="212"/>
      <c r="P28" s="212"/>
      <c r="Q28" s="212"/>
    </row>
    <row r="29" spans="1:17" ht="15" customHeight="1" thickBot="1"/>
    <row r="30" spans="1:17" ht="15" customHeight="1" thickBot="1">
      <c r="B30" s="252" t="s">
        <v>403</v>
      </c>
      <c r="C30" s="216"/>
      <c r="D30" s="216"/>
      <c r="E30" s="216"/>
      <c r="F30" s="216"/>
      <c r="G30" s="217"/>
    </row>
    <row r="31" spans="1:17">
      <c r="B31" s="205" t="s">
        <v>404</v>
      </c>
      <c r="C31">
        <f>((C10+C11)/1000)*SUM('Filtration System'!AH35:AL399)</f>
        <v>7229.82</v>
      </c>
      <c r="D31" t="s">
        <v>405</v>
      </c>
      <c r="E31" t="s">
        <v>406</v>
      </c>
      <c r="F31">
        <f>C12</f>
        <v>2408</v>
      </c>
      <c r="G31" s="119" t="s">
        <v>405</v>
      </c>
    </row>
    <row r="32" spans="1:17" ht="15" customHeight="1" thickBot="1">
      <c r="B32" s="207" t="s">
        <v>407</v>
      </c>
      <c r="C32" s="208">
        <f>C31+F31</f>
        <v>9637.82</v>
      </c>
      <c r="D32" s="208" t="s">
        <v>405</v>
      </c>
      <c r="E32" s="208"/>
      <c r="F32" s="208"/>
      <c r="G32" s="120"/>
    </row>
    <row r="33" spans="2:10" ht="15" customHeight="1" thickBot="1"/>
    <row r="34" spans="2:10" ht="15" customHeight="1" thickBot="1">
      <c r="B34" s="252" t="s">
        <v>408</v>
      </c>
      <c r="C34" s="216"/>
      <c r="D34" s="216"/>
      <c r="E34" s="216"/>
      <c r="F34" s="216"/>
      <c r="G34" s="217"/>
    </row>
    <row r="35" spans="2:10" ht="15" customHeight="1" thickBot="1"/>
    <row r="36" spans="2:10" ht="15" customHeight="1" thickBot="1">
      <c r="C36" s="237" t="s">
        <v>393</v>
      </c>
      <c r="D36" s="236"/>
      <c r="E36" s="238"/>
    </row>
    <row r="37" spans="2:10" ht="14.4" customHeight="1" thickBot="1">
      <c r="C37" s="101" t="s">
        <v>394</v>
      </c>
      <c r="D37" s="196" t="s">
        <v>396</v>
      </c>
      <c r="E37" s="197" t="s">
        <v>397</v>
      </c>
      <c r="F37" s="205"/>
    </row>
    <row r="38" spans="2:10" ht="14.4" customHeight="1">
      <c r="B38" s="112" t="s">
        <v>409</v>
      </c>
      <c r="C38" s="113">
        <f>IF('Parameters and Satisfaction'!C22="HES-260",'Parameters and Satisfaction'!C23,0)</f>
        <v>4</v>
      </c>
      <c r="D38">
        <f>IF('Parameters and Satisfaction'!C22="SW-80",'Parameters and Satisfaction'!C23,0)</f>
        <v>0</v>
      </c>
      <c r="E38" s="114">
        <f>IF('Parameters and Satisfaction'!C22="HES-305P",'Parameters and Satisfaction'!C23,0)</f>
        <v>0</v>
      </c>
    </row>
    <row r="39" spans="2:10">
      <c r="B39" s="113" t="s">
        <v>410</v>
      </c>
      <c r="C39" s="113">
        <f>C21</f>
        <v>496</v>
      </c>
      <c r="D39">
        <f>C22</f>
        <v>192</v>
      </c>
      <c r="E39" s="114">
        <f>C23</f>
        <v>620</v>
      </c>
    </row>
    <row r="40" spans="2:10" ht="15" customHeight="1" thickBot="1">
      <c r="B40" s="115" t="s">
        <v>411</v>
      </c>
      <c r="C40" s="115">
        <f>C38*C39</f>
        <v>1984</v>
      </c>
      <c r="D40" s="116">
        <f>D38*D39</f>
        <v>0</v>
      </c>
      <c r="E40" s="117">
        <f>E38*E39</f>
        <v>0</v>
      </c>
    </row>
    <row r="42" spans="2:10" ht="15" customHeight="1" thickBot="1"/>
    <row r="43" spans="2:10" ht="15" customHeight="1" thickBot="1">
      <c r="B43" s="241" t="s">
        <v>412</v>
      </c>
      <c r="C43" s="225"/>
      <c r="D43" s="226"/>
      <c r="F43" s="245"/>
      <c r="G43" s="212"/>
      <c r="H43" s="212"/>
      <c r="I43" s="186"/>
    </row>
    <row r="44" spans="2:10" ht="15" customHeight="1" thickBot="1">
      <c r="B44" s="170" t="s">
        <v>413</v>
      </c>
      <c r="C44" s="200">
        <f>SUM('Power System Selection'!Z71:AD435)</f>
        <v>672.24727343215284</v>
      </c>
      <c r="D44" s="201" t="s">
        <v>414</v>
      </c>
    </row>
    <row r="45" spans="2:10" ht="15" customHeight="1" thickBot="1">
      <c r="B45" s="180" t="s">
        <v>387</v>
      </c>
      <c r="C45" s="196">
        <f>C44*D26</f>
        <v>2184.8036386544968</v>
      </c>
      <c r="D45" s="197" t="s">
        <v>405</v>
      </c>
    </row>
    <row r="47" spans="2:10" ht="15" customHeight="1" thickBot="1"/>
    <row r="48" spans="2:10" ht="14.4" customHeight="1" thickBot="1">
      <c r="B48" s="237" t="s">
        <v>415</v>
      </c>
      <c r="C48" s="236"/>
      <c r="D48" s="236"/>
      <c r="E48" s="238"/>
      <c r="J48" s="186"/>
    </row>
    <row r="49" spans="1:17" ht="15" customHeight="1" thickBot="1">
      <c r="B49" s="235" t="s">
        <v>39</v>
      </c>
      <c r="C49" s="236"/>
      <c r="D49" s="236"/>
      <c r="E49" s="203" t="s">
        <v>33</v>
      </c>
      <c r="J49" s="204"/>
      <c r="N49" s="186"/>
      <c r="O49" s="186"/>
      <c r="P49" s="186"/>
      <c r="Q49" s="204"/>
    </row>
    <row r="50" spans="1:17" ht="15" customHeight="1" thickBot="1">
      <c r="B50" s="101" t="s">
        <v>394</v>
      </c>
      <c r="C50" s="196" t="s">
        <v>396</v>
      </c>
      <c r="D50" s="196" t="s">
        <v>397</v>
      </c>
      <c r="E50" s="121" t="s">
        <v>401</v>
      </c>
      <c r="J50" s="118"/>
      <c r="Q50" s="118"/>
    </row>
    <row r="51" spans="1:17" ht="15" customHeight="1" thickBot="1">
      <c r="B51" s="172" t="str">
        <f>IF('Parameters and Satisfaction'!C20="Generator", "n", IF('Parameters and Satisfaction'!C22="HES-260","y","n"))</f>
        <v>y</v>
      </c>
      <c r="C51" s="173" t="str">
        <f>IF('Parameters and Satisfaction'!C20="Generator", "n", IF('Parameters and Satisfaction'!C22="SW-80","y","n"))</f>
        <v>n</v>
      </c>
      <c r="D51" s="173" t="str">
        <f>IF('Parameters and Satisfaction'!C20="Generator", "n", IF('Parameters and Satisfaction'!C22="HES-305P","y","n"))</f>
        <v>n</v>
      </c>
      <c r="E51" s="174" t="str">
        <f>IF('Parameters and Satisfaction'!C20="Generator", "y", "n")</f>
        <v>n</v>
      </c>
    </row>
    <row r="52" spans="1:17">
      <c r="B52" s="113">
        <f>IF(B51="y",$C$40,0)</f>
        <v>1984</v>
      </c>
      <c r="C52">
        <f>IF(C51="y",$D$40,0)</f>
        <v>0</v>
      </c>
      <c r="D52" s="114">
        <f>IF(D51="y",$E$40,0)</f>
        <v>0</v>
      </c>
      <c r="E52" s="114">
        <f>IF(E51="y",$C$45,0)</f>
        <v>0</v>
      </c>
    </row>
    <row r="53" spans="1:17">
      <c r="B53" s="113" t="s">
        <v>416</v>
      </c>
      <c r="C53" t="s">
        <v>416</v>
      </c>
      <c r="D53" s="114" t="s">
        <v>416</v>
      </c>
      <c r="E53" s="114" t="s">
        <v>417</v>
      </c>
    </row>
    <row r="54" spans="1:17">
      <c r="A54" t="s">
        <v>418</v>
      </c>
      <c r="B54" s="113">
        <v>0</v>
      </c>
      <c r="C54">
        <v>0</v>
      </c>
      <c r="D54" s="114">
        <v>0</v>
      </c>
      <c r="E54" s="114">
        <f>IF(E51="y",$C$26,0)</f>
        <v>0</v>
      </c>
    </row>
    <row r="55" spans="1:17">
      <c r="B55" s="113" t="s">
        <v>416</v>
      </c>
      <c r="C55" t="s">
        <v>416</v>
      </c>
      <c r="D55" s="114" t="s">
        <v>416</v>
      </c>
      <c r="E55" s="114" t="s">
        <v>416</v>
      </c>
    </row>
    <row r="56" spans="1:17">
      <c r="A56" t="s">
        <v>419</v>
      </c>
      <c r="B56" s="113">
        <f>B52+B54</f>
        <v>1984</v>
      </c>
      <c r="C56">
        <f>C52+C54</f>
        <v>0</v>
      </c>
      <c r="D56" s="114">
        <f>D52+D54</f>
        <v>0</v>
      </c>
      <c r="E56" s="114">
        <f>E54</f>
        <v>0</v>
      </c>
    </row>
    <row r="57" spans="1:17" ht="15" customHeight="1" thickBot="1">
      <c r="A57" t="s">
        <v>420</v>
      </c>
      <c r="B57" s="115">
        <f>0</f>
        <v>0</v>
      </c>
      <c r="C57" s="116">
        <f>0</f>
        <v>0</v>
      </c>
      <c r="D57" s="117">
        <f>0</f>
        <v>0</v>
      </c>
      <c r="E57" s="117">
        <f>0</f>
        <v>0</v>
      </c>
    </row>
    <row r="59" spans="1:17" ht="15" customHeight="1" thickBot="1"/>
    <row r="60" spans="1:17">
      <c r="B60" s="170" t="s">
        <v>421</v>
      </c>
      <c r="C60" s="200">
        <f>SUM(B56:E56)+C15+IF(OR(B51="y",C51="y",D51="y"),100,0) + 'Parameters and Satisfaction'!C21*'Power System GHG'!C24</f>
        <v>4732</v>
      </c>
      <c r="D60" s="175" t="s">
        <v>405</v>
      </c>
    </row>
    <row r="61" spans="1:17">
      <c r="B61" s="205" t="s">
        <v>422</v>
      </c>
      <c r="C61">
        <f>SUM(B57:E57)</f>
        <v>0</v>
      </c>
      <c r="D61" s="119" t="s">
        <v>405</v>
      </c>
    </row>
    <row r="62" spans="1:17" ht="15" customHeight="1" thickBot="1">
      <c r="B62" s="176" t="s">
        <v>407</v>
      </c>
      <c r="C62" s="208">
        <f>C60+C61</f>
        <v>4732</v>
      </c>
      <c r="D62" s="120" t="s">
        <v>405</v>
      </c>
    </row>
    <row r="63" spans="1:17">
      <c r="A63" s="186"/>
      <c r="B63" s="186"/>
      <c r="C63" s="186"/>
      <c r="D63" s="186"/>
      <c r="E63" s="186"/>
      <c r="F63" s="186"/>
      <c r="G63" s="186"/>
      <c r="H63" s="186"/>
      <c r="I63" s="186"/>
      <c r="J63" s="186"/>
      <c r="K63" s="186"/>
      <c r="L63" s="186"/>
      <c r="M63" s="186"/>
      <c r="N63" s="186"/>
      <c r="O63" s="186"/>
      <c r="P63" s="186"/>
      <c r="Q63" s="186"/>
    </row>
    <row r="66" spans="1:1">
      <c r="A66" s="118"/>
    </row>
  </sheetData>
  <mergeCells count="17">
    <mergeCell ref="J9:K9"/>
    <mergeCell ref="B43:D43"/>
    <mergeCell ref="E19:E20"/>
    <mergeCell ref="A7:Q7"/>
    <mergeCell ref="A21:A23"/>
    <mergeCell ref="F9:H9"/>
    <mergeCell ref="F43:H43"/>
    <mergeCell ref="F13:H15"/>
    <mergeCell ref="B30:G30"/>
    <mergeCell ref="B34:G34"/>
    <mergeCell ref="A28:Q28"/>
    <mergeCell ref="B49:D49"/>
    <mergeCell ref="B48:E48"/>
    <mergeCell ref="C18:D18"/>
    <mergeCell ref="C36:E36"/>
    <mergeCell ref="B9:D9"/>
    <mergeCell ref="B14:D14"/>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H15"/>
  <sheetViews>
    <sheetView workbookViewId="0">
      <selection activeCell="C9" sqref="C9"/>
    </sheetView>
  </sheetViews>
  <sheetFormatPr defaultRowHeight="14.4"/>
  <cols>
    <col min="1" max="1" width="21.88671875" style="195" customWidth="1"/>
    <col min="2" max="2" width="18.88671875" style="195" customWidth="1"/>
    <col min="3" max="3" width="12.6640625" style="195" customWidth="1"/>
    <col min="4" max="4" width="10.44140625" style="195" customWidth="1"/>
  </cols>
  <sheetData>
    <row r="3" spans="1:8">
      <c r="A3" s="159" t="s">
        <v>1</v>
      </c>
    </row>
    <row r="4" spans="1:8">
      <c r="B4" s="186" t="s">
        <v>60</v>
      </c>
      <c r="C4" s="186" t="s">
        <v>423</v>
      </c>
      <c r="D4" s="186"/>
    </row>
    <row r="5" spans="1:8">
      <c r="A5" s="186" t="s">
        <v>424</v>
      </c>
      <c r="B5">
        <v>4</v>
      </c>
      <c r="C5">
        <v>2</v>
      </c>
    </row>
    <row r="7" spans="1:8">
      <c r="A7" s="186" t="s">
        <v>425</v>
      </c>
      <c r="B7">
        <v>3</v>
      </c>
      <c r="C7">
        <v>3</v>
      </c>
    </row>
    <row r="9" spans="1:8">
      <c r="A9" s="186" t="s">
        <v>426</v>
      </c>
      <c r="B9">
        <f>4 - 0.5*LN(365/'Filtration System'!B28)</f>
        <v>2.8402601433198957</v>
      </c>
      <c r="C9">
        <f>4-0.5*LN(365/('Cost Calculations'!G7/5))</f>
        <v>0.59190595727167672</v>
      </c>
    </row>
    <row r="10" spans="1:8">
      <c r="C10" s="253" t="s">
        <v>427</v>
      </c>
      <c r="D10" s="212"/>
      <c r="E10" s="212"/>
      <c r="F10" s="212"/>
      <c r="G10" s="212"/>
      <c r="H10" s="212"/>
    </row>
    <row r="13" spans="1:8" ht="18" customHeight="1">
      <c r="B13" s="245" t="s">
        <v>428</v>
      </c>
      <c r="C13" s="212"/>
      <c r="D13">
        <f>(B9*B5)+(C9*C5)</f>
        <v>12.544852487822936</v>
      </c>
      <c r="F13" s="186" t="s">
        <v>429</v>
      </c>
      <c r="H13">
        <f>1/2*(1+COS(D15*PI()/32))*100</f>
        <v>18.88615424617555</v>
      </c>
    </row>
    <row r="14" spans="1:8">
      <c r="B14" s="245" t="s">
        <v>430</v>
      </c>
      <c r="C14" s="212"/>
      <c r="D14">
        <f>(B9*B7)+(C9*C7)</f>
        <v>10.296498301774719</v>
      </c>
    </row>
    <row r="15" spans="1:8" ht="14.4" customHeight="1">
      <c r="B15" s="245" t="s">
        <v>431</v>
      </c>
      <c r="C15" s="212"/>
      <c r="D15">
        <f>D14+D13</f>
        <v>22.841350789597655</v>
      </c>
    </row>
  </sheetData>
  <mergeCells count="4">
    <mergeCell ref="C10:H10"/>
    <mergeCell ref="B13:C13"/>
    <mergeCell ref="B14:C14"/>
    <mergeCell ref="B15:C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J373"/>
  <sheetViews>
    <sheetView topLeftCell="A363" zoomScaleNormal="100" workbookViewId="0">
      <selection activeCell="E383" sqref="E383"/>
    </sheetView>
  </sheetViews>
  <sheetFormatPr defaultColWidth="18.6640625" defaultRowHeight="18" customHeight="1"/>
  <cols>
    <col min="4" max="5" width="18.6640625" style="107" customWidth="1"/>
  </cols>
  <sheetData>
    <row r="2" spans="2:10" ht="18" customHeight="1">
      <c r="H2" s="189" t="s">
        <v>432</v>
      </c>
    </row>
    <row r="3" spans="2:10" ht="18" customHeight="1">
      <c r="H3" s="189" t="s">
        <v>433</v>
      </c>
    </row>
    <row r="5" spans="2:10" ht="18" customHeight="1">
      <c r="B5" t="s">
        <v>106</v>
      </c>
      <c r="C5" t="s">
        <v>108</v>
      </c>
      <c r="D5" t="s">
        <v>111</v>
      </c>
      <c r="E5" t="s">
        <v>434</v>
      </c>
      <c r="F5" t="s">
        <v>113</v>
      </c>
      <c r="H5" t="s">
        <v>435</v>
      </c>
      <c r="I5" t="s">
        <v>436</v>
      </c>
      <c r="J5" t="s">
        <v>437</v>
      </c>
    </row>
    <row r="6" spans="2:10" ht="18" customHeight="1">
      <c r="B6" s="56">
        <v>18.8</v>
      </c>
      <c r="C6" s="56">
        <v>7.8</v>
      </c>
      <c r="D6" s="107">
        <f t="shared" ref="D6:D69" si="0">IF(H6&lt;0,0,H6)</f>
        <v>11.09951470951181</v>
      </c>
      <c r="E6" s="107">
        <f t="shared" ref="E6:E69" si="1">IF(I6&lt;0,0,I6)</f>
        <v>0</v>
      </c>
      <c r="F6" s="107">
        <f t="shared" ref="F6:F69" si="2">IF(J6&lt;0,0,J6)</f>
        <v>14.766945166344909</v>
      </c>
      <c r="H6">
        <v>11.09951470951181</v>
      </c>
      <c r="I6">
        <v>-4.2999027484926033</v>
      </c>
      <c r="J6">
        <v>14.766945166344909</v>
      </c>
    </row>
    <row r="7" spans="2:10" ht="18" customHeight="1">
      <c r="B7" s="56">
        <v>19.8</v>
      </c>
      <c r="C7" s="56">
        <v>1</v>
      </c>
      <c r="D7" s="107">
        <f t="shared" si="0"/>
        <v>24.830729431466651</v>
      </c>
      <c r="E7" s="107">
        <f t="shared" si="1"/>
        <v>0</v>
      </c>
      <c r="F7" s="107">
        <f t="shared" si="2"/>
        <v>26.331547788079639</v>
      </c>
      <c r="H7">
        <v>24.830729431466651</v>
      </c>
      <c r="I7">
        <v>-1.4012616094331669</v>
      </c>
      <c r="J7">
        <v>26.331547788079639</v>
      </c>
    </row>
    <row r="8" spans="2:10" ht="18" customHeight="1">
      <c r="B8" s="56">
        <v>0</v>
      </c>
      <c r="C8" s="56">
        <v>13.4</v>
      </c>
      <c r="D8" s="107">
        <f t="shared" si="0"/>
        <v>0</v>
      </c>
      <c r="E8" s="107">
        <f t="shared" si="1"/>
        <v>16.667481414875429</v>
      </c>
      <c r="F8" s="107">
        <f t="shared" si="2"/>
        <v>8.2628997448589878</v>
      </c>
      <c r="H8">
        <v>-5.3336956519848933</v>
      </c>
      <c r="I8">
        <v>16.667481414875429</v>
      </c>
      <c r="J8">
        <v>8.2628997448589878</v>
      </c>
    </row>
    <row r="9" spans="2:10" ht="18" customHeight="1">
      <c r="B9" s="56">
        <v>0</v>
      </c>
      <c r="C9" s="56">
        <v>64.2</v>
      </c>
      <c r="D9" s="107">
        <f t="shared" si="0"/>
        <v>0</v>
      </c>
      <c r="E9" s="107">
        <f t="shared" si="1"/>
        <v>62.103798695679743</v>
      </c>
      <c r="F9" s="107">
        <f t="shared" si="2"/>
        <v>7.2771492255839902</v>
      </c>
      <c r="H9">
        <v>-11.187609126019989</v>
      </c>
      <c r="I9">
        <v>62.103798695679743</v>
      </c>
      <c r="J9">
        <v>7.2771492255839902</v>
      </c>
    </row>
    <row r="10" spans="2:10" ht="18" customHeight="1">
      <c r="B10" s="56">
        <v>0</v>
      </c>
      <c r="C10" s="56">
        <v>32.200000000000003</v>
      </c>
      <c r="D10" s="107">
        <f t="shared" si="0"/>
        <v>8.460861093568548</v>
      </c>
      <c r="E10" s="107">
        <f t="shared" si="1"/>
        <v>19.474885294345139</v>
      </c>
      <c r="F10" s="107">
        <f t="shared" si="2"/>
        <v>14.553569958366481</v>
      </c>
      <c r="H10">
        <v>8.460861093568548</v>
      </c>
      <c r="I10">
        <v>19.474885294345139</v>
      </c>
      <c r="J10">
        <v>14.553569958366481</v>
      </c>
    </row>
    <row r="11" spans="2:10" ht="18" customHeight="1">
      <c r="B11" s="56">
        <v>5</v>
      </c>
      <c r="C11" s="56">
        <v>2.8</v>
      </c>
      <c r="D11" s="107">
        <f t="shared" si="0"/>
        <v>0</v>
      </c>
      <c r="E11" s="107">
        <f t="shared" si="1"/>
        <v>0</v>
      </c>
      <c r="F11" s="107">
        <f t="shared" si="2"/>
        <v>0</v>
      </c>
      <c r="H11">
        <v>-1.740760328524545</v>
      </c>
      <c r="I11">
        <v>-5.4239357168411297</v>
      </c>
      <c r="J11">
        <v>-15.447051375890551</v>
      </c>
    </row>
    <row r="12" spans="2:10" ht="18" customHeight="1">
      <c r="B12" s="56">
        <v>20.399999999999999</v>
      </c>
      <c r="C12" s="56">
        <v>0</v>
      </c>
      <c r="D12" s="107">
        <f t="shared" si="0"/>
        <v>26.425094251119219</v>
      </c>
      <c r="E12" s="107">
        <f t="shared" si="1"/>
        <v>4.3739324987986246</v>
      </c>
      <c r="F12" s="107">
        <f t="shared" si="2"/>
        <v>34.550421623642052</v>
      </c>
      <c r="H12">
        <v>26.425094251119219</v>
      </c>
      <c r="I12">
        <v>4.3739324987986246</v>
      </c>
      <c r="J12">
        <v>34.550421623642052</v>
      </c>
    </row>
    <row r="13" spans="2:10" ht="18" customHeight="1">
      <c r="B13" s="56">
        <v>24.8</v>
      </c>
      <c r="C13" s="56">
        <v>0</v>
      </c>
      <c r="D13" s="107">
        <f t="shared" si="0"/>
        <v>10.933363773730809</v>
      </c>
      <c r="E13" s="107">
        <f t="shared" si="1"/>
        <v>0</v>
      </c>
      <c r="F13" s="107">
        <f t="shared" si="2"/>
        <v>0.78875590245721128</v>
      </c>
      <c r="H13">
        <v>10.933363773730809</v>
      </c>
      <c r="I13">
        <v>-4.1794481474686727</v>
      </c>
      <c r="J13">
        <v>0.78875590245721128</v>
      </c>
    </row>
    <row r="14" spans="2:10" ht="18" customHeight="1">
      <c r="B14" s="56">
        <v>34</v>
      </c>
      <c r="C14" s="56">
        <v>0.8</v>
      </c>
      <c r="D14" s="107">
        <f t="shared" si="0"/>
        <v>24.280552620268569</v>
      </c>
      <c r="E14" s="107">
        <f t="shared" si="1"/>
        <v>0</v>
      </c>
      <c r="F14" s="107">
        <f t="shared" si="2"/>
        <v>18.268925976991309</v>
      </c>
      <c r="H14">
        <v>24.280552620268569</v>
      </c>
      <c r="I14">
        <v>-3.3437606689329891</v>
      </c>
      <c r="J14">
        <v>18.268925976991309</v>
      </c>
    </row>
    <row r="15" spans="2:10" ht="18" customHeight="1">
      <c r="B15" s="56">
        <v>44.6</v>
      </c>
      <c r="C15" s="56">
        <v>0</v>
      </c>
      <c r="D15" s="107">
        <f t="shared" si="0"/>
        <v>39.468352072511962</v>
      </c>
      <c r="E15" s="107">
        <f t="shared" si="1"/>
        <v>0</v>
      </c>
      <c r="F15" s="107">
        <f t="shared" si="2"/>
        <v>45.529779479848827</v>
      </c>
      <c r="H15">
        <v>39.468352072511962</v>
      </c>
      <c r="I15">
        <v>-4.9062296303495847</v>
      </c>
      <c r="J15">
        <v>45.529779479848827</v>
      </c>
    </row>
    <row r="16" spans="2:10" ht="18" customHeight="1">
      <c r="B16" s="56">
        <v>14.4</v>
      </c>
      <c r="C16" s="56">
        <v>0</v>
      </c>
      <c r="D16" s="107">
        <f t="shared" si="0"/>
        <v>0</v>
      </c>
      <c r="E16" s="107">
        <f t="shared" si="1"/>
        <v>0</v>
      </c>
      <c r="F16" s="107">
        <f t="shared" si="2"/>
        <v>0</v>
      </c>
      <c r="H16">
        <v>-5.7789011987905432E-2</v>
      </c>
      <c r="I16">
        <v>-0.82193187803132339</v>
      </c>
      <c r="J16">
        <v>-6.3050401788007413</v>
      </c>
    </row>
    <row r="17" spans="2:10" ht="18" customHeight="1">
      <c r="B17" s="56">
        <v>50.2</v>
      </c>
      <c r="C17" s="56">
        <v>0</v>
      </c>
      <c r="D17" s="107">
        <f t="shared" si="0"/>
        <v>48.502412152269983</v>
      </c>
      <c r="E17" s="107">
        <f t="shared" si="1"/>
        <v>0</v>
      </c>
      <c r="F17" s="107">
        <f t="shared" si="2"/>
        <v>34.496568437074487</v>
      </c>
      <c r="H17">
        <v>48.502412152269983</v>
      </c>
      <c r="I17">
        <v>-8.3350046783057046</v>
      </c>
      <c r="J17">
        <v>34.496568437074487</v>
      </c>
    </row>
    <row r="18" spans="2:10" ht="18" customHeight="1">
      <c r="B18" s="56">
        <v>9.6</v>
      </c>
      <c r="C18" s="56">
        <v>0</v>
      </c>
      <c r="D18" s="107">
        <f t="shared" si="0"/>
        <v>0</v>
      </c>
      <c r="E18" s="107">
        <f t="shared" si="1"/>
        <v>6.710809490558761</v>
      </c>
      <c r="F18" s="107">
        <f t="shared" si="2"/>
        <v>0.61850878282070365</v>
      </c>
      <c r="H18">
        <v>-5.7557631703655971</v>
      </c>
      <c r="I18">
        <v>6.710809490558761</v>
      </c>
      <c r="J18">
        <v>0.61850878282070365</v>
      </c>
    </row>
    <row r="19" spans="2:10" ht="18" customHeight="1">
      <c r="B19" s="56">
        <v>5.8</v>
      </c>
      <c r="C19" s="56">
        <v>0.4</v>
      </c>
      <c r="D19" s="107">
        <f t="shared" si="0"/>
        <v>9.5966615576065255</v>
      </c>
      <c r="E19" s="107">
        <f t="shared" si="1"/>
        <v>0</v>
      </c>
      <c r="F19" s="107">
        <f t="shared" si="2"/>
        <v>1.2311649362675561</v>
      </c>
      <c r="H19">
        <v>9.5966615576065255</v>
      </c>
      <c r="I19">
        <v>-5.0263621364430549</v>
      </c>
      <c r="J19">
        <v>1.2311649362675561</v>
      </c>
    </row>
    <row r="20" spans="2:10" ht="18" customHeight="1">
      <c r="B20" s="56">
        <v>1.6</v>
      </c>
      <c r="C20" s="56">
        <v>35.4</v>
      </c>
      <c r="D20" s="107">
        <f t="shared" si="0"/>
        <v>0</v>
      </c>
      <c r="E20" s="107">
        <f t="shared" si="1"/>
        <v>24.304566889750181</v>
      </c>
      <c r="F20" s="107">
        <f t="shared" si="2"/>
        <v>0</v>
      </c>
      <c r="H20">
        <v>-2.2810066157800359</v>
      </c>
      <c r="I20">
        <v>24.304566889750181</v>
      </c>
      <c r="J20">
        <v>-10.68776180927563</v>
      </c>
    </row>
    <row r="21" spans="2:10" ht="18" customHeight="1">
      <c r="B21" s="56">
        <v>0.8</v>
      </c>
      <c r="C21" s="56">
        <v>6</v>
      </c>
      <c r="D21" s="107">
        <f t="shared" si="0"/>
        <v>0</v>
      </c>
      <c r="E21" s="107">
        <f t="shared" si="1"/>
        <v>7.3327546840251889</v>
      </c>
      <c r="F21" s="107">
        <f t="shared" si="2"/>
        <v>0</v>
      </c>
      <c r="H21">
        <v>-4.7455891232589096</v>
      </c>
      <c r="I21">
        <v>7.3327546840251889</v>
      </c>
      <c r="J21">
        <v>-0.59957669612459019</v>
      </c>
    </row>
    <row r="22" spans="2:10" ht="18" customHeight="1">
      <c r="B22" s="56">
        <v>0</v>
      </c>
      <c r="C22" s="56">
        <v>20.399999999999999</v>
      </c>
      <c r="D22" s="107">
        <f t="shared" si="0"/>
        <v>0</v>
      </c>
      <c r="E22" s="107">
        <f t="shared" si="1"/>
        <v>17.10299207889766</v>
      </c>
      <c r="F22" s="107">
        <f t="shared" si="2"/>
        <v>1.723741206137325</v>
      </c>
      <c r="H22">
        <v>-8.0743437260642761</v>
      </c>
      <c r="I22">
        <v>17.10299207889766</v>
      </c>
      <c r="J22">
        <v>1.723741206137325</v>
      </c>
    </row>
    <row r="23" spans="2:10" ht="18" customHeight="1">
      <c r="B23" s="56">
        <v>2.6</v>
      </c>
      <c r="C23" s="56">
        <v>16.600000000000001</v>
      </c>
      <c r="D23" s="107">
        <f t="shared" si="0"/>
        <v>0</v>
      </c>
      <c r="E23" s="107">
        <f t="shared" si="1"/>
        <v>1.24217605633047</v>
      </c>
      <c r="F23" s="107">
        <f t="shared" si="2"/>
        <v>7.5466152604686672</v>
      </c>
      <c r="H23">
        <v>-7.4624770950006436</v>
      </c>
      <c r="I23">
        <v>1.24217605633047</v>
      </c>
      <c r="J23">
        <v>7.5466152604686672</v>
      </c>
    </row>
    <row r="24" spans="2:10" ht="18" customHeight="1">
      <c r="B24" s="56">
        <v>1</v>
      </c>
      <c r="C24" s="56">
        <v>2.6</v>
      </c>
      <c r="D24" s="107">
        <f t="shared" si="0"/>
        <v>7.9955777225044287</v>
      </c>
      <c r="E24" s="107">
        <f t="shared" si="1"/>
        <v>0.4836285881933029</v>
      </c>
      <c r="F24" s="107">
        <f t="shared" si="2"/>
        <v>0</v>
      </c>
      <c r="H24">
        <v>7.9955777225044287</v>
      </c>
      <c r="I24">
        <v>0.4836285881933029</v>
      </c>
      <c r="J24">
        <v>-3.398751021238581</v>
      </c>
    </row>
    <row r="25" spans="2:10" ht="18" customHeight="1">
      <c r="B25" s="56">
        <v>0.6</v>
      </c>
      <c r="C25" s="56">
        <v>0.4</v>
      </c>
      <c r="D25" s="107">
        <f t="shared" si="0"/>
        <v>0</v>
      </c>
      <c r="E25" s="107">
        <f t="shared" si="1"/>
        <v>0</v>
      </c>
      <c r="F25" s="107">
        <f t="shared" si="2"/>
        <v>0</v>
      </c>
      <c r="H25">
        <v>-7.6716636508580027</v>
      </c>
      <c r="I25">
        <v>-3.1369211356684028</v>
      </c>
      <c r="J25">
        <v>-5.3636270104153621</v>
      </c>
    </row>
    <row r="26" spans="2:10" ht="18" customHeight="1">
      <c r="B26" s="56">
        <v>0.8</v>
      </c>
      <c r="C26" s="56">
        <v>18.399999999999999</v>
      </c>
      <c r="D26" s="107">
        <f t="shared" si="0"/>
        <v>0</v>
      </c>
      <c r="E26" s="107">
        <f t="shared" si="1"/>
        <v>20.54730140898317</v>
      </c>
      <c r="F26" s="107">
        <f t="shared" si="2"/>
        <v>4.4893182141170387</v>
      </c>
      <c r="H26">
        <v>-5.1428264349013411</v>
      </c>
      <c r="I26">
        <v>20.54730140898317</v>
      </c>
      <c r="J26">
        <v>4.4893182141170387</v>
      </c>
    </row>
    <row r="27" spans="2:10" ht="18" customHeight="1">
      <c r="B27" s="56">
        <v>0.6</v>
      </c>
      <c r="C27" s="56">
        <v>14</v>
      </c>
      <c r="D27" s="107">
        <f t="shared" si="0"/>
        <v>0</v>
      </c>
      <c r="E27" s="107">
        <f t="shared" si="1"/>
        <v>22.47413890783611</v>
      </c>
      <c r="F27" s="107">
        <f t="shared" si="2"/>
        <v>0</v>
      </c>
      <c r="H27">
        <v>-2.8535504452419151</v>
      </c>
      <c r="I27">
        <v>22.47413890783611</v>
      </c>
      <c r="J27">
        <v>-13.495715765591539</v>
      </c>
    </row>
    <row r="28" spans="2:10" ht="18" customHeight="1">
      <c r="B28" s="56">
        <v>0</v>
      </c>
      <c r="C28" s="56">
        <v>90.8</v>
      </c>
      <c r="D28" s="107">
        <f t="shared" si="0"/>
        <v>0</v>
      </c>
      <c r="E28" s="107">
        <f t="shared" si="1"/>
        <v>90.076403538211792</v>
      </c>
      <c r="F28" s="107">
        <f t="shared" si="2"/>
        <v>8.6376191396924984</v>
      </c>
      <c r="H28">
        <v>-5.1172377646444112</v>
      </c>
      <c r="I28">
        <v>90.076403538211792</v>
      </c>
      <c r="J28">
        <v>8.6376191396924984</v>
      </c>
    </row>
    <row r="29" spans="2:10" ht="18" customHeight="1">
      <c r="B29" s="56">
        <v>0</v>
      </c>
      <c r="C29" s="56">
        <v>40</v>
      </c>
      <c r="D29" s="107">
        <f t="shared" si="0"/>
        <v>4.6328248129500427</v>
      </c>
      <c r="E29" s="107">
        <f t="shared" si="1"/>
        <v>48.528897023942157</v>
      </c>
      <c r="F29" s="107">
        <f t="shared" si="2"/>
        <v>0</v>
      </c>
      <c r="H29">
        <v>4.6328248129500427</v>
      </c>
      <c r="I29">
        <v>48.528897023942157</v>
      </c>
      <c r="J29">
        <v>-9.1424531540623768</v>
      </c>
    </row>
    <row r="30" spans="2:10" ht="18" customHeight="1">
      <c r="B30" s="56">
        <v>0</v>
      </c>
      <c r="C30" s="56">
        <v>1.8</v>
      </c>
      <c r="D30" s="107">
        <f t="shared" si="0"/>
        <v>8.1591466665485921</v>
      </c>
      <c r="E30" s="107">
        <f t="shared" si="1"/>
        <v>0</v>
      </c>
      <c r="F30" s="107">
        <f t="shared" si="2"/>
        <v>6.9743880214868934</v>
      </c>
      <c r="H30">
        <v>8.1591466665485921</v>
      </c>
      <c r="I30">
        <v>-4.4449243048628544</v>
      </c>
      <c r="J30">
        <v>6.9743880214868934</v>
      </c>
    </row>
    <row r="31" spans="2:10" ht="18" customHeight="1">
      <c r="B31" s="56">
        <v>0</v>
      </c>
      <c r="C31" s="56">
        <v>2.8</v>
      </c>
      <c r="D31" s="107">
        <f t="shared" si="0"/>
        <v>0</v>
      </c>
      <c r="E31" s="107">
        <f t="shared" si="1"/>
        <v>0</v>
      </c>
      <c r="F31" s="107">
        <f t="shared" si="2"/>
        <v>1.494018391208618</v>
      </c>
      <c r="H31">
        <v>-0.7117187264377739</v>
      </c>
      <c r="I31">
        <v>-8.904502025661202</v>
      </c>
      <c r="J31">
        <v>1.494018391208618</v>
      </c>
    </row>
    <row r="32" spans="2:10" ht="18" customHeight="1">
      <c r="B32" s="56">
        <v>17.600000000000001</v>
      </c>
      <c r="C32" s="56">
        <v>2.8</v>
      </c>
      <c r="D32" s="107">
        <f t="shared" si="0"/>
        <v>19.361622404527211</v>
      </c>
      <c r="E32" s="107">
        <f t="shared" si="1"/>
        <v>0</v>
      </c>
      <c r="F32" s="107">
        <f t="shared" si="2"/>
        <v>25.398731916309259</v>
      </c>
      <c r="H32">
        <v>19.361622404527211</v>
      </c>
      <c r="I32">
        <v>-13.128299934008149</v>
      </c>
      <c r="J32">
        <v>25.398731916309259</v>
      </c>
    </row>
    <row r="33" spans="2:10" ht="18" customHeight="1">
      <c r="B33" s="56">
        <v>0</v>
      </c>
      <c r="C33" s="56">
        <v>0</v>
      </c>
      <c r="D33" s="107">
        <f t="shared" si="0"/>
        <v>4.3221780703213417</v>
      </c>
      <c r="E33" s="107">
        <f t="shared" si="1"/>
        <v>5.2707850606921429</v>
      </c>
      <c r="F33" s="107">
        <f t="shared" si="2"/>
        <v>9.1484477536199922</v>
      </c>
      <c r="H33">
        <v>4.3221780703213417</v>
      </c>
      <c r="I33">
        <v>5.2707850606921429</v>
      </c>
      <c r="J33">
        <v>9.1484477536199922</v>
      </c>
    </row>
    <row r="34" spans="2:10" ht="18" customHeight="1">
      <c r="B34" s="56">
        <v>0</v>
      </c>
      <c r="C34" s="56">
        <v>0</v>
      </c>
      <c r="D34" s="107">
        <f t="shared" si="0"/>
        <v>0</v>
      </c>
      <c r="E34" s="107">
        <f t="shared" si="1"/>
        <v>0</v>
      </c>
      <c r="F34" s="107">
        <f t="shared" si="2"/>
        <v>0</v>
      </c>
      <c r="H34">
        <v>-2.7024239821097109</v>
      </c>
      <c r="I34">
        <v>-13.59459204467538</v>
      </c>
      <c r="J34">
        <v>-12.218498225613549</v>
      </c>
    </row>
    <row r="35" spans="2:10" ht="18" customHeight="1">
      <c r="B35" s="56">
        <v>0</v>
      </c>
      <c r="C35" s="56">
        <v>0.6</v>
      </c>
      <c r="D35" s="107">
        <f t="shared" si="0"/>
        <v>0</v>
      </c>
      <c r="E35" s="107">
        <f t="shared" si="1"/>
        <v>0</v>
      </c>
      <c r="F35" s="107">
        <f t="shared" si="2"/>
        <v>3.4087938948933361</v>
      </c>
      <c r="H35">
        <v>-8.5649768815832861</v>
      </c>
      <c r="I35">
        <v>-13.182272812891011</v>
      </c>
      <c r="J35">
        <v>3.4087938948933361</v>
      </c>
    </row>
    <row r="36" spans="2:10" ht="18" customHeight="1">
      <c r="B36" s="56">
        <v>2.6</v>
      </c>
      <c r="C36" s="56">
        <v>5.8</v>
      </c>
      <c r="D36" s="107">
        <f t="shared" si="0"/>
        <v>0</v>
      </c>
      <c r="E36" s="107">
        <f t="shared" si="1"/>
        <v>0</v>
      </c>
      <c r="F36" s="107">
        <f t="shared" si="2"/>
        <v>0</v>
      </c>
      <c r="H36">
        <v>-4.84490876122657</v>
      </c>
      <c r="I36">
        <v>-7.3885034767132423</v>
      </c>
      <c r="J36">
        <v>-11.201923257870609</v>
      </c>
    </row>
    <row r="37" spans="2:10" ht="18" customHeight="1">
      <c r="B37" s="56">
        <v>2.6</v>
      </c>
      <c r="C37" s="56">
        <v>8</v>
      </c>
      <c r="D37" s="107">
        <f t="shared" si="0"/>
        <v>0</v>
      </c>
      <c r="E37" s="107">
        <f t="shared" si="1"/>
        <v>0</v>
      </c>
      <c r="F37" s="107">
        <f t="shared" si="2"/>
        <v>0</v>
      </c>
      <c r="H37">
        <v>-4.6730091283120796</v>
      </c>
      <c r="I37">
        <v>-3.7650092914069231</v>
      </c>
      <c r="J37">
        <v>-13.679789581417941</v>
      </c>
    </row>
    <row r="38" spans="2:10" ht="18" customHeight="1">
      <c r="B38" s="56">
        <v>0</v>
      </c>
      <c r="C38" s="56">
        <v>27</v>
      </c>
      <c r="D38" s="107">
        <f t="shared" si="0"/>
        <v>1.049422688667315</v>
      </c>
      <c r="E38" s="107">
        <f t="shared" si="1"/>
        <v>18.96436541526597</v>
      </c>
      <c r="F38" s="107">
        <f t="shared" si="2"/>
        <v>3.9700189049102832</v>
      </c>
      <c r="H38">
        <v>1.049422688667315</v>
      </c>
      <c r="I38">
        <v>18.96436541526597</v>
      </c>
      <c r="J38">
        <v>3.9700189049102832</v>
      </c>
    </row>
    <row r="39" spans="2:10" ht="18" customHeight="1">
      <c r="B39" s="56">
        <v>0</v>
      </c>
      <c r="C39" s="56">
        <v>0.6</v>
      </c>
      <c r="D39" s="107">
        <f t="shared" si="0"/>
        <v>6.1451655441408519</v>
      </c>
      <c r="E39" s="107">
        <f t="shared" si="1"/>
        <v>0</v>
      </c>
      <c r="F39" s="107">
        <f t="shared" si="2"/>
        <v>0</v>
      </c>
      <c r="H39">
        <v>6.1451655441408519</v>
      </c>
      <c r="I39">
        <v>-5.9955907213277602</v>
      </c>
      <c r="J39">
        <v>-1.389200871915458</v>
      </c>
    </row>
    <row r="40" spans="2:10" ht="18" customHeight="1">
      <c r="B40" s="56">
        <v>0</v>
      </c>
      <c r="C40" s="56">
        <v>36</v>
      </c>
      <c r="D40" s="107">
        <f t="shared" si="0"/>
        <v>7.5955805520658224</v>
      </c>
      <c r="E40" s="107">
        <f t="shared" si="1"/>
        <v>25.327090662646391</v>
      </c>
      <c r="F40" s="107">
        <f t="shared" si="2"/>
        <v>14.111540422654</v>
      </c>
      <c r="H40">
        <v>7.5955805520658224</v>
      </c>
      <c r="I40">
        <v>25.327090662646391</v>
      </c>
      <c r="J40">
        <v>14.111540422654</v>
      </c>
    </row>
    <row r="41" spans="2:10" ht="18" customHeight="1">
      <c r="B41" s="56">
        <v>0</v>
      </c>
      <c r="C41" s="56">
        <v>27.2</v>
      </c>
      <c r="D41" s="107">
        <f t="shared" si="0"/>
        <v>0</v>
      </c>
      <c r="E41" s="107">
        <f t="shared" si="1"/>
        <v>12.264257183706119</v>
      </c>
      <c r="F41" s="107">
        <f t="shared" si="2"/>
        <v>0</v>
      </c>
      <c r="H41">
        <v>-2.8089873497738389</v>
      </c>
      <c r="I41">
        <v>12.264257183706119</v>
      </c>
      <c r="J41">
        <v>-1.2462309903813531</v>
      </c>
    </row>
    <row r="42" spans="2:10" ht="18" customHeight="1">
      <c r="B42" s="56">
        <v>0</v>
      </c>
      <c r="C42" s="56">
        <v>28.2</v>
      </c>
      <c r="D42" s="107">
        <f t="shared" si="0"/>
        <v>0</v>
      </c>
      <c r="E42" s="107">
        <f t="shared" si="1"/>
        <v>22.00241327050497</v>
      </c>
      <c r="F42" s="107">
        <f t="shared" si="2"/>
        <v>6.4795694018478791</v>
      </c>
      <c r="H42">
        <v>-10.35970460480536</v>
      </c>
      <c r="I42">
        <v>22.00241327050497</v>
      </c>
      <c r="J42">
        <v>6.4795694018478791</v>
      </c>
    </row>
    <row r="43" spans="2:10" ht="18" customHeight="1">
      <c r="B43" s="56">
        <v>0</v>
      </c>
      <c r="C43" s="56">
        <v>39.200000000000003</v>
      </c>
      <c r="D43" s="107">
        <f t="shared" si="0"/>
        <v>8.3868249369345236</v>
      </c>
      <c r="E43" s="107">
        <f t="shared" si="1"/>
        <v>35.809976892659613</v>
      </c>
      <c r="F43" s="107">
        <f t="shared" si="2"/>
        <v>0</v>
      </c>
      <c r="H43">
        <v>8.3868249369345236</v>
      </c>
      <c r="I43">
        <v>35.809976892659613</v>
      </c>
      <c r="J43">
        <v>-3.9092057731354259</v>
      </c>
    </row>
    <row r="44" spans="2:10" ht="18" customHeight="1">
      <c r="B44" s="56">
        <v>0</v>
      </c>
      <c r="C44" s="56">
        <v>6.6</v>
      </c>
      <c r="D44" s="107">
        <f t="shared" si="0"/>
        <v>0</v>
      </c>
      <c r="E44" s="107">
        <f t="shared" si="1"/>
        <v>0</v>
      </c>
      <c r="F44" s="107">
        <f t="shared" si="2"/>
        <v>7.9376866825658556</v>
      </c>
      <c r="H44">
        <v>-1.3177743709239269</v>
      </c>
      <c r="I44">
        <v>-8.1713438600962931</v>
      </c>
      <c r="J44">
        <v>7.9376866825658556</v>
      </c>
    </row>
    <row r="45" spans="2:10" ht="18" customHeight="1">
      <c r="B45" s="56">
        <v>12.2</v>
      </c>
      <c r="C45" s="56">
        <v>3.2</v>
      </c>
      <c r="D45" s="107">
        <f t="shared" si="0"/>
        <v>0.76357481936292793</v>
      </c>
      <c r="E45" s="107">
        <f t="shared" si="1"/>
        <v>0</v>
      </c>
      <c r="F45" s="107">
        <f t="shared" si="2"/>
        <v>4.0842363127661487</v>
      </c>
      <c r="H45">
        <v>0.76357481936292793</v>
      </c>
      <c r="I45">
        <v>-3.2819849935565641</v>
      </c>
      <c r="J45">
        <v>4.0842363127661487</v>
      </c>
    </row>
    <row r="46" spans="2:10" ht="18" customHeight="1">
      <c r="B46" s="56">
        <v>13.4</v>
      </c>
      <c r="C46" s="56">
        <v>0.2</v>
      </c>
      <c r="D46" s="107">
        <f t="shared" si="0"/>
        <v>8.3419784312532954</v>
      </c>
      <c r="E46" s="107">
        <f t="shared" si="1"/>
        <v>0</v>
      </c>
      <c r="F46" s="107">
        <f t="shared" si="2"/>
        <v>4.9341205456346948</v>
      </c>
      <c r="H46">
        <v>8.3419784312532954</v>
      </c>
      <c r="I46">
        <v>-0.44466275625208462</v>
      </c>
      <c r="J46">
        <v>4.9341205456346948</v>
      </c>
    </row>
    <row r="47" spans="2:10" ht="18" customHeight="1">
      <c r="B47" s="56">
        <v>46.6</v>
      </c>
      <c r="C47" s="56">
        <v>19.600000000000001</v>
      </c>
      <c r="D47" s="107">
        <f t="shared" si="0"/>
        <v>50.073937221944732</v>
      </c>
      <c r="E47" s="107">
        <f t="shared" si="1"/>
        <v>20.48380780050546</v>
      </c>
      <c r="F47" s="107">
        <f t="shared" si="2"/>
        <v>36.626782598096128</v>
      </c>
      <c r="H47">
        <v>50.073937221944732</v>
      </c>
      <c r="I47">
        <v>20.48380780050546</v>
      </c>
      <c r="J47">
        <v>36.626782598096128</v>
      </c>
    </row>
    <row r="48" spans="2:10" ht="18" customHeight="1">
      <c r="B48" s="56">
        <v>16.8</v>
      </c>
      <c r="C48" s="56">
        <v>30.4</v>
      </c>
      <c r="D48" s="107">
        <f t="shared" si="0"/>
        <v>19.300622188804532</v>
      </c>
      <c r="E48" s="107">
        <f t="shared" si="1"/>
        <v>33.452733769380323</v>
      </c>
      <c r="F48" s="107">
        <f t="shared" si="2"/>
        <v>16.70345887780336</v>
      </c>
      <c r="H48">
        <v>19.300622188804532</v>
      </c>
      <c r="I48">
        <v>33.452733769380323</v>
      </c>
      <c r="J48">
        <v>16.70345887780336</v>
      </c>
    </row>
    <row r="49" spans="2:10" ht="18" customHeight="1">
      <c r="B49" s="56">
        <v>15.6</v>
      </c>
      <c r="C49" s="56">
        <v>19</v>
      </c>
      <c r="D49" s="107">
        <f t="shared" si="0"/>
        <v>7.9390185889257454</v>
      </c>
      <c r="E49" s="107">
        <f t="shared" si="1"/>
        <v>27.45397013514491</v>
      </c>
      <c r="F49" s="107">
        <f t="shared" si="2"/>
        <v>1.0892982877176709</v>
      </c>
      <c r="H49">
        <v>7.9390185889257454</v>
      </c>
      <c r="I49">
        <v>27.45397013514491</v>
      </c>
      <c r="J49">
        <v>1.0892982877176709</v>
      </c>
    </row>
    <row r="50" spans="2:10" ht="18" customHeight="1">
      <c r="B50" s="56">
        <v>3</v>
      </c>
      <c r="C50" s="56">
        <v>0.2</v>
      </c>
      <c r="D50" s="107">
        <f t="shared" si="0"/>
        <v>9.3936767413153461</v>
      </c>
      <c r="E50" s="107">
        <f t="shared" si="1"/>
        <v>0</v>
      </c>
      <c r="F50" s="107">
        <f t="shared" si="2"/>
        <v>8.9206820675051155</v>
      </c>
      <c r="H50">
        <v>9.3936767413153461</v>
      </c>
      <c r="I50">
        <v>-12.48255756994579</v>
      </c>
      <c r="J50">
        <v>8.9206820675051155</v>
      </c>
    </row>
    <row r="51" spans="2:10" ht="18" customHeight="1">
      <c r="B51" s="56">
        <v>11.6</v>
      </c>
      <c r="C51" s="56">
        <v>0</v>
      </c>
      <c r="D51" s="107">
        <f t="shared" si="0"/>
        <v>13.19811944522661</v>
      </c>
      <c r="E51" s="107">
        <f t="shared" si="1"/>
        <v>0</v>
      </c>
      <c r="F51" s="107">
        <f t="shared" si="2"/>
        <v>9.8058913840208248</v>
      </c>
      <c r="H51">
        <v>13.19811944522661</v>
      </c>
      <c r="I51">
        <v>-8.1496294285708508</v>
      </c>
      <c r="J51">
        <v>9.8058913840208248</v>
      </c>
    </row>
    <row r="52" spans="2:10" ht="18" customHeight="1">
      <c r="B52" s="56">
        <v>19</v>
      </c>
      <c r="C52" s="56">
        <v>0</v>
      </c>
      <c r="D52" s="107">
        <f t="shared" si="0"/>
        <v>21.1410960731335</v>
      </c>
      <c r="E52" s="107">
        <f t="shared" si="1"/>
        <v>0</v>
      </c>
      <c r="F52" s="107">
        <f t="shared" si="2"/>
        <v>8.4877440305853007</v>
      </c>
      <c r="H52">
        <v>21.1410960731335</v>
      </c>
      <c r="I52">
        <v>-0.37587586737622408</v>
      </c>
      <c r="J52">
        <v>8.4877440305853007</v>
      </c>
    </row>
    <row r="53" spans="2:10" ht="18" customHeight="1">
      <c r="B53" s="56">
        <v>9.1999999999999993</v>
      </c>
      <c r="C53" s="56">
        <v>0</v>
      </c>
      <c r="D53" s="107">
        <f t="shared" si="0"/>
        <v>5.4734463499284063</v>
      </c>
      <c r="E53" s="107">
        <f t="shared" si="1"/>
        <v>0</v>
      </c>
      <c r="F53" s="107">
        <f t="shared" si="2"/>
        <v>10.658023840454691</v>
      </c>
      <c r="H53">
        <v>5.4734463499284063</v>
      </c>
      <c r="I53">
        <v>-2.9315878223346332</v>
      </c>
      <c r="J53">
        <v>10.658023840454691</v>
      </c>
    </row>
    <row r="54" spans="2:10" ht="18" customHeight="1">
      <c r="B54" s="56">
        <v>12.6</v>
      </c>
      <c r="C54" s="56">
        <v>4</v>
      </c>
      <c r="D54" s="107">
        <f t="shared" si="0"/>
        <v>0.15191736790628771</v>
      </c>
      <c r="E54" s="107">
        <f t="shared" si="1"/>
        <v>3.606959511340492</v>
      </c>
      <c r="F54" s="107">
        <f t="shared" si="2"/>
        <v>3.6671580467080189</v>
      </c>
      <c r="H54">
        <v>0.15191736790628771</v>
      </c>
      <c r="I54">
        <v>3.606959511340492</v>
      </c>
      <c r="J54">
        <v>3.6671580467080189</v>
      </c>
    </row>
    <row r="55" spans="2:10" ht="18" customHeight="1">
      <c r="B55" s="56">
        <v>21.8</v>
      </c>
      <c r="C55" s="56">
        <v>11</v>
      </c>
      <c r="D55" s="107">
        <f t="shared" si="0"/>
        <v>27.48481234937675</v>
      </c>
      <c r="E55" s="107">
        <f t="shared" si="1"/>
        <v>8.056901988419412</v>
      </c>
      <c r="F55" s="107">
        <f t="shared" si="2"/>
        <v>32.141290336835567</v>
      </c>
      <c r="H55">
        <v>27.48481234937675</v>
      </c>
      <c r="I55">
        <v>8.056901988419412</v>
      </c>
      <c r="J55">
        <v>32.141290336835567</v>
      </c>
    </row>
    <row r="56" spans="2:10" ht="18" customHeight="1">
      <c r="B56" s="56">
        <v>2.4</v>
      </c>
      <c r="C56" s="56">
        <v>0.4</v>
      </c>
      <c r="D56" s="107">
        <f t="shared" si="0"/>
        <v>7.4154514556088706</v>
      </c>
      <c r="E56" s="107">
        <f t="shared" si="1"/>
        <v>0</v>
      </c>
      <c r="F56" s="107">
        <f t="shared" si="2"/>
        <v>8.7096421440238387</v>
      </c>
      <c r="H56">
        <v>7.4154514556088706</v>
      </c>
      <c r="I56">
        <v>-12.166933503002991</v>
      </c>
      <c r="J56">
        <v>8.7096421440238387</v>
      </c>
    </row>
    <row r="57" spans="2:10" ht="18" customHeight="1">
      <c r="B57" s="56">
        <v>0.8</v>
      </c>
      <c r="C57" s="56">
        <v>0</v>
      </c>
      <c r="D57" s="107">
        <f t="shared" si="0"/>
        <v>0</v>
      </c>
      <c r="E57" s="107">
        <f t="shared" si="1"/>
        <v>0.48628487735574161</v>
      </c>
      <c r="F57" s="107">
        <f t="shared" si="2"/>
        <v>0</v>
      </c>
      <c r="H57">
        <v>-10.04352788703334</v>
      </c>
      <c r="I57">
        <v>0.48628487735574161</v>
      </c>
      <c r="J57">
        <v>-10.11042612217619</v>
      </c>
    </row>
    <row r="58" spans="2:10" ht="18" customHeight="1">
      <c r="B58" s="56">
        <v>4.8</v>
      </c>
      <c r="C58" s="56">
        <v>0</v>
      </c>
      <c r="D58" s="107">
        <f t="shared" si="0"/>
        <v>0</v>
      </c>
      <c r="E58" s="107">
        <f t="shared" si="1"/>
        <v>3.1202351317451469</v>
      </c>
      <c r="F58" s="107">
        <f t="shared" si="2"/>
        <v>8.6237146377357572</v>
      </c>
      <c r="H58">
        <v>-2.2723165087592299</v>
      </c>
      <c r="I58">
        <v>3.1202351317451469</v>
      </c>
      <c r="J58">
        <v>8.6237146377357572</v>
      </c>
    </row>
    <row r="59" spans="2:10" ht="18" customHeight="1">
      <c r="B59" s="56">
        <v>14.6</v>
      </c>
      <c r="C59" s="56">
        <v>0</v>
      </c>
      <c r="D59" s="107">
        <f t="shared" si="0"/>
        <v>18.883414979921529</v>
      </c>
      <c r="E59" s="107">
        <f t="shared" si="1"/>
        <v>8.4359257220451518</v>
      </c>
      <c r="F59" s="107">
        <f t="shared" si="2"/>
        <v>17.450616787880431</v>
      </c>
      <c r="H59">
        <v>18.883414979921529</v>
      </c>
      <c r="I59">
        <v>8.4359257220451518</v>
      </c>
      <c r="J59">
        <v>17.450616787880431</v>
      </c>
    </row>
    <row r="60" spans="2:10" ht="18" customHeight="1">
      <c r="B60" s="56">
        <v>6.8</v>
      </c>
      <c r="C60" s="56">
        <v>0.2</v>
      </c>
      <c r="D60" s="107">
        <f t="shared" si="0"/>
        <v>9.5504067418027301</v>
      </c>
      <c r="E60" s="107">
        <f t="shared" si="1"/>
        <v>6.9638643620512282</v>
      </c>
      <c r="F60" s="107">
        <f t="shared" si="2"/>
        <v>10.88811992345323</v>
      </c>
      <c r="H60">
        <v>9.5504067418027301</v>
      </c>
      <c r="I60">
        <v>6.9638643620512282</v>
      </c>
      <c r="J60">
        <v>10.88811992345323</v>
      </c>
    </row>
    <row r="61" spans="2:10" ht="18" customHeight="1">
      <c r="B61" s="56">
        <v>0</v>
      </c>
      <c r="C61" s="56">
        <v>4.5999999999999996</v>
      </c>
      <c r="D61" s="107">
        <f t="shared" si="0"/>
        <v>0</v>
      </c>
      <c r="E61" s="107">
        <f t="shared" si="1"/>
        <v>2.0483132022466282</v>
      </c>
      <c r="F61" s="107">
        <f t="shared" si="2"/>
        <v>0</v>
      </c>
      <c r="H61">
        <v>-8.6596705770134594</v>
      </c>
      <c r="I61">
        <v>2.0483132022466282</v>
      </c>
      <c r="J61">
        <v>-2.0079890378899039</v>
      </c>
    </row>
    <row r="62" spans="2:10" ht="18" customHeight="1">
      <c r="B62" s="56">
        <v>0.8</v>
      </c>
      <c r="C62" s="56">
        <v>8.8000000000000007</v>
      </c>
      <c r="D62" s="107">
        <f t="shared" si="0"/>
        <v>0.48434219218206831</v>
      </c>
      <c r="E62" s="107">
        <f t="shared" si="1"/>
        <v>4.9403014153366156</v>
      </c>
      <c r="F62" s="107">
        <f t="shared" si="2"/>
        <v>0</v>
      </c>
      <c r="H62">
        <v>0.48434219218206831</v>
      </c>
      <c r="I62">
        <v>4.9403014153366156</v>
      </c>
      <c r="J62">
        <v>-1.1424095304668631</v>
      </c>
    </row>
    <row r="63" spans="2:10" ht="18" customHeight="1">
      <c r="B63" s="56">
        <v>0</v>
      </c>
      <c r="C63" s="56">
        <v>0.4</v>
      </c>
      <c r="D63" s="107">
        <f t="shared" si="0"/>
        <v>0</v>
      </c>
      <c r="E63" s="107">
        <f t="shared" si="1"/>
        <v>0</v>
      </c>
      <c r="F63" s="107">
        <f t="shared" si="2"/>
        <v>0</v>
      </c>
      <c r="H63">
        <v>-4.7612785689606971</v>
      </c>
      <c r="I63">
        <v>-9.5121919176061418</v>
      </c>
      <c r="J63">
        <v>-2.3473781163648981</v>
      </c>
    </row>
    <row r="64" spans="2:10" ht="18" customHeight="1">
      <c r="B64" s="56">
        <v>0.4</v>
      </c>
      <c r="C64" s="56">
        <v>0</v>
      </c>
      <c r="D64" s="107">
        <f t="shared" si="0"/>
        <v>6.6695855013109924</v>
      </c>
      <c r="E64" s="107">
        <f t="shared" si="1"/>
        <v>7.868994992951353</v>
      </c>
      <c r="F64" s="107">
        <f t="shared" si="2"/>
        <v>0</v>
      </c>
      <c r="H64">
        <v>6.6695855013109924</v>
      </c>
      <c r="I64">
        <v>7.868994992951353</v>
      </c>
      <c r="J64">
        <v>-9.3604067076838628</v>
      </c>
    </row>
    <row r="65" spans="2:10" ht="18" customHeight="1">
      <c r="B65" s="56">
        <v>2</v>
      </c>
      <c r="C65" s="56">
        <v>1.2</v>
      </c>
      <c r="D65" s="107">
        <f t="shared" si="0"/>
        <v>1.576063308560145</v>
      </c>
      <c r="E65" s="107">
        <f t="shared" si="1"/>
        <v>4.2824281807301903</v>
      </c>
      <c r="F65" s="107">
        <f t="shared" si="2"/>
        <v>0</v>
      </c>
      <c r="H65">
        <v>1.576063308560145</v>
      </c>
      <c r="I65">
        <v>4.2824281807301903</v>
      </c>
      <c r="J65">
        <v>-13.880103290841481</v>
      </c>
    </row>
    <row r="66" spans="2:10" ht="18" customHeight="1">
      <c r="B66" s="56">
        <v>19</v>
      </c>
      <c r="C66" s="56">
        <v>0</v>
      </c>
      <c r="D66" s="107">
        <f t="shared" si="0"/>
        <v>3.4932464239818568</v>
      </c>
      <c r="E66" s="107">
        <f t="shared" si="1"/>
        <v>7.6935152368901472</v>
      </c>
      <c r="F66" s="107">
        <f t="shared" si="2"/>
        <v>0</v>
      </c>
      <c r="H66">
        <v>3.4932464239818568</v>
      </c>
      <c r="I66">
        <v>7.6935152368901472</v>
      </c>
      <c r="J66">
        <v>-2.8925782777814981</v>
      </c>
    </row>
    <row r="67" spans="2:10" ht="18" customHeight="1">
      <c r="B67" s="56">
        <v>1</v>
      </c>
      <c r="C67" s="56">
        <v>0</v>
      </c>
      <c r="D67" s="107">
        <f t="shared" si="0"/>
        <v>9.7140207570328023</v>
      </c>
      <c r="E67" s="107">
        <f t="shared" si="1"/>
        <v>0</v>
      </c>
      <c r="F67" s="107">
        <f t="shared" si="2"/>
        <v>3.8027933260766069</v>
      </c>
      <c r="H67">
        <v>9.7140207570328023</v>
      </c>
      <c r="I67">
        <v>-5.5190969337796627</v>
      </c>
      <c r="J67">
        <v>3.8027933260766069</v>
      </c>
    </row>
    <row r="68" spans="2:10" ht="18" customHeight="1">
      <c r="B68" s="56">
        <v>2.4</v>
      </c>
      <c r="C68" s="56">
        <v>0.4</v>
      </c>
      <c r="D68" s="107">
        <f t="shared" si="0"/>
        <v>4.5912626855643683</v>
      </c>
      <c r="E68" s="107">
        <f t="shared" si="1"/>
        <v>6.984574682396036</v>
      </c>
      <c r="F68" s="107">
        <f t="shared" si="2"/>
        <v>6.0635761033566027</v>
      </c>
      <c r="H68">
        <v>4.5912626855643683</v>
      </c>
      <c r="I68">
        <v>6.984574682396036</v>
      </c>
      <c r="J68">
        <v>6.0635761033566027</v>
      </c>
    </row>
    <row r="69" spans="2:10" ht="18" customHeight="1">
      <c r="B69" s="56">
        <v>23.8</v>
      </c>
      <c r="C69" s="56">
        <v>1.8</v>
      </c>
      <c r="D69" s="107">
        <f t="shared" si="0"/>
        <v>9.9747774393813238</v>
      </c>
      <c r="E69" s="107">
        <f t="shared" si="1"/>
        <v>0</v>
      </c>
      <c r="F69" s="107">
        <f t="shared" si="2"/>
        <v>11.0019427243735</v>
      </c>
      <c r="H69">
        <v>9.9747774393813238</v>
      </c>
      <c r="I69">
        <v>-13.937545912859971</v>
      </c>
      <c r="J69">
        <v>11.0019427243735</v>
      </c>
    </row>
    <row r="70" spans="2:10" ht="18" customHeight="1">
      <c r="B70" s="56">
        <v>8.6</v>
      </c>
      <c r="C70" s="56">
        <v>0.8</v>
      </c>
      <c r="D70" s="107">
        <f t="shared" ref="D70:D133" si="3">IF(H70&lt;0,0,H70)</f>
        <v>9.4690006243077587</v>
      </c>
      <c r="E70" s="107">
        <f t="shared" ref="E70:E133" si="4">IF(I70&lt;0,0,I70)</f>
        <v>0</v>
      </c>
      <c r="F70" s="107">
        <f t="shared" ref="F70:F133" si="5">IF(J70&lt;0,0,J70)</f>
        <v>0</v>
      </c>
      <c r="H70">
        <v>9.4690006243077587</v>
      </c>
      <c r="I70">
        <v>-14.76181762088318</v>
      </c>
      <c r="J70">
        <v>-5.7422117141995974</v>
      </c>
    </row>
    <row r="71" spans="2:10" ht="18" customHeight="1">
      <c r="B71" s="56">
        <v>34</v>
      </c>
      <c r="C71" s="56">
        <v>0</v>
      </c>
      <c r="D71" s="107">
        <f t="shared" si="3"/>
        <v>28.394094691912201</v>
      </c>
      <c r="E71" s="107">
        <f t="shared" si="4"/>
        <v>0</v>
      </c>
      <c r="F71" s="107">
        <f t="shared" si="5"/>
        <v>29.808409864929789</v>
      </c>
      <c r="H71">
        <v>28.394094691912201</v>
      </c>
      <c r="I71">
        <v>-14.17807945826768</v>
      </c>
      <c r="J71">
        <v>29.808409864929789</v>
      </c>
    </row>
    <row r="72" spans="2:10" ht="18" customHeight="1">
      <c r="B72" s="56">
        <v>52.4</v>
      </c>
      <c r="C72" s="56">
        <v>0.4</v>
      </c>
      <c r="D72" s="107">
        <f t="shared" si="3"/>
        <v>47.898932298770369</v>
      </c>
      <c r="E72" s="107">
        <f t="shared" si="4"/>
        <v>0</v>
      </c>
      <c r="F72" s="107">
        <f t="shared" si="5"/>
        <v>45.207959528525677</v>
      </c>
      <c r="H72">
        <v>47.898932298770369</v>
      </c>
      <c r="I72">
        <v>-10.32559151498989</v>
      </c>
      <c r="J72">
        <v>45.207959528525677</v>
      </c>
    </row>
    <row r="73" spans="2:10" ht="18" customHeight="1">
      <c r="B73" s="56">
        <v>10.6</v>
      </c>
      <c r="C73" s="56">
        <v>0.4</v>
      </c>
      <c r="D73" s="107">
        <f t="shared" si="3"/>
        <v>6.3202553828979644</v>
      </c>
      <c r="E73" s="107">
        <f t="shared" si="4"/>
        <v>8.5213029022641553</v>
      </c>
      <c r="F73" s="107">
        <f t="shared" si="5"/>
        <v>4.524482769449377</v>
      </c>
      <c r="H73">
        <v>6.3202553828979644</v>
      </c>
      <c r="I73">
        <v>8.5213029022641553</v>
      </c>
      <c r="J73">
        <v>4.524482769449377</v>
      </c>
    </row>
    <row r="74" spans="2:10" ht="18" customHeight="1">
      <c r="B74" s="56">
        <v>2.4</v>
      </c>
      <c r="C74" s="56">
        <v>2.8</v>
      </c>
      <c r="D74" s="107">
        <f t="shared" si="3"/>
        <v>9.4713209696444736</v>
      </c>
      <c r="E74" s="107">
        <f t="shared" si="4"/>
        <v>0</v>
      </c>
      <c r="F74" s="107">
        <f t="shared" si="5"/>
        <v>10.31112151005501</v>
      </c>
      <c r="H74">
        <v>9.4713209696444736</v>
      </c>
      <c r="I74">
        <v>-8.3709828598272118</v>
      </c>
      <c r="J74">
        <v>10.31112151005501</v>
      </c>
    </row>
    <row r="75" spans="2:10" ht="18" customHeight="1">
      <c r="B75" s="56">
        <v>0</v>
      </c>
      <c r="C75" s="56">
        <v>13.6</v>
      </c>
      <c r="D75" s="107">
        <f t="shared" si="3"/>
        <v>0</v>
      </c>
      <c r="E75" s="107">
        <f t="shared" si="4"/>
        <v>10.837889972996461</v>
      </c>
      <c r="F75" s="107">
        <f t="shared" si="5"/>
        <v>0</v>
      </c>
      <c r="H75">
        <v>-2.541805334110423</v>
      </c>
      <c r="I75">
        <v>10.837889972996461</v>
      </c>
      <c r="J75">
        <v>-6.5110961753606782</v>
      </c>
    </row>
    <row r="76" spans="2:10" ht="18" customHeight="1">
      <c r="B76" s="56">
        <v>2.8</v>
      </c>
      <c r="C76" s="56">
        <v>8.6</v>
      </c>
      <c r="D76" s="107">
        <f t="shared" si="3"/>
        <v>0</v>
      </c>
      <c r="E76" s="107">
        <f t="shared" si="4"/>
        <v>0</v>
      </c>
      <c r="F76" s="107">
        <f t="shared" si="5"/>
        <v>0.572799320397821</v>
      </c>
      <c r="H76">
        <v>-0.28342362991289338</v>
      </c>
      <c r="I76">
        <v>-2.711716927516175</v>
      </c>
      <c r="J76">
        <v>0.572799320397821</v>
      </c>
    </row>
    <row r="77" spans="2:10" ht="18" customHeight="1">
      <c r="B77" s="56">
        <v>20.2</v>
      </c>
      <c r="C77" s="56">
        <v>17.399999999999999</v>
      </c>
      <c r="D77" s="107">
        <f t="shared" si="3"/>
        <v>20.44317407307307</v>
      </c>
      <c r="E77" s="107">
        <f t="shared" si="4"/>
        <v>6.8379240736782059</v>
      </c>
      <c r="F77" s="107">
        <f t="shared" si="5"/>
        <v>5.0521843277442127</v>
      </c>
      <c r="H77">
        <v>20.44317407307307</v>
      </c>
      <c r="I77">
        <v>6.8379240736782059</v>
      </c>
      <c r="J77">
        <v>5.0521843277442127</v>
      </c>
    </row>
    <row r="78" spans="2:10" ht="18" customHeight="1">
      <c r="B78" s="56">
        <v>13.8</v>
      </c>
      <c r="C78" s="56">
        <v>0.6</v>
      </c>
      <c r="D78" s="107">
        <f t="shared" si="3"/>
        <v>12.004178126053899</v>
      </c>
      <c r="E78" s="107">
        <f t="shared" si="4"/>
        <v>6.5004337582283176</v>
      </c>
      <c r="F78" s="107">
        <f t="shared" si="5"/>
        <v>12.95248694039438</v>
      </c>
      <c r="H78">
        <v>12.004178126053899</v>
      </c>
      <c r="I78">
        <v>6.5004337582283176</v>
      </c>
      <c r="J78">
        <v>12.95248694039438</v>
      </c>
    </row>
    <row r="79" spans="2:10" ht="18" customHeight="1">
      <c r="B79" s="56">
        <v>22.8</v>
      </c>
      <c r="C79" s="56">
        <v>0</v>
      </c>
      <c r="D79" s="107">
        <f t="shared" si="3"/>
        <v>26.95493202077963</v>
      </c>
      <c r="E79" s="107">
        <f t="shared" si="4"/>
        <v>0</v>
      </c>
      <c r="F79" s="107">
        <f t="shared" si="5"/>
        <v>32.401284348023957</v>
      </c>
      <c r="H79">
        <v>26.95493202077963</v>
      </c>
      <c r="I79">
        <v>-4.8676653977879294</v>
      </c>
      <c r="J79">
        <v>32.401284348023957</v>
      </c>
    </row>
    <row r="80" spans="2:10" ht="18" customHeight="1">
      <c r="B80" s="56">
        <v>5.4</v>
      </c>
      <c r="C80" s="56">
        <v>0</v>
      </c>
      <c r="D80" s="107">
        <f t="shared" si="3"/>
        <v>1.6668623735668699</v>
      </c>
      <c r="E80" s="107">
        <f t="shared" si="4"/>
        <v>1.557765414238157</v>
      </c>
      <c r="F80" s="107">
        <f t="shared" si="5"/>
        <v>0</v>
      </c>
      <c r="H80">
        <v>1.6668623735668699</v>
      </c>
      <c r="I80">
        <v>1.557765414238157</v>
      </c>
      <c r="J80">
        <v>-13.303678034020059</v>
      </c>
    </row>
    <row r="81" spans="2:10" ht="18" customHeight="1">
      <c r="B81" s="56">
        <v>0.4</v>
      </c>
      <c r="C81" s="56">
        <v>0</v>
      </c>
      <c r="D81" s="107">
        <f t="shared" si="3"/>
        <v>4.8010733412379878</v>
      </c>
      <c r="E81" s="107">
        <f t="shared" si="4"/>
        <v>0</v>
      </c>
      <c r="F81" s="107">
        <f t="shared" si="5"/>
        <v>13.03496369454257</v>
      </c>
      <c r="H81">
        <v>4.8010733412379878</v>
      </c>
      <c r="I81">
        <v>-2.750671241902122</v>
      </c>
      <c r="J81">
        <v>13.03496369454257</v>
      </c>
    </row>
    <row r="82" spans="2:10" ht="18" customHeight="1">
      <c r="B82" s="56">
        <v>31</v>
      </c>
      <c r="C82" s="56">
        <v>31</v>
      </c>
      <c r="D82" s="107">
        <f t="shared" si="3"/>
        <v>15.11607813306235</v>
      </c>
      <c r="E82" s="107">
        <f t="shared" si="4"/>
        <v>33.88806323164372</v>
      </c>
      <c r="F82" s="107">
        <f t="shared" si="5"/>
        <v>5.6837341568792494</v>
      </c>
      <c r="H82">
        <v>15.11607813306235</v>
      </c>
      <c r="I82">
        <v>33.88806323164372</v>
      </c>
      <c r="J82">
        <v>5.6837341568792494</v>
      </c>
    </row>
    <row r="83" spans="2:10" ht="18" customHeight="1">
      <c r="B83" s="56">
        <v>1.6</v>
      </c>
      <c r="C83" s="56">
        <v>35.4</v>
      </c>
      <c r="D83" s="107">
        <f t="shared" si="3"/>
        <v>8.2390572207585269</v>
      </c>
      <c r="E83" s="107">
        <f t="shared" si="4"/>
        <v>39.871544017932251</v>
      </c>
      <c r="F83" s="107">
        <f t="shared" si="5"/>
        <v>16.878746453160279</v>
      </c>
      <c r="H83">
        <v>8.2390572207585269</v>
      </c>
      <c r="I83">
        <v>39.871544017932251</v>
      </c>
      <c r="J83">
        <v>16.878746453160279</v>
      </c>
    </row>
    <row r="84" spans="2:10" ht="18" customHeight="1">
      <c r="B84" s="56">
        <v>1.6</v>
      </c>
      <c r="C84" s="56">
        <v>28.6</v>
      </c>
      <c r="D84" s="107">
        <f t="shared" si="3"/>
        <v>8.0617840784395121</v>
      </c>
      <c r="E84" s="107">
        <f t="shared" si="4"/>
        <v>36.826295999945302</v>
      </c>
      <c r="F84" s="107">
        <f t="shared" si="5"/>
        <v>0</v>
      </c>
      <c r="H84">
        <v>8.0617840784395121</v>
      </c>
      <c r="I84">
        <v>36.826295999945302</v>
      </c>
      <c r="J84">
        <v>-7.3760445793426097</v>
      </c>
    </row>
    <row r="85" spans="2:10" ht="18" customHeight="1">
      <c r="B85" s="56">
        <v>7.6</v>
      </c>
      <c r="C85" s="56">
        <v>0</v>
      </c>
      <c r="D85" s="107">
        <f t="shared" si="3"/>
        <v>7.3111846621344077</v>
      </c>
      <c r="E85" s="107">
        <f t="shared" si="4"/>
        <v>0</v>
      </c>
      <c r="F85" s="107">
        <f t="shared" si="5"/>
        <v>0</v>
      </c>
      <c r="H85">
        <v>7.3111846621344077</v>
      </c>
      <c r="I85">
        <v>-10.602309665625009</v>
      </c>
      <c r="J85">
        <v>-6.4947706036400001</v>
      </c>
    </row>
    <row r="86" spans="2:10" ht="18" customHeight="1">
      <c r="B86" s="56">
        <v>2.6</v>
      </c>
      <c r="C86" s="56">
        <v>7</v>
      </c>
      <c r="D86" s="107">
        <f t="shared" si="3"/>
        <v>0</v>
      </c>
      <c r="E86" s="107">
        <f t="shared" si="4"/>
        <v>1.7983669550621999</v>
      </c>
      <c r="F86" s="107">
        <f t="shared" si="5"/>
        <v>0</v>
      </c>
      <c r="H86">
        <v>-9.1555576587641045</v>
      </c>
      <c r="I86">
        <v>1.7983669550621999</v>
      </c>
      <c r="J86">
        <v>-9.5523483913751797</v>
      </c>
    </row>
    <row r="87" spans="2:10" ht="18" customHeight="1">
      <c r="B87" s="56">
        <v>0</v>
      </c>
      <c r="C87" s="56">
        <v>9.6</v>
      </c>
      <c r="D87" s="107">
        <f t="shared" si="3"/>
        <v>5.8750090627639917</v>
      </c>
      <c r="E87" s="107">
        <f t="shared" si="4"/>
        <v>2.4103077136072728</v>
      </c>
      <c r="F87" s="107">
        <f t="shared" si="5"/>
        <v>1.6323533578643721</v>
      </c>
      <c r="H87">
        <v>5.8750090627639917</v>
      </c>
      <c r="I87">
        <v>2.4103077136072728</v>
      </c>
      <c r="J87">
        <v>1.6323533578643721</v>
      </c>
    </row>
    <row r="88" spans="2:10" ht="18" customHeight="1">
      <c r="B88" s="56">
        <v>4</v>
      </c>
      <c r="C88" s="56">
        <v>18.2</v>
      </c>
      <c r="D88" s="107">
        <f t="shared" si="3"/>
        <v>2.056663207784112</v>
      </c>
      <c r="E88" s="107">
        <f t="shared" si="4"/>
        <v>22.661178591812391</v>
      </c>
      <c r="F88" s="107">
        <f t="shared" si="5"/>
        <v>7.2355277091395296</v>
      </c>
      <c r="H88">
        <v>2.056663207784112</v>
      </c>
      <c r="I88">
        <v>22.661178591812391</v>
      </c>
      <c r="J88">
        <v>7.2355277091395296</v>
      </c>
    </row>
    <row r="89" spans="2:10" ht="18" customHeight="1">
      <c r="B89" s="56">
        <v>31</v>
      </c>
      <c r="C89" s="56">
        <v>104.4</v>
      </c>
      <c r="D89" s="107">
        <f t="shared" si="3"/>
        <v>15.348718806716279</v>
      </c>
      <c r="E89" s="107">
        <f t="shared" si="4"/>
        <v>94.835961190369474</v>
      </c>
      <c r="F89" s="107">
        <f t="shared" si="5"/>
        <v>20.589854989189419</v>
      </c>
      <c r="H89">
        <v>15.348718806716279</v>
      </c>
      <c r="I89">
        <v>94.835961190369474</v>
      </c>
      <c r="J89">
        <v>20.589854989189419</v>
      </c>
    </row>
    <row r="90" spans="2:10" ht="18" customHeight="1">
      <c r="B90" s="56">
        <v>0.2</v>
      </c>
      <c r="C90" s="56">
        <v>33.200000000000003</v>
      </c>
      <c r="D90" s="107">
        <f t="shared" si="3"/>
        <v>0</v>
      </c>
      <c r="E90" s="107">
        <f t="shared" si="4"/>
        <v>38.404735665689159</v>
      </c>
      <c r="F90" s="107">
        <f t="shared" si="5"/>
        <v>8.6068833110938829</v>
      </c>
      <c r="H90">
        <v>-12.01480141652584</v>
      </c>
      <c r="I90">
        <v>38.404735665689159</v>
      </c>
      <c r="J90">
        <v>8.6068833110938829</v>
      </c>
    </row>
    <row r="91" spans="2:10" ht="18" customHeight="1">
      <c r="B91" s="56">
        <v>4.4000000000000004</v>
      </c>
      <c r="C91" s="56">
        <v>26.2</v>
      </c>
      <c r="D91" s="107">
        <f t="shared" si="3"/>
        <v>0.12548738835160739</v>
      </c>
      <c r="E91" s="107">
        <f t="shared" si="4"/>
        <v>21.197375174379989</v>
      </c>
      <c r="F91" s="107">
        <f t="shared" si="5"/>
        <v>1.3358857196352789</v>
      </c>
      <c r="H91">
        <v>0.12548738835160739</v>
      </c>
      <c r="I91">
        <v>21.197375174379989</v>
      </c>
      <c r="J91">
        <v>1.3358857196352789</v>
      </c>
    </row>
    <row r="92" spans="2:10" ht="18" customHeight="1">
      <c r="B92" s="56">
        <v>23.6</v>
      </c>
      <c r="C92" s="56">
        <v>68.8</v>
      </c>
      <c r="D92" s="107">
        <f t="shared" si="3"/>
        <v>23.69757434902403</v>
      </c>
      <c r="E92" s="107">
        <f t="shared" si="4"/>
        <v>74.271248997409117</v>
      </c>
      <c r="F92" s="107">
        <f t="shared" si="5"/>
        <v>21.71481348199206</v>
      </c>
      <c r="H92">
        <v>23.69757434902403</v>
      </c>
      <c r="I92">
        <v>74.271248997409117</v>
      </c>
      <c r="J92">
        <v>21.71481348199206</v>
      </c>
    </row>
    <row r="93" spans="2:10" ht="18" customHeight="1">
      <c r="B93" s="56">
        <v>41.6</v>
      </c>
      <c r="C93" s="56">
        <v>10</v>
      </c>
      <c r="D93" s="107">
        <f t="shared" si="3"/>
        <v>36.984342448420293</v>
      </c>
      <c r="E93" s="107">
        <f t="shared" si="4"/>
        <v>2.039168612898608</v>
      </c>
      <c r="F93" s="107">
        <f t="shared" si="5"/>
        <v>23.45996085961556</v>
      </c>
      <c r="H93">
        <v>36.984342448420293</v>
      </c>
      <c r="I93">
        <v>2.039168612898608</v>
      </c>
      <c r="J93">
        <v>23.45996085961556</v>
      </c>
    </row>
    <row r="94" spans="2:10" ht="18" customHeight="1">
      <c r="B94" s="56">
        <v>3</v>
      </c>
      <c r="C94" s="56">
        <v>37.700000000000003</v>
      </c>
      <c r="D94" s="107">
        <f t="shared" si="3"/>
        <v>0</v>
      </c>
      <c r="E94" s="107">
        <f t="shared" si="4"/>
        <v>23.94878874579112</v>
      </c>
      <c r="F94" s="107">
        <f t="shared" si="5"/>
        <v>0</v>
      </c>
      <c r="H94">
        <v>-0.39143783264317911</v>
      </c>
      <c r="I94">
        <v>23.94878874579112</v>
      </c>
      <c r="J94">
        <v>-9.4474482524655787</v>
      </c>
    </row>
    <row r="95" spans="2:10" ht="18" customHeight="1">
      <c r="B95" s="56">
        <v>0</v>
      </c>
      <c r="C95" s="56">
        <v>11.6</v>
      </c>
      <c r="D95" s="107">
        <f t="shared" si="3"/>
        <v>6.0978005595873466</v>
      </c>
      <c r="E95" s="107">
        <f t="shared" si="4"/>
        <v>13.466499155416299</v>
      </c>
      <c r="F95" s="107">
        <f t="shared" si="5"/>
        <v>6.7161718945792348</v>
      </c>
      <c r="H95">
        <v>6.0978005595873466</v>
      </c>
      <c r="I95">
        <v>13.466499155416299</v>
      </c>
      <c r="J95">
        <v>6.7161718945792348</v>
      </c>
    </row>
    <row r="96" spans="2:10" ht="18" customHeight="1">
      <c r="B96" s="56">
        <v>0</v>
      </c>
      <c r="C96" s="56">
        <v>0</v>
      </c>
      <c r="D96" s="107">
        <f t="shared" si="3"/>
        <v>0</v>
      </c>
      <c r="E96" s="107">
        <f t="shared" si="4"/>
        <v>0</v>
      </c>
      <c r="F96" s="107">
        <f t="shared" si="5"/>
        <v>0</v>
      </c>
      <c r="H96">
        <v>-15.86051091618963</v>
      </c>
      <c r="I96">
        <v>-3.4142315912637611</v>
      </c>
      <c r="J96">
        <v>-14.444798466106199</v>
      </c>
    </row>
    <row r="97" spans="2:10" ht="18" customHeight="1">
      <c r="B97" s="56">
        <v>5.6</v>
      </c>
      <c r="C97" s="56">
        <v>33.700000000000003</v>
      </c>
      <c r="D97" s="107">
        <f t="shared" si="3"/>
        <v>4.4947467834853239</v>
      </c>
      <c r="E97" s="107">
        <f t="shared" si="4"/>
        <v>26.47389570171751</v>
      </c>
      <c r="F97" s="107">
        <f t="shared" si="5"/>
        <v>0.1462644316212991</v>
      </c>
      <c r="H97">
        <v>4.4947467834853239</v>
      </c>
      <c r="I97">
        <v>26.47389570171751</v>
      </c>
      <c r="J97">
        <v>0.1462644316212991</v>
      </c>
    </row>
    <row r="98" spans="2:10" ht="18" customHeight="1">
      <c r="B98" s="56">
        <v>20.399999999999999</v>
      </c>
      <c r="C98" s="56">
        <v>9</v>
      </c>
      <c r="D98" s="107">
        <f t="shared" si="3"/>
        <v>13.45852305304274</v>
      </c>
      <c r="E98" s="107">
        <f t="shared" si="4"/>
        <v>0</v>
      </c>
      <c r="F98" s="107">
        <f t="shared" si="5"/>
        <v>22.263683776525848</v>
      </c>
      <c r="H98">
        <v>13.45852305304274</v>
      </c>
      <c r="I98">
        <v>-1.726811156983167</v>
      </c>
      <c r="J98">
        <v>22.263683776525848</v>
      </c>
    </row>
    <row r="99" spans="2:10" ht="18" customHeight="1">
      <c r="B99" s="56">
        <v>2.6</v>
      </c>
      <c r="C99" s="56">
        <v>8.4</v>
      </c>
      <c r="D99" s="107">
        <f t="shared" si="3"/>
        <v>8.0875847000875911</v>
      </c>
      <c r="E99" s="107">
        <f t="shared" si="4"/>
        <v>7.0151452042002278</v>
      </c>
      <c r="F99" s="107">
        <f t="shared" si="5"/>
        <v>3.1962961835063641</v>
      </c>
      <c r="H99">
        <v>8.0875847000875911</v>
      </c>
      <c r="I99">
        <v>7.0151452042002278</v>
      </c>
      <c r="J99">
        <v>3.1962961835063641</v>
      </c>
    </row>
    <row r="100" spans="2:10" ht="18" customHeight="1">
      <c r="B100" s="56">
        <v>15.9</v>
      </c>
      <c r="C100" s="56">
        <v>0.6</v>
      </c>
      <c r="D100" s="107">
        <f t="shared" si="3"/>
        <v>20.126167041715799</v>
      </c>
      <c r="E100" s="107">
        <f t="shared" si="4"/>
        <v>0</v>
      </c>
      <c r="F100" s="107">
        <f t="shared" si="5"/>
        <v>27.84892985671436</v>
      </c>
      <c r="H100">
        <v>20.126167041715799</v>
      </c>
      <c r="I100">
        <v>-3.3351097611961637E-2</v>
      </c>
      <c r="J100">
        <v>27.84892985671436</v>
      </c>
    </row>
    <row r="101" spans="2:10" ht="18" customHeight="1">
      <c r="B101" s="56">
        <v>9.4</v>
      </c>
      <c r="C101" s="56">
        <v>0</v>
      </c>
      <c r="D101" s="107">
        <f t="shared" si="3"/>
        <v>0</v>
      </c>
      <c r="E101" s="107">
        <f t="shared" si="4"/>
        <v>0</v>
      </c>
      <c r="F101" s="107">
        <f t="shared" si="5"/>
        <v>0</v>
      </c>
      <c r="H101">
        <v>-1.0213154453158919</v>
      </c>
      <c r="I101">
        <v>-12.81080891555702</v>
      </c>
      <c r="J101">
        <v>-9.2232394907082824</v>
      </c>
    </row>
    <row r="102" spans="2:10" ht="18" customHeight="1">
      <c r="B102" s="56">
        <v>13.6</v>
      </c>
      <c r="C102" s="56">
        <v>0</v>
      </c>
      <c r="D102" s="107">
        <f t="shared" si="3"/>
        <v>6.8300021003709617</v>
      </c>
      <c r="E102" s="107">
        <f t="shared" si="4"/>
        <v>1.498604888762511</v>
      </c>
      <c r="F102" s="107">
        <f t="shared" si="5"/>
        <v>0</v>
      </c>
      <c r="H102">
        <v>6.8300021003709617</v>
      </c>
      <c r="I102">
        <v>1.498604888762511</v>
      </c>
      <c r="J102">
        <v>-6.7140898518295788</v>
      </c>
    </row>
    <row r="103" spans="2:10" ht="18" customHeight="1">
      <c r="B103" s="56">
        <v>5.6</v>
      </c>
      <c r="C103" s="56">
        <v>0</v>
      </c>
      <c r="D103" s="107">
        <f t="shared" si="3"/>
        <v>5.1419488170742822</v>
      </c>
      <c r="E103" s="107">
        <f t="shared" si="4"/>
        <v>0</v>
      </c>
      <c r="F103" s="107">
        <f t="shared" si="5"/>
        <v>13.118192491846671</v>
      </c>
      <c r="H103">
        <v>5.1419488170742822</v>
      </c>
      <c r="I103">
        <v>-15.210710385598629</v>
      </c>
      <c r="J103">
        <v>13.118192491846671</v>
      </c>
    </row>
    <row r="104" spans="2:10" ht="18" customHeight="1">
      <c r="B104" s="56">
        <v>0</v>
      </c>
      <c r="C104" s="56">
        <v>3.2</v>
      </c>
      <c r="D104" s="107">
        <f t="shared" si="3"/>
        <v>0</v>
      </c>
      <c r="E104" s="107">
        <f t="shared" si="4"/>
        <v>0</v>
      </c>
      <c r="F104" s="107">
        <f t="shared" si="5"/>
        <v>0</v>
      </c>
      <c r="H104">
        <v>-13.295256271367419</v>
      </c>
      <c r="I104">
        <v>-4.1646051495479526</v>
      </c>
      <c r="J104">
        <v>-6.2358849880851501</v>
      </c>
    </row>
    <row r="105" spans="2:10" ht="18" customHeight="1">
      <c r="B105" s="56">
        <v>16.600000000000001</v>
      </c>
      <c r="C105" s="56">
        <v>40.200000000000003</v>
      </c>
      <c r="D105" s="107">
        <f t="shared" si="3"/>
        <v>3.5767742938097089</v>
      </c>
      <c r="E105" s="107">
        <f t="shared" si="4"/>
        <v>48.725719345552378</v>
      </c>
      <c r="F105" s="107">
        <f t="shared" si="5"/>
        <v>0</v>
      </c>
      <c r="H105">
        <v>3.5767742938097089</v>
      </c>
      <c r="I105">
        <v>48.725719345552378</v>
      </c>
      <c r="J105">
        <v>-5.6715848698855371</v>
      </c>
    </row>
    <row r="106" spans="2:10" ht="18" customHeight="1">
      <c r="B106" s="56">
        <v>0</v>
      </c>
      <c r="C106" s="56">
        <v>9.1999999999999993</v>
      </c>
      <c r="D106" s="107">
        <f t="shared" si="3"/>
        <v>0</v>
      </c>
      <c r="E106" s="107">
        <f t="shared" si="4"/>
        <v>3.540332791959699</v>
      </c>
      <c r="F106" s="107">
        <f t="shared" si="5"/>
        <v>0</v>
      </c>
      <c r="H106">
        <v>-15.65016760766869</v>
      </c>
      <c r="I106">
        <v>3.540332791959699</v>
      </c>
      <c r="J106">
        <v>-11.35340286373961</v>
      </c>
    </row>
    <row r="107" spans="2:10" ht="18" customHeight="1">
      <c r="B107" s="56">
        <v>0</v>
      </c>
      <c r="C107" s="56">
        <v>24.4</v>
      </c>
      <c r="D107" s="107">
        <f t="shared" si="3"/>
        <v>0</v>
      </c>
      <c r="E107" s="107">
        <f t="shared" si="4"/>
        <v>20.02033734241444</v>
      </c>
      <c r="F107" s="107">
        <f t="shared" si="5"/>
        <v>6.4751081570767006</v>
      </c>
      <c r="H107">
        <v>-0.61073783217724942</v>
      </c>
      <c r="I107">
        <v>20.02033734241444</v>
      </c>
      <c r="J107">
        <v>6.4751081570767006</v>
      </c>
    </row>
    <row r="108" spans="2:10" ht="18" customHeight="1">
      <c r="B108" s="56">
        <v>0</v>
      </c>
      <c r="C108" s="56">
        <v>16.2</v>
      </c>
      <c r="D108" s="107">
        <f t="shared" si="3"/>
        <v>0</v>
      </c>
      <c r="E108" s="107">
        <f t="shared" si="4"/>
        <v>7.2519516821761982</v>
      </c>
      <c r="F108" s="107">
        <f t="shared" si="5"/>
        <v>4.222087133424707</v>
      </c>
      <c r="H108">
        <v>-8.599061638639224</v>
      </c>
      <c r="I108">
        <v>7.2519516821761982</v>
      </c>
      <c r="J108">
        <v>4.222087133424707</v>
      </c>
    </row>
    <row r="109" spans="2:10" ht="18" customHeight="1">
      <c r="B109" s="56">
        <v>14.8</v>
      </c>
      <c r="C109" s="56">
        <v>1.5</v>
      </c>
      <c r="D109" s="107">
        <f t="shared" si="3"/>
        <v>14.30118318385639</v>
      </c>
      <c r="E109" s="107">
        <f t="shared" si="4"/>
        <v>0</v>
      </c>
      <c r="F109" s="107">
        <f t="shared" si="5"/>
        <v>9.6412516552444067</v>
      </c>
      <c r="H109">
        <v>14.30118318385639</v>
      </c>
      <c r="I109">
        <v>-3.2451632534609289</v>
      </c>
      <c r="J109">
        <v>9.6412516552444067</v>
      </c>
    </row>
    <row r="110" spans="2:10" ht="18" customHeight="1">
      <c r="B110" s="56">
        <v>20.8</v>
      </c>
      <c r="C110" s="56">
        <v>37.200000000000003</v>
      </c>
      <c r="D110" s="107">
        <f t="shared" si="3"/>
        <v>22.86196209073626</v>
      </c>
      <c r="E110" s="107">
        <f t="shared" si="4"/>
        <v>41.602731151237201</v>
      </c>
      <c r="F110" s="107">
        <f t="shared" si="5"/>
        <v>13.23673384897179</v>
      </c>
      <c r="H110">
        <v>22.86196209073626</v>
      </c>
      <c r="I110">
        <v>41.602731151237201</v>
      </c>
      <c r="J110">
        <v>13.23673384897179</v>
      </c>
    </row>
    <row r="111" spans="2:10" ht="18" customHeight="1">
      <c r="B111" s="56">
        <v>37.4</v>
      </c>
      <c r="C111" s="56">
        <v>3</v>
      </c>
      <c r="D111" s="107">
        <f t="shared" si="3"/>
        <v>29.905303985361801</v>
      </c>
      <c r="E111" s="107">
        <f t="shared" si="4"/>
        <v>0</v>
      </c>
      <c r="F111" s="107">
        <f t="shared" si="5"/>
        <v>28.748502971512728</v>
      </c>
      <c r="H111">
        <v>29.905303985361801</v>
      </c>
      <c r="I111">
        <v>-7.8261700550915361</v>
      </c>
      <c r="J111">
        <v>28.748502971512728</v>
      </c>
    </row>
    <row r="112" spans="2:10" ht="18" customHeight="1">
      <c r="B112" s="56">
        <v>9.8000000000000007</v>
      </c>
      <c r="C112" s="56">
        <v>0</v>
      </c>
      <c r="D112" s="107">
        <f t="shared" si="3"/>
        <v>0</v>
      </c>
      <c r="E112" s="107">
        <f t="shared" si="4"/>
        <v>4.8695405975579531</v>
      </c>
      <c r="F112" s="107">
        <f t="shared" si="5"/>
        <v>0</v>
      </c>
      <c r="H112">
        <v>-1.472382602686894</v>
      </c>
      <c r="I112">
        <v>4.8695405975579531</v>
      </c>
      <c r="J112">
        <v>-4.4219150179475779</v>
      </c>
    </row>
    <row r="113" spans="2:10" ht="18" customHeight="1">
      <c r="B113" s="56">
        <v>1.9</v>
      </c>
      <c r="C113" s="56">
        <v>0</v>
      </c>
      <c r="D113" s="107">
        <f t="shared" si="3"/>
        <v>0</v>
      </c>
      <c r="E113" s="107">
        <f t="shared" si="4"/>
        <v>0</v>
      </c>
      <c r="F113" s="107">
        <f t="shared" si="5"/>
        <v>5.9542820258255107</v>
      </c>
      <c r="H113">
        <v>-3.1328746271499721</v>
      </c>
      <c r="I113">
        <v>-5.2599044195831253</v>
      </c>
      <c r="J113">
        <v>5.9542820258255107</v>
      </c>
    </row>
    <row r="114" spans="2:10" ht="18" customHeight="1">
      <c r="B114" s="56">
        <v>21</v>
      </c>
      <c r="C114" s="56">
        <v>0</v>
      </c>
      <c r="D114" s="107">
        <f t="shared" si="3"/>
        <v>15.928739883198061</v>
      </c>
      <c r="E114" s="107">
        <f t="shared" si="4"/>
        <v>0</v>
      </c>
      <c r="F114" s="107">
        <f t="shared" si="5"/>
        <v>4.0259215508838242</v>
      </c>
      <c r="H114">
        <v>15.928739883198061</v>
      </c>
      <c r="I114">
        <v>-6.4381608095876537</v>
      </c>
      <c r="J114">
        <v>4.0259215508838242</v>
      </c>
    </row>
    <row r="115" spans="2:10" ht="18" customHeight="1">
      <c r="B115" s="56">
        <v>30</v>
      </c>
      <c r="C115" s="56">
        <v>1.1000000000000001</v>
      </c>
      <c r="D115" s="107">
        <f t="shared" si="3"/>
        <v>30.169403982270222</v>
      </c>
      <c r="E115" s="107">
        <f t="shared" si="4"/>
        <v>0</v>
      </c>
      <c r="F115" s="107">
        <f t="shared" si="5"/>
        <v>37.242590789802911</v>
      </c>
      <c r="H115">
        <v>30.169403982270222</v>
      </c>
      <c r="I115">
        <v>-14.033413563126871</v>
      </c>
      <c r="J115">
        <v>37.242590789802911</v>
      </c>
    </row>
    <row r="116" spans="2:10" ht="18" customHeight="1">
      <c r="B116" s="56">
        <v>0</v>
      </c>
      <c r="C116" s="56">
        <v>0.4</v>
      </c>
      <c r="D116" s="107">
        <f t="shared" si="3"/>
        <v>8.709988066054974</v>
      </c>
      <c r="E116" s="107">
        <f t="shared" si="4"/>
        <v>0</v>
      </c>
      <c r="F116" s="107">
        <f t="shared" si="5"/>
        <v>0</v>
      </c>
      <c r="H116">
        <v>8.709988066054974</v>
      </c>
      <c r="I116">
        <v>-13.068943568300989</v>
      </c>
      <c r="J116">
        <v>-1.61659442470514</v>
      </c>
    </row>
    <row r="117" spans="2:10" ht="18" customHeight="1">
      <c r="B117" s="56">
        <v>4.4000000000000004</v>
      </c>
      <c r="C117" s="56">
        <v>8.1999999999999993</v>
      </c>
      <c r="D117" s="107">
        <f t="shared" si="3"/>
        <v>0</v>
      </c>
      <c r="E117" s="107">
        <f t="shared" si="4"/>
        <v>4.1098756688308846</v>
      </c>
      <c r="F117" s="107">
        <f t="shared" si="5"/>
        <v>0</v>
      </c>
      <c r="H117">
        <v>-6.3241176729782449</v>
      </c>
      <c r="I117">
        <v>4.1098756688308846</v>
      </c>
      <c r="J117">
        <v>-13.458596645424331</v>
      </c>
    </row>
    <row r="118" spans="2:10" ht="18" customHeight="1">
      <c r="B118" s="56">
        <v>12.8</v>
      </c>
      <c r="C118" s="56">
        <v>8.4</v>
      </c>
      <c r="D118" s="107">
        <f t="shared" si="3"/>
        <v>0</v>
      </c>
      <c r="E118" s="107">
        <f t="shared" si="4"/>
        <v>0.31738249307849742</v>
      </c>
      <c r="F118" s="107">
        <f t="shared" si="5"/>
        <v>0</v>
      </c>
      <c r="H118">
        <v>-0.36308791089672532</v>
      </c>
      <c r="I118">
        <v>0.31738249307849742</v>
      </c>
      <c r="J118">
        <v>-2.620514814094427</v>
      </c>
    </row>
    <row r="119" spans="2:10" ht="18" customHeight="1">
      <c r="B119" s="56">
        <v>26</v>
      </c>
      <c r="C119" s="56">
        <v>1.8</v>
      </c>
      <c r="D119" s="107">
        <f t="shared" si="3"/>
        <v>11.026414868572809</v>
      </c>
      <c r="E119" s="107">
        <f t="shared" si="4"/>
        <v>0</v>
      </c>
      <c r="F119" s="107">
        <f t="shared" si="5"/>
        <v>2.124491501304453</v>
      </c>
      <c r="H119">
        <v>11.026414868572809</v>
      </c>
      <c r="I119">
        <v>-9.9326145106620114</v>
      </c>
      <c r="J119">
        <v>2.124491501304453</v>
      </c>
    </row>
    <row r="120" spans="2:10" ht="18" customHeight="1">
      <c r="B120" s="56">
        <v>1.8</v>
      </c>
      <c r="C120" s="56">
        <v>0</v>
      </c>
      <c r="D120" s="107">
        <f t="shared" si="3"/>
        <v>0</v>
      </c>
      <c r="E120" s="107">
        <f t="shared" si="4"/>
        <v>0</v>
      </c>
      <c r="F120" s="107">
        <f t="shared" si="5"/>
        <v>2.8654740522824742</v>
      </c>
      <c r="H120">
        <v>-11.44411530194736</v>
      </c>
      <c r="I120">
        <v>-10.667124506112801</v>
      </c>
      <c r="J120">
        <v>2.8654740522824742</v>
      </c>
    </row>
    <row r="121" spans="2:10" ht="18" customHeight="1">
      <c r="B121" s="56">
        <v>35</v>
      </c>
      <c r="C121" s="56">
        <v>4.2</v>
      </c>
      <c r="D121" s="107">
        <f t="shared" si="3"/>
        <v>34.514135917088758</v>
      </c>
      <c r="E121" s="107">
        <f t="shared" si="4"/>
        <v>5.70868281618925</v>
      </c>
      <c r="F121" s="107">
        <f t="shared" si="5"/>
        <v>24.171532444034501</v>
      </c>
      <c r="H121">
        <v>34.514135917088758</v>
      </c>
      <c r="I121">
        <v>5.70868281618925</v>
      </c>
      <c r="J121">
        <v>24.171532444034501</v>
      </c>
    </row>
    <row r="122" spans="2:10" ht="18" customHeight="1">
      <c r="B122" s="56">
        <v>7.2</v>
      </c>
      <c r="C122" s="56">
        <v>22.4</v>
      </c>
      <c r="D122" s="107">
        <f t="shared" si="3"/>
        <v>11.61327245062366</v>
      </c>
      <c r="E122" s="107">
        <f t="shared" si="4"/>
        <v>22.539988471799621</v>
      </c>
      <c r="F122" s="107">
        <f t="shared" si="5"/>
        <v>18.14823861690282</v>
      </c>
      <c r="H122">
        <v>11.61327245062366</v>
      </c>
      <c r="I122">
        <v>22.539988471799621</v>
      </c>
      <c r="J122">
        <v>18.14823861690282</v>
      </c>
    </row>
    <row r="123" spans="2:10" ht="18" customHeight="1">
      <c r="B123" s="56">
        <v>0.8</v>
      </c>
      <c r="C123" s="56">
        <v>15.4</v>
      </c>
      <c r="D123" s="107">
        <f t="shared" si="3"/>
        <v>0</v>
      </c>
      <c r="E123" s="107">
        <f t="shared" si="4"/>
        <v>20.165192927539021</v>
      </c>
      <c r="F123" s="107">
        <f t="shared" si="5"/>
        <v>0</v>
      </c>
      <c r="H123">
        <v>-2.8007018913000059</v>
      </c>
      <c r="I123">
        <v>20.165192927539021</v>
      </c>
      <c r="J123">
        <v>-13.70027321205203</v>
      </c>
    </row>
    <row r="124" spans="2:10" ht="18" customHeight="1">
      <c r="B124" s="56">
        <v>0.1</v>
      </c>
      <c r="C124" s="56">
        <v>27.6</v>
      </c>
      <c r="D124" s="107">
        <f t="shared" si="3"/>
        <v>5.6371966371669933</v>
      </c>
      <c r="E124" s="107">
        <f t="shared" si="4"/>
        <v>13.36196182732454</v>
      </c>
      <c r="F124" s="107">
        <f t="shared" si="5"/>
        <v>6.9288592281934562</v>
      </c>
      <c r="H124">
        <v>5.6371966371669933</v>
      </c>
      <c r="I124">
        <v>13.36196182732454</v>
      </c>
      <c r="J124">
        <v>6.9288592281934562</v>
      </c>
    </row>
    <row r="125" spans="2:10" ht="18" customHeight="1">
      <c r="B125" s="56">
        <v>0</v>
      </c>
      <c r="C125" s="56">
        <v>4.8</v>
      </c>
      <c r="D125" s="107">
        <f t="shared" si="3"/>
        <v>0</v>
      </c>
      <c r="E125" s="107">
        <f t="shared" si="4"/>
        <v>10.15650538595043</v>
      </c>
      <c r="F125" s="107">
        <f t="shared" si="5"/>
        <v>3.8380594769538541</v>
      </c>
      <c r="H125">
        <v>-8.6688162227889034</v>
      </c>
      <c r="I125">
        <v>10.15650538595043</v>
      </c>
      <c r="J125">
        <v>3.8380594769538541</v>
      </c>
    </row>
    <row r="126" spans="2:10" ht="18" customHeight="1">
      <c r="B126" s="56">
        <v>0</v>
      </c>
      <c r="C126" s="56">
        <v>0.8</v>
      </c>
      <c r="D126" s="107">
        <f t="shared" si="3"/>
        <v>2.7066364728557559</v>
      </c>
      <c r="E126" s="107">
        <f t="shared" si="4"/>
        <v>0.4027755656292924</v>
      </c>
      <c r="F126" s="107">
        <f t="shared" si="5"/>
        <v>6.4561970133584978</v>
      </c>
      <c r="H126">
        <v>2.7066364728557559</v>
      </c>
      <c r="I126">
        <v>0.4027755656292924</v>
      </c>
      <c r="J126">
        <v>6.4561970133584978</v>
      </c>
    </row>
    <row r="127" spans="2:10" ht="18" customHeight="1">
      <c r="B127" s="56">
        <v>2</v>
      </c>
      <c r="C127" s="56">
        <v>0</v>
      </c>
      <c r="D127" s="107">
        <f t="shared" si="3"/>
        <v>8.7624028872983857</v>
      </c>
      <c r="E127" s="107">
        <f t="shared" si="4"/>
        <v>8.3262926665600592</v>
      </c>
      <c r="F127" s="107">
        <f t="shared" si="5"/>
        <v>0</v>
      </c>
      <c r="H127">
        <v>8.7624028872983857</v>
      </c>
      <c r="I127">
        <v>8.3262926665600592</v>
      </c>
      <c r="J127">
        <v>-3.8364894320482938</v>
      </c>
    </row>
    <row r="128" spans="2:10" ht="18" customHeight="1">
      <c r="B128" s="56">
        <v>4.5999999999999996</v>
      </c>
      <c r="C128" s="56">
        <v>0</v>
      </c>
      <c r="D128" s="107">
        <f t="shared" si="3"/>
        <v>0</v>
      </c>
      <c r="E128" s="107">
        <f t="shared" si="4"/>
        <v>8.5563313261383005</v>
      </c>
      <c r="F128" s="107">
        <f t="shared" si="5"/>
        <v>0</v>
      </c>
      <c r="H128">
        <v>-10.61082673694944</v>
      </c>
      <c r="I128">
        <v>8.5563313261383005</v>
      </c>
      <c r="J128">
        <v>-12.6420682470253</v>
      </c>
    </row>
    <row r="129" spans="2:10" ht="18" customHeight="1">
      <c r="B129" s="56">
        <v>3.8</v>
      </c>
      <c r="C129" s="56">
        <v>19.8</v>
      </c>
      <c r="D129" s="107">
        <f t="shared" si="3"/>
        <v>11.034260924654641</v>
      </c>
      <c r="E129" s="107">
        <f t="shared" si="4"/>
        <v>10.030763961776399</v>
      </c>
      <c r="F129" s="107">
        <f t="shared" si="5"/>
        <v>10.831025261693309</v>
      </c>
      <c r="H129">
        <v>11.034260924654641</v>
      </c>
      <c r="I129">
        <v>10.030763961776399</v>
      </c>
      <c r="J129">
        <v>10.831025261693309</v>
      </c>
    </row>
    <row r="130" spans="2:10" ht="18" customHeight="1">
      <c r="B130" s="56">
        <v>0</v>
      </c>
      <c r="C130" s="56">
        <v>0.4</v>
      </c>
      <c r="D130" s="107">
        <f t="shared" si="3"/>
        <v>0</v>
      </c>
      <c r="E130" s="107">
        <f t="shared" si="4"/>
        <v>0</v>
      </c>
      <c r="F130" s="107">
        <f t="shared" si="5"/>
        <v>0</v>
      </c>
      <c r="H130">
        <v>-0.57571219155489461</v>
      </c>
      <c r="I130">
        <v>-12.4432115951487</v>
      </c>
      <c r="J130">
        <v>-13.01022704149023</v>
      </c>
    </row>
    <row r="131" spans="2:10" ht="18" customHeight="1">
      <c r="B131" s="56">
        <v>0</v>
      </c>
      <c r="C131" s="56">
        <v>0</v>
      </c>
      <c r="D131" s="107">
        <f t="shared" si="3"/>
        <v>0</v>
      </c>
      <c r="E131" s="107">
        <f t="shared" si="4"/>
        <v>0</v>
      </c>
      <c r="F131" s="107">
        <f t="shared" si="5"/>
        <v>0</v>
      </c>
      <c r="H131">
        <v>-10.13186156985844</v>
      </c>
      <c r="I131">
        <v>-15.589956552229561</v>
      </c>
      <c r="J131">
        <v>-10.71183393145165</v>
      </c>
    </row>
    <row r="132" spans="2:10" ht="18" customHeight="1">
      <c r="B132" s="56">
        <v>0</v>
      </c>
      <c r="C132" s="56">
        <v>0</v>
      </c>
      <c r="D132" s="107">
        <f t="shared" si="3"/>
        <v>0</v>
      </c>
      <c r="E132" s="107">
        <f t="shared" si="4"/>
        <v>0</v>
      </c>
      <c r="F132" s="107">
        <f t="shared" si="5"/>
        <v>0</v>
      </c>
      <c r="H132">
        <v>-15.364734044833501</v>
      </c>
      <c r="I132">
        <v>-6.8655271122391728</v>
      </c>
      <c r="J132">
        <v>-14.193468473338701</v>
      </c>
    </row>
    <row r="133" spans="2:10" ht="18" customHeight="1">
      <c r="B133" s="56">
        <v>0</v>
      </c>
      <c r="C133" s="56">
        <v>0</v>
      </c>
      <c r="D133" s="107">
        <f t="shared" si="3"/>
        <v>5.8334863058572974</v>
      </c>
      <c r="E133" s="107">
        <f t="shared" si="4"/>
        <v>0</v>
      </c>
      <c r="F133" s="107">
        <f t="shared" si="5"/>
        <v>6.4045242399618809</v>
      </c>
      <c r="H133">
        <v>5.8334863058572974</v>
      </c>
      <c r="I133">
        <v>-9.1021858885968996</v>
      </c>
      <c r="J133">
        <v>6.4045242399618809</v>
      </c>
    </row>
    <row r="134" spans="2:10" ht="18" customHeight="1">
      <c r="B134" s="56">
        <v>0</v>
      </c>
      <c r="C134" s="56">
        <v>0</v>
      </c>
      <c r="D134" s="107">
        <f t="shared" ref="D134:D197" si="6">IF(H134&lt;0,0,H134)</f>
        <v>6.818173718381396</v>
      </c>
      <c r="E134" s="107">
        <f t="shared" ref="E134:E197" si="7">IF(I134&lt;0,0,I134)</f>
        <v>0</v>
      </c>
      <c r="F134" s="107">
        <f t="shared" ref="F134:F197" si="8">IF(J134&lt;0,0,J134)</f>
        <v>12.905631642450579</v>
      </c>
      <c r="H134">
        <v>6.818173718381396</v>
      </c>
      <c r="I134">
        <v>-12.20213388778072</v>
      </c>
      <c r="J134">
        <v>12.905631642450579</v>
      </c>
    </row>
    <row r="135" spans="2:10" ht="18" customHeight="1">
      <c r="B135" s="56">
        <v>0.2</v>
      </c>
      <c r="C135" s="56">
        <v>0.4</v>
      </c>
      <c r="D135" s="107">
        <f t="shared" si="6"/>
        <v>8.4872140453405809</v>
      </c>
      <c r="E135" s="107">
        <f t="shared" si="7"/>
        <v>6.6809222773590076</v>
      </c>
      <c r="F135" s="107">
        <f t="shared" si="8"/>
        <v>7.0861285581894764</v>
      </c>
      <c r="H135">
        <v>8.4872140453405809</v>
      </c>
      <c r="I135">
        <v>6.6809222773590076</v>
      </c>
      <c r="J135">
        <v>7.0861285581894764</v>
      </c>
    </row>
    <row r="136" spans="2:10" ht="18" customHeight="1">
      <c r="B136" s="56">
        <v>0</v>
      </c>
      <c r="C136" s="56">
        <v>0</v>
      </c>
      <c r="D136" s="107">
        <f t="shared" si="6"/>
        <v>4.9150845484138648</v>
      </c>
      <c r="E136" s="107">
        <f t="shared" si="7"/>
        <v>0</v>
      </c>
      <c r="F136" s="107">
        <f t="shared" si="8"/>
        <v>0</v>
      </c>
      <c r="H136">
        <v>4.9150845484138648</v>
      </c>
      <c r="I136">
        <v>-0.19989799287135901</v>
      </c>
      <c r="J136">
        <v>-0.56776570146317962</v>
      </c>
    </row>
    <row r="137" spans="2:10" ht="18" customHeight="1">
      <c r="B137" s="56">
        <v>0.2</v>
      </c>
      <c r="C137" s="56">
        <v>0</v>
      </c>
      <c r="D137" s="107">
        <f t="shared" si="6"/>
        <v>0</v>
      </c>
      <c r="E137" s="107">
        <f t="shared" si="7"/>
        <v>0</v>
      </c>
      <c r="F137" s="107">
        <f t="shared" si="8"/>
        <v>0</v>
      </c>
      <c r="H137">
        <v>-7.6216403465199676</v>
      </c>
      <c r="I137">
        <v>-15.13947626917388</v>
      </c>
      <c r="J137">
        <v>-7.6626321211631456</v>
      </c>
    </row>
    <row r="138" spans="2:10" ht="18" customHeight="1">
      <c r="B138" s="56">
        <v>0</v>
      </c>
      <c r="C138" s="56">
        <v>0</v>
      </c>
      <c r="D138" s="107">
        <f t="shared" si="6"/>
        <v>6.5662819582771839</v>
      </c>
      <c r="E138" s="107">
        <f t="shared" si="7"/>
        <v>0</v>
      </c>
      <c r="F138" s="107">
        <f t="shared" si="8"/>
        <v>10.685167070083549</v>
      </c>
      <c r="H138">
        <v>6.5662819582771839</v>
      </c>
      <c r="I138">
        <v>-11.094458500129461</v>
      </c>
      <c r="J138">
        <v>10.685167070083549</v>
      </c>
    </row>
    <row r="139" spans="2:10" ht="18" customHeight="1">
      <c r="B139" s="56">
        <v>0</v>
      </c>
      <c r="C139" s="56">
        <v>0</v>
      </c>
      <c r="D139" s="107">
        <f t="shared" si="6"/>
        <v>0</v>
      </c>
      <c r="E139" s="107">
        <f t="shared" si="7"/>
        <v>7.9563080378944111</v>
      </c>
      <c r="F139" s="107">
        <f t="shared" si="8"/>
        <v>0</v>
      </c>
      <c r="H139">
        <v>-3.6472042001723382</v>
      </c>
      <c r="I139">
        <v>7.9563080378944111</v>
      </c>
      <c r="J139">
        <v>-12.447466172735041</v>
      </c>
    </row>
    <row r="140" spans="2:10" ht="18" customHeight="1">
      <c r="B140" s="56">
        <v>0</v>
      </c>
      <c r="C140" s="56">
        <v>0</v>
      </c>
      <c r="D140" s="107">
        <f t="shared" si="6"/>
        <v>0</v>
      </c>
      <c r="E140" s="107">
        <f t="shared" si="7"/>
        <v>0</v>
      </c>
      <c r="F140" s="107">
        <f t="shared" si="8"/>
        <v>0</v>
      </c>
      <c r="H140">
        <v>-3.3392812827264029</v>
      </c>
      <c r="I140">
        <v>-10.15786977531525</v>
      </c>
      <c r="J140">
        <v>-2.7706845815466949</v>
      </c>
    </row>
    <row r="141" spans="2:10" ht="18" customHeight="1">
      <c r="B141" s="56">
        <v>2.8</v>
      </c>
      <c r="C141" s="56">
        <v>0.2</v>
      </c>
      <c r="D141" s="107">
        <f t="shared" si="6"/>
        <v>2.4807933373563662</v>
      </c>
      <c r="E141" s="107">
        <f t="shared" si="7"/>
        <v>0</v>
      </c>
      <c r="F141" s="107">
        <f t="shared" si="8"/>
        <v>0</v>
      </c>
      <c r="H141">
        <v>2.4807933373563662</v>
      </c>
      <c r="I141">
        <v>-8.5370927187405634</v>
      </c>
      <c r="J141">
        <v>-7.8599843059621648</v>
      </c>
    </row>
    <row r="142" spans="2:10" ht="18" customHeight="1">
      <c r="B142" s="56">
        <v>0</v>
      </c>
      <c r="C142" s="56">
        <v>0</v>
      </c>
      <c r="D142" s="107">
        <f t="shared" si="6"/>
        <v>0</v>
      </c>
      <c r="E142" s="107">
        <f t="shared" si="7"/>
        <v>0</v>
      </c>
      <c r="F142" s="107">
        <f t="shared" si="8"/>
        <v>0</v>
      </c>
      <c r="H142">
        <v>-13.30878526904247</v>
      </c>
      <c r="I142">
        <v>-6.4019602194982594</v>
      </c>
      <c r="J142">
        <v>-6.1486951631511131</v>
      </c>
    </row>
    <row r="143" spans="2:10" ht="18" customHeight="1">
      <c r="B143" s="56">
        <v>0</v>
      </c>
      <c r="C143" s="56">
        <v>0</v>
      </c>
      <c r="D143" s="107">
        <f t="shared" si="6"/>
        <v>6.3480920953911948</v>
      </c>
      <c r="E143" s="107">
        <f t="shared" si="7"/>
        <v>0</v>
      </c>
      <c r="F143" s="107">
        <f t="shared" si="8"/>
        <v>6.3782353498342408</v>
      </c>
      <c r="H143">
        <v>6.3480920953911948</v>
      </c>
      <c r="I143">
        <v>-0.27609529319052029</v>
      </c>
      <c r="J143">
        <v>6.3782353498342408</v>
      </c>
    </row>
    <row r="144" spans="2:10" ht="18" customHeight="1">
      <c r="B144" s="56">
        <v>0</v>
      </c>
      <c r="C144" s="56">
        <v>0</v>
      </c>
      <c r="D144" s="107">
        <f t="shared" si="6"/>
        <v>8.8590086756927207</v>
      </c>
      <c r="E144" s="107">
        <f t="shared" si="7"/>
        <v>5.026029594864684</v>
      </c>
      <c r="F144" s="107">
        <f t="shared" si="8"/>
        <v>4.8695359451218927</v>
      </c>
      <c r="H144">
        <v>8.8590086756927207</v>
      </c>
      <c r="I144">
        <v>5.026029594864684</v>
      </c>
      <c r="J144">
        <v>4.8695359451218927</v>
      </c>
    </row>
    <row r="145" spans="2:10" ht="18" customHeight="1">
      <c r="B145" s="56">
        <v>0</v>
      </c>
      <c r="C145" s="56">
        <v>0</v>
      </c>
      <c r="D145" s="107">
        <f t="shared" si="6"/>
        <v>2.1909523398734509</v>
      </c>
      <c r="E145" s="107">
        <f t="shared" si="7"/>
        <v>0</v>
      </c>
      <c r="F145" s="107">
        <f t="shared" si="8"/>
        <v>6.2918717617382018</v>
      </c>
      <c r="H145">
        <v>2.1909523398734509</v>
      </c>
      <c r="I145">
        <v>-7.4826954686960683</v>
      </c>
      <c r="J145">
        <v>6.2918717617382018</v>
      </c>
    </row>
    <row r="146" spans="2:10" ht="18" customHeight="1">
      <c r="B146" s="56">
        <v>8.1999999999999993</v>
      </c>
      <c r="C146" s="56">
        <v>0</v>
      </c>
      <c r="D146" s="107">
        <f t="shared" si="6"/>
        <v>11.108294881379679</v>
      </c>
      <c r="E146" s="107">
        <f t="shared" si="7"/>
        <v>0</v>
      </c>
      <c r="F146" s="107">
        <f t="shared" si="8"/>
        <v>11.557714946965421</v>
      </c>
      <c r="H146">
        <v>11.108294881379679</v>
      </c>
      <c r="I146">
        <v>-7.4523608625513909</v>
      </c>
      <c r="J146">
        <v>11.557714946965421</v>
      </c>
    </row>
    <row r="147" spans="2:10" ht="18" customHeight="1">
      <c r="B147" s="56">
        <v>29.6</v>
      </c>
      <c r="C147" s="56">
        <v>0.2</v>
      </c>
      <c r="D147" s="107">
        <f t="shared" si="6"/>
        <v>29.39736643686317</v>
      </c>
      <c r="E147" s="107">
        <f t="shared" si="7"/>
        <v>0</v>
      </c>
      <c r="F147" s="107">
        <f t="shared" si="8"/>
        <v>33.23447589001146</v>
      </c>
      <c r="H147">
        <v>29.39736643686317</v>
      </c>
      <c r="I147">
        <v>-5.4554174751199076</v>
      </c>
      <c r="J147">
        <v>33.23447589001146</v>
      </c>
    </row>
    <row r="148" spans="2:10" ht="18" customHeight="1">
      <c r="B148" s="56">
        <v>0.8</v>
      </c>
      <c r="C148" s="56">
        <v>0.2</v>
      </c>
      <c r="D148" s="107">
        <f t="shared" si="6"/>
        <v>5.7635654306958983</v>
      </c>
      <c r="E148" s="107">
        <f t="shared" si="7"/>
        <v>1.660596267167882</v>
      </c>
      <c r="F148" s="107">
        <f t="shared" si="8"/>
        <v>0</v>
      </c>
      <c r="H148">
        <v>5.7635654306958983</v>
      </c>
      <c r="I148">
        <v>1.660596267167882</v>
      </c>
      <c r="J148">
        <v>-4.2760851680343306</v>
      </c>
    </row>
    <row r="149" spans="2:10" ht="18" customHeight="1">
      <c r="B149" s="56">
        <v>5.2</v>
      </c>
      <c r="C149" s="56">
        <v>0</v>
      </c>
      <c r="D149" s="107">
        <f t="shared" si="6"/>
        <v>0</v>
      </c>
      <c r="E149" s="107">
        <f t="shared" si="7"/>
        <v>0</v>
      </c>
      <c r="F149" s="107">
        <f t="shared" si="8"/>
        <v>0</v>
      </c>
      <c r="H149">
        <v>-5.3165502346943594</v>
      </c>
      <c r="I149">
        <v>-8.2120165427669694</v>
      </c>
      <c r="J149">
        <v>-3.7629962184629488</v>
      </c>
    </row>
    <row r="150" spans="2:10" ht="18" customHeight="1">
      <c r="B150" s="56">
        <v>23.4</v>
      </c>
      <c r="C150" s="56">
        <v>0</v>
      </c>
      <c r="D150" s="107">
        <f t="shared" si="6"/>
        <v>15.55972038318961</v>
      </c>
      <c r="E150" s="107">
        <f t="shared" si="7"/>
        <v>0</v>
      </c>
      <c r="F150" s="107">
        <f t="shared" si="8"/>
        <v>10.521733051694209</v>
      </c>
      <c r="H150">
        <v>15.55972038318961</v>
      </c>
      <c r="I150">
        <v>-11.429878071192899</v>
      </c>
      <c r="J150">
        <v>10.521733051694209</v>
      </c>
    </row>
    <row r="151" spans="2:10" ht="18" customHeight="1">
      <c r="B151" s="56">
        <v>0</v>
      </c>
      <c r="C151" s="56">
        <v>0</v>
      </c>
      <c r="D151" s="107">
        <f t="shared" si="6"/>
        <v>0</v>
      </c>
      <c r="E151" s="107">
        <f t="shared" si="7"/>
        <v>0</v>
      </c>
      <c r="F151" s="107">
        <f t="shared" si="8"/>
        <v>2.8252873089795849</v>
      </c>
      <c r="H151">
        <v>-11.26360230385577</v>
      </c>
      <c r="I151">
        <v>-2.2354367951689271</v>
      </c>
      <c r="J151">
        <v>2.8252873089795849</v>
      </c>
    </row>
    <row r="152" spans="2:10" ht="18" customHeight="1">
      <c r="B152" s="56">
        <v>4.4000000000000004</v>
      </c>
      <c r="C152" s="56">
        <v>0</v>
      </c>
      <c r="D152" s="107">
        <f t="shared" si="6"/>
        <v>10.99242935658048</v>
      </c>
      <c r="E152" s="107">
        <f t="shared" si="7"/>
        <v>3.008811270447012</v>
      </c>
      <c r="F152" s="107">
        <f t="shared" si="8"/>
        <v>4.3475101014349864</v>
      </c>
      <c r="H152">
        <v>10.99242935658048</v>
      </c>
      <c r="I152">
        <v>3.008811270447012</v>
      </c>
      <c r="J152">
        <v>4.3475101014349864</v>
      </c>
    </row>
    <row r="153" spans="2:10" ht="18" customHeight="1">
      <c r="B153" s="56">
        <v>0</v>
      </c>
      <c r="C153" s="56">
        <v>0</v>
      </c>
      <c r="D153" s="107">
        <f t="shared" si="6"/>
        <v>0</v>
      </c>
      <c r="E153" s="107">
        <f t="shared" si="7"/>
        <v>1.4095271182296749</v>
      </c>
      <c r="F153" s="107">
        <f t="shared" si="8"/>
        <v>0</v>
      </c>
      <c r="H153">
        <v>-6.5130515889719742</v>
      </c>
      <c r="I153">
        <v>1.4095271182296749</v>
      </c>
      <c r="J153">
        <v>-8.1383328453592139</v>
      </c>
    </row>
    <row r="154" spans="2:10" ht="18" customHeight="1">
      <c r="B154" s="56">
        <v>0</v>
      </c>
      <c r="C154" s="56">
        <v>0</v>
      </c>
      <c r="D154" s="107">
        <f t="shared" si="6"/>
        <v>0</v>
      </c>
      <c r="E154" s="107">
        <f t="shared" si="7"/>
        <v>4.243202121737319</v>
      </c>
      <c r="F154" s="107">
        <f t="shared" si="8"/>
        <v>0</v>
      </c>
      <c r="H154">
        <v>-4.5771001172804109</v>
      </c>
      <c r="I154">
        <v>4.243202121737319</v>
      </c>
      <c r="J154">
        <v>-15.98322981789067</v>
      </c>
    </row>
    <row r="155" spans="2:10" ht="18" customHeight="1">
      <c r="B155" s="56">
        <v>0</v>
      </c>
      <c r="C155" s="56">
        <v>0</v>
      </c>
      <c r="D155" s="107">
        <f t="shared" si="6"/>
        <v>0</v>
      </c>
      <c r="E155" s="107">
        <f t="shared" si="7"/>
        <v>7.7180898998973344</v>
      </c>
      <c r="F155" s="107">
        <f t="shared" si="8"/>
        <v>0</v>
      </c>
      <c r="H155">
        <v>-13.52806925417636</v>
      </c>
      <c r="I155">
        <v>7.7180898998973344</v>
      </c>
      <c r="J155">
        <v>-2.9208173831092812</v>
      </c>
    </row>
    <row r="156" spans="2:10" ht="18" customHeight="1">
      <c r="B156" s="56">
        <v>0</v>
      </c>
      <c r="C156" s="56">
        <v>0</v>
      </c>
      <c r="D156" s="107">
        <f t="shared" si="6"/>
        <v>1.0599666965983829</v>
      </c>
      <c r="E156" s="107">
        <f t="shared" si="7"/>
        <v>0</v>
      </c>
      <c r="F156" s="107">
        <f t="shared" si="8"/>
        <v>2.234812308673165</v>
      </c>
      <c r="H156">
        <v>1.0599666965983829</v>
      </c>
      <c r="I156">
        <v>-3.1284501107463392</v>
      </c>
      <c r="J156">
        <v>2.234812308673165</v>
      </c>
    </row>
    <row r="157" spans="2:10" ht="18" customHeight="1">
      <c r="B157" s="56">
        <v>0</v>
      </c>
      <c r="C157" s="56">
        <v>7.4</v>
      </c>
      <c r="D157" s="107">
        <f t="shared" si="6"/>
        <v>7.5814366726791924</v>
      </c>
      <c r="E157" s="107">
        <f t="shared" si="7"/>
        <v>14.681479413505521</v>
      </c>
      <c r="F157" s="107">
        <f t="shared" si="8"/>
        <v>13.996640263566579</v>
      </c>
      <c r="H157">
        <v>7.5814366726791924</v>
      </c>
      <c r="I157">
        <v>14.681479413505521</v>
      </c>
      <c r="J157">
        <v>13.996640263566579</v>
      </c>
    </row>
    <row r="158" spans="2:10" ht="18" customHeight="1">
      <c r="B158" s="56">
        <v>0</v>
      </c>
      <c r="C158" s="56">
        <v>2.8</v>
      </c>
      <c r="D158" s="107">
        <f t="shared" si="6"/>
        <v>3.5639545723068879</v>
      </c>
      <c r="E158" s="107">
        <f t="shared" si="7"/>
        <v>0</v>
      </c>
      <c r="F158" s="107">
        <f t="shared" si="8"/>
        <v>3.9946028063775261</v>
      </c>
      <c r="H158">
        <v>3.5639545723068879</v>
      </c>
      <c r="I158">
        <v>-1.896051489038306</v>
      </c>
      <c r="J158">
        <v>3.9946028063775261</v>
      </c>
    </row>
    <row r="159" spans="2:10" ht="18" customHeight="1">
      <c r="B159" s="56">
        <v>0</v>
      </c>
      <c r="C159" s="56">
        <v>0</v>
      </c>
      <c r="D159" s="107">
        <f t="shared" si="6"/>
        <v>0</v>
      </c>
      <c r="E159" s="107">
        <f t="shared" si="7"/>
        <v>0</v>
      </c>
      <c r="F159" s="107">
        <f t="shared" si="8"/>
        <v>0</v>
      </c>
      <c r="H159">
        <v>-12.17715757643677</v>
      </c>
      <c r="I159">
        <v>-7.291248285747848</v>
      </c>
      <c r="J159">
        <v>-10.682749645798159</v>
      </c>
    </row>
    <row r="160" spans="2:10" ht="18" customHeight="1">
      <c r="B160" s="56">
        <v>0</v>
      </c>
      <c r="C160" s="56">
        <v>0</v>
      </c>
      <c r="D160" s="107">
        <f t="shared" si="6"/>
        <v>0</v>
      </c>
      <c r="E160" s="107">
        <f t="shared" si="7"/>
        <v>5.9794442248762012</v>
      </c>
      <c r="F160" s="107">
        <f t="shared" si="8"/>
        <v>1.8029807772713351</v>
      </c>
      <c r="H160">
        <v>-7.8103570037590444</v>
      </c>
      <c r="I160">
        <v>5.9794442248762012</v>
      </c>
      <c r="J160">
        <v>1.8029807772713351</v>
      </c>
    </row>
    <row r="161" spans="2:10" ht="18" customHeight="1">
      <c r="B161" s="56">
        <v>0</v>
      </c>
      <c r="C161" s="56">
        <v>0</v>
      </c>
      <c r="D161" s="107">
        <f t="shared" si="6"/>
        <v>0</v>
      </c>
      <c r="E161" s="107">
        <f t="shared" si="7"/>
        <v>0</v>
      </c>
      <c r="F161" s="107">
        <f t="shared" si="8"/>
        <v>0</v>
      </c>
      <c r="H161">
        <v>-1.2321750645281739</v>
      </c>
      <c r="I161">
        <v>-12.074681166798671</v>
      </c>
      <c r="J161">
        <v>-15.21188694323811</v>
      </c>
    </row>
    <row r="162" spans="2:10" ht="18" customHeight="1">
      <c r="B162" s="56">
        <v>0</v>
      </c>
      <c r="C162" s="56">
        <v>0</v>
      </c>
      <c r="D162" s="107">
        <f t="shared" si="6"/>
        <v>0</v>
      </c>
      <c r="E162" s="107">
        <f t="shared" si="7"/>
        <v>0</v>
      </c>
      <c r="F162" s="107">
        <f t="shared" si="8"/>
        <v>0</v>
      </c>
      <c r="H162">
        <v>-15.59952476160092</v>
      </c>
      <c r="I162">
        <v>-10.264625103680689</v>
      </c>
      <c r="J162">
        <v>-8.8537699699045458</v>
      </c>
    </row>
    <row r="163" spans="2:10" ht="18" customHeight="1">
      <c r="B163" s="56">
        <v>0</v>
      </c>
      <c r="C163" s="56">
        <v>0</v>
      </c>
      <c r="D163" s="107">
        <f t="shared" si="6"/>
        <v>0</v>
      </c>
      <c r="E163" s="107">
        <f t="shared" si="7"/>
        <v>4.5941476985197873</v>
      </c>
      <c r="F163" s="107">
        <f t="shared" si="8"/>
        <v>0</v>
      </c>
      <c r="H163">
        <v>-12.063678951123601</v>
      </c>
      <c r="I163">
        <v>4.5941476985197873</v>
      </c>
      <c r="J163">
        <v>-6.5845001979705389</v>
      </c>
    </row>
    <row r="164" spans="2:10" ht="18" customHeight="1">
      <c r="B164" s="56">
        <v>0.2</v>
      </c>
      <c r="C164" s="56">
        <v>0</v>
      </c>
      <c r="D164" s="107">
        <f t="shared" si="6"/>
        <v>0</v>
      </c>
      <c r="E164" s="107">
        <f t="shared" si="7"/>
        <v>0</v>
      </c>
      <c r="F164" s="107">
        <f t="shared" si="8"/>
        <v>0</v>
      </c>
      <c r="H164">
        <v>-2.999779288872789</v>
      </c>
      <c r="I164">
        <v>-13.85211951061523</v>
      </c>
      <c r="J164">
        <v>-4.0866628049861218</v>
      </c>
    </row>
    <row r="165" spans="2:10" ht="18" customHeight="1">
      <c r="B165" s="56">
        <v>0</v>
      </c>
      <c r="C165" s="56">
        <v>0</v>
      </c>
      <c r="D165" s="107">
        <f t="shared" si="6"/>
        <v>0</v>
      </c>
      <c r="E165" s="107">
        <f t="shared" si="7"/>
        <v>7.7055035994859944</v>
      </c>
      <c r="F165" s="107">
        <f t="shared" si="8"/>
        <v>0</v>
      </c>
      <c r="H165">
        <v>-2.186065742294554</v>
      </c>
      <c r="I165">
        <v>7.7055035994859944</v>
      </c>
      <c r="J165">
        <v>-2.526017027011632</v>
      </c>
    </row>
    <row r="166" spans="2:10" ht="18" customHeight="1">
      <c r="B166" s="56">
        <v>0</v>
      </c>
      <c r="C166" s="56">
        <v>0</v>
      </c>
      <c r="D166" s="107">
        <f t="shared" si="6"/>
        <v>0</v>
      </c>
      <c r="E166" s="107">
        <f t="shared" si="7"/>
        <v>0</v>
      </c>
      <c r="F166" s="107">
        <f t="shared" si="8"/>
        <v>8.7564323297028377</v>
      </c>
      <c r="H166">
        <v>-3.152478516211191</v>
      </c>
      <c r="I166">
        <v>-0.44211579797286682</v>
      </c>
      <c r="J166">
        <v>8.7564323297028377</v>
      </c>
    </row>
    <row r="167" spans="2:10" ht="18" customHeight="1">
      <c r="B167" s="56">
        <v>0</v>
      </c>
      <c r="C167" s="56">
        <v>0</v>
      </c>
      <c r="D167" s="107">
        <f t="shared" si="6"/>
        <v>0</v>
      </c>
      <c r="E167" s="107">
        <f t="shared" si="7"/>
        <v>3.5758378039765248</v>
      </c>
      <c r="F167" s="107">
        <f t="shared" si="8"/>
        <v>0</v>
      </c>
      <c r="H167">
        <v>-7.3093554869043427</v>
      </c>
      <c r="I167">
        <v>3.5758378039765248</v>
      </c>
      <c r="J167">
        <v>-12.59503715623714</v>
      </c>
    </row>
    <row r="168" spans="2:10" ht="18" customHeight="1">
      <c r="B168" s="56">
        <v>0</v>
      </c>
      <c r="C168" s="56">
        <v>0</v>
      </c>
      <c r="D168" s="107">
        <f t="shared" si="6"/>
        <v>8.7093811409683344</v>
      </c>
      <c r="E168" s="107">
        <f t="shared" si="7"/>
        <v>0</v>
      </c>
      <c r="F168" s="107">
        <f t="shared" si="8"/>
        <v>8.1296860789927443</v>
      </c>
      <c r="H168">
        <v>8.7093811409683344</v>
      </c>
      <c r="I168">
        <v>-3.8403622482124029</v>
      </c>
      <c r="J168">
        <v>8.1296860789927443</v>
      </c>
    </row>
    <row r="169" spans="2:10" ht="18" customHeight="1">
      <c r="B169" s="56">
        <v>0</v>
      </c>
      <c r="C169" s="56">
        <v>0</v>
      </c>
      <c r="D169" s="107">
        <f t="shared" si="6"/>
        <v>0</v>
      </c>
      <c r="E169" s="107">
        <f t="shared" si="7"/>
        <v>5.0559324983794891</v>
      </c>
      <c r="F169" s="107">
        <f t="shared" si="8"/>
        <v>0</v>
      </c>
      <c r="H169">
        <v>-13.93602043027663</v>
      </c>
      <c r="I169">
        <v>5.0559324983794891</v>
      </c>
      <c r="J169">
        <v>-11.164440599292179</v>
      </c>
    </row>
    <row r="170" spans="2:10" ht="18" customHeight="1">
      <c r="B170" s="56">
        <v>3.6</v>
      </c>
      <c r="C170" s="56">
        <v>0</v>
      </c>
      <c r="D170" s="107">
        <f t="shared" si="6"/>
        <v>0</v>
      </c>
      <c r="E170" s="107">
        <f t="shared" si="7"/>
        <v>0</v>
      </c>
      <c r="F170" s="107">
        <f t="shared" si="8"/>
        <v>4.734526423006816</v>
      </c>
      <c r="H170">
        <v>-5.4863473295239622</v>
      </c>
      <c r="I170">
        <v>-7.9269323135453842</v>
      </c>
      <c r="J170">
        <v>4.734526423006816</v>
      </c>
    </row>
    <row r="171" spans="2:10" ht="18" customHeight="1">
      <c r="B171" s="56">
        <v>0</v>
      </c>
      <c r="C171" s="56">
        <v>0</v>
      </c>
      <c r="D171" s="107">
        <f t="shared" si="6"/>
        <v>0</v>
      </c>
      <c r="E171" s="107">
        <f t="shared" si="7"/>
        <v>0</v>
      </c>
      <c r="F171" s="107">
        <f t="shared" si="8"/>
        <v>0</v>
      </c>
      <c r="H171">
        <v>-6.160112824107145</v>
      </c>
      <c r="I171">
        <v>-12.024710174197089</v>
      </c>
      <c r="J171">
        <v>-12.552896898925299</v>
      </c>
    </row>
    <row r="172" spans="2:10" ht="18" customHeight="1">
      <c r="B172" s="56">
        <v>0</v>
      </c>
      <c r="C172" s="56">
        <v>0</v>
      </c>
      <c r="D172" s="107">
        <f t="shared" si="6"/>
        <v>0</v>
      </c>
      <c r="E172" s="107">
        <f t="shared" si="7"/>
        <v>3.615292348821888</v>
      </c>
      <c r="F172" s="107">
        <f t="shared" si="8"/>
        <v>0</v>
      </c>
      <c r="H172">
        <v>-4.5436506402281811</v>
      </c>
      <c r="I172">
        <v>3.615292348821888</v>
      </c>
      <c r="J172">
        <v>-10.629584490238321</v>
      </c>
    </row>
    <row r="173" spans="2:10" ht="18" customHeight="1">
      <c r="B173" s="56">
        <v>0</v>
      </c>
      <c r="C173" s="56">
        <v>0</v>
      </c>
      <c r="D173" s="107">
        <f t="shared" si="6"/>
        <v>0</v>
      </c>
      <c r="E173" s="107">
        <f t="shared" si="7"/>
        <v>1.7728335609559001</v>
      </c>
      <c r="F173" s="107">
        <f t="shared" si="8"/>
        <v>0</v>
      </c>
      <c r="H173">
        <v>-3.9046048186061499</v>
      </c>
      <c r="I173">
        <v>1.7728335609559001</v>
      </c>
      <c r="J173">
        <v>-8.974093526407783</v>
      </c>
    </row>
    <row r="174" spans="2:10" ht="18" customHeight="1">
      <c r="B174" s="56">
        <v>1.6</v>
      </c>
      <c r="C174" s="56">
        <v>7</v>
      </c>
      <c r="D174" s="107">
        <f t="shared" si="6"/>
        <v>0</v>
      </c>
      <c r="E174" s="107">
        <f t="shared" si="7"/>
        <v>1.117504512892181</v>
      </c>
      <c r="F174" s="107">
        <f t="shared" si="8"/>
        <v>0</v>
      </c>
      <c r="H174">
        <v>-12.459381000701701</v>
      </c>
      <c r="I174">
        <v>1.117504512892181</v>
      </c>
      <c r="J174">
        <v>-14.9253981106718</v>
      </c>
    </row>
    <row r="175" spans="2:10" ht="18" customHeight="1">
      <c r="B175" s="56">
        <v>20.8</v>
      </c>
      <c r="C175" s="56">
        <v>0</v>
      </c>
      <c r="D175" s="107">
        <f t="shared" si="6"/>
        <v>21.455414135704999</v>
      </c>
      <c r="E175" s="107">
        <f t="shared" si="7"/>
        <v>6.0521603828918247</v>
      </c>
      <c r="F175" s="107">
        <f t="shared" si="8"/>
        <v>20.046568984448701</v>
      </c>
      <c r="H175">
        <v>21.455414135704999</v>
      </c>
      <c r="I175">
        <v>6.0521603828918247</v>
      </c>
      <c r="J175">
        <v>20.046568984448701</v>
      </c>
    </row>
    <row r="176" spans="2:10" ht="18" customHeight="1">
      <c r="B176" s="56">
        <v>3.2</v>
      </c>
      <c r="C176" s="56">
        <v>0</v>
      </c>
      <c r="D176" s="107">
        <f t="shared" si="6"/>
        <v>9.539720377591653</v>
      </c>
      <c r="E176" s="107">
        <f t="shared" si="7"/>
        <v>1.031707282812302</v>
      </c>
      <c r="F176" s="107">
        <f t="shared" si="8"/>
        <v>14.56666317899764</v>
      </c>
      <c r="H176">
        <v>9.539720377591653</v>
      </c>
      <c r="I176">
        <v>1.031707282812302</v>
      </c>
      <c r="J176">
        <v>14.56666317899764</v>
      </c>
    </row>
    <row r="177" spans="2:10" ht="18" customHeight="1">
      <c r="B177" s="56">
        <v>1.2</v>
      </c>
      <c r="C177" s="56">
        <v>0</v>
      </c>
      <c r="D177" s="107">
        <f t="shared" si="6"/>
        <v>0</v>
      </c>
      <c r="E177" s="107">
        <f t="shared" si="7"/>
        <v>0</v>
      </c>
      <c r="F177" s="107">
        <f t="shared" si="8"/>
        <v>8.8054522236995396</v>
      </c>
      <c r="H177">
        <v>-11.17602337312724</v>
      </c>
      <c r="I177">
        <v>-11.23452017346465</v>
      </c>
      <c r="J177">
        <v>8.8054522236995396</v>
      </c>
    </row>
    <row r="178" spans="2:10" ht="18" customHeight="1">
      <c r="B178" s="56">
        <v>0</v>
      </c>
      <c r="C178" s="56">
        <v>0</v>
      </c>
      <c r="D178" s="107">
        <f t="shared" si="6"/>
        <v>0</v>
      </c>
      <c r="E178" s="107">
        <f t="shared" si="7"/>
        <v>1.6022327478237199</v>
      </c>
      <c r="F178" s="107">
        <f t="shared" si="8"/>
        <v>0</v>
      </c>
      <c r="H178">
        <v>-15.653763700636331</v>
      </c>
      <c r="I178">
        <v>1.6022327478237199</v>
      </c>
      <c r="J178">
        <v>-3.7513214412145892</v>
      </c>
    </row>
    <row r="179" spans="2:10" ht="18" customHeight="1">
      <c r="B179" s="56">
        <v>15.4</v>
      </c>
      <c r="C179" s="56">
        <v>1.4</v>
      </c>
      <c r="D179" s="107">
        <f t="shared" si="6"/>
        <v>5.1413701076446383</v>
      </c>
      <c r="E179" s="107">
        <f t="shared" si="7"/>
        <v>0</v>
      </c>
      <c r="F179" s="107">
        <f t="shared" si="8"/>
        <v>0</v>
      </c>
      <c r="H179">
        <v>5.1413701076446383</v>
      </c>
      <c r="I179">
        <v>-9.9733111576094888</v>
      </c>
      <c r="J179">
        <v>-7.7874781610307338</v>
      </c>
    </row>
    <row r="180" spans="2:10" ht="18" customHeight="1">
      <c r="B180" s="56">
        <v>1.2</v>
      </c>
      <c r="C180" s="56">
        <v>13.4</v>
      </c>
      <c r="D180" s="107">
        <f t="shared" si="6"/>
        <v>8.9238254592523649</v>
      </c>
      <c r="E180" s="107">
        <f t="shared" si="7"/>
        <v>6.6109519222137534</v>
      </c>
      <c r="F180" s="107">
        <f t="shared" si="8"/>
        <v>6.308851546730617</v>
      </c>
      <c r="H180">
        <v>8.9238254592523649</v>
      </c>
      <c r="I180">
        <v>6.6109519222137534</v>
      </c>
      <c r="J180">
        <v>6.308851546730617</v>
      </c>
    </row>
    <row r="181" spans="2:10" ht="18" customHeight="1">
      <c r="B181" s="56">
        <v>0</v>
      </c>
      <c r="C181" s="56">
        <v>4</v>
      </c>
      <c r="D181" s="107">
        <f t="shared" si="6"/>
        <v>0</v>
      </c>
      <c r="E181" s="107">
        <f t="shared" si="7"/>
        <v>12.849948758990431</v>
      </c>
      <c r="F181" s="107">
        <f t="shared" si="8"/>
        <v>0</v>
      </c>
      <c r="H181">
        <v>-4.9923454213052114</v>
      </c>
      <c r="I181">
        <v>12.849948758990431</v>
      </c>
      <c r="J181">
        <v>-5.1827925929943666</v>
      </c>
    </row>
    <row r="182" spans="2:10" ht="18" customHeight="1">
      <c r="B182" s="56">
        <v>5.8</v>
      </c>
      <c r="C182" s="56">
        <v>0</v>
      </c>
      <c r="D182" s="107">
        <f t="shared" si="6"/>
        <v>0</v>
      </c>
      <c r="E182" s="107">
        <f t="shared" si="7"/>
        <v>0</v>
      </c>
      <c r="F182" s="107">
        <f t="shared" si="8"/>
        <v>0</v>
      </c>
      <c r="H182">
        <v>-9.2392526881692412</v>
      </c>
      <c r="I182">
        <v>-9.8109383545168924</v>
      </c>
      <c r="J182">
        <v>-14.47296610752996</v>
      </c>
    </row>
    <row r="183" spans="2:10" ht="18" customHeight="1">
      <c r="B183" s="56">
        <v>20.399999999999999</v>
      </c>
      <c r="C183" s="56">
        <v>0</v>
      </c>
      <c r="D183" s="107">
        <f t="shared" si="6"/>
        <v>4.6231903438752866</v>
      </c>
      <c r="E183" s="107">
        <f t="shared" si="7"/>
        <v>0</v>
      </c>
      <c r="F183" s="107">
        <f t="shared" si="8"/>
        <v>8.9750364182393341</v>
      </c>
      <c r="H183">
        <v>4.6231903438752866</v>
      </c>
      <c r="I183">
        <v>-0.23452537724319161</v>
      </c>
      <c r="J183">
        <v>8.9750364182393341</v>
      </c>
    </row>
    <row r="184" spans="2:10" ht="18" customHeight="1">
      <c r="B184" s="56">
        <v>20.399999999999999</v>
      </c>
      <c r="C184" s="56">
        <v>0</v>
      </c>
      <c r="D184" s="107">
        <f t="shared" si="6"/>
        <v>20.499823077049101</v>
      </c>
      <c r="E184" s="107">
        <f t="shared" si="7"/>
        <v>0</v>
      </c>
      <c r="F184" s="107">
        <f t="shared" si="8"/>
        <v>6.9104587749544244</v>
      </c>
      <c r="H184">
        <v>20.499823077049101</v>
      </c>
      <c r="I184">
        <v>-4.0560238603007113</v>
      </c>
      <c r="J184">
        <v>6.9104587749544244</v>
      </c>
    </row>
    <row r="185" spans="2:10" ht="18" customHeight="1">
      <c r="B185" s="56">
        <v>0.6</v>
      </c>
      <c r="C185" s="56">
        <v>0</v>
      </c>
      <c r="D185" s="107">
        <f t="shared" si="6"/>
        <v>2.1190040800046348</v>
      </c>
      <c r="E185" s="107">
        <f t="shared" si="7"/>
        <v>0</v>
      </c>
      <c r="F185" s="107">
        <f t="shared" si="8"/>
        <v>0</v>
      </c>
      <c r="H185">
        <v>2.1190040800046348</v>
      </c>
      <c r="I185">
        <v>-3.551893053173508</v>
      </c>
      <c r="J185">
        <v>-8.8226036065748801</v>
      </c>
    </row>
    <row r="186" spans="2:10" ht="18" customHeight="1">
      <c r="B186" s="56">
        <v>0</v>
      </c>
      <c r="C186" s="56">
        <v>0</v>
      </c>
      <c r="D186" s="107">
        <f t="shared" si="6"/>
        <v>8.4496288189290087</v>
      </c>
      <c r="E186" s="107">
        <f t="shared" si="7"/>
        <v>0</v>
      </c>
      <c r="F186" s="107">
        <f t="shared" si="8"/>
        <v>6.7156114384355714</v>
      </c>
      <c r="H186">
        <v>8.4496288189290087</v>
      </c>
      <c r="I186">
        <v>-7.7114377498957802</v>
      </c>
      <c r="J186">
        <v>6.7156114384355714</v>
      </c>
    </row>
    <row r="187" spans="2:10" ht="18" customHeight="1">
      <c r="B187" s="56">
        <v>0</v>
      </c>
      <c r="C187" s="56">
        <v>0</v>
      </c>
      <c r="D187" s="107">
        <f t="shared" si="6"/>
        <v>0</v>
      </c>
      <c r="E187" s="107">
        <f t="shared" si="7"/>
        <v>1.4793998704342</v>
      </c>
      <c r="F187" s="107">
        <f t="shared" si="8"/>
        <v>0</v>
      </c>
      <c r="H187">
        <v>-12.63324414485357</v>
      </c>
      <c r="I187">
        <v>1.4793998704342</v>
      </c>
      <c r="J187">
        <v>-1.283803130938419</v>
      </c>
    </row>
    <row r="188" spans="2:10" ht="18" customHeight="1">
      <c r="B188" s="56">
        <v>1.8</v>
      </c>
      <c r="C188" s="56">
        <v>0</v>
      </c>
      <c r="D188" s="107">
        <f t="shared" si="6"/>
        <v>0</v>
      </c>
      <c r="E188" s="107">
        <f t="shared" si="7"/>
        <v>0</v>
      </c>
      <c r="F188" s="107">
        <f t="shared" si="8"/>
        <v>0</v>
      </c>
      <c r="H188">
        <v>-3.9305555496096671</v>
      </c>
      <c r="I188">
        <v>-0.88146427838141084</v>
      </c>
      <c r="J188">
        <v>-12.450714780443811</v>
      </c>
    </row>
    <row r="189" spans="2:10" ht="18" customHeight="1">
      <c r="B189" s="56">
        <v>6.2</v>
      </c>
      <c r="C189" s="56">
        <v>0</v>
      </c>
      <c r="D189" s="107">
        <f t="shared" si="6"/>
        <v>0</v>
      </c>
      <c r="E189" s="107">
        <f t="shared" si="7"/>
        <v>0</v>
      </c>
      <c r="F189" s="107">
        <f t="shared" si="8"/>
        <v>0</v>
      </c>
      <c r="H189">
        <v>-0.6613693891270005</v>
      </c>
      <c r="I189">
        <v>-0.68189955311765138</v>
      </c>
      <c r="J189">
        <v>-1.0270800614953219</v>
      </c>
    </row>
    <row r="190" spans="2:10" ht="18" customHeight="1">
      <c r="B190" s="56">
        <v>9.4</v>
      </c>
      <c r="C190" s="56">
        <v>0</v>
      </c>
      <c r="D190" s="107">
        <f t="shared" si="6"/>
        <v>0</v>
      </c>
      <c r="E190" s="107">
        <f t="shared" si="7"/>
        <v>0</v>
      </c>
      <c r="F190" s="107">
        <f t="shared" si="8"/>
        <v>5.2990975850365079</v>
      </c>
      <c r="H190">
        <v>-4.0403233839068911</v>
      </c>
      <c r="I190">
        <v>-3.7146691535815819</v>
      </c>
      <c r="J190">
        <v>5.2990975850365079</v>
      </c>
    </row>
    <row r="191" spans="2:10" ht="18" customHeight="1">
      <c r="B191" s="56">
        <v>26.6</v>
      </c>
      <c r="C191" s="56">
        <v>0</v>
      </c>
      <c r="D191" s="107">
        <f t="shared" si="6"/>
        <v>19.138987925989621</v>
      </c>
      <c r="E191" s="107">
        <f t="shared" si="7"/>
        <v>8.6455880983033975</v>
      </c>
      <c r="F191" s="107">
        <f t="shared" si="8"/>
        <v>10.8313421168933</v>
      </c>
      <c r="H191">
        <v>19.138987925989621</v>
      </c>
      <c r="I191">
        <v>8.6455880983033975</v>
      </c>
      <c r="J191">
        <v>10.8313421168933</v>
      </c>
    </row>
    <row r="192" spans="2:10" ht="18" customHeight="1">
      <c r="B192" s="56">
        <v>13.6</v>
      </c>
      <c r="C192" s="56">
        <v>0</v>
      </c>
      <c r="D192" s="107">
        <f t="shared" si="6"/>
        <v>17.987953325466481</v>
      </c>
      <c r="E192" s="107">
        <f t="shared" si="7"/>
        <v>0</v>
      </c>
      <c r="F192" s="107">
        <f t="shared" si="8"/>
        <v>17.681679875042011</v>
      </c>
      <c r="H192">
        <v>17.987953325466481</v>
      </c>
      <c r="I192">
        <v>-11.130892485216</v>
      </c>
      <c r="J192">
        <v>17.681679875042011</v>
      </c>
    </row>
    <row r="193" spans="2:10" ht="18" customHeight="1">
      <c r="B193" s="56">
        <v>0</v>
      </c>
      <c r="C193" s="56">
        <v>0.2</v>
      </c>
      <c r="D193" s="107">
        <f t="shared" si="6"/>
        <v>0.51511772559995062</v>
      </c>
      <c r="E193" s="107">
        <f t="shared" si="7"/>
        <v>4.7030000523042821</v>
      </c>
      <c r="F193" s="107">
        <f t="shared" si="8"/>
        <v>4.0897267720080208</v>
      </c>
      <c r="H193">
        <v>0.51511772559995062</v>
      </c>
      <c r="I193">
        <v>4.7030000523042821</v>
      </c>
      <c r="J193">
        <v>4.0897267720080208</v>
      </c>
    </row>
    <row r="194" spans="2:10" ht="18" customHeight="1">
      <c r="B194" s="56">
        <v>0</v>
      </c>
      <c r="C194" s="56">
        <v>0</v>
      </c>
      <c r="D194" s="107">
        <f t="shared" si="6"/>
        <v>0</v>
      </c>
      <c r="E194" s="107">
        <f t="shared" si="7"/>
        <v>0</v>
      </c>
      <c r="F194" s="107">
        <f t="shared" si="8"/>
        <v>4.7267253093901838</v>
      </c>
      <c r="H194">
        <v>-7.7542596103588632</v>
      </c>
      <c r="I194">
        <v>-1.102340220529805</v>
      </c>
      <c r="J194">
        <v>4.7267253093901838</v>
      </c>
    </row>
    <row r="195" spans="2:10" ht="18" customHeight="1">
      <c r="B195" s="56">
        <v>0</v>
      </c>
      <c r="C195" s="56">
        <v>1</v>
      </c>
      <c r="D195" s="107">
        <f t="shared" si="6"/>
        <v>8.027637912175317</v>
      </c>
      <c r="E195" s="107">
        <f t="shared" si="7"/>
        <v>7.1377129528687817</v>
      </c>
      <c r="F195" s="107">
        <f t="shared" si="8"/>
        <v>3.9074163528129122</v>
      </c>
      <c r="H195">
        <v>8.027637912175317</v>
      </c>
      <c r="I195">
        <v>7.1377129528687817</v>
      </c>
      <c r="J195">
        <v>3.9074163528129122</v>
      </c>
    </row>
    <row r="196" spans="2:10" ht="18" customHeight="1">
      <c r="B196" s="56">
        <v>0</v>
      </c>
      <c r="C196" s="56">
        <v>1.2</v>
      </c>
      <c r="D196" s="107">
        <f t="shared" si="6"/>
        <v>8.6467493487655069</v>
      </c>
      <c r="E196" s="107">
        <f t="shared" si="7"/>
        <v>0</v>
      </c>
      <c r="F196" s="107">
        <f t="shared" si="8"/>
        <v>3.656136151250073</v>
      </c>
      <c r="H196">
        <v>8.6467493487655069</v>
      </c>
      <c r="I196">
        <v>-10.96574871019892</v>
      </c>
      <c r="J196">
        <v>3.656136151250073</v>
      </c>
    </row>
    <row r="197" spans="2:10" ht="18" customHeight="1">
      <c r="B197" s="56">
        <v>0</v>
      </c>
      <c r="C197" s="56">
        <v>2.4</v>
      </c>
      <c r="D197" s="107">
        <f t="shared" si="6"/>
        <v>4.4003043147602057</v>
      </c>
      <c r="E197" s="107">
        <f t="shared" si="7"/>
        <v>10.305408961200669</v>
      </c>
      <c r="F197" s="107">
        <f t="shared" si="8"/>
        <v>0</v>
      </c>
      <c r="H197">
        <v>4.4003043147602057</v>
      </c>
      <c r="I197">
        <v>10.305408961200669</v>
      </c>
      <c r="J197">
        <v>-2.1916020227125972</v>
      </c>
    </row>
    <row r="198" spans="2:10" ht="18" customHeight="1">
      <c r="B198" s="56">
        <v>0</v>
      </c>
      <c r="C198" s="56">
        <v>4</v>
      </c>
      <c r="D198" s="107">
        <f t="shared" ref="D198:D261" si="9">IF(H198&lt;0,0,H198)</f>
        <v>0</v>
      </c>
      <c r="E198" s="107">
        <f t="shared" ref="E198:E261" si="10">IF(I198&lt;0,0,I198)</f>
        <v>4.2391606875085692</v>
      </c>
      <c r="F198" s="107">
        <f t="shared" ref="F198:F261" si="11">IF(J198&lt;0,0,J198)</f>
        <v>0</v>
      </c>
      <c r="H198">
        <v>-5.5731622851048437</v>
      </c>
      <c r="I198">
        <v>4.2391606875085692</v>
      </c>
      <c r="J198">
        <v>-7.946869898173647</v>
      </c>
    </row>
    <row r="199" spans="2:10" ht="18" customHeight="1">
      <c r="B199" s="56">
        <v>0</v>
      </c>
      <c r="C199" s="56">
        <v>0</v>
      </c>
      <c r="D199" s="107">
        <f t="shared" si="9"/>
        <v>0</v>
      </c>
      <c r="E199" s="107">
        <f t="shared" si="10"/>
        <v>1.9456376143915739</v>
      </c>
      <c r="F199" s="107">
        <f t="shared" si="11"/>
        <v>0</v>
      </c>
      <c r="H199">
        <v>-10.23629141979084</v>
      </c>
      <c r="I199">
        <v>1.9456376143915739</v>
      </c>
      <c r="J199">
        <v>-9.4519339176833359</v>
      </c>
    </row>
    <row r="200" spans="2:10" ht="18" customHeight="1">
      <c r="B200" s="56">
        <v>0</v>
      </c>
      <c r="C200" s="56">
        <v>0</v>
      </c>
      <c r="D200" s="107">
        <f t="shared" si="9"/>
        <v>5.2763851594688411</v>
      </c>
      <c r="E200" s="107">
        <f t="shared" si="10"/>
        <v>0</v>
      </c>
      <c r="F200" s="107">
        <f t="shared" si="11"/>
        <v>7.3567647148008897</v>
      </c>
      <c r="H200">
        <v>5.2763851594688411</v>
      </c>
      <c r="I200">
        <v>-4.0263739572978992</v>
      </c>
      <c r="J200">
        <v>7.3567647148008897</v>
      </c>
    </row>
    <row r="201" spans="2:10" ht="18" customHeight="1">
      <c r="B201" s="56">
        <v>0</v>
      </c>
      <c r="C201" s="56">
        <v>0</v>
      </c>
      <c r="D201" s="107">
        <f t="shared" si="9"/>
        <v>0</v>
      </c>
      <c r="E201" s="107">
        <f t="shared" si="10"/>
        <v>0</v>
      </c>
      <c r="F201" s="107">
        <f t="shared" si="11"/>
        <v>3.0873999063103681</v>
      </c>
      <c r="H201">
        <v>-10.296923717890779</v>
      </c>
      <c r="I201">
        <v>-14.612870703709691</v>
      </c>
      <c r="J201">
        <v>3.0873999063103681</v>
      </c>
    </row>
    <row r="202" spans="2:10" ht="18" customHeight="1">
      <c r="B202" s="56">
        <v>0</v>
      </c>
      <c r="C202" s="56">
        <v>0</v>
      </c>
      <c r="D202" s="107">
        <f t="shared" si="9"/>
        <v>7.8864495531428664</v>
      </c>
      <c r="E202" s="107">
        <f t="shared" si="10"/>
        <v>0</v>
      </c>
      <c r="F202" s="107">
        <f t="shared" si="11"/>
        <v>15.473327935515441</v>
      </c>
      <c r="H202">
        <v>7.8864495531428664</v>
      </c>
      <c r="I202">
        <v>-6.2442861906255809</v>
      </c>
      <c r="J202">
        <v>15.473327935515441</v>
      </c>
    </row>
    <row r="203" spans="2:10" ht="18" customHeight="1">
      <c r="B203" s="56">
        <v>0</v>
      </c>
      <c r="C203" s="56">
        <v>0</v>
      </c>
      <c r="D203" s="107">
        <f t="shared" si="9"/>
        <v>0</v>
      </c>
      <c r="E203" s="107">
        <f t="shared" si="10"/>
        <v>0</v>
      </c>
      <c r="F203" s="107">
        <f t="shared" si="11"/>
        <v>0</v>
      </c>
      <c r="H203">
        <v>-6.0907467329909366</v>
      </c>
      <c r="I203">
        <v>-2.2051321388802232</v>
      </c>
      <c r="J203">
        <v>-13.06149888814363</v>
      </c>
    </row>
    <row r="204" spans="2:10" ht="18" customHeight="1">
      <c r="B204" s="56">
        <v>37</v>
      </c>
      <c r="C204" s="56">
        <v>0</v>
      </c>
      <c r="D204" s="107">
        <f t="shared" si="9"/>
        <v>33.784142686185938</v>
      </c>
      <c r="E204" s="107">
        <f t="shared" si="10"/>
        <v>6.4318050925619232</v>
      </c>
      <c r="F204" s="107">
        <f t="shared" si="11"/>
        <v>38.864321320337588</v>
      </c>
      <c r="H204">
        <v>33.784142686185938</v>
      </c>
      <c r="I204">
        <v>6.4318050925619232</v>
      </c>
      <c r="J204">
        <v>38.864321320337588</v>
      </c>
    </row>
    <row r="205" spans="2:10" ht="18" customHeight="1">
      <c r="B205" s="56">
        <v>1.8</v>
      </c>
      <c r="C205" s="56">
        <v>0</v>
      </c>
      <c r="D205" s="107">
        <f t="shared" si="9"/>
        <v>0</v>
      </c>
      <c r="E205" s="107">
        <f t="shared" si="10"/>
        <v>5.2379939763497081</v>
      </c>
      <c r="F205" s="107">
        <f t="shared" si="11"/>
        <v>0</v>
      </c>
      <c r="H205">
        <v>-1.9137409520595721</v>
      </c>
      <c r="I205">
        <v>5.2379939763497081</v>
      </c>
      <c r="J205">
        <v>-13.904824826716609</v>
      </c>
    </row>
    <row r="206" spans="2:10" ht="18" customHeight="1">
      <c r="B206" s="56">
        <v>0</v>
      </c>
      <c r="C206" s="56">
        <v>0.6</v>
      </c>
      <c r="D206" s="107">
        <f t="shared" si="9"/>
        <v>0</v>
      </c>
      <c r="E206" s="107">
        <f t="shared" si="10"/>
        <v>5.4013153549871538</v>
      </c>
      <c r="F206" s="107">
        <f t="shared" si="11"/>
        <v>5.8420858744414437</v>
      </c>
      <c r="H206">
        <v>-5.3188612125089962</v>
      </c>
      <c r="I206">
        <v>5.4013153549871538</v>
      </c>
      <c r="J206">
        <v>5.8420858744414437</v>
      </c>
    </row>
    <row r="207" spans="2:10" ht="18" customHeight="1">
      <c r="B207" s="56">
        <v>0</v>
      </c>
      <c r="C207" s="56">
        <v>0</v>
      </c>
      <c r="D207" s="107">
        <f t="shared" si="9"/>
        <v>0</v>
      </c>
      <c r="E207" s="107">
        <f t="shared" si="10"/>
        <v>0</v>
      </c>
      <c r="F207" s="107">
        <f t="shared" si="11"/>
        <v>0</v>
      </c>
      <c r="H207">
        <v>-0.1755234832161556</v>
      </c>
      <c r="I207">
        <v>-12.663950412708729</v>
      </c>
      <c r="J207">
        <v>-11.0641504673348</v>
      </c>
    </row>
    <row r="208" spans="2:10" ht="18" customHeight="1">
      <c r="B208" s="56">
        <v>8</v>
      </c>
      <c r="C208" s="56">
        <v>0</v>
      </c>
      <c r="D208" s="107">
        <f t="shared" si="9"/>
        <v>9.3117783311527713</v>
      </c>
      <c r="E208" s="107">
        <f t="shared" si="10"/>
        <v>4.5878269336278326</v>
      </c>
      <c r="F208" s="107">
        <f t="shared" si="11"/>
        <v>17.561499830477789</v>
      </c>
      <c r="H208">
        <v>9.3117783311527713</v>
      </c>
      <c r="I208">
        <v>4.5878269336278326</v>
      </c>
      <c r="J208">
        <v>17.561499830477789</v>
      </c>
    </row>
    <row r="209" spans="2:10" ht="18" customHeight="1">
      <c r="B209" s="56">
        <v>18.2</v>
      </c>
      <c r="C209" s="56">
        <v>8.4</v>
      </c>
      <c r="D209" s="107">
        <f t="shared" si="9"/>
        <v>18.087278425233681</v>
      </c>
      <c r="E209" s="107">
        <f t="shared" si="10"/>
        <v>0</v>
      </c>
      <c r="F209" s="107">
        <f t="shared" si="11"/>
        <v>15.21416007362858</v>
      </c>
      <c r="H209">
        <v>18.087278425233681</v>
      </c>
      <c r="I209">
        <v>-5.9139188653639643</v>
      </c>
      <c r="J209">
        <v>15.21416007362858</v>
      </c>
    </row>
    <row r="210" spans="2:10" ht="18" customHeight="1">
      <c r="B210" s="56">
        <v>0.6</v>
      </c>
      <c r="C210" s="56">
        <v>4</v>
      </c>
      <c r="D210" s="107">
        <f t="shared" si="9"/>
        <v>0.28398210096881538</v>
      </c>
      <c r="E210" s="107">
        <f t="shared" si="10"/>
        <v>0</v>
      </c>
      <c r="F210" s="107">
        <f t="shared" si="11"/>
        <v>0</v>
      </c>
      <c r="H210">
        <v>0.28398210096881538</v>
      </c>
      <c r="I210">
        <v>-8.237974799830468</v>
      </c>
      <c r="J210">
        <v>-14.06037263669441</v>
      </c>
    </row>
    <row r="211" spans="2:10" ht="18" customHeight="1">
      <c r="B211" s="56">
        <v>0</v>
      </c>
      <c r="C211" s="56">
        <v>4.2</v>
      </c>
      <c r="D211" s="107">
        <f t="shared" si="9"/>
        <v>3.1321841088036648</v>
      </c>
      <c r="E211" s="107">
        <f t="shared" si="10"/>
        <v>11.59381802641801</v>
      </c>
      <c r="F211" s="107">
        <f t="shared" si="11"/>
        <v>0</v>
      </c>
      <c r="H211">
        <v>3.1321841088036648</v>
      </c>
      <c r="I211">
        <v>11.59381802641801</v>
      </c>
      <c r="J211">
        <v>-9.1080815786579805</v>
      </c>
    </row>
    <row r="212" spans="2:10" ht="18" customHeight="1">
      <c r="B212" s="56">
        <v>0</v>
      </c>
      <c r="C212" s="56">
        <v>0</v>
      </c>
      <c r="D212" s="107">
        <f t="shared" si="9"/>
        <v>4.7147449831015296</v>
      </c>
      <c r="E212" s="107">
        <f t="shared" si="10"/>
        <v>0</v>
      </c>
      <c r="F212" s="107">
        <f t="shared" si="11"/>
        <v>0</v>
      </c>
      <c r="H212">
        <v>4.7147449831015296</v>
      </c>
      <c r="I212">
        <v>-9.1083324399780476</v>
      </c>
      <c r="J212">
        <v>-2.326108639094298</v>
      </c>
    </row>
    <row r="213" spans="2:10" ht="18" customHeight="1">
      <c r="B213" s="56">
        <v>0</v>
      </c>
      <c r="C213" s="56">
        <v>0</v>
      </c>
      <c r="D213" s="107">
        <f t="shared" si="9"/>
        <v>0</v>
      </c>
      <c r="E213" s="107">
        <f t="shared" si="10"/>
        <v>0</v>
      </c>
      <c r="F213" s="107">
        <f t="shared" si="11"/>
        <v>0</v>
      </c>
      <c r="H213">
        <v>-13.94500078163624</v>
      </c>
      <c r="I213">
        <v>-0.4585370257988941</v>
      </c>
      <c r="J213">
        <v>-3.3751432001412982</v>
      </c>
    </row>
    <row r="214" spans="2:10" ht="18" customHeight="1">
      <c r="B214" s="56">
        <v>0</v>
      </c>
      <c r="C214" s="56">
        <v>0</v>
      </c>
      <c r="D214" s="107">
        <f t="shared" si="9"/>
        <v>2.9686048771362579</v>
      </c>
      <c r="E214" s="107">
        <f t="shared" si="10"/>
        <v>5.5376522230355114</v>
      </c>
      <c r="F214" s="107">
        <f t="shared" si="11"/>
        <v>6.8806780935646854</v>
      </c>
      <c r="H214">
        <v>2.9686048771362579</v>
      </c>
      <c r="I214">
        <v>5.5376522230355114</v>
      </c>
      <c r="J214">
        <v>6.8806780935646854</v>
      </c>
    </row>
    <row r="215" spans="2:10" ht="18" customHeight="1">
      <c r="B215" s="56">
        <v>0</v>
      </c>
      <c r="C215" s="56">
        <v>0</v>
      </c>
      <c r="D215" s="107">
        <f t="shared" si="9"/>
        <v>0.86206232932190818</v>
      </c>
      <c r="E215" s="107">
        <f t="shared" si="10"/>
        <v>0</v>
      </c>
      <c r="F215" s="107">
        <f t="shared" si="11"/>
        <v>0</v>
      </c>
      <c r="H215">
        <v>0.86206232932190818</v>
      </c>
      <c r="I215">
        <v>-13.71103546562391</v>
      </c>
      <c r="J215">
        <v>-3.979547100001176</v>
      </c>
    </row>
    <row r="216" spans="2:10" ht="18" customHeight="1">
      <c r="B216" s="56">
        <v>0</v>
      </c>
      <c r="C216" s="56">
        <v>0</v>
      </c>
      <c r="D216" s="107">
        <f t="shared" si="9"/>
        <v>8.8659740823676358</v>
      </c>
      <c r="E216" s="107">
        <f t="shared" si="10"/>
        <v>0</v>
      </c>
      <c r="F216" s="107">
        <f t="shared" si="11"/>
        <v>0</v>
      </c>
      <c r="H216">
        <v>8.8659740823676358</v>
      </c>
      <c r="I216">
        <v>-15.270959376636039</v>
      </c>
      <c r="J216">
        <v>-6.674609202707547</v>
      </c>
    </row>
    <row r="217" spans="2:10" ht="18" customHeight="1">
      <c r="B217" s="56">
        <v>0</v>
      </c>
      <c r="C217" s="56">
        <v>0</v>
      </c>
      <c r="D217" s="107">
        <f t="shared" si="9"/>
        <v>3.2715972615182358</v>
      </c>
      <c r="E217" s="107">
        <f t="shared" si="10"/>
        <v>0</v>
      </c>
      <c r="F217" s="107">
        <f t="shared" si="11"/>
        <v>5.2965668327459694</v>
      </c>
      <c r="H217">
        <v>3.2715972615182358</v>
      </c>
      <c r="I217">
        <v>-15.41215143317388</v>
      </c>
      <c r="J217">
        <v>5.2965668327459694</v>
      </c>
    </row>
    <row r="218" spans="2:10" ht="18" customHeight="1">
      <c r="B218" s="56">
        <v>0</v>
      </c>
      <c r="C218" s="56">
        <v>0</v>
      </c>
      <c r="D218" s="107">
        <f t="shared" si="9"/>
        <v>0</v>
      </c>
      <c r="E218" s="107">
        <f t="shared" si="10"/>
        <v>0</v>
      </c>
      <c r="F218" s="107">
        <f t="shared" si="11"/>
        <v>0</v>
      </c>
      <c r="H218">
        <v>-11.336019983409861</v>
      </c>
      <c r="I218">
        <v>-7.7412846167361797</v>
      </c>
      <c r="J218">
        <v>-5.7514292741267656</v>
      </c>
    </row>
    <row r="219" spans="2:10" ht="18" customHeight="1">
      <c r="B219" s="56">
        <v>0</v>
      </c>
      <c r="C219" s="56">
        <v>0</v>
      </c>
      <c r="D219" s="107">
        <f t="shared" si="9"/>
        <v>0.7576350279410532</v>
      </c>
      <c r="E219" s="107">
        <f t="shared" si="10"/>
        <v>0</v>
      </c>
      <c r="F219" s="107">
        <f t="shared" si="11"/>
        <v>0</v>
      </c>
      <c r="H219">
        <v>0.7576350279410532</v>
      </c>
      <c r="I219">
        <v>-0.86728898256506204</v>
      </c>
      <c r="J219">
        <v>-13.613888925245019</v>
      </c>
    </row>
    <row r="220" spans="2:10" ht="18" customHeight="1">
      <c r="B220" s="56">
        <v>0</v>
      </c>
      <c r="C220" s="56">
        <v>0</v>
      </c>
      <c r="D220" s="107">
        <f t="shared" si="9"/>
        <v>0</v>
      </c>
      <c r="E220" s="107">
        <f t="shared" si="10"/>
        <v>0</v>
      </c>
      <c r="F220" s="107">
        <f t="shared" si="11"/>
        <v>0</v>
      </c>
      <c r="H220">
        <v>-13.86841979965013</v>
      </c>
      <c r="I220">
        <v>-11.148573522208601</v>
      </c>
      <c r="J220">
        <v>-1.889098798288005</v>
      </c>
    </row>
    <row r="221" spans="2:10" ht="18" customHeight="1">
      <c r="B221" s="56">
        <v>0</v>
      </c>
      <c r="C221" s="56">
        <v>0</v>
      </c>
      <c r="D221" s="107">
        <f t="shared" si="9"/>
        <v>2.835814413454679</v>
      </c>
      <c r="E221" s="107">
        <f t="shared" si="10"/>
        <v>0</v>
      </c>
      <c r="F221" s="107">
        <f t="shared" si="11"/>
        <v>0</v>
      </c>
      <c r="H221">
        <v>2.835814413454679</v>
      </c>
      <c r="I221">
        <v>-15.41225908253101</v>
      </c>
      <c r="J221">
        <v>-8.1397902828303472</v>
      </c>
    </row>
    <row r="222" spans="2:10" ht="18" customHeight="1">
      <c r="B222" s="56">
        <v>0</v>
      </c>
      <c r="C222" s="56">
        <v>0</v>
      </c>
      <c r="D222" s="107">
        <f t="shared" si="9"/>
        <v>0</v>
      </c>
      <c r="E222" s="107">
        <f t="shared" si="10"/>
        <v>1.0892581427858821</v>
      </c>
      <c r="F222" s="107">
        <f t="shared" si="11"/>
        <v>0</v>
      </c>
      <c r="H222">
        <v>-12.006209839797149</v>
      </c>
      <c r="I222">
        <v>1.0892581427858821</v>
      </c>
      <c r="J222">
        <v>-11.90258307183109</v>
      </c>
    </row>
    <row r="223" spans="2:10" ht="18" customHeight="1">
      <c r="B223" s="56">
        <v>0</v>
      </c>
      <c r="C223" s="56">
        <v>3.2</v>
      </c>
      <c r="D223" s="107">
        <f t="shared" si="9"/>
        <v>0</v>
      </c>
      <c r="E223" s="107">
        <f t="shared" si="10"/>
        <v>2.8489397477872491</v>
      </c>
      <c r="F223" s="107">
        <f t="shared" si="11"/>
        <v>3.468258157787552</v>
      </c>
      <c r="H223">
        <v>-2.5237888756780431</v>
      </c>
      <c r="I223">
        <v>2.8489397477872491</v>
      </c>
      <c r="J223">
        <v>3.468258157787552</v>
      </c>
    </row>
    <row r="224" spans="2:10" ht="18" customHeight="1">
      <c r="B224" s="56">
        <v>0</v>
      </c>
      <c r="C224" s="56">
        <v>14.6</v>
      </c>
      <c r="D224" s="107">
        <f t="shared" si="9"/>
        <v>0</v>
      </c>
      <c r="E224" s="107">
        <f t="shared" si="10"/>
        <v>20.941529847241021</v>
      </c>
      <c r="F224" s="107">
        <f t="shared" si="11"/>
        <v>0</v>
      </c>
      <c r="H224">
        <v>-5.5558451833478966</v>
      </c>
      <c r="I224">
        <v>20.941529847241021</v>
      </c>
      <c r="J224">
        <v>-3.213373595756047</v>
      </c>
    </row>
    <row r="225" spans="2:10" ht="18" customHeight="1">
      <c r="B225" s="56">
        <v>0</v>
      </c>
      <c r="C225" s="56">
        <v>24.4</v>
      </c>
      <c r="D225" s="107">
        <f t="shared" si="9"/>
        <v>0</v>
      </c>
      <c r="E225" s="107">
        <f t="shared" si="10"/>
        <v>22.203807312379901</v>
      </c>
      <c r="F225" s="107">
        <f t="shared" si="11"/>
        <v>0</v>
      </c>
      <c r="H225">
        <v>-12.169952010407799</v>
      </c>
      <c r="I225">
        <v>22.203807312379901</v>
      </c>
      <c r="J225">
        <v>-5.2250951916555097</v>
      </c>
    </row>
    <row r="226" spans="2:10" ht="18" customHeight="1">
      <c r="B226" s="56">
        <v>0</v>
      </c>
      <c r="C226" s="56">
        <v>1.8</v>
      </c>
      <c r="D226" s="107">
        <f t="shared" si="9"/>
        <v>0.73370974915531739</v>
      </c>
      <c r="E226" s="107">
        <f t="shared" si="10"/>
        <v>4.7934587862567124</v>
      </c>
      <c r="F226" s="107">
        <f t="shared" si="11"/>
        <v>0</v>
      </c>
      <c r="H226">
        <v>0.73370974915531739</v>
      </c>
      <c r="I226">
        <v>4.7934587862567124</v>
      </c>
      <c r="J226">
        <v>-3.8533724059112839</v>
      </c>
    </row>
    <row r="227" spans="2:10" ht="18" customHeight="1">
      <c r="B227" s="56">
        <v>0</v>
      </c>
      <c r="C227" s="56">
        <v>0</v>
      </c>
      <c r="D227" s="107">
        <f t="shared" si="9"/>
        <v>0</v>
      </c>
      <c r="E227" s="107">
        <f t="shared" si="10"/>
        <v>0</v>
      </c>
      <c r="F227" s="107">
        <f t="shared" si="11"/>
        <v>0</v>
      </c>
      <c r="H227">
        <v>-11.33059390668075</v>
      </c>
      <c r="I227">
        <v>-15.05543802824573</v>
      </c>
      <c r="J227">
        <v>-12.792184031824741</v>
      </c>
    </row>
    <row r="228" spans="2:10" ht="18" customHeight="1">
      <c r="B228" s="56">
        <v>0</v>
      </c>
      <c r="C228" s="56">
        <v>0</v>
      </c>
      <c r="D228" s="107">
        <f t="shared" si="9"/>
        <v>0</v>
      </c>
      <c r="E228" s="107">
        <f t="shared" si="10"/>
        <v>0</v>
      </c>
      <c r="F228" s="107">
        <f t="shared" si="11"/>
        <v>0</v>
      </c>
      <c r="H228">
        <v>-7.5628881776668431</v>
      </c>
      <c r="I228">
        <v>-10.32156441387343</v>
      </c>
      <c r="J228">
        <v>-2.8018215727611619</v>
      </c>
    </row>
    <row r="229" spans="2:10" ht="18" customHeight="1">
      <c r="B229" s="56">
        <v>0</v>
      </c>
      <c r="C229" s="56">
        <v>0</v>
      </c>
      <c r="D229" s="107">
        <f t="shared" si="9"/>
        <v>0</v>
      </c>
      <c r="E229" s="107">
        <f t="shared" si="10"/>
        <v>0</v>
      </c>
      <c r="F229" s="107">
        <f t="shared" si="11"/>
        <v>3.5672394974326669</v>
      </c>
      <c r="H229">
        <v>-8.4234495641882763</v>
      </c>
      <c r="I229">
        <v>-4.9036183609301869</v>
      </c>
      <c r="J229">
        <v>3.5672394974326669</v>
      </c>
    </row>
    <row r="230" spans="2:10" ht="18" customHeight="1">
      <c r="B230" s="56">
        <v>0</v>
      </c>
      <c r="C230" s="56">
        <v>0</v>
      </c>
      <c r="D230" s="107">
        <f t="shared" si="9"/>
        <v>2.3600983466673551</v>
      </c>
      <c r="E230" s="107">
        <f t="shared" si="10"/>
        <v>0</v>
      </c>
      <c r="F230" s="107">
        <f t="shared" si="11"/>
        <v>0</v>
      </c>
      <c r="H230">
        <v>2.3600983466673551</v>
      </c>
      <c r="I230">
        <v>-14.118286073217201</v>
      </c>
      <c r="J230">
        <v>-8.7072553740688488</v>
      </c>
    </row>
    <row r="231" spans="2:10" ht="18" customHeight="1">
      <c r="B231" s="56">
        <v>0</v>
      </c>
      <c r="C231" s="56">
        <v>0</v>
      </c>
      <c r="D231" s="107">
        <f t="shared" si="9"/>
        <v>0</v>
      </c>
      <c r="E231" s="107">
        <f t="shared" si="10"/>
        <v>8.8051100533797175</v>
      </c>
      <c r="F231" s="107">
        <f t="shared" si="11"/>
        <v>0</v>
      </c>
      <c r="H231">
        <v>-12.41767427637981</v>
      </c>
      <c r="I231">
        <v>8.8051100533797175</v>
      </c>
      <c r="J231">
        <v>-1.2418643436335639</v>
      </c>
    </row>
    <row r="232" spans="2:10" ht="18" customHeight="1">
      <c r="B232" s="56">
        <v>0</v>
      </c>
      <c r="C232" s="56">
        <v>0</v>
      </c>
      <c r="D232" s="107">
        <f t="shared" si="9"/>
        <v>4.4552740276647267</v>
      </c>
      <c r="E232" s="107">
        <f t="shared" si="10"/>
        <v>0</v>
      </c>
      <c r="F232" s="107">
        <f t="shared" si="11"/>
        <v>11.683447130874891</v>
      </c>
      <c r="H232">
        <v>4.4552740276647267</v>
      </c>
      <c r="I232">
        <v>-7.4723953457876888</v>
      </c>
      <c r="J232">
        <v>11.683447130874891</v>
      </c>
    </row>
    <row r="233" spans="2:10" ht="18" customHeight="1">
      <c r="B233" s="56">
        <v>0</v>
      </c>
      <c r="C233" s="56">
        <v>0</v>
      </c>
      <c r="D233" s="107">
        <f t="shared" si="9"/>
        <v>2.9860835682731679</v>
      </c>
      <c r="E233" s="107">
        <f t="shared" si="10"/>
        <v>1.322950104553444</v>
      </c>
      <c r="F233" s="107">
        <f t="shared" si="11"/>
        <v>10.741512553002121</v>
      </c>
      <c r="H233">
        <v>2.9860835682731679</v>
      </c>
      <c r="I233">
        <v>1.322950104553444</v>
      </c>
      <c r="J233">
        <v>10.741512553002121</v>
      </c>
    </row>
    <row r="234" spans="2:10" ht="18" customHeight="1">
      <c r="B234" s="56">
        <v>0</v>
      </c>
      <c r="C234" s="56">
        <v>0</v>
      </c>
      <c r="D234" s="107">
        <f t="shared" si="9"/>
        <v>0</v>
      </c>
      <c r="E234" s="107">
        <f t="shared" si="10"/>
        <v>6.177044315780547</v>
      </c>
      <c r="F234" s="107">
        <f t="shared" si="11"/>
        <v>0</v>
      </c>
      <c r="H234">
        <v>-5.7399599005800468</v>
      </c>
      <c r="I234">
        <v>6.177044315780547</v>
      </c>
      <c r="J234">
        <v>-7.4459274783449771</v>
      </c>
    </row>
    <row r="235" spans="2:10" ht="18" customHeight="1">
      <c r="B235" s="56">
        <v>0</v>
      </c>
      <c r="C235" s="56">
        <v>0</v>
      </c>
      <c r="D235" s="107">
        <f t="shared" si="9"/>
        <v>0</v>
      </c>
      <c r="E235" s="107">
        <f t="shared" si="10"/>
        <v>0</v>
      </c>
      <c r="F235" s="107">
        <f t="shared" si="11"/>
        <v>0</v>
      </c>
      <c r="H235">
        <v>-12.90429681280121</v>
      </c>
      <c r="I235">
        <v>-9.9922337847879739</v>
      </c>
      <c r="J235">
        <v>-11.78373235068511</v>
      </c>
    </row>
    <row r="236" spans="2:10" ht="18" customHeight="1">
      <c r="B236" s="56">
        <v>0</v>
      </c>
      <c r="C236" s="56">
        <v>0</v>
      </c>
      <c r="D236" s="107">
        <f t="shared" si="9"/>
        <v>0</v>
      </c>
      <c r="E236" s="107">
        <f t="shared" si="10"/>
        <v>0</v>
      </c>
      <c r="F236" s="107">
        <f t="shared" si="11"/>
        <v>0</v>
      </c>
      <c r="H236">
        <v>-13.257343745579609</v>
      </c>
      <c r="I236">
        <v>-5.2998671040508123</v>
      </c>
      <c r="J236">
        <v>-14.718925467906191</v>
      </c>
    </row>
    <row r="237" spans="2:10" ht="18" customHeight="1">
      <c r="B237" s="56">
        <v>0</v>
      </c>
      <c r="C237" s="56">
        <v>0</v>
      </c>
      <c r="D237" s="107">
        <f t="shared" si="9"/>
        <v>0</v>
      </c>
      <c r="E237" s="107">
        <f t="shared" si="10"/>
        <v>0.51231073324461418</v>
      </c>
      <c r="F237" s="107">
        <f t="shared" si="11"/>
        <v>0</v>
      </c>
      <c r="H237">
        <v>-0.95977674539008129</v>
      </c>
      <c r="I237">
        <v>0.51231073324461418</v>
      </c>
      <c r="J237">
        <v>-11.160723603226179</v>
      </c>
    </row>
    <row r="238" spans="2:10" ht="18" customHeight="1">
      <c r="B238" s="56">
        <v>0</v>
      </c>
      <c r="C238" s="56">
        <v>0</v>
      </c>
      <c r="D238" s="107">
        <f t="shared" si="9"/>
        <v>0</v>
      </c>
      <c r="E238" s="107">
        <f t="shared" si="10"/>
        <v>3.7943167152236388</v>
      </c>
      <c r="F238" s="107">
        <f t="shared" si="11"/>
        <v>0</v>
      </c>
      <c r="H238">
        <v>-6.5404639098588762</v>
      </c>
      <c r="I238">
        <v>3.7943167152236388</v>
      </c>
      <c r="J238">
        <v>-0.15384694374011851</v>
      </c>
    </row>
    <row r="239" spans="2:10" ht="18" customHeight="1">
      <c r="B239" s="56">
        <v>0</v>
      </c>
      <c r="C239" s="56">
        <v>0</v>
      </c>
      <c r="D239" s="107">
        <f t="shared" si="9"/>
        <v>0</v>
      </c>
      <c r="E239" s="107">
        <f t="shared" si="10"/>
        <v>0</v>
      </c>
      <c r="F239" s="107">
        <f t="shared" si="11"/>
        <v>0</v>
      </c>
      <c r="H239">
        <v>-11.190625779949309</v>
      </c>
      <c r="I239">
        <v>-2.8785089881411241</v>
      </c>
      <c r="J239">
        <v>-8.1632489362933907</v>
      </c>
    </row>
    <row r="240" spans="2:10" ht="18" customHeight="1">
      <c r="B240" s="56">
        <v>0</v>
      </c>
      <c r="C240" s="56">
        <v>0</v>
      </c>
      <c r="D240" s="107">
        <f t="shared" si="9"/>
        <v>2.9015836395651808</v>
      </c>
      <c r="E240" s="107">
        <f t="shared" si="10"/>
        <v>0</v>
      </c>
      <c r="F240" s="107">
        <f t="shared" si="11"/>
        <v>0</v>
      </c>
      <c r="H240">
        <v>2.9015836395651808</v>
      </c>
      <c r="I240">
        <v>-1.482972385315565</v>
      </c>
      <c r="J240">
        <v>-5.9301975728954348</v>
      </c>
    </row>
    <row r="241" spans="2:10" ht="18" customHeight="1">
      <c r="B241" s="56">
        <v>0</v>
      </c>
      <c r="C241" s="56">
        <v>0</v>
      </c>
      <c r="D241" s="107">
        <f t="shared" si="9"/>
        <v>4.9825449423549193</v>
      </c>
      <c r="E241" s="107">
        <f t="shared" si="10"/>
        <v>1.0508185615234591</v>
      </c>
      <c r="F241" s="107">
        <f t="shared" si="11"/>
        <v>7.4984131417249724</v>
      </c>
      <c r="H241">
        <v>4.9825449423549193</v>
      </c>
      <c r="I241">
        <v>1.0508185615234591</v>
      </c>
      <c r="J241">
        <v>7.4984131417249724</v>
      </c>
    </row>
    <row r="242" spans="2:10" ht="18" customHeight="1">
      <c r="B242" s="56">
        <v>0</v>
      </c>
      <c r="C242" s="56">
        <v>0</v>
      </c>
      <c r="D242" s="107">
        <f t="shared" si="9"/>
        <v>4.4219182664104659</v>
      </c>
      <c r="E242" s="107">
        <f t="shared" si="10"/>
        <v>6.7501942340644829</v>
      </c>
      <c r="F242" s="107">
        <f t="shared" si="11"/>
        <v>0</v>
      </c>
      <c r="H242">
        <v>4.4219182664104659</v>
      </c>
      <c r="I242">
        <v>6.7501942340644829</v>
      </c>
      <c r="J242">
        <v>-4.6280040382030512</v>
      </c>
    </row>
    <row r="243" spans="2:10" ht="18" customHeight="1">
      <c r="B243" s="56">
        <v>0</v>
      </c>
      <c r="C243" s="56">
        <v>0</v>
      </c>
      <c r="D243" s="107">
        <f t="shared" si="9"/>
        <v>0</v>
      </c>
      <c r="E243" s="107">
        <f t="shared" si="10"/>
        <v>0</v>
      </c>
      <c r="F243" s="107">
        <f t="shared" si="11"/>
        <v>0</v>
      </c>
      <c r="H243">
        <v>-1.288392456425538</v>
      </c>
      <c r="I243">
        <v>-7.4938206604061612</v>
      </c>
      <c r="J243">
        <v>-5.3616041783084976</v>
      </c>
    </row>
    <row r="244" spans="2:10" ht="18" customHeight="1">
      <c r="B244" s="56">
        <v>0</v>
      </c>
      <c r="C244" s="56">
        <v>2.8</v>
      </c>
      <c r="D244" s="107">
        <f t="shared" si="9"/>
        <v>0</v>
      </c>
      <c r="E244" s="107">
        <f t="shared" si="10"/>
        <v>0</v>
      </c>
      <c r="F244" s="107">
        <f t="shared" si="11"/>
        <v>0</v>
      </c>
      <c r="H244">
        <v>-3.873900308035791</v>
      </c>
      <c r="I244">
        <v>-13.2720434747377</v>
      </c>
      <c r="J244">
        <v>-15.742353020126201</v>
      </c>
    </row>
    <row r="245" spans="2:10" ht="18" customHeight="1">
      <c r="B245" s="56">
        <v>0.4</v>
      </c>
      <c r="C245" s="56">
        <v>10.4</v>
      </c>
      <c r="D245" s="107">
        <f t="shared" si="9"/>
        <v>4.3327475760530936</v>
      </c>
      <c r="E245" s="107">
        <f t="shared" si="10"/>
        <v>8.654958366912993</v>
      </c>
      <c r="F245" s="107">
        <f t="shared" si="11"/>
        <v>6.5767390482456882</v>
      </c>
      <c r="H245">
        <v>4.3327475760530936</v>
      </c>
      <c r="I245">
        <v>8.654958366912993</v>
      </c>
      <c r="J245">
        <v>6.5767390482456882</v>
      </c>
    </row>
    <row r="246" spans="2:10" ht="18" customHeight="1">
      <c r="B246" s="56">
        <v>7.8</v>
      </c>
      <c r="C246" s="56">
        <v>33.4</v>
      </c>
      <c r="D246" s="107">
        <f t="shared" si="9"/>
        <v>6.3076321161604589</v>
      </c>
      <c r="E246" s="107">
        <f t="shared" si="10"/>
        <v>34.17917244084672</v>
      </c>
      <c r="F246" s="107">
        <f t="shared" si="11"/>
        <v>7.5369711479789476</v>
      </c>
      <c r="H246">
        <v>6.3076321161604589</v>
      </c>
      <c r="I246">
        <v>34.17917244084672</v>
      </c>
      <c r="J246">
        <v>7.5369711479789476</v>
      </c>
    </row>
    <row r="247" spans="2:10" ht="18" customHeight="1">
      <c r="B247" s="56">
        <v>3.6</v>
      </c>
      <c r="C247" s="56">
        <v>26</v>
      </c>
      <c r="D247" s="107">
        <f t="shared" si="9"/>
        <v>4.3207838486156387</v>
      </c>
      <c r="E247" s="107">
        <f t="shared" si="10"/>
        <v>26.910610688794399</v>
      </c>
      <c r="F247" s="107">
        <f t="shared" si="11"/>
        <v>11.524079225625529</v>
      </c>
      <c r="H247">
        <v>4.3207838486156387</v>
      </c>
      <c r="I247">
        <v>26.910610688794399</v>
      </c>
      <c r="J247">
        <v>11.524079225625529</v>
      </c>
    </row>
    <row r="248" spans="2:10" ht="18" customHeight="1">
      <c r="B248" s="56">
        <v>10.6</v>
      </c>
      <c r="C248" s="56">
        <v>6</v>
      </c>
      <c r="D248" s="107">
        <f t="shared" si="9"/>
        <v>9.8694558366374459</v>
      </c>
      <c r="E248" s="107">
        <f t="shared" si="10"/>
        <v>0</v>
      </c>
      <c r="F248" s="107">
        <f t="shared" si="11"/>
        <v>13.463419664784929</v>
      </c>
      <c r="H248">
        <v>9.8694558366374459</v>
      </c>
      <c r="I248">
        <v>-7.6473648391766567</v>
      </c>
      <c r="J248">
        <v>13.463419664784929</v>
      </c>
    </row>
    <row r="249" spans="2:10" ht="18" customHeight="1">
      <c r="B249" s="56">
        <v>3.2</v>
      </c>
      <c r="C249" s="56">
        <v>15.8</v>
      </c>
      <c r="D249" s="107">
        <f t="shared" si="9"/>
        <v>0</v>
      </c>
      <c r="E249" s="107">
        <f t="shared" si="10"/>
        <v>14.748474726646259</v>
      </c>
      <c r="F249" s="107">
        <f t="shared" si="11"/>
        <v>0</v>
      </c>
      <c r="H249">
        <v>-10.75841624884713</v>
      </c>
      <c r="I249">
        <v>14.748474726646259</v>
      </c>
      <c r="J249">
        <v>-5.427419713418427</v>
      </c>
    </row>
    <row r="250" spans="2:10" ht="18" customHeight="1">
      <c r="B250" s="56">
        <v>6.2</v>
      </c>
      <c r="C250" s="56">
        <v>0.8</v>
      </c>
      <c r="D250" s="107">
        <f t="shared" si="9"/>
        <v>14.029939583055141</v>
      </c>
      <c r="E250" s="107">
        <f t="shared" si="10"/>
        <v>0</v>
      </c>
      <c r="F250" s="107">
        <f t="shared" si="11"/>
        <v>1.2445157503150259</v>
      </c>
      <c r="H250">
        <v>14.029939583055141</v>
      </c>
      <c r="I250">
        <v>-2.8275793761225332</v>
      </c>
      <c r="J250">
        <v>1.2445157503150259</v>
      </c>
    </row>
    <row r="251" spans="2:10" ht="18" customHeight="1">
      <c r="B251" s="56">
        <v>0</v>
      </c>
      <c r="C251" s="56">
        <v>2.4</v>
      </c>
      <c r="D251" s="107">
        <f t="shared" si="9"/>
        <v>5.4512969877670407</v>
      </c>
      <c r="E251" s="107">
        <f t="shared" si="10"/>
        <v>0</v>
      </c>
      <c r="F251" s="107">
        <f t="shared" si="11"/>
        <v>12.21258444387531</v>
      </c>
      <c r="H251">
        <v>5.4512969877670407</v>
      </c>
      <c r="I251">
        <v>-7.1956421488781306</v>
      </c>
      <c r="J251">
        <v>12.21258444387531</v>
      </c>
    </row>
    <row r="252" spans="2:10" ht="18" customHeight="1">
      <c r="B252" s="56">
        <v>0</v>
      </c>
      <c r="C252" s="56">
        <v>0</v>
      </c>
      <c r="D252" s="107">
        <f t="shared" si="9"/>
        <v>2.429187320138126</v>
      </c>
      <c r="E252" s="107">
        <f t="shared" si="10"/>
        <v>0</v>
      </c>
      <c r="F252" s="107">
        <f t="shared" si="11"/>
        <v>9.5678844692338423</v>
      </c>
      <c r="H252">
        <v>2.429187320138126</v>
      </c>
      <c r="I252">
        <v>-9.7310741968548111</v>
      </c>
      <c r="J252">
        <v>9.5678844692338423</v>
      </c>
    </row>
    <row r="253" spans="2:10" ht="18" customHeight="1">
      <c r="B253" s="56">
        <v>0</v>
      </c>
      <c r="C253" s="56">
        <v>1.6</v>
      </c>
      <c r="D253" s="107">
        <f t="shared" si="9"/>
        <v>2.5883080946005248</v>
      </c>
      <c r="E253" s="107">
        <f t="shared" si="10"/>
        <v>10.0946861644387</v>
      </c>
      <c r="F253" s="107">
        <f t="shared" si="11"/>
        <v>0</v>
      </c>
      <c r="H253">
        <v>2.5883080946005248</v>
      </c>
      <c r="I253">
        <v>10.0946861644387</v>
      </c>
      <c r="J253">
        <v>-8.3881004230201839E-2</v>
      </c>
    </row>
    <row r="254" spans="2:10" ht="18" customHeight="1">
      <c r="B254" s="56">
        <v>0</v>
      </c>
      <c r="C254" s="56">
        <v>0</v>
      </c>
      <c r="D254" s="107">
        <f t="shared" si="9"/>
        <v>0</v>
      </c>
      <c r="E254" s="107">
        <f t="shared" si="10"/>
        <v>0</v>
      </c>
      <c r="F254" s="107">
        <f t="shared" si="11"/>
        <v>0</v>
      </c>
      <c r="H254">
        <v>-3.36154254898875</v>
      </c>
      <c r="I254">
        <v>-0.68962273178737876</v>
      </c>
      <c r="J254">
        <v>-11.58342667936606</v>
      </c>
    </row>
    <row r="255" spans="2:10" ht="18" customHeight="1">
      <c r="B255" s="56">
        <v>0</v>
      </c>
      <c r="C255" s="56">
        <v>29.6</v>
      </c>
      <c r="D255" s="107">
        <f t="shared" si="9"/>
        <v>0</v>
      </c>
      <c r="E255" s="107">
        <f t="shared" si="10"/>
        <v>24.12799259806209</v>
      </c>
      <c r="F255" s="107">
        <f t="shared" si="11"/>
        <v>0</v>
      </c>
      <c r="H255">
        <v>-15.449486778633091</v>
      </c>
      <c r="I255">
        <v>24.12799259806209</v>
      </c>
      <c r="J255">
        <v>-12.353128589477411</v>
      </c>
    </row>
    <row r="256" spans="2:10" ht="18" customHeight="1">
      <c r="B256" s="56">
        <v>0</v>
      </c>
      <c r="C256" s="56">
        <v>13</v>
      </c>
      <c r="D256" s="107">
        <f t="shared" si="9"/>
        <v>6.620244424969016</v>
      </c>
      <c r="E256" s="107">
        <f t="shared" si="10"/>
        <v>15.55952359206173</v>
      </c>
      <c r="F256" s="107">
        <f t="shared" si="11"/>
        <v>0</v>
      </c>
      <c r="H256">
        <v>6.620244424969016</v>
      </c>
      <c r="I256">
        <v>15.55952359206173</v>
      </c>
      <c r="J256">
        <v>-0.61602342134846033</v>
      </c>
    </row>
    <row r="257" spans="2:10" ht="18" customHeight="1">
      <c r="B257" s="56">
        <v>0</v>
      </c>
      <c r="C257" s="56">
        <v>1.4</v>
      </c>
      <c r="D257" s="107">
        <f t="shared" si="9"/>
        <v>3.094093357869335</v>
      </c>
      <c r="E257" s="107">
        <f t="shared" si="10"/>
        <v>0</v>
      </c>
      <c r="F257" s="107">
        <f t="shared" si="11"/>
        <v>2.9974130912292698</v>
      </c>
      <c r="H257">
        <v>3.094093357869335</v>
      </c>
      <c r="I257">
        <v>-2.4560416005580379</v>
      </c>
      <c r="J257">
        <v>2.9974130912292698</v>
      </c>
    </row>
    <row r="258" spans="2:10" ht="18" customHeight="1">
      <c r="B258" s="56">
        <v>0</v>
      </c>
      <c r="C258" s="56">
        <v>0</v>
      </c>
      <c r="D258" s="107">
        <f t="shared" si="9"/>
        <v>0</v>
      </c>
      <c r="E258" s="107">
        <f t="shared" si="10"/>
        <v>3.3634289118816332</v>
      </c>
      <c r="F258" s="107">
        <f t="shared" si="11"/>
        <v>0</v>
      </c>
      <c r="H258">
        <v>-10.934849243363249</v>
      </c>
      <c r="I258">
        <v>3.3634289118816332</v>
      </c>
      <c r="J258">
        <v>-0.19358493244832081</v>
      </c>
    </row>
    <row r="259" spans="2:10" ht="18" customHeight="1">
      <c r="B259" s="56">
        <v>0</v>
      </c>
      <c r="C259" s="56">
        <v>0</v>
      </c>
      <c r="D259" s="107">
        <f t="shared" si="9"/>
        <v>0.47480991709988041</v>
      </c>
      <c r="E259" s="107">
        <f t="shared" si="10"/>
        <v>2.7629269824682501</v>
      </c>
      <c r="F259" s="107">
        <f t="shared" si="11"/>
        <v>0</v>
      </c>
      <c r="H259">
        <v>0.47480991709988041</v>
      </c>
      <c r="I259">
        <v>2.7629269824682501</v>
      </c>
      <c r="J259">
        <v>-4.3467424842155662</v>
      </c>
    </row>
    <row r="260" spans="2:10" ht="18" customHeight="1">
      <c r="B260" s="56">
        <v>0</v>
      </c>
      <c r="C260" s="56">
        <v>0</v>
      </c>
      <c r="D260" s="107">
        <f t="shared" si="9"/>
        <v>0</v>
      </c>
      <c r="E260" s="107">
        <f t="shared" si="10"/>
        <v>0</v>
      </c>
      <c r="F260" s="107">
        <f t="shared" si="11"/>
        <v>0</v>
      </c>
      <c r="H260">
        <v>-6.5904004020364559E-2</v>
      </c>
      <c r="I260">
        <v>-14.326265908092211</v>
      </c>
      <c r="J260">
        <v>-3.9074813508219588</v>
      </c>
    </row>
    <row r="261" spans="2:10" ht="18" customHeight="1">
      <c r="B261" s="56">
        <v>0</v>
      </c>
      <c r="C261" s="56">
        <v>0</v>
      </c>
      <c r="D261" s="107">
        <f t="shared" si="9"/>
        <v>0.91433437880668045</v>
      </c>
      <c r="E261" s="107">
        <f t="shared" si="10"/>
        <v>0</v>
      </c>
      <c r="F261" s="107">
        <f t="shared" si="11"/>
        <v>0</v>
      </c>
      <c r="H261">
        <v>0.91433437880668045</v>
      </c>
      <c r="I261">
        <v>-1.4583739547982699</v>
      </c>
      <c r="J261">
        <v>-7.6421014565907104</v>
      </c>
    </row>
    <row r="262" spans="2:10" ht="18" customHeight="1">
      <c r="B262" s="56">
        <v>0</v>
      </c>
      <c r="C262" s="56">
        <v>0</v>
      </c>
      <c r="D262" s="107">
        <f t="shared" ref="D262:D325" si="12">IF(H262&lt;0,0,H262)</f>
        <v>0</v>
      </c>
      <c r="E262" s="107">
        <f t="shared" ref="E262:E325" si="13">IF(I262&lt;0,0,I262)</f>
        <v>0</v>
      </c>
      <c r="F262" s="107">
        <f t="shared" ref="F262:F325" si="14">IF(J262&lt;0,0,J262)</f>
        <v>1.482282350600445</v>
      </c>
      <c r="H262">
        <v>-5.7179238730667219</v>
      </c>
      <c r="I262">
        <v>-15.425890586578589</v>
      </c>
      <c r="J262">
        <v>1.482282350600445</v>
      </c>
    </row>
    <row r="263" spans="2:10" ht="18" customHeight="1">
      <c r="B263" s="56">
        <v>0</v>
      </c>
      <c r="C263" s="56">
        <v>2</v>
      </c>
      <c r="D263" s="107">
        <f t="shared" si="12"/>
        <v>0</v>
      </c>
      <c r="E263" s="107">
        <f t="shared" si="13"/>
        <v>5.1576384751275164</v>
      </c>
      <c r="F263" s="107">
        <f t="shared" si="14"/>
        <v>0</v>
      </c>
      <c r="H263">
        <v>-3.336714183481496</v>
      </c>
      <c r="I263">
        <v>5.1576384751275164</v>
      </c>
      <c r="J263">
        <v>-2.2119268261388298</v>
      </c>
    </row>
    <row r="264" spans="2:10" ht="18" customHeight="1">
      <c r="B264" s="56">
        <v>0</v>
      </c>
      <c r="C264" s="56">
        <v>4</v>
      </c>
      <c r="D264" s="107">
        <f t="shared" si="12"/>
        <v>0</v>
      </c>
      <c r="E264" s="107">
        <f t="shared" si="13"/>
        <v>0</v>
      </c>
      <c r="F264" s="107">
        <f t="shared" si="14"/>
        <v>1.11952415044724</v>
      </c>
      <c r="H264">
        <v>-9.343078631381097</v>
      </c>
      <c r="I264">
        <v>-11.99499736663855</v>
      </c>
      <c r="J264">
        <v>1.11952415044724</v>
      </c>
    </row>
    <row r="265" spans="2:10" ht="18" customHeight="1">
      <c r="B265" s="56">
        <v>0</v>
      </c>
      <c r="C265" s="56">
        <v>2.8</v>
      </c>
      <c r="D265" s="107">
        <f t="shared" si="12"/>
        <v>7.8057738625077784</v>
      </c>
      <c r="E265" s="107">
        <f t="shared" si="13"/>
        <v>11.19222689894986</v>
      </c>
      <c r="F265" s="107">
        <f t="shared" si="14"/>
        <v>14.45505855041656</v>
      </c>
      <c r="H265">
        <v>7.8057738625077784</v>
      </c>
      <c r="I265">
        <v>11.19222689894986</v>
      </c>
      <c r="J265">
        <v>14.45505855041656</v>
      </c>
    </row>
    <row r="266" spans="2:10" ht="18" customHeight="1">
      <c r="B266" s="56">
        <v>26.4</v>
      </c>
      <c r="C266" s="56">
        <v>46.4</v>
      </c>
      <c r="D266" s="107">
        <f t="shared" si="12"/>
        <v>24.94383670035613</v>
      </c>
      <c r="E266" s="107">
        <f t="shared" si="13"/>
        <v>32.225022871876099</v>
      </c>
      <c r="F266" s="107">
        <f t="shared" si="14"/>
        <v>12.84029901802465</v>
      </c>
      <c r="H266">
        <v>24.94383670035613</v>
      </c>
      <c r="I266">
        <v>32.225022871876099</v>
      </c>
      <c r="J266">
        <v>12.84029901802465</v>
      </c>
    </row>
    <row r="267" spans="2:10" ht="18" customHeight="1">
      <c r="B267" s="56">
        <v>0.4</v>
      </c>
      <c r="C267" s="56">
        <v>86.8</v>
      </c>
      <c r="D267" s="107">
        <f t="shared" si="12"/>
        <v>0</v>
      </c>
      <c r="E267" s="107">
        <f t="shared" si="13"/>
        <v>86.401595506179717</v>
      </c>
      <c r="F267" s="107">
        <f t="shared" si="14"/>
        <v>0</v>
      </c>
      <c r="H267">
        <v>-12.433247393526701</v>
      </c>
      <c r="I267">
        <v>86.401595506179717</v>
      </c>
      <c r="J267">
        <v>-5.4845560257051336</v>
      </c>
    </row>
    <row r="268" spans="2:10" ht="18" customHeight="1">
      <c r="B268" s="56">
        <v>0</v>
      </c>
      <c r="C268" s="56">
        <v>1.4</v>
      </c>
      <c r="D268" s="107">
        <f t="shared" si="12"/>
        <v>5.6695904690224843</v>
      </c>
      <c r="E268" s="107">
        <f t="shared" si="13"/>
        <v>5.0363658434855729</v>
      </c>
      <c r="F268" s="107">
        <f t="shared" si="14"/>
        <v>4.3235213169617817</v>
      </c>
      <c r="H268">
        <v>5.6695904690224843</v>
      </c>
      <c r="I268">
        <v>5.0363658434855729</v>
      </c>
      <c r="J268">
        <v>4.3235213169617817</v>
      </c>
    </row>
    <row r="269" spans="2:10" ht="18" customHeight="1">
      <c r="B269" s="56">
        <v>2</v>
      </c>
      <c r="C269" s="56">
        <v>4.2</v>
      </c>
      <c r="D269" s="107">
        <f t="shared" si="12"/>
        <v>0.89482428576142903</v>
      </c>
      <c r="E269" s="107">
        <f t="shared" si="13"/>
        <v>2.5139614809171529</v>
      </c>
      <c r="F269" s="107">
        <f t="shared" si="14"/>
        <v>0</v>
      </c>
      <c r="H269">
        <v>0.89482428576142903</v>
      </c>
      <c r="I269">
        <v>2.5139614809171529</v>
      </c>
      <c r="J269">
        <v>-2.297290839434929E-2</v>
      </c>
    </row>
    <row r="270" spans="2:10" ht="18" customHeight="1">
      <c r="B270" s="56">
        <v>12.4</v>
      </c>
      <c r="C270" s="56">
        <v>39.799999999999997</v>
      </c>
      <c r="D270" s="107">
        <f t="shared" si="12"/>
        <v>7.5208386851468774</v>
      </c>
      <c r="E270" s="107">
        <f t="shared" si="13"/>
        <v>30.967639006573769</v>
      </c>
      <c r="F270" s="107">
        <f t="shared" si="14"/>
        <v>0</v>
      </c>
      <c r="H270">
        <v>7.5208386851468774</v>
      </c>
      <c r="I270">
        <v>30.967639006573769</v>
      </c>
      <c r="J270">
        <v>-5.9790399551470346</v>
      </c>
    </row>
    <row r="271" spans="2:10" ht="18" customHeight="1">
      <c r="B271" s="56">
        <v>29.4</v>
      </c>
      <c r="C271" s="56">
        <v>29.8</v>
      </c>
      <c r="D271" s="107">
        <f t="shared" si="12"/>
        <v>31.661196500275739</v>
      </c>
      <c r="E271" s="107">
        <f t="shared" si="13"/>
        <v>17.695860764209069</v>
      </c>
      <c r="F271" s="107">
        <f t="shared" si="14"/>
        <v>32.041234139405461</v>
      </c>
      <c r="H271">
        <v>31.661196500275739</v>
      </c>
      <c r="I271">
        <v>17.695860764209069</v>
      </c>
      <c r="J271">
        <v>32.041234139405461</v>
      </c>
    </row>
    <row r="272" spans="2:10" ht="18" customHeight="1">
      <c r="B272" s="56">
        <v>1.6</v>
      </c>
      <c r="C272" s="56">
        <v>11.8</v>
      </c>
      <c r="D272" s="107">
        <f t="shared" si="12"/>
        <v>0</v>
      </c>
      <c r="E272" s="107">
        <f t="shared" si="13"/>
        <v>4.522624501174703</v>
      </c>
      <c r="F272" s="107">
        <f t="shared" si="14"/>
        <v>0</v>
      </c>
      <c r="H272">
        <v>-10.532637248718521</v>
      </c>
      <c r="I272">
        <v>4.522624501174703</v>
      </c>
      <c r="J272">
        <v>-13.228044397573891</v>
      </c>
    </row>
    <row r="273" spans="2:10" ht="18" customHeight="1">
      <c r="B273" s="56">
        <v>0.6</v>
      </c>
      <c r="C273" s="56">
        <v>1.6</v>
      </c>
      <c r="D273" s="107">
        <f t="shared" si="12"/>
        <v>0</v>
      </c>
      <c r="E273" s="107">
        <f t="shared" si="13"/>
        <v>2.9650649460679981</v>
      </c>
      <c r="F273" s="107">
        <f t="shared" si="14"/>
        <v>0</v>
      </c>
      <c r="H273">
        <v>-10.58562152339902</v>
      </c>
      <c r="I273">
        <v>2.9650649460679981</v>
      </c>
      <c r="J273">
        <v>-3.7677291570998608</v>
      </c>
    </row>
    <row r="274" spans="2:10" ht="18" customHeight="1">
      <c r="B274" s="56">
        <v>8.1999999999999993</v>
      </c>
      <c r="C274" s="56">
        <v>0</v>
      </c>
      <c r="D274" s="107">
        <f t="shared" si="12"/>
        <v>0</v>
      </c>
      <c r="E274" s="107">
        <f t="shared" si="13"/>
        <v>0</v>
      </c>
      <c r="F274" s="107">
        <f t="shared" si="14"/>
        <v>0</v>
      </c>
      <c r="H274">
        <v>-3.032067410334335</v>
      </c>
      <c r="I274">
        <v>-1.9929236040208991</v>
      </c>
      <c r="J274">
        <v>-13.08223311243365</v>
      </c>
    </row>
    <row r="275" spans="2:10" ht="18" customHeight="1">
      <c r="B275" s="56">
        <v>0</v>
      </c>
      <c r="C275" s="56">
        <v>0</v>
      </c>
      <c r="D275" s="107">
        <f t="shared" si="12"/>
        <v>0</v>
      </c>
      <c r="E275" s="107">
        <f t="shared" si="13"/>
        <v>0</v>
      </c>
      <c r="F275" s="107">
        <f t="shared" si="14"/>
        <v>7.3308876485754544</v>
      </c>
      <c r="H275">
        <v>-9.5263331572149426</v>
      </c>
      <c r="I275">
        <v>-6.3374215677397121</v>
      </c>
      <c r="J275">
        <v>7.3308876485754544</v>
      </c>
    </row>
    <row r="276" spans="2:10" ht="18" customHeight="1">
      <c r="B276" s="56">
        <v>12.4</v>
      </c>
      <c r="C276" s="56">
        <v>0</v>
      </c>
      <c r="D276" s="107">
        <f t="shared" si="12"/>
        <v>12.13466843630165</v>
      </c>
      <c r="E276" s="107">
        <f t="shared" si="13"/>
        <v>0</v>
      </c>
      <c r="F276" s="107">
        <f t="shared" si="14"/>
        <v>10.44412898225905</v>
      </c>
      <c r="H276">
        <v>12.13466843630165</v>
      </c>
      <c r="I276">
        <v>-9.7902686359229776</v>
      </c>
      <c r="J276">
        <v>10.44412898225905</v>
      </c>
    </row>
    <row r="277" spans="2:10" ht="18" customHeight="1">
      <c r="B277" s="56">
        <v>5.6</v>
      </c>
      <c r="C277" s="56">
        <v>0</v>
      </c>
      <c r="D277" s="107">
        <f t="shared" si="12"/>
        <v>0</v>
      </c>
      <c r="E277" s="107">
        <f t="shared" si="13"/>
        <v>0</v>
      </c>
      <c r="F277" s="107">
        <f t="shared" si="14"/>
        <v>5.0920513175797186</v>
      </c>
      <c r="H277">
        <v>-9.4090267628126938</v>
      </c>
      <c r="I277">
        <v>-11.461885549939391</v>
      </c>
      <c r="J277">
        <v>5.0920513175797186</v>
      </c>
    </row>
    <row r="278" spans="2:10" ht="18" customHeight="1">
      <c r="B278" s="56">
        <v>0</v>
      </c>
      <c r="C278" s="56">
        <v>0</v>
      </c>
      <c r="D278" s="107">
        <f t="shared" si="12"/>
        <v>0</v>
      </c>
      <c r="E278" s="107">
        <f t="shared" si="13"/>
        <v>0</v>
      </c>
      <c r="F278" s="107">
        <f t="shared" si="14"/>
        <v>0</v>
      </c>
      <c r="H278">
        <v>-12.106648291020131</v>
      </c>
      <c r="I278">
        <v>-13.196734651385681</v>
      </c>
      <c r="J278">
        <v>-1.051092938041337</v>
      </c>
    </row>
    <row r="279" spans="2:10" ht="18" customHeight="1">
      <c r="B279" s="56">
        <v>0</v>
      </c>
      <c r="C279" s="56">
        <v>0</v>
      </c>
      <c r="D279" s="107">
        <f t="shared" si="12"/>
        <v>0</v>
      </c>
      <c r="E279" s="107">
        <f t="shared" si="13"/>
        <v>0</v>
      </c>
      <c r="F279" s="107">
        <f t="shared" si="14"/>
        <v>3.777233764670338</v>
      </c>
      <c r="H279">
        <v>-6.8873156394029724</v>
      </c>
      <c r="I279">
        <v>-2.7247233897405958</v>
      </c>
      <c r="J279">
        <v>3.777233764670338</v>
      </c>
    </row>
    <row r="280" spans="2:10" ht="18" customHeight="1">
      <c r="B280" s="56">
        <v>0</v>
      </c>
      <c r="C280" s="56">
        <v>0</v>
      </c>
      <c r="D280" s="107">
        <f t="shared" si="12"/>
        <v>0</v>
      </c>
      <c r="E280" s="107">
        <f t="shared" si="13"/>
        <v>0.56524156791371016</v>
      </c>
      <c r="F280" s="107">
        <f t="shared" si="14"/>
        <v>0</v>
      </c>
      <c r="H280">
        <v>-7.8385680951883154</v>
      </c>
      <c r="I280">
        <v>0.56524156791371016</v>
      </c>
      <c r="J280">
        <v>-9.0217920797146611</v>
      </c>
    </row>
    <row r="281" spans="2:10" ht="18" customHeight="1">
      <c r="B281" s="56">
        <v>57.8</v>
      </c>
      <c r="C281" s="56">
        <v>0</v>
      </c>
      <c r="D281" s="107">
        <f t="shared" si="12"/>
        <v>57.271028309601732</v>
      </c>
      <c r="E281" s="107">
        <f t="shared" si="13"/>
        <v>0</v>
      </c>
      <c r="F281" s="107">
        <f t="shared" si="14"/>
        <v>61.84892432791203</v>
      </c>
      <c r="H281">
        <v>57.271028309601732</v>
      </c>
      <c r="I281">
        <v>-1.850590762889931</v>
      </c>
      <c r="J281">
        <v>61.84892432791203</v>
      </c>
    </row>
    <row r="282" spans="2:10" ht="18" customHeight="1">
      <c r="B282" s="56">
        <v>6</v>
      </c>
      <c r="C282" s="56">
        <v>0</v>
      </c>
      <c r="D282" s="107">
        <f t="shared" si="12"/>
        <v>3.905888011513762</v>
      </c>
      <c r="E282" s="107">
        <f t="shared" si="13"/>
        <v>7.90091612712461</v>
      </c>
      <c r="F282" s="107">
        <f t="shared" si="14"/>
        <v>0</v>
      </c>
      <c r="H282">
        <v>3.905888011513762</v>
      </c>
      <c r="I282">
        <v>7.90091612712461</v>
      </c>
      <c r="J282">
        <v>-4.6255647986472974</v>
      </c>
    </row>
    <row r="283" spans="2:10" ht="18" customHeight="1">
      <c r="B283" s="56">
        <v>9.1999999999999993</v>
      </c>
      <c r="C283" s="56">
        <v>0</v>
      </c>
      <c r="D283" s="107">
        <f t="shared" si="12"/>
        <v>10.70522063499816</v>
      </c>
      <c r="E283" s="107">
        <f t="shared" si="13"/>
        <v>8.5355277375396472</v>
      </c>
      <c r="F283" s="107">
        <f t="shared" si="14"/>
        <v>10.99506195715761</v>
      </c>
      <c r="H283">
        <v>10.70522063499816</v>
      </c>
      <c r="I283">
        <v>8.5355277375396472</v>
      </c>
      <c r="J283">
        <v>10.99506195715761</v>
      </c>
    </row>
    <row r="284" spans="2:10" ht="18" customHeight="1">
      <c r="B284" s="56">
        <v>0.4</v>
      </c>
      <c r="C284" s="56">
        <v>4</v>
      </c>
      <c r="D284" s="107">
        <f t="shared" si="12"/>
        <v>6.981293647703346</v>
      </c>
      <c r="E284" s="107">
        <f t="shared" si="13"/>
        <v>0</v>
      </c>
      <c r="F284" s="107">
        <f t="shared" si="14"/>
        <v>0</v>
      </c>
      <c r="H284">
        <v>6.981293647703346</v>
      </c>
      <c r="I284">
        <v>-0.97026054328353606</v>
      </c>
      <c r="J284">
        <v>-5.9796613875074476</v>
      </c>
    </row>
    <row r="285" spans="2:10" ht="18" customHeight="1">
      <c r="B285" s="56">
        <v>0</v>
      </c>
      <c r="C285" s="56">
        <v>15.6</v>
      </c>
      <c r="D285" s="107">
        <f t="shared" si="12"/>
        <v>0</v>
      </c>
      <c r="E285" s="107">
        <f t="shared" si="13"/>
        <v>9.6917359606014948</v>
      </c>
      <c r="F285" s="107">
        <f t="shared" si="14"/>
        <v>6.0199663029142512</v>
      </c>
      <c r="H285">
        <v>-14.852575130012969</v>
      </c>
      <c r="I285">
        <v>9.6917359606014948</v>
      </c>
      <c r="J285">
        <v>6.0199663029142512</v>
      </c>
    </row>
    <row r="286" spans="2:10" ht="18" customHeight="1">
      <c r="B286" s="56">
        <v>1.4</v>
      </c>
      <c r="C286" s="56">
        <v>9.1999999999999993</v>
      </c>
      <c r="D286" s="107">
        <f t="shared" si="12"/>
        <v>0</v>
      </c>
      <c r="E286" s="107">
        <f t="shared" si="13"/>
        <v>0</v>
      </c>
      <c r="F286" s="107">
        <f t="shared" si="14"/>
        <v>0</v>
      </c>
      <c r="H286">
        <v>-3.6935105055504249</v>
      </c>
      <c r="I286">
        <v>-3.465357291247015</v>
      </c>
      <c r="J286">
        <v>-12.3653325508352</v>
      </c>
    </row>
    <row r="287" spans="2:10" ht="18" customHeight="1">
      <c r="B287" s="56">
        <v>1.8</v>
      </c>
      <c r="C287" s="56">
        <v>26.4</v>
      </c>
      <c r="D287" s="107">
        <f t="shared" si="12"/>
        <v>10.22488605797728</v>
      </c>
      <c r="E287" s="107">
        <f t="shared" si="13"/>
        <v>33.39412414575574</v>
      </c>
      <c r="F287" s="107">
        <f t="shared" si="14"/>
        <v>12.726930732992891</v>
      </c>
      <c r="H287">
        <v>10.22488605797728</v>
      </c>
      <c r="I287">
        <v>33.39412414575574</v>
      </c>
      <c r="J287">
        <v>12.726930732992891</v>
      </c>
    </row>
    <row r="288" spans="2:10" ht="18" customHeight="1">
      <c r="B288" s="56">
        <v>17.8</v>
      </c>
      <c r="C288" s="56">
        <v>27</v>
      </c>
      <c r="D288" s="107">
        <f t="shared" si="12"/>
        <v>6.1773100276831592</v>
      </c>
      <c r="E288" s="107">
        <f t="shared" si="13"/>
        <v>24.18719532776154</v>
      </c>
      <c r="F288" s="107">
        <f t="shared" si="14"/>
        <v>3.8175679562622058</v>
      </c>
      <c r="H288">
        <v>6.1773100276831592</v>
      </c>
      <c r="I288">
        <v>24.18719532776154</v>
      </c>
      <c r="J288">
        <v>3.8175679562622058</v>
      </c>
    </row>
    <row r="289" spans="2:10" ht="18" customHeight="1">
      <c r="B289" s="56">
        <v>15.4</v>
      </c>
      <c r="C289" s="56">
        <v>37.6</v>
      </c>
      <c r="D289" s="107">
        <f t="shared" si="12"/>
        <v>11.24783280653322</v>
      </c>
      <c r="E289" s="107">
        <f t="shared" si="13"/>
        <v>24.276411868135838</v>
      </c>
      <c r="F289" s="107">
        <f t="shared" si="14"/>
        <v>3.9617285764640751</v>
      </c>
      <c r="H289">
        <v>11.24783280653322</v>
      </c>
      <c r="I289">
        <v>24.276411868135838</v>
      </c>
      <c r="J289">
        <v>3.9617285764640751</v>
      </c>
    </row>
    <row r="290" spans="2:10" ht="18" customHeight="1">
      <c r="B290" s="56">
        <v>33</v>
      </c>
      <c r="C290" s="56">
        <v>0.8</v>
      </c>
      <c r="D290" s="107">
        <f t="shared" si="12"/>
        <v>19.180090888017631</v>
      </c>
      <c r="E290" s="107">
        <f t="shared" si="13"/>
        <v>0</v>
      </c>
      <c r="F290" s="107">
        <f t="shared" si="14"/>
        <v>11.698750972614411</v>
      </c>
      <c r="H290">
        <v>19.180090888017631</v>
      </c>
      <c r="I290">
        <v>-9.8351994612516584</v>
      </c>
      <c r="J290">
        <v>11.698750972614411</v>
      </c>
    </row>
    <row r="291" spans="2:10" ht="18" customHeight="1">
      <c r="B291" s="56">
        <v>31.4</v>
      </c>
      <c r="C291" s="56">
        <v>0.6</v>
      </c>
      <c r="D291" s="107">
        <f t="shared" si="12"/>
        <v>19.317776531342322</v>
      </c>
      <c r="E291" s="107">
        <f t="shared" si="13"/>
        <v>0</v>
      </c>
      <c r="F291" s="107">
        <f t="shared" si="14"/>
        <v>9.82128925830553</v>
      </c>
      <c r="H291">
        <v>19.317776531342322</v>
      </c>
      <c r="I291">
        <v>-8.4793248097015006</v>
      </c>
      <c r="J291">
        <v>9.82128925830553</v>
      </c>
    </row>
    <row r="292" spans="2:10" ht="18" customHeight="1">
      <c r="B292" s="56">
        <v>28.4</v>
      </c>
      <c r="C292" s="56">
        <v>0</v>
      </c>
      <c r="D292" s="107">
        <f t="shared" si="12"/>
        <v>20.623917675514949</v>
      </c>
      <c r="E292" s="107">
        <f t="shared" si="13"/>
        <v>0</v>
      </c>
      <c r="F292" s="107">
        <f t="shared" si="14"/>
        <v>20.79586910044538</v>
      </c>
      <c r="H292">
        <v>20.623917675514949</v>
      </c>
      <c r="I292">
        <v>-8.0510167091114031</v>
      </c>
      <c r="J292">
        <v>20.79586910044538</v>
      </c>
    </row>
    <row r="293" spans="2:10" ht="18" customHeight="1">
      <c r="B293" s="56">
        <v>6.4</v>
      </c>
      <c r="C293" s="56">
        <v>0</v>
      </c>
      <c r="D293" s="107">
        <f t="shared" si="12"/>
        <v>0.25233931889578359</v>
      </c>
      <c r="E293" s="107">
        <f t="shared" si="13"/>
        <v>8.1854719421897251</v>
      </c>
      <c r="F293" s="107">
        <f t="shared" si="14"/>
        <v>4.4849971191183142</v>
      </c>
      <c r="H293">
        <v>0.25233931889578359</v>
      </c>
      <c r="I293">
        <v>8.1854719421897251</v>
      </c>
      <c r="J293">
        <v>4.4849971191183142</v>
      </c>
    </row>
    <row r="294" spans="2:10" ht="18" customHeight="1">
      <c r="B294" s="56">
        <v>17.2</v>
      </c>
      <c r="C294" s="56">
        <v>14.2</v>
      </c>
      <c r="D294" s="107">
        <f t="shared" si="12"/>
        <v>25.785861214023761</v>
      </c>
      <c r="E294" s="107">
        <f t="shared" si="13"/>
        <v>15.355663312967501</v>
      </c>
      <c r="F294" s="107">
        <f t="shared" si="14"/>
        <v>22.815862990053809</v>
      </c>
      <c r="H294">
        <v>25.785861214023761</v>
      </c>
      <c r="I294">
        <v>15.355663312967501</v>
      </c>
      <c r="J294">
        <v>22.815862990053809</v>
      </c>
    </row>
    <row r="295" spans="2:10" ht="18" customHeight="1">
      <c r="B295" s="56">
        <v>27</v>
      </c>
      <c r="C295" s="56">
        <v>6.4</v>
      </c>
      <c r="D295" s="107">
        <f t="shared" si="12"/>
        <v>34.431863512687073</v>
      </c>
      <c r="E295" s="107">
        <f t="shared" si="13"/>
        <v>11.988100032207919</v>
      </c>
      <c r="F295" s="107">
        <f t="shared" si="14"/>
        <v>39.347599647077438</v>
      </c>
      <c r="H295">
        <v>34.431863512687073</v>
      </c>
      <c r="I295">
        <v>11.988100032207919</v>
      </c>
      <c r="J295">
        <v>39.347599647077438</v>
      </c>
    </row>
    <row r="296" spans="2:10" ht="18" customHeight="1">
      <c r="B296" s="56">
        <v>16.8</v>
      </c>
      <c r="C296" s="56">
        <v>23.4</v>
      </c>
      <c r="D296" s="107">
        <f t="shared" si="12"/>
        <v>5.3071554757610269</v>
      </c>
      <c r="E296" s="107">
        <f t="shared" si="13"/>
        <v>13.37464963259405</v>
      </c>
      <c r="F296" s="107">
        <f t="shared" si="14"/>
        <v>0</v>
      </c>
      <c r="H296">
        <v>5.3071554757610269</v>
      </c>
      <c r="I296">
        <v>13.37464963259405</v>
      </c>
      <c r="J296">
        <v>-7.3299240072897369</v>
      </c>
    </row>
    <row r="297" spans="2:10" ht="18" customHeight="1">
      <c r="B297" s="56">
        <v>46.2</v>
      </c>
      <c r="C297" s="56">
        <v>0.6</v>
      </c>
      <c r="D297" s="107">
        <f t="shared" si="12"/>
        <v>33.056024029599968</v>
      </c>
      <c r="E297" s="107">
        <f t="shared" si="13"/>
        <v>0</v>
      </c>
      <c r="F297" s="107">
        <f t="shared" si="14"/>
        <v>23.000854513072841</v>
      </c>
      <c r="H297">
        <v>33.056024029599968</v>
      </c>
      <c r="I297">
        <v>-4.2214300282771129</v>
      </c>
      <c r="J297">
        <v>23.000854513072841</v>
      </c>
    </row>
    <row r="298" spans="2:10" ht="18" customHeight="1">
      <c r="B298" s="56">
        <v>10.8</v>
      </c>
      <c r="C298" s="56">
        <v>10.199999999999999</v>
      </c>
      <c r="D298" s="107">
        <f t="shared" si="12"/>
        <v>0</v>
      </c>
      <c r="E298" s="107">
        <f t="shared" si="13"/>
        <v>0</v>
      </c>
      <c r="F298" s="107">
        <f t="shared" si="14"/>
        <v>8.8097917567816033</v>
      </c>
      <c r="H298">
        <v>-1.852097344081072</v>
      </c>
      <c r="I298">
        <v>-2.336379779473134</v>
      </c>
      <c r="J298">
        <v>8.8097917567816033</v>
      </c>
    </row>
    <row r="299" spans="2:10" ht="18" customHeight="1">
      <c r="B299" s="56">
        <v>40.200000000000003</v>
      </c>
      <c r="C299" s="56">
        <v>4</v>
      </c>
      <c r="D299" s="107">
        <f t="shared" si="12"/>
        <v>25.639275511958619</v>
      </c>
      <c r="E299" s="107">
        <f t="shared" si="13"/>
        <v>7.6887445345628072</v>
      </c>
      <c r="F299" s="107">
        <f t="shared" si="14"/>
        <v>26.37861673238211</v>
      </c>
      <c r="H299">
        <v>25.639275511958619</v>
      </c>
      <c r="I299">
        <v>7.6887445345628072</v>
      </c>
      <c r="J299">
        <v>26.37861673238211</v>
      </c>
    </row>
    <row r="300" spans="2:10" ht="18" customHeight="1">
      <c r="B300" s="56">
        <v>21.4</v>
      </c>
      <c r="C300" s="56">
        <v>9.8000000000000007</v>
      </c>
      <c r="D300" s="107">
        <f t="shared" si="12"/>
        <v>12.863240657882629</v>
      </c>
      <c r="E300" s="107">
        <f t="shared" si="13"/>
        <v>5.279964908326221</v>
      </c>
      <c r="F300" s="107">
        <f t="shared" si="14"/>
        <v>1.1691757338816109</v>
      </c>
      <c r="H300">
        <v>12.863240657882629</v>
      </c>
      <c r="I300">
        <v>5.279964908326221</v>
      </c>
      <c r="J300">
        <v>1.1691757338816109</v>
      </c>
    </row>
    <row r="301" spans="2:10" ht="18" customHeight="1">
      <c r="B301" s="56">
        <v>9.4</v>
      </c>
      <c r="C301" s="56">
        <v>0</v>
      </c>
      <c r="D301" s="107">
        <f t="shared" si="12"/>
        <v>3.0021623728589049</v>
      </c>
      <c r="E301" s="107">
        <f t="shared" si="13"/>
        <v>0</v>
      </c>
      <c r="F301" s="107">
        <f t="shared" si="14"/>
        <v>0</v>
      </c>
      <c r="H301">
        <v>3.0021623728589049</v>
      </c>
      <c r="I301">
        <v>-14.345721476032139</v>
      </c>
      <c r="J301">
        <v>-2.505338750089781</v>
      </c>
    </row>
    <row r="302" spans="2:10" ht="18" customHeight="1">
      <c r="B302" s="56">
        <v>1.6</v>
      </c>
      <c r="C302" s="56">
        <v>5.8</v>
      </c>
      <c r="D302" s="107">
        <f t="shared" si="12"/>
        <v>9.7371320310444442</v>
      </c>
      <c r="E302" s="107">
        <f t="shared" si="13"/>
        <v>0</v>
      </c>
      <c r="F302" s="107">
        <f t="shared" si="14"/>
        <v>13.12265816284782</v>
      </c>
      <c r="H302">
        <v>9.7371320310444442</v>
      </c>
      <c r="I302">
        <v>-7.8224005335191089</v>
      </c>
      <c r="J302">
        <v>13.12265816284782</v>
      </c>
    </row>
    <row r="303" spans="2:10" ht="18" customHeight="1">
      <c r="B303" s="56">
        <v>21.8</v>
      </c>
      <c r="C303" s="56">
        <v>4</v>
      </c>
      <c r="D303" s="107">
        <f t="shared" si="12"/>
        <v>25.42193981104235</v>
      </c>
      <c r="E303" s="107">
        <f t="shared" si="13"/>
        <v>0</v>
      </c>
      <c r="F303" s="107">
        <f t="shared" si="14"/>
        <v>15.1996736055074</v>
      </c>
      <c r="H303">
        <v>25.42193981104235</v>
      </c>
      <c r="I303">
        <v>-4.7862360071650354</v>
      </c>
      <c r="J303">
        <v>15.1996736055074</v>
      </c>
    </row>
    <row r="304" spans="2:10" ht="18" customHeight="1">
      <c r="B304" s="56">
        <v>2.4</v>
      </c>
      <c r="C304" s="56">
        <v>0</v>
      </c>
      <c r="D304" s="107">
        <f t="shared" si="12"/>
        <v>0</v>
      </c>
      <c r="E304" s="107">
        <f t="shared" si="13"/>
        <v>4.3861266966091081</v>
      </c>
      <c r="F304" s="107">
        <f t="shared" si="14"/>
        <v>3.5191015881776231</v>
      </c>
      <c r="H304">
        <v>-6.4008914894505544</v>
      </c>
      <c r="I304">
        <v>4.3861266966091081</v>
      </c>
      <c r="J304">
        <v>3.5191015881776231</v>
      </c>
    </row>
    <row r="305" spans="2:10" ht="18" customHeight="1">
      <c r="B305" s="56">
        <v>33.6</v>
      </c>
      <c r="C305" s="56">
        <v>6.8</v>
      </c>
      <c r="D305" s="107">
        <f t="shared" si="12"/>
        <v>27.26898712574139</v>
      </c>
      <c r="E305" s="107">
        <f t="shared" si="13"/>
        <v>2.9256591761870698</v>
      </c>
      <c r="F305" s="107">
        <f t="shared" si="14"/>
        <v>33.222278645941827</v>
      </c>
      <c r="H305">
        <v>27.26898712574139</v>
      </c>
      <c r="I305">
        <v>2.9256591761870698</v>
      </c>
      <c r="J305">
        <v>33.222278645941827</v>
      </c>
    </row>
    <row r="306" spans="2:10" ht="18" customHeight="1">
      <c r="B306" s="56">
        <v>24.4</v>
      </c>
      <c r="C306" s="56">
        <v>39</v>
      </c>
      <c r="D306" s="107">
        <f t="shared" si="12"/>
        <v>17.008183522933891</v>
      </c>
      <c r="E306" s="107">
        <f t="shared" si="13"/>
        <v>35.027959429832258</v>
      </c>
      <c r="F306" s="107">
        <f t="shared" si="14"/>
        <v>4.5961257303148297</v>
      </c>
      <c r="H306">
        <v>17.008183522933891</v>
      </c>
      <c r="I306">
        <v>35.027959429832258</v>
      </c>
      <c r="J306">
        <v>4.5961257303148297</v>
      </c>
    </row>
    <row r="307" spans="2:10" ht="18" customHeight="1">
      <c r="B307" s="56">
        <v>7</v>
      </c>
      <c r="C307" s="56">
        <v>40.6</v>
      </c>
      <c r="D307" s="107">
        <f t="shared" si="12"/>
        <v>0.20935220665582671</v>
      </c>
      <c r="E307" s="107">
        <f t="shared" si="13"/>
        <v>42.978133587563093</v>
      </c>
      <c r="F307" s="107">
        <f t="shared" si="14"/>
        <v>0</v>
      </c>
      <c r="H307">
        <v>0.20935220665582671</v>
      </c>
      <c r="I307">
        <v>42.978133587563093</v>
      </c>
      <c r="J307">
        <v>-14.187872981436239</v>
      </c>
    </row>
    <row r="308" spans="2:10" ht="18" customHeight="1">
      <c r="B308" s="56">
        <v>9</v>
      </c>
      <c r="C308" s="56">
        <v>35.4</v>
      </c>
      <c r="D308" s="107">
        <f t="shared" si="12"/>
        <v>2.9842641493875939</v>
      </c>
      <c r="E308" s="107">
        <f t="shared" si="13"/>
        <v>21.26499241710227</v>
      </c>
      <c r="F308" s="107">
        <f t="shared" si="14"/>
        <v>10.581730693907261</v>
      </c>
      <c r="H308">
        <v>2.9842641493875939</v>
      </c>
      <c r="I308">
        <v>21.26499241710227</v>
      </c>
      <c r="J308">
        <v>10.581730693907261</v>
      </c>
    </row>
    <row r="309" spans="2:10" ht="18" customHeight="1">
      <c r="B309" s="56">
        <v>15</v>
      </c>
      <c r="C309" s="56">
        <v>21.2</v>
      </c>
      <c r="D309" s="107">
        <f t="shared" si="12"/>
        <v>15.14794937239914</v>
      </c>
      <c r="E309" s="107">
        <f t="shared" si="13"/>
        <v>26.133053006156739</v>
      </c>
      <c r="F309" s="107">
        <f t="shared" si="14"/>
        <v>20.77288304496853</v>
      </c>
      <c r="H309">
        <v>15.14794937239914</v>
      </c>
      <c r="I309">
        <v>26.133053006156739</v>
      </c>
      <c r="J309">
        <v>20.77288304496853</v>
      </c>
    </row>
    <row r="310" spans="2:10" ht="18" customHeight="1">
      <c r="B310" s="56">
        <v>6.4</v>
      </c>
      <c r="C310" s="56">
        <v>1.2</v>
      </c>
      <c r="D310" s="107">
        <f t="shared" si="12"/>
        <v>0</v>
      </c>
      <c r="E310" s="107">
        <f t="shared" si="13"/>
        <v>6.0930305539015146</v>
      </c>
      <c r="F310" s="107">
        <f t="shared" si="14"/>
        <v>2.0239785030201158</v>
      </c>
      <c r="H310">
        <v>-1.965087374960961</v>
      </c>
      <c r="I310">
        <v>6.0930305539015146</v>
      </c>
      <c r="J310">
        <v>2.0239785030201158</v>
      </c>
    </row>
    <row r="311" spans="2:10" ht="18" customHeight="1">
      <c r="B311" s="56">
        <v>37.6</v>
      </c>
      <c r="C311" s="56">
        <v>0</v>
      </c>
      <c r="D311" s="107">
        <f t="shared" si="12"/>
        <v>28.548077818676511</v>
      </c>
      <c r="E311" s="107">
        <f t="shared" si="13"/>
        <v>0</v>
      </c>
      <c r="F311" s="107">
        <f t="shared" si="14"/>
        <v>34.173457926060301</v>
      </c>
      <c r="H311">
        <v>28.548077818676511</v>
      </c>
      <c r="I311">
        <v>-11.63593565915647</v>
      </c>
      <c r="J311">
        <v>34.173457926060301</v>
      </c>
    </row>
    <row r="312" spans="2:10" ht="18" customHeight="1">
      <c r="B312" s="56">
        <v>35.200000000000003</v>
      </c>
      <c r="C312" s="56">
        <v>0</v>
      </c>
      <c r="D312" s="107">
        <f t="shared" si="12"/>
        <v>23.790133422107331</v>
      </c>
      <c r="E312" s="107">
        <f t="shared" si="13"/>
        <v>0</v>
      </c>
      <c r="F312" s="107">
        <f t="shared" si="14"/>
        <v>20.60927288167743</v>
      </c>
      <c r="H312">
        <v>23.790133422107331</v>
      </c>
      <c r="I312">
        <v>-10.473436547127569</v>
      </c>
      <c r="J312">
        <v>20.60927288167743</v>
      </c>
    </row>
    <row r="313" spans="2:10" ht="18" customHeight="1">
      <c r="B313" s="56">
        <v>9</v>
      </c>
      <c r="C313" s="56">
        <v>3.4</v>
      </c>
      <c r="D313" s="107">
        <f t="shared" si="12"/>
        <v>14.404536558805111</v>
      </c>
      <c r="E313" s="107">
        <f t="shared" si="13"/>
        <v>0</v>
      </c>
      <c r="F313" s="107">
        <f t="shared" si="14"/>
        <v>4.2764987817855404</v>
      </c>
      <c r="H313">
        <v>14.404536558805111</v>
      </c>
      <c r="I313">
        <v>-5.3138978952576661</v>
      </c>
      <c r="J313">
        <v>4.2764987817855404</v>
      </c>
    </row>
    <row r="314" spans="2:10" ht="18" customHeight="1">
      <c r="B314" s="56">
        <v>4.4000000000000004</v>
      </c>
      <c r="C314" s="56">
        <v>6</v>
      </c>
      <c r="D314" s="107">
        <f t="shared" si="12"/>
        <v>0</v>
      </c>
      <c r="E314" s="107">
        <f t="shared" si="13"/>
        <v>11.92536055087913</v>
      </c>
      <c r="F314" s="107">
        <f t="shared" si="14"/>
        <v>2.0125309983912349</v>
      </c>
      <c r="H314">
        <v>-8.5815601630963503</v>
      </c>
      <c r="I314">
        <v>11.92536055087913</v>
      </c>
      <c r="J314">
        <v>2.0125309983912349</v>
      </c>
    </row>
    <row r="315" spans="2:10" ht="18" customHeight="1">
      <c r="B315" s="56">
        <v>20.2</v>
      </c>
      <c r="C315" s="56">
        <v>44.2</v>
      </c>
      <c r="D315" s="107">
        <f t="shared" si="12"/>
        <v>24.22142641092201</v>
      </c>
      <c r="E315" s="107">
        <f t="shared" si="13"/>
        <v>35.4970888609665</v>
      </c>
      <c r="F315" s="107">
        <f t="shared" si="14"/>
        <v>23.662114932081749</v>
      </c>
      <c r="H315">
        <v>24.22142641092201</v>
      </c>
      <c r="I315">
        <v>35.4970888609665</v>
      </c>
      <c r="J315">
        <v>23.662114932081749</v>
      </c>
    </row>
    <row r="316" spans="2:10" ht="18" customHeight="1">
      <c r="B316" s="56">
        <v>1.4</v>
      </c>
      <c r="C316" s="56">
        <v>2.2000000000000002</v>
      </c>
      <c r="D316" s="107">
        <f t="shared" si="12"/>
        <v>0</v>
      </c>
      <c r="E316" s="107">
        <f t="shared" si="13"/>
        <v>0.11936335498474809</v>
      </c>
      <c r="F316" s="107">
        <f t="shared" si="14"/>
        <v>0</v>
      </c>
      <c r="H316">
        <v>-14.15856583922721</v>
      </c>
      <c r="I316">
        <v>0.11936335498474809</v>
      </c>
      <c r="J316">
        <v>-14.83619786833826</v>
      </c>
    </row>
    <row r="317" spans="2:10" ht="18" customHeight="1">
      <c r="B317" s="56">
        <v>34</v>
      </c>
      <c r="C317" s="56">
        <v>1.6</v>
      </c>
      <c r="D317" s="107">
        <f t="shared" si="12"/>
        <v>37.088206556705323</v>
      </c>
      <c r="E317" s="107">
        <f t="shared" si="13"/>
        <v>0</v>
      </c>
      <c r="F317" s="107">
        <f t="shared" si="14"/>
        <v>25.16297244732311</v>
      </c>
      <c r="H317">
        <v>37.088206556705323</v>
      </c>
      <c r="I317">
        <v>-7.8827836381113396</v>
      </c>
      <c r="J317">
        <v>25.16297244732311</v>
      </c>
    </row>
    <row r="318" spans="2:10" ht="18" customHeight="1">
      <c r="B318" s="56">
        <v>0</v>
      </c>
      <c r="C318" s="56">
        <v>0</v>
      </c>
      <c r="D318" s="107">
        <f t="shared" si="12"/>
        <v>0</v>
      </c>
      <c r="E318" s="107">
        <f t="shared" si="13"/>
        <v>1.8470116989219629</v>
      </c>
      <c r="F318" s="107">
        <f t="shared" si="14"/>
        <v>0</v>
      </c>
      <c r="H318">
        <v>-15.327750256641099</v>
      </c>
      <c r="I318">
        <v>1.8470116989219629</v>
      </c>
      <c r="J318">
        <v>-10.4242104170758</v>
      </c>
    </row>
    <row r="319" spans="2:10" ht="18" customHeight="1">
      <c r="B319" s="56">
        <v>0</v>
      </c>
      <c r="C319" s="56">
        <v>20.5</v>
      </c>
      <c r="D319" s="107">
        <f t="shared" si="12"/>
        <v>0</v>
      </c>
      <c r="E319" s="107">
        <f t="shared" si="13"/>
        <v>5.2483371967893113</v>
      </c>
      <c r="F319" s="107">
        <f t="shared" si="14"/>
        <v>1.316104171511379</v>
      </c>
      <c r="H319">
        <v>-2.791792462662388</v>
      </c>
      <c r="I319">
        <v>5.2483371967893113</v>
      </c>
      <c r="J319">
        <v>1.316104171511379</v>
      </c>
    </row>
    <row r="320" spans="2:10" ht="18" customHeight="1">
      <c r="B320" s="56">
        <v>0</v>
      </c>
      <c r="C320" s="56">
        <v>18.8</v>
      </c>
      <c r="D320" s="107">
        <f t="shared" si="12"/>
        <v>0</v>
      </c>
      <c r="E320" s="107">
        <f t="shared" si="13"/>
        <v>24.71935872010507</v>
      </c>
      <c r="F320" s="107">
        <f t="shared" si="14"/>
        <v>0</v>
      </c>
      <c r="H320">
        <v>-13.07180024547629</v>
      </c>
      <c r="I320">
        <v>24.71935872010507</v>
      </c>
      <c r="J320">
        <v>-13.167098324701129</v>
      </c>
    </row>
    <row r="321" spans="2:10" ht="18" customHeight="1">
      <c r="B321" s="56">
        <v>0</v>
      </c>
      <c r="C321" s="56">
        <v>59</v>
      </c>
      <c r="D321" s="107">
        <f t="shared" si="12"/>
        <v>0</v>
      </c>
      <c r="E321" s="107">
        <f t="shared" si="13"/>
        <v>57.785980978030437</v>
      </c>
      <c r="F321" s="107">
        <f t="shared" si="14"/>
        <v>7.0701536771848872</v>
      </c>
      <c r="H321">
        <v>-6.3563847261820623</v>
      </c>
      <c r="I321">
        <v>57.785980978030437</v>
      </c>
      <c r="J321">
        <v>7.0701536771848872</v>
      </c>
    </row>
    <row r="322" spans="2:10" ht="18" customHeight="1">
      <c r="B322" s="56">
        <v>0</v>
      </c>
      <c r="C322" s="56">
        <v>11.4</v>
      </c>
      <c r="D322" s="107">
        <f t="shared" si="12"/>
        <v>6.6503738992266364</v>
      </c>
      <c r="E322" s="107">
        <f t="shared" si="13"/>
        <v>0</v>
      </c>
      <c r="F322" s="107">
        <f t="shared" si="14"/>
        <v>6.3046557217674639</v>
      </c>
      <c r="H322">
        <v>6.6503738992266364</v>
      </c>
      <c r="I322">
        <v>-0.31354944553208602</v>
      </c>
      <c r="J322">
        <v>6.3046557217674639</v>
      </c>
    </row>
    <row r="323" spans="2:10" ht="18" customHeight="1">
      <c r="B323" s="56">
        <v>0</v>
      </c>
      <c r="C323" s="56">
        <v>0.6</v>
      </c>
      <c r="D323" s="107">
        <f t="shared" si="12"/>
        <v>0</v>
      </c>
      <c r="E323" s="107">
        <f t="shared" si="13"/>
        <v>0</v>
      </c>
      <c r="F323" s="107">
        <f t="shared" si="14"/>
        <v>0</v>
      </c>
      <c r="H323">
        <v>-3.3068986303083112</v>
      </c>
      <c r="I323">
        <v>-2.8402921219835182</v>
      </c>
      <c r="J323">
        <v>-15.92869255634634</v>
      </c>
    </row>
    <row r="324" spans="2:10" ht="18" customHeight="1">
      <c r="B324" s="56">
        <v>0</v>
      </c>
      <c r="C324" s="56">
        <v>6</v>
      </c>
      <c r="D324" s="107">
        <f t="shared" si="12"/>
        <v>0</v>
      </c>
      <c r="E324" s="107">
        <f t="shared" si="13"/>
        <v>10.51240475251489</v>
      </c>
      <c r="F324" s="107">
        <f t="shared" si="14"/>
        <v>5.94699478706627</v>
      </c>
      <c r="H324">
        <v>-12.59313295930402</v>
      </c>
      <c r="I324">
        <v>10.51240475251489</v>
      </c>
      <c r="J324">
        <v>5.94699478706627</v>
      </c>
    </row>
    <row r="325" spans="2:10" ht="18" customHeight="1">
      <c r="B325" s="56">
        <v>0</v>
      </c>
      <c r="C325" s="56">
        <v>55.4</v>
      </c>
      <c r="D325" s="107">
        <f t="shared" si="12"/>
        <v>0</v>
      </c>
      <c r="E325" s="107">
        <f t="shared" si="13"/>
        <v>63.540441262873117</v>
      </c>
      <c r="F325" s="107">
        <f t="shared" si="14"/>
        <v>0.31029179118458589</v>
      </c>
      <c r="H325">
        <v>-7.3487050993264296</v>
      </c>
      <c r="I325">
        <v>63.540441262873117</v>
      </c>
      <c r="J325">
        <v>0.31029179118458589</v>
      </c>
    </row>
    <row r="326" spans="2:10" ht="18" customHeight="1">
      <c r="B326" s="56">
        <v>0</v>
      </c>
      <c r="C326" s="56">
        <v>6.2</v>
      </c>
      <c r="D326" s="107">
        <f t="shared" ref="D326:D370" si="15">IF(H326&lt;0,0,H326)</f>
        <v>0</v>
      </c>
      <c r="E326" s="107">
        <f t="shared" ref="E326:E370" si="16">IF(I326&lt;0,0,I326)</f>
        <v>6.800521669008786</v>
      </c>
      <c r="F326" s="107">
        <f t="shared" ref="F326:F370" si="17">IF(J326&lt;0,0,J326)</f>
        <v>0</v>
      </c>
      <c r="H326">
        <v>-12.60056133153526</v>
      </c>
      <c r="I326">
        <v>6.800521669008786</v>
      </c>
      <c r="J326">
        <v>-13.82309862450874</v>
      </c>
    </row>
    <row r="327" spans="2:10" ht="18" customHeight="1">
      <c r="B327" s="56">
        <v>0</v>
      </c>
      <c r="C327" s="56">
        <v>0</v>
      </c>
      <c r="D327" s="107">
        <f t="shared" si="15"/>
        <v>0</v>
      </c>
      <c r="E327" s="107">
        <f t="shared" si="16"/>
        <v>0</v>
      </c>
      <c r="F327" s="107">
        <f t="shared" si="17"/>
        <v>0</v>
      </c>
      <c r="H327">
        <v>-3.9396619003162798</v>
      </c>
      <c r="I327">
        <v>-8.3925502103663945</v>
      </c>
      <c r="J327">
        <v>-1.0124645599384421</v>
      </c>
    </row>
    <row r="328" spans="2:10" ht="18" customHeight="1">
      <c r="B328" s="56">
        <v>3.4</v>
      </c>
      <c r="C328" s="56">
        <v>0</v>
      </c>
      <c r="D328" s="107">
        <f t="shared" si="15"/>
        <v>3.0751546597289008</v>
      </c>
      <c r="E328" s="107">
        <f t="shared" si="16"/>
        <v>1.091127820638232</v>
      </c>
      <c r="F328" s="107">
        <f t="shared" si="17"/>
        <v>0</v>
      </c>
      <c r="H328">
        <v>3.0751546597289008</v>
      </c>
      <c r="I328">
        <v>1.091127820638232</v>
      </c>
      <c r="J328">
        <v>-9.7390418794632367</v>
      </c>
    </row>
    <row r="329" spans="2:10" ht="18" customHeight="1">
      <c r="B329" s="56">
        <v>29.4</v>
      </c>
      <c r="C329" s="56">
        <v>0</v>
      </c>
      <c r="D329" s="107">
        <f t="shared" si="15"/>
        <v>37.813387231233072</v>
      </c>
      <c r="E329" s="107">
        <f t="shared" si="16"/>
        <v>6.8354424511851333</v>
      </c>
      <c r="F329" s="107">
        <f t="shared" si="17"/>
        <v>24.7634586780107</v>
      </c>
      <c r="H329">
        <v>37.813387231233072</v>
      </c>
      <c r="I329">
        <v>6.8354424511851333</v>
      </c>
      <c r="J329">
        <v>24.7634586780107</v>
      </c>
    </row>
    <row r="330" spans="2:10" ht="18" customHeight="1">
      <c r="B330" s="56">
        <v>32.799999999999997</v>
      </c>
      <c r="C330" s="56">
        <v>0</v>
      </c>
      <c r="D330" s="107">
        <f t="shared" si="15"/>
        <v>21.54694122773957</v>
      </c>
      <c r="E330" s="107">
        <f t="shared" si="16"/>
        <v>5.8631792324196628</v>
      </c>
      <c r="F330" s="107">
        <f t="shared" si="17"/>
        <v>16.672545306597371</v>
      </c>
      <c r="H330">
        <v>21.54694122773957</v>
      </c>
      <c r="I330">
        <v>5.8631792324196628</v>
      </c>
      <c r="J330">
        <v>16.672545306597371</v>
      </c>
    </row>
    <row r="331" spans="2:10" ht="18" customHeight="1">
      <c r="B331" s="56">
        <v>25.6</v>
      </c>
      <c r="C331" s="56">
        <v>0</v>
      </c>
      <c r="D331" s="107">
        <f t="shared" si="15"/>
        <v>32.173090632684023</v>
      </c>
      <c r="E331" s="107">
        <f t="shared" si="16"/>
        <v>0</v>
      </c>
      <c r="F331" s="107">
        <f t="shared" si="17"/>
        <v>36.199959692309527</v>
      </c>
      <c r="H331">
        <v>32.173090632684023</v>
      </c>
      <c r="I331">
        <v>-13.897818443842009</v>
      </c>
      <c r="J331">
        <v>36.199959692309527</v>
      </c>
    </row>
    <row r="332" spans="2:10" ht="18" customHeight="1">
      <c r="B332" s="56">
        <v>15.2</v>
      </c>
      <c r="C332" s="56">
        <v>0</v>
      </c>
      <c r="D332" s="107">
        <f t="shared" si="15"/>
        <v>20.973188289402451</v>
      </c>
      <c r="E332" s="107">
        <f t="shared" si="16"/>
        <v>0</v>
      </c>
      <c r="F332" s="107">
        <f t="shared" si="17"/>
        <v>10.26551411855981</v>
      </c>
      <c r="H332">
        <v>20.973188289402451</v>
      </c>
      <c r="I332">
        <v>-6.2791584821918294</v>
      </c>
      <c r="J332">
        <v>10.26551411855981</v>
      </c>
    </row>
    <row r="333" spans="2:10" ht="18" customHeight="1">
      <c r="B333" s="56">
        <v>60.6</v>
      </c>
      <c r="C333" s="56">
        <v>0</v>
      </c>
      <c r="D333" s="107">
        <f t="shared" si="15"/>
        <v>69.285146465934247</v>
      </c>
      <c r="E333" s="107">
        <f t="shared" si="16"/>
        <v>0</v>
      </c>
      <c r="F333" s="107">
        <f t="shared" si="17"/>
        <v>56.075766219482873</v>
      </c>
      <c r="H333">
        <v>69.285146465934247</v>
      </c>
      <c r="I333">
        <v>-7.6672070589340588</v>
      </c>
      <c r="J333">
        <v>56.075766219482873</v>
      </c>
    </row>
    <row r="334" spans="2:10" ht="18" customHeight="1">
      <c r="B334" s="56">
        <v>15</v>
      </c>
      <c r="C334" s="56">
        <v>0</v>
      </c>
      <c r="D334" s="107">
        <f t="shared" si="15"/>
        <v>15.47768166001535</v>
      </c>
      <c r="E334" s="107">
        <f t="shared" si="16"/>
        <v>0</v>
      </c>
      <c r="F334" s="107">
        <f t="shared" si="17"/>
        <v>10.183940116268801</v>
      </c>
      <c r="H334">
        <v>15.47768166001535</v>
      </c>
      <c r="I334">
        <v>-2.3354925067500698</v>
      </c>
      <c r="J334">
        <v>10.183940116268801</v>
      </c>
    </row>
    <row r="335" spans="2:10" ht="18" customHeight="1">
      <c r="B335" s="56">
        <v>43</v>
      </c>
      <c r="C335" s="56">
        <v>0</v>
      </c>
      <c r="D335" s="107">
        <f t="shared" si="15"/>
        <v>39.069879343856307</v>
      </c>
      <c r="E335" s="107">
        <f t="shared" si="16"/>
        <v>0</v>
      </c>
      <c r="F335" s="107">
        <f t="shared" si="17"/>
        <v>41.205817098154718</v>
      </c>
      <c r="H335">
        <v>39.069879343856307</v>
      </c>
      <c r="I335">
        <v>-0.57193711129260583</v>
      </c>
      <c r="J335">
        <v>41.205817098154718</v>
      </c>
    </row>
    <row r="336" spans="2:10" ht="18" customHeight="1">
      <c r="B336" s="56">
        <v>15</v>
      </c>
      <c r="C336" s="56">
        <v>0</v>
      </c>
      <c r="D336" s="107">
        <f t="shared" si="15"/>
        <v>5.5436903221985787</v>
      </c>
      <c r="E336" s="107">
        <f t="shared" si="16"/>
        <v>5.8432456472967693E-2</v>
      </c>
      <c r="F336" s="107">
        <f t="shared" si="17"/>
        <v>0</v>
      </c>
      <c r="H336">
        <v>5.5436903221985787</v>
      </c>
      <c r="I336">
        <v>5.8432456472967693E-2</v>
      </c>
      <c r="J336">
        <v>-1.0835909946872599</v>
      </c>
    </row>
    <row r="337" spans="2:10" ht="18" customHeight="1">
      <c r="B337" s="56">
        <v>0</v>
      </c>
      <c r="C337" s="56">
        <v>0</v>
      </c>
      <c r="D337" s="107">
        <f t="shared" si="15"/>
        <v>0</v>
      </c>
      <c r="E337" s="107">
        <f t="shared" si="16"/>
        <v>0</v>
      </c>
      <c r="F337" s="107">
        <f t="shared" si="17"/>
        <v>8.0855174459395336</v>
      </c>
      <c r="H337">
        <v>-7.0429244916137641</v>
      </c>
      <c r="I337">
        <v>-7.0509473072965179</v>
      </c>
      <c r="J337">
        <v>8.0855174459395336</v>
      </c>
    </row>
    <row r="338" spans="2:10" ht="18" customHeight="1">
      <c r="B338" s="56">
        <v>0</v>
      </c>
      <c r="C338" s="56">
        <v>0</v>
      </c>
      <c r="D338" s="107">
        <f t="shared" si="15"/>
        <v>2.6488125689752731</v>
      </c>
      <c r="E338" s="107">
        <f t="shared" si="16"/>
        <v>3.0333747737238381</v>
      </c>
      <c r="F338" s="107">
        <f t="shared" si="17"/>
        <v>1.739528221846173</v>
      </c>
      <c r="H338">
        <v>2.6488125689752731</v>
      </c>
      <c r="I338">
        <v>3.0333747737238381</v>
      </c>
      <c r="J338">
        <v>1.739528221846173</v>
      </c>
    </row>
    <row r="339" spans="2:10" ht="18" customHeight="1">
      <c r="B339" s="56">
        <v>0</v>
      </c>
      <c r="C339" s="56">
        <v>13</v>
      </c>
      <c r="D339" s="107">
        <f t="shared" si="15"/>
        <v>0</v>
      </c>
      <c r="E339" s="107">
        <f t="shared" si="16"/>
        <v>12.759812768278641</v>
      </c>
      <c r="F339" s="107">
        <f t="shared" si="17"/>
        <v>0</v>
      </c>
      <c r="H339">
        <v>-4.5245763615807011</v>
      </c>
      <c r="I339">
        <v>12.759812768278641</v>
      </c>
      <c r="J339">
        <v>-3.0979063107148819</v>
      </c>
    </row>
    <row r="340" spans="2:10" ht="18" customHeight="1">
      <c r="B340" s="56">
        <v>0</v>
      </c>
      <c r="C340" s="56">
        <v>34.6</v>
      </c>
      <c r="D340" s="107">
        <f t="shared" si="15"/>
        <v>0</v>
      </c>
      <c r="E340" s="107">
        <f t="shared" si="16"/>
        <v>39.689250636131831</v>
      </c>
      <c r="F340" s="107">
        <f t="shared" si="17"/>
        <v>0</v>
      </c>
      <c r="H340">
        <v>-0.89537623586923853</v>
      </c>
      <c r="I340">
        <v>39.689250636131831</v>
      </c>
      <c r="J340">
        <v>-14.42601836353681</v>
      </c>
    </row>
    <row r="341" spans="2:10" ht="18" customHeight="1">
      <c r="B341" s="56">
        <v>0</v>
      </c>
      <c r="C341" s="56">
        <v>27.4</v>
      </c>
      <c r="D341" s="107">
        <f t="shared" si="15"/>
        <v>1.6333902624941281</v>
      </c>
      <c r="E341" s="107">
        <f t="shared" si="16"/>
        <v>28.74918719205759</v>
      </c>
      <c r="F341" s="107">
        <f t="shared" si="17"/>
        <v>5.6760454816801307</v>
      </c>
      <c r="H341">
        <v>1.6333902624941281</v>
      </c>
      <c r="I341">
        <v>28.74918719205759</v>
      </c>
      <c r="J341">
        <v>5.6760454816801307</v>
      </c>
    </row>
    <row r="342" spans="2:10" ht="18" customHeight="1">
      <c r="B342" s="56">
        <v>0</v>
      </c>
      <c r="C342" s="56">
        <v>32.6</v>
      </c>
      <c r="D342" s="107">
        <f t="shared" si="15"/>
        <v>0</v>
      </c>
      <c r="E342" s="107">
        <f t="shared" si="16"/>
        <v>19.08487721336714</v>
      </c>
      <c r="F342" s="107">
        <f t="shared" si="17"/>
        <v>0</v>
      </c>
      <c r="H342">
        <v>-10.412724841041349</v>
      </c>
      <c r="I342">
        <v>19.08487721336714</v>
      </c>
      <c r="J342">
        <v>-3.4774749960902041</v>
      </c>
    </row>
    <row r="343" spans="2:10" ht="18" customHeight="1">
      <c r="B343" s="56">
        <v>1.2</v>
      </c>
      <c r="C343" s="56">
        <v>27.2</v>
      </c>
      <c r="D343" s="107">
        <f t="shared" si="15"/>
        <v>0</v>
      </c>
      <c r="E343" s="107">
        <f t="shared" si="16"/>
        <v>29.11132752684339</v>
      </c>
      <c r="F343" s="107">
        <f t="shared" si="17"/>
        <v>0</v>
      </c>
      <c r="H343">
        <v>-6.1740190730612028</v>
      </c>
      <c r="I343">
        <v>29.11132752684339</v>
      </c>
      <c r="J343">
        <v>-0.48010835189364048</v>
      </c>
    </row>
    <row r="344" spans="2:10" ht="18" customHeight="1">
      <c r="B344" s="56">
        <v>45.4</v>
      </c>
      <c r="C344" s="56">
        <v>33.799999999999997</v>
      </c>
      <c r="D344" s="107">
        <f t="shared" si="15"/>
        <v>48.224950328784367</v>
      </c>
      <c r="E344" s="107">
        <f t="shared" si="16"/>
        <v>36.811922221072557</v>
      </c>
      <c r="F344" s="107">
        <f t="shared" si="17"/>
        <v>34.215178310670403</v>
      </c>
      <c r="H344">
        <v>48.224950328784367</v>
      </c>
      <c r="I344">
        <v>36.811922221072557</v>
      </c>
      <c r="J344">
        <v>34.215178310670403</v>
      </c>
    </row>
    <row r="345" spans="2:10" ht="18" customHeight="1">
      <c r="B345" s="56">
        <v>0.8</v>
      </c>
      <c r="C345" s="56">
        <v>22.4</v>
      </c>
      <c r="D345" s="107">
        <f t="shared" si="15"/>
        <v>0</v>
      </c>
      <c r="E345" s="107">
        <f t="shared" si="16"/>
        <v>17.010960567753589</v>
      </c>
      <c r="F345" s="107">
        <f t="shared" si="17"/>
        <v>0</v>
      </c>
      <c r="H345">
        <v>-11.854248586955469</v>
      </c>
      <c r="I345">
        <v>17.010960567753589</v>
      </c>
      <c r="J345">
        <v>-4.1272004952971901</v>
      </c>
    </row>
    <row r="346" spans="2:10" ht="18" customHeight="1">
      <c r="B346" s="56">
        <v>15.2</v>
      </c>
      <c r="C346" s="56">
        <v>37.200000000000003</v>
      </c>
      <c r="D346" s="107">
        <f t="shared" si="15"/>
        <v>17.332641558177961</v>
      </c>
      <c r="E346" s="107">
        <f t="shared" si="16"/>
        <v>44.335516902492579</v>
      </c>
      <c r="F346" s="107">
        <f t="shared" si="17"/>
        <v>12.061323052170319</v>
      </c>
      <c r="H346">
        <v>17.332641558177961</v>
      </c>
      <c r="I346">
        <v>44.335516902492579</v>
      </c>
      <c r="J346">
        <v>12.061323052170319</v>
      </c>
    </row>
    <row r="347" spans="2:10" ht="18" customHeight="1">
      <c r="B347" s="56">
        <v>48.6</v>
      </c>
      <c r="C347" s="56">
        <v>27</v>
      </c>
      <c r="D347" s="107">
        <f t="shared" si="15"/>
        <v>46.830832663947</v>
      </c>
      <c r="E347" s="107">
        <f t="shared" si="16"/>
        <v>31.33554733026963</v>
      </c>
      <c r="F347" s="107">
        <f t="shared" si="17"/>
        <v>31.744760678869341</v>
      </c>
      <c r="H347">
        <v>46.830832663947</v>
      </c>
      <c r="I347">
        <v>31.33554733026963</v>
      </c>
      <c r="J347">
        <v>31.744760678869341</v>
      </c>
    </row>
    <row r="348" spans="2:10" ht="18" customHeight="1">
      <c r="B348" s="56">
        <v>34.200000000000003</v>
      </c>
      <c r="C348" s="56">
        <v>4.8</v>
      </c>
      <c r="D348" s="107">
        <f t="shared" si="15"/>
        <v>22.29329570956142</v>
      </c>
      <c r="E348" s="107">
        <f t="shared" si="16"/>
        <v>8.3188821743472197</v>
      </c>
      <c r="F348" s="107">
        <f t="shared" si="17"/>
        <v>14.507421280632061</v>
      </c>
      <c r="H348">
        <v>22.29329570956142</v>
      </c>
      <c r="I348">
        <v>8.3188821743472197</v>
      </c>
      <c r="J348">
        <v>14.507421280632061</v>
      </c>
    </row>
    <row r="349" spans="2:10" ht="18" customHeight="1">
      <c r="B349" s="56">
        <v>4.4000000000000004</v>
      </c>
      <c r="C349" s="56">
        <v>12.2</v>
      </c>
      <c r="D349" s="107">
        <f t="shared" si="15"/>
        <v>3.5185018802548171</v>
      </c>
      <c r="E349" s="107">
        <f t="shared" si="16"/>
        <v>10.10775689527051</v>
      </c>
      <c r="F349" s="107">
        <f t="shared" si="17"/>
        <v>0</v>
      </c>
      <c r="H349">
        <v>3.5185018802548171</v>
      </c>
      <c r="I349">
        <v>10.10775689527051</v>
      </c>
      <c r="J349">
        <v>-4.4028845661079572</v>
      </c>
    </row>
    <row r="350" spans="2:10" ht="18" customHeight="1">
      <c r="B350" s="56">
        <v>17.8</v>
      </c>
      <c r="C350" s="56">
        <v>3.4</v>
      </c>
      <c r="D350" s="107">
        <f t="shared" si="15"/>
        <v>1.760453349712233</v>
      </c>
      <c r="E350" s="107">
        <f t="shared" si="16"/>
        <v>5.1443391073855507</v>
      </c>
      <c r="F350" s="107">
        <f t="shared" si="17"/>
        <v>0.51170727961050488</v>
      </c>
      <c r="H350">
        <v>1.760453349712233</v>
      </c>
      <c r="I350">
        <v>5.1443391073855507</v>
      </c>
      <c r="J350">
        <v>0.51170727961050488</v>
      </c>
    </row>
    <row r="351" spans="2:10" ht="18" customHeight="1">
      <c r="B351" s="56">
        <v>1.4</v>
      </c>
      <c r="C351" s="56">
        <v>23.8</v>
      </c>
      <c r="D351" s="107">
        <f t="shared" si="15"/>
        <v>0</v>
      </c>
      <c r="E351" s="107">
        <f t="shared" si="16"/>
        <v>9.7566223109549028</v>
      </c>
      <c r="F351" s="107">
        <f t="shared" si="17"/>
        <v>4.0135907086661593</v>
      </c>
      <c r="H351">
        <v>-10.188204605499561</v>
      </c>
      <c r="I351">
        <v>9.7566223109549028</v>
      </c>
      <c r="J351">
        <v>4.0135907086661593</v>
      </c>
    </row>
    <row r="352" spans="2:10" ht="18" customHeight="1">
      <c r="B352" s="56">
        <v>1</v>
      </c>
      <c r="C352" s="56">
        <v>0</v>
      </c>
      <c r="D352" s="107">
        <f t="shared" si="15"/>
        <v>0</v>
      </c>
      <c r="E352" s="107">
        <f t="shared" si="16"/>
        <v>0</v>
      </c>
      <c r="F352" s="107">
        <f t="shared" si="17"/>
        <v>0</v>
      </c>
      <c r="H352">
        <v>-11.93853211977129</v>
      </c>
      <c r="I352">
        <v>-9.5449366878839932</v>
      </c>
      <c r="J352">
        <v>-1.2771026881721801</v>
      </c>
    </row>
    <row r="353" spans="2:10" ht="18" customHeight="1">
      <c r="B353" s="56">
        <v>0</v>
      </c>
      <c r="C353" s="56">
        <v>2.4</v>
      </c>
      <c r="D353" s="107">
        <f t="shared" si="15"/>
        <v>0</v>
      </c>
      <c r="E353" s="107">
        <f t="shared" si="16"/>
        <v>3.6108355229572351</v>
      </c>
      <c r="F353" s="107">
        <f t="shared" si="17"/>
        <v>0</v>
      </c>
      <c r="H353">
        <v>-3.8693086674959831</v>
      </c>
      <c r="I353">
        <v>3.6108355229572351</v>
      </c>
      <c r="J353">
        <v>-2.1819864909639608</v>
      </c>
    </row>
    <row r="354" spans="2:10" ht="18" customHeight="1">
      <c r="B354" s="56">
        <v>9</v>
      </c>
      <c r="C354" s="56">
        <v>3</v>
      </c>
      <c r="D354" s="107">
        <f t="shared" si="15"/>
        <v>12.026684646502</v>
      </c>
      <c r="E354" s="107">
        <f t="shared" si="16"/>
        <v>0</v>
      </c>
      <c r="F354" s="107">
        <f t="shared" si="17"/>
        <v>4.9267359176782408</v>
      </c>
      <c r="H354">
        <v>12.026684646502</v>
      </c>
      <c r="I354">
        <v>-3.3637019916479858</v>
      </c>
      <c r="J354">
        <v>4.9267359176782408</v>
      </c>
    </row>
    <row r="355" spans="2:10" ht="18" customHeight="1">
      <c r="B355" s="56">
        <v>20.2</v>
      </c>
      <c r="C355" s="56">
        <v>2.2000000000000002</v>
      </c>
      <c r="D355" s="107">
        <f t="shared" si="15"/>
        <v>26.44950686840096</v>
      </c>
      <c r="E355" s="107">
        <f t="shared" si="16"/>
        <v>0</v>
      </c>
      <c r="F355" s="107">
        <f t="shared" si="17"/>
        <v>12.97724761355343</v>
      </c>
      <c r="H355">
        <v>26.44950686840096</v>
      </c>
      <c r="I355">
        <v>-8.5591277157527799</v>
      </c>
      <c r="J355">
        <v>12.97724761355343</v>
      </c>
    </row>
    <row r="356" spans="2:10" ht="18" customHeight="1">
      <c r="B356" s="56">
        <v>0.8</v>
      </c>
      <c r="C356" s="56">
        <v>21.8</v>
      </c>
      <c r="D356" s="107">
        <f t="shared" si="15"/>
        <v>0</v>
      </c>
      <c r="E356" s="107">
        <f t="shared" si="16"/>
        <v>16.817176355526769</v>
      </c>
      <c r="F356" s="107">
        <f t="shared" si="17"/>
        <v>5.7124440712405189</v>
      </c>
      <c r="H356">
        <v>-8.6931406868176957</v>
      </c>
      <c r="I356">
        <v>16.817176355526769</v>
      </c>
      <c r="J356">
        <v>5.7124440712405189</v>
      </c>
    </row>
    <row r="357" spans="2:10" ht="18" customHeight="1">
      <c r="B357" s="56">
        <v>24.6</v>
      </c>
      <c r="C357" s="56">
        <v>25.5</v>
      </c>
      <c r="D357" s="107">
        <f t="shared" si="15"/>
        <v>14.578803795933689</v>
      </c>
      <c r="E357" s="107">
        <f t="shared" si="16"/>
        <v>30.047380700388331</v>
      </c>
      <c r="F357" s="107">
        <f t="shared" si="17"/>
        <v>20.16628492749641</v>
      </c>
      <c r="H357">
        <v>14.578803795933689</v>
      </c>
      <c r="I357">
        <v>30.047380700388331</v>
      </c>
      <c r="J357">
        <v>20.16628492749641</v>
      </c>
    </row>
    <row r="358" spans="2:10" ht="18" customHeight="1">
      <c r="B358" s="56">
        <v>0</v>
      </c>
      <c r="C358" s="56">
        <v>31.8</v>
      </c>
      <c r="D358" s="107">
        <f t="shared" si="15"/>
        <v>0</v>
      </c>
      <c r="E358" s="107">
        <f t="shared" si="16"/>
        <v>40.533782016990664</v>
      </c>
      <c r="F358" s="107">
        <f t="shared" si="17"/>
        <v>8.48222940118983</v>
      </c>
      <c r="H358">
        <v>-3.9208954411157211</v>
      </c>
      <c r="I358">
        <v>40.533782016990664</v>
      </c>
      <c r="J358">
        <v>8.48222940118983</v>
      </c>
    </row>
    <row r="359" spans="2:10" ht="18" customHeight="1">
      <c r="B359" s="56">
        <v>0</v>
      </c>
      <c r="C359" s="56">
        <v>22.6</v>
      </c>
      <c r="D359" s="107">
        <f t="shared" si="15"/>
        <v>0</v>
      </c>
      <c r="E359" s="107">
        <f t="shared" si="16"/>
        <v>9.2646185354039439</v>
      </c>
      <c r="F359" s="107">
        <f t="shared" si="17"/>
        <v>0</v>
      </c>
      <c r="H359">
        <v>-5.3391903624240431</v>
      </c>
      <c r="I359">
        <v>9.2646185354039439</v>
      </c>
      <c r="J359">
        <v>-0.84389624161608778</v>
      </c>
    </row>
    <row r="360" spans="2:10" ht="18" customHeight="1">
      <c r="B360" s="56">
        <v>8.8000000000000007</v>
      </c>
      <c r="C360" s="56">
        <v>9</v>
      </c>
      <c r="D360" s="107">
        <f t="shared" si="15"/>
        <v>0</v>
      </c>
      <c r="E360" s="107">
        <f t="shared" si="16"/>
        <v>12.580862861557771</v>
      </c>
      <c r="F360" s="107">
        <f t="shared" si="17"/>
        <v>0</v>
      </c>
      <c r="H360">
        <v>-3.6278430407407849</v>
      </c>
      <c r="I360">
        <v>12.580862861557771</v>
      </c>
      <c r="J360">
        <v>-4.9623909154921071</v>
      </c>
    </row>
    <row r="361" spans="2:10" ht="18" customHeight="1">
      <c r="B361" s="56">
        <v>11.6</v>
      </c>
      <c r="C361" s="56">
        <v>35.799999999999997</v>
      </c>
      <c r="D361" s="107">
        <f t="shared" si="15"/>
        <v>15.86764777760609</v>
      </c>
      <c r="E361" s="107">
        <f t="shared" si="16"/>
        <v>42.43641983369303</v>
      </c>
      <c r="F361" s="107">
        <f t="shared" si="17"/>
        <v>8.3521699683619097</v>
      </c>
      <c r="H361">
        <v>15.86764777760609</v>
      </c>
      <c r="I361">
        <v>42.43641983369303</v>
      </c>
      <c r="J361">
        <v>8.3521699683619097</v>
      </c>
    </row>
    <row r="362" spans="2:10" ht="18" customHeight="1">
      <c r="B362" s="56">
        <v>10</v>
      </c>
      <c r="C362" s="56">
        <v>9.4</v>
      </c>
      <c r="D362" s="107">
        <f t="shared" si="15"/>
        <v>1.9772283221971849</v>
      </c>
      <c r="E362" s="107">
        <f t="shared" si="16"/>
        <v>0</v>
      </c>
      <c r="F362" s="107">
        <f t="shared" si="17"/>
        <v>0</v>
      </c>
      <c r="H362">
        <v>1.9772283221971849</v>
      </c>
      <c r="I362">
        <v>-4.7713524483598917</v>
      </c>
      <c r="J362">
        <v>-13.212370883581359</v>
      </c>
    </row>
    <row r="363" spans="2:10" ht="18" customHeight="1">
      <c r="B363" s="56">
        <v>2.2000000000000002</v>
      </c>
      <c r="C363" s="56">
        <v>0</v>
      </c>
      <c r="D363" s="107">
        <f t="shared" si="15"/>
        <v>4.4371957776030548</v>
      </c>
      <c r="E363" s="107">
        <f t="shared" si="16"/>
        <v>3.4933133571477479</v>
      </c>
      <c r="F363" s="107">
        <f t="shared" si="17"/>
        <v>6.7290351171340337</v>
      </c>
      <c r="H363">
        <v>4.4371957776030548</v>
      </c>
      <c r="I363">
        <v>3.4933133571477479</v>
      </c>
      <c r="J363">
        <v>6.7290351171340337</v>
      </c>
    </row>
    <row r="364" spans="2:10" ht="18" customHeight="1">
      <c r="B364" s="56">
        <v>0.6</v>
      </c>
      <c r="C364" s="56">
        <v>0</v>
      </c>
      <c r="D364" s="107">
        <f t="shared" si="15"/>
        <v>2.8817585333031599</v>
      </c>
      <c r="E364" s="107">
        <f t="shared" si="16"/>
        <v>0</v>
      </c>
      <c r="F364" s="107">
        <f t="shared" si="17"/>
        <v>0</v>
      </c>
      <c r="H364">
        <v>2.8817585333031599</v>
      </c>
      <c r="I364">
        <v>-9.9477416381038832</v>
      </c>
      <c r="J364">
        <v>-11.645330293375951</v>
      </c>
    </row>
    <row r="365" spans="2:10" ht="18" customHeight="1">
      <c r="B365" s="56">
        <v>10.199999999999999</v>
      </c>
      <c r="C365" s="56">
        <v>26.2</v>
      </c>
      <c r="D365" s="107">
        <f t="shared" si="15"/>
        <v>0</v>
      </c>
      <c r="E365" s="107">
        <f t="shared" si="16"/>
        <v>30.57127530005101</v>
      </c>
      <c r="F365" s="107">
        <f t="shared" si="17"/>
        <v>0</v>
      </c>
      <c r="H365">
        <v>-2.1287048764853309</v>
      </c>
      <c r="I365">
        <v>30.57127530005101</v>
      </c>
      <c r="J365">
        <v>-8.0825639940570895</v>
      </c>
    </row>
    <row r="366" spans="2:10" ht="18" customHeight="1">
      <c r="B366" s="56">
        <v>5.4</v>
      </c>
      <c r="C366" s="56">
        <v>1.6</v>
      </c>
      <c r="D366" s="107">
        <f t="shared" si="15"/>
        <v>0</v>
      </c>
      <c r="E366" s="107">
        <f t="shared" si="16"/>
        <v>0</v>
      </c>
      <c r="F366" s="107">
        <f t="shared" si="17"/>
        <v>8.1288354926457114</v>
      </c>
      <c r="H366">
        <v>-4.9767761434348934</v>
      </c>
      <c r="I366">
        <v>-5.056718735753627</v>
      </c>
      <c r="J366">
        <v>8.1288354926457114</v>
      </c>
    </row>
    <row r="367" spans="2:10" ht="18" customHeight="1">
      <c r="B367" s="56">
        <v>0</v>
      </c>
      <c r="C367" s="56">
        <v>0.2</v>
      </c>
      <c r="D367" s="107">
        <f t="shared" si="15"/>
        <v>0</v>
      </c>
      <c r="E367" s="107">
        <f t="shared" si="16"/>
        <v>0</v>
      </c>
      <c r="F367" s="107">
        <f t="shared" si="17"/>
        <v>0</v>
      </c>
      <c r="H367">
        <v>-11.967199938015741</v>
      </c>
      <c r="I367">
        <v>-14.388577541421011</v>
      </c>
      <c r="J367">
        <v>-2.2560800396860059</v>
      </c>
    </row>
    <row r="368" spans="2:10" ht="18" customHeight="1">
      <c r="B368" s="56">
        <v>0</v>
      </c>
      <c r="C368" s="56">
        <v>0</v>
      </c>
      <c r="D368" s="107">
        <f t="shared" si="15"/>
        <v>0</v>
      </c>
      <c r="E368" s="107">
        <f t="shared" si="16"/>
        <v>7.9757500210455472</v>
      </c>
      <c r="F368" s="107">
        <f t="shared" si="17"/>
        <v>6.7049930732886507</v>
      </c>
      <c r="H368">
        <v>-6.914153247216567</v>
      </c>
      <c r="I368">
        <v>7.9757500210455472</v>
      </c>
      <c r="J368">
        <v>6.7049930732886507</v>
      </c>
    </row>
    <row r="369" spans="1:10" ht="18" customHeight="1">
      <c r="B369" s="56">
        <v>0</v>
      </c>
      <c r="C369" s="56">
        <v>0</v>
      </c>
      <c r="D369" s="107">
        <f t="shared" si="15"/>
        <v>0</v>
      </c>
      <c r="E369" s="107">
        <f t="shared" si="16"/>
        <v>0</v>
      </c>
      <c r="F369" s="107">
        <f t="shared" si="17"/>
        <v>1.3974465080066889</v>
      </c>
      <c r="H369">
        <v>-14.951375155434301</v>
      </c>
      <c r="I369">
        <v>-6.9868779417344848</v>
      </c>
      <c r="J369">
        <v>1.3974465080066889</v>
      </c>
    </row>
    <row r="370" spans="1:10" ht="18" customHeight="1">
      <c r="B370" s="56">
        <v>0</v>
      </c>
      <c r="C370" s="56">
        <v>0</v>
      </c>
      <c r="D370" s="107">
        <f t="shared" si="15"/>
        <v>0</v>
      </c>
      <c r="E370" s="107">
        <f t="shared" si="16"/>
        <v>4.9707391558290741</v>
      </c>
      <c r="F370" s="107">
        <f t="shared" si="17"/>
        <v>0</v>
      </c>
      <c r="H370">
        <v>-1.909430708561785</v>
      </c>
      <c r="I370">
        <v>4.9707391558290741</v>
      </c>
      <c r="J370">
        <v>-12.636896619197801</v>
      </c>
    </row>
    <row r="373" spans="1:10" ht="18" customHeight="1">
      <c r="A373" t="s">
        <v>438</v>
      </c>
      <c r="B373">
        <f>SUM(B6:B370)</f>
        <v>2785.9000000000005</v>
      </c>
      <c r="C373">
        <f>SUM(C6:C370)</f>
        <v>2978.2000000000012</v>
      </c>
      <c r="D373">
        <f>SUM(D6:D370)</f>
        <v>2639.6057593379865</v>
      </c>
      <c r="E373">
        <f>SUM(E6:E370)</f>
        <v>2960.6829088141899</v>
      </c>
      <c r="F373">
        <f>SUM(F6:F370)</f>
        <v>2517.7788931852565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L65"/>
  <sheetViews>
    <sheetView topLeftCell="D1" zoomScale="40" zoomScaleNormal="40" workbookViewId="0">
      <selection activeCell="G5" sqref="G5"/>
    </sheetView>
  </sheetViews>
  <sheetFormatPr defaultRowHeight="14.4"/>
  <cols>
    <col min="1" max="1" width="11.33203125" style="195" customWidth="1"/>
    <col min="2" max="2" width="30.109375" style="195" customWidth="1"/>
    <col min="3" max="3" width="12.33203125" style="195" customWidth="1"/>
    <col min="4" max="4" width="20" style="195" customWidth="1"/>
    <col min="5" max="5" width="16.6640625" style="195" customWidth="1"/>
    <col min="6" max="6" width="29.6640625" style="195" customWidth="1"/>
    <col min="7" max="7" width="21.6640625" style="195" bestFit="1" customWidth="1"/>
    <col min="8" max="8" width="39.33203125" style="195" customWidth="1"/>
    <col min="9" max="9" width="22.33203125" style="195" customWidth="1"/>
  </cols>
  <sheetData>
    <row r="2" spans="1:12" ht="15" customHeight="1" thickBot="1"/>
    <row r="3" spans="1:12">
      <c r="A3" s="62" t="s">
        <v>439</v>
      </c>
      <c r="B3" s="63"/>
      <c r="C3" s="64"/>
      <c r="K3" t="s">
        <v>440</v>
      </c>
      <c r="L3" t="s">
        <v>441</v>
      </c>
    </row>
    <row r="4" spans="1:12" ht="16.2" customHeight="1">
      <c r="A4" s="65"/>
      <c r="B4" s="66" t="s">
        <v>442</v>
      </c>
      <c r="C4" s="67">
        <v>0.75</v>
      </c>
      <c r="E4" t="s">
        <v>443</v>
      </c>
      <c r="F4" t="s">
        <v>444</v>
      </c>
      <c r="G4" t="s">
        <v>445</v>
      </c>
      <c r="H4" t="s">
        <v>446</v>
      </c>
      <c r="I4" t="s">
        <v>447</v>
      </c>
      <c r="K4">
        <v>5.0000000000000001E-3</v>
      </c>
      <c r="L4">
        <v>1.58E-3</v>
      </c>
    </row>
    <row r="5" spans="1:12">
      <c r="A5" s="65"/>
      <c r="B5" s="66" t="s">
        <v>448</v>
      </c>
      <c r="C5" s="67">
        <v>0.02</v>
      </c>
      <c r="E5">
        <v>0</v>
      </c>
      <c r="F5">
        <f>C6</f>
        <v>0</v>
      </c>
      <c r="G5">
        <f t="shared" ref="G5:G36" si="0">F5/$C$10</f>
        <v>0</v>
      </c>
      <c r="H5">
        <f t="shared" ref="H5:H36" si="1">$C$8*SQRT(2*$C$9*G5)*60</f>
        <v>0</v>
      </c>
      <c r="I5">
        <f t="shared" ref="I5:I36" si="2">$C$7-H5</f>
        <v>0.1</v>
      </c>
      <c r="K5">
        <v>0.01</v>
      </c>
      <c r="L5">
        <v>6.3E-3</v>
      </c>
    </row>
    <row r="6" spans="1:12">
      <c r="A6" s="65"/>
      <c r="B6" s="66" t="s">
        <v>449</v>
      </c>
      <c r="C6" s="67">
        <v>0</v>
      </c>
      <c r="E6">
        <v>1</v>
      </c>
      <c r="F6">
        <f t="shared" ref="F6:F37" si="3">F5+I5</f>
        <v>0.1</v>
      </c>
      <c r="G6">
        <f t="shared" si="0"/>
        <v>0.22635369684180673</v>
      </c>
      <c r="H6">
        <f t="shared" si="1"/>
        <v>3.9723217710853347E-2</v>
      </c>
      <c r="I6">
        <f t="shared" si="2"/>
        <v>6.0276782289146659E-2</v>
      </c>
      <c r="K6">
        <v>0.02</v>
      </c>
      <c r="L6">
        <v>2.5000000000000001E-2</v>
      </c>
    </row>
    <row r="7" spans="1:12">
      <c r="A7" s="65"/>
      <c r="B7" s="66" t="s">
        <v>450</v>
      </c>
      <c r="C7" s="67">
        <v>0.1</v>
      </c>
      <c r="E7">
        <v>2</v>
      </c>
      <c r="F7">
        <f t="shared" si="3"/>
        <v>0.16027678228914666</v>
      </c>
      <c r="G7">
        <f t="shared" si="0"/>
        <v>0.36279242189057759</v>
      </c>
      <c r="H7">
        <f t="shared" si="1"/>
        <v>5.0289779104730856E-2</v>
      </c>
      <c r="I7">
        <f t="shared" si="2"/>
        <v>4.971022089526915E-2</v>
      </c>
      <c r="K7">
        <v>0.05</v>
      </c>
      <c r="L7">
        <v>0.158</v>
      </c>
    </row>
    <row r="8" spans="1:12">
      <c r="A8" s="65"/>
      <c r="B8" s="66" t="s">
        <v>451</v>
      </c>
      <c r="C8" s="67">
        <f>PI()*(C5/2)^2</f>
        <v>3.1415926535897931E-4</v>
      </c>
      <c r="E8">
        <v>3</v>
      </c>
      <c r="F8">
        <f t="shared" si="3"/>
        <v>0.20998700318441582</v>
      </c>
      <c r="G8">
        <f t="shared" si="0"/>
        <v>0.4753133445952476</v>
      </c>
      <c r="H8">
        <f t="shared" si="1"/>
        <v>5.7562629995186826E-2</v>
      </c>
      <c r="I8">
        <f t="shared" si="2"/>
        <v>4.243737000481318E-2</v>
      </c>
      <c r="K8">
        <v>0.1</v>
      </c>
      <c r="L8">
        <v>0.63</v>
      </c>
    </row>
    <row r="9" spans="1:12">
      <c r="A9" s="65"/>
      <c r="B9" s="66" t="s">
        <v>452</v>
      </c>
      <c r="C9" s="67">
        <v>9.81</v>
      </c>
      <c r="E9">
        <v>4</v>
      </c>
      <c r="F9">
        <f t="shared" si="3"/>
        <v>0.252424373189229</v>
      </c>
      <c r="G9">
        <f t="shared" si="0"/>
        <v>0.57137190044357822</v>
      </c>
      <c r="H9">
        <f t="shared" si="1"/>
        <v>6.3111726903269105E-2</v>
      </c>
      <c r="I9">
        <f t="shared" si="2"/>
        <v>3.68882730967309E-2</v>
      </c>
    </row>
    <row r="10" spans="1:12">
      <c r="A10" s="65"/>
      <c r="B10" s="66" t="s">
        <v>453</v>
      </c>
      <c r="C10" s="67">
        <f>PI()*(C4/2)^2</f>
        <v>0.44178646691106466</v>
      </c>
      <c r="E10">
        <v>5</v>
      </c>
      <c r="F10">
        <f t="shared" si="3"/>
        <v>0.28931264628595987</v>
      </c>
      <c r="G10">
        <f t="shared" si="0"/>
        <v>0.65486987029913013</v>
      </c>
      <c r="H10">
        <f t="shared" si="1"/>
        <v>6.7565987636185293E-2</v>
      </c>
      <c r="I10">
        <f t="shared" si="2"/>
        <v>3.2434012363814713E-2</v>
      </c>
    </row>
    <row r="11" spans="1:12">
      <c r="A11" s="65"/>
      <c r="B11" s="66" t="s">
        <v>454</v>
      </c>
      <c r="C11" s="67">
        <v>7</v>
      </c>
      <c r="E11">
        <v>6</v>
      </c>
      <c r="F11">
        <f t="shared" si="3"/>
        <v>0.32174665864977459</v>
      </c>
      <c r="G11">
        <f t="shared" si="0"/>
        <v>0.72828545631875341</v>
      </c>
      <c r="H11">
        <f t="shared" si="1"/>
        <v>7.1252719261183525E-2</v>
      </c>
      <c r="I11">
        <f t="shared" si="2"/>
        <v>2.874728073881648E-2</v>
      </c>
    </row>
    <row r="12" spans="1:12">
      <c r="A12" s="65"/>
      <c r="B12" s="66" t="s">
        <v>455</v>
      </c>
      <c r="C12" s="67">
        <v>50</v>
      </c>
      <c r="E12">
        <v>7</v>
      </c>
      <c r="F12">
        <f t="shared" si="3"/>
        <v>0.35049393938859108</v>
      </c>
      <c r="G12">
        <f t="shared" si="0"/>
        <v>0.79335598901255722</v>
      </c>
      <c r="H12">
        <f t="shared" si="1"/>
        <v>7.4367755958079318E-2</v>
      </c>
      <c r="I12">
        <f t="shared" si="2"/>
        <v>2.5632244041920688E-2</v>
      </c>
    </row>
    <row r="13" spans="1:12">
      <c r="A13" s="65"/>
      <c r="B13" s="66" t="s">
        <v>456</v>
      </c>
      <c r="C13" s="67"/>
      <c r="E13">
        <v>8</v>
      </c>
      <c r="F13">
        <f t="shared" si="3"/>
        <v>0.37612618343051174</v>
      </c>
      <c r="G13">
        <f t="shared" si="0"/>
        <v>0.85137552098495839</v>
      </c>
      <c r="H13">
        <f t="shared" si="1"/>
        <v>7.7039100633553792E-2</v>
      </c>
      <c r="I13">
        <f t="shared" si="2"/>
        <v>2.2960899366446214E-2</v>
      </c>
    </row>
    <row r="14" spans="1:12">
      <c r="A14" s="65"/>
      <c r="B14" s="66" t="s">
        <v>457</v>
      </c>
      <c r="C14" s="67">
        <v>136</v>
      </c>
      <c r="E14">
        <v>9</v>
      </c>
      <c r="F14">
        <f t="shared" si="3"/>
        <v>0.39908708279695793</v>
      </c>
      <c r="G14">
        <f t="shared" si="0"/>
        <v>0.9033483655290363</v>
      </c>
      <c r="H14">
        <f t="shared" si="1"/>
        <v>7.9355723612388268E-2</v>
      </c>
      <c r="I14">
        <f t="shared" si="2"/>
        <v>2.0644276387611737E-2</v>
      </c>
    </row>
    <row r="15" spans="1:12">
      <c r="A15" s="65"/>
      <c r="B15" s="66" t="s">
        <v>458</v>
      </c>
      <c r="C15" s="67">
        <v>601</v>
      </c>
      <c r="E15">
        <v>10</v>
      </c>
      <c r="F15">
        <f t="shared" si="3"/>
        <v>0.41973135918456966</v>
      </c>
      <c r="G15">
        <f t="shared" si="0"/>
        <v>0.95007744831863561</v>
      </c>
      <c r="H15">
        <f t="shared" si="1"/>
        <v>8.1382331813752123E-2</v>
      </c>
      <c r="I15">
        <f t="shared" si="2"/>
        <v>1.8617668186247882E-2</v>
      </c>
    </row>
    <row r="16" spans="1:12" ht="15" customHeight="1" thickBot="1">
      <c r="A16" s="68"/>
      <c r="B16" s="69" t="s">
        <v>459</v>
      </c>
      <c r="C16" s="70">
        <v>400</v>
      </c>
      <c r="E16">
        <v>11</v>
      </c>
      <c r="F16">
        <f t="shared" si="3"/>
        <v>0.43834902737081755</v>
      </c>
      <c r="G16">
        <f t="shared" si="0"/>
        <v>0.99221922852394862</v>
      </c>
      <c r="H16">
        <f t="shared" si="1"/>
        <v>8.3167652681031157E-2</v>
      </c>
      <c r="I16">
        <f t="shared" si="2"/>
        <v>1.6832347318968849E-2</v>
      </c>
    </row>
    <row r="17" spans="1:9">
      <c r="E17">
        <v>12</v>
      </c>
      <c r="F17">
        <f t="shared" si="3"/>
        <v>0.45518137468978637</v>
      </c>
      <c r="G17">
        <f t="shared" si="0"/>
        <v>1.0303198689456874</v>
      </c>
      <c r="H17">
        <f t="shared" si="1"/>
        <v>8.4749405827273847E-2</v>
      </c>
      <c r="I17">
        <f t="shared" si="2"/>
        <v>1.5250594172726159E-2</v>
      </c>
    </row>
    <row r="18" spans="1:9">
      <c r="E18">
        <v>13</v>
      </c>
      <c r="F18">
        <f t="shared" si="3"/>
        <v>0.47043196886251254</v>
      </c>
      <c r="G18">
        <f t="shared" si="0"/>
        <v>1.0648401526459941</v>
      </c>
      <c r="H18">
        <f t="shared" si="1"/>
        <v>8.6157449489805651E-2</v>
      </c>
      <c r="I18">
        <f t="shared" si="2"/>
        <v>1.3842550510194354E-2</v>
      </c>
    </row>
    <row r="19" spans="1:9">
      <c r="E19">
        <v>14</v>
      </c>
      <c r="F19">
        <f t="shared" si="3"/>
        <v>0.48427451937270688</v>
      </c>
      <c r="G19">
        <f t="shared" si="0"/>
        <v>1.0961732774630135</v>
      </c>
      <c r="H19">
        <f t="shared" si="1"/>
        <v>8.7415859070643684E-2</v>
      </c>
      <c r="I19">
        <f t="shared" si="2"/>
        <v>1.2584140929356322E-2</v>
      </c>
    </row>
    <row r="20" spans="1:9">
      <c r="E20">
        <v>15</v>
      </c>
      <c r="F20">
        <f t="shared" si="3"/>
        <v>0.49685866030206322</v>
      </c>
      <c r="G20">
        <f t="shared" si="0"/>
        <v>1.1246579456723944</v>
      </c>
      <c r="H20">
        <f t="shared" si="1"/>
        <v>8.8544349670519024E-2</v>
      </c>
      <c r="I20">
        <f t="shared" si="2"/>
        <v>1.1455650329480982E-2</v>
      </c>
    </row>
    <row r="21" spans="1:9">
      <c r="E21">
        <v>16</v>
      </c>
      <c r="F21">
        <f t="shared" si="3"/>
        <v>0.5083143106315442</v>
      </c>
      <c r="G21">
        <f t="shared" si="0"/>
        <v>1.1505882336904452</v>
      </c>
      <c r="H21">
        <f t="shared" si="1"/>
        <v>8.9559279044350598E-2</v>
      </c>
      <c r="I21">
        <f t="shared" si="2"/>
        <v>1.0440720955649407E-2</v>
      </c>
    </row>
    <row r="22" spans="1:9">
      <c r="E22">
        <v>17</v>
      </c>
      <c r="F22">
        <f t="shared" si="3"/>
        <v>0.5187550315871936</v>
      </c>
      <c r="G22">
        <f t="shared" si="0"/>
        <v>1.1742211915504948</v>
      </c>
      <c r="H22">
        <f t="shared" si="1"/>
        <v>9.0474372898573185E-2</v>
      </c>
      <c r="I22">
        <f t="shared" si="2"/>
        <v>9.5256271014268201E-3</v>
      </c>
    </row>
    <row r="23" spans="1:9">
      <c r="E23">
        <v>18</v>
      </c>
      <c r="F23">
        <f t="shared" si="3"/>
        <v>0.5282806586886204</v>
      </c>
      <c r="G23">
        <f t="shared" si="0"/>
        <v>1.1957828006419393</v>
      </c>
      <c r="H23">
        <f t="shared" si="1"/>
        <v>9.1301261012907448E-2</v>
      </c>
      <c r="I23">
        <f t="shared" si="2"/>
        <v>8.698738987092558E-3</v>
      </c>
    </row>
    <row r="24" spans="1:9">
      <c r="E24">
        <v>19</v>
      </c>
      <c r="F24">
        <f t="shared" si="3"/>
        <v>0.5369793976757129</v>
      </c>
      <c r="G24">
        <f t="shared" si="0"/>
        <v>1.2154727179178428</v>
      </c>
      <c r="H24">
        <f t="shared" si="1"/>
        <v>9.2049881177526549E-2</v>
      </c>
      <c r="I24">
        <f t="shared" si="2"/>
        <v>7.9501188224734565E-3</v>
      </c>
    </row>
    <row r="25" spans="1:9">
      <c r="E25">
        <v>20</v>
      </c>
      <c r="F25">
        <f t="shared" si="3"/>
        <v>0.54492951649818633</v>
      </c>
      <c r="G25">
        <f t="shared" si="0"/>
        <v>1.2334681057758277</v>
      </c>
      <c r="H25">
        <f t="shared" si="1"/>
        <v>9.2728788705281021E-2</v>
      </c>
      <c r="I25">
        <f t="shared" si="2"/>
        <v>7.271211294718985E-3</v>
      </c>
    </row>
    <row r="26" spans="1:9">
      <c r="A26" t="s">
        <v>460</v>
      </c>
      <c r="E26">
        <v>21</v>
      </c>
      <c r="F26">
        <f t="shared" si="3"/>
        <v>0.5522007277929053</v>
      </c>
      <c r="G26">
        <f t="shared" si="0"/>
        <v>1.2499267613466032</v>
      </c>
      <c r="H26">
        <f t="shared" si="1"/>
        <v>9.3345397164615249E-2</v>
      </c>
      <c r="I26">
        <f t="shared" si="2"/>
        <v>6.6546028353847569E-3</v>
      </c>
    </row>
    <row r="27" spans="1:9">
      <c r="E27">
        <v>22</v>
      </c>
      <c r="F27">
        <f t="shared" si="3"/>
        <v>0.55885533062829007</v>
      </c>
      <c r="G27">
        <f t="shared" si="0"/>
        <v>1.2649897008746362</v>
      </c>
      <c r="H27">
        <f t="shared" si="1"/>
        <v>9.3906168137179002E-2</v>
      </c>
      <c r="I27">
        <f t="shared" si="2"/>
        <v>6.0938318628210031E-3</v>
      </c>
    </row>
    <row r="28" spans="1:9">
      <c r="E28">
        <v>23</v>
      </c>
      <c r="F28">
        <f t="shared" si="3"/>
        <v>0.56494916249111105</v>
      </c>
      <c r="G28">
        <f t="shared" si="0"/>
        <v>1.2787833145754555</v>
      </c>
      <c r="H28">
        <f t="shared" si="1"/>
        <v>9.4416762603980395E-2</v>
      </c>
      <c r="I28">
        <f t="shared" si="2"/>
        <v>5.5832373960196108E-3</v>
      </c>
    </row>
    <row r="29" spans="1:9">
      <c r="E29">
        <v>24</v>
      </c>
      <c r="F29">
        <f t="shared" si="3"/>
        <v>0.57053239988713067</v>
      </c>
      <c r="G29">
        <f t="shared" si="0"/>
        <v>1.2914211788248</v>
      </c>
      <c r="H29">
        <f t="shared" si="1"/>
        <v>9.4882163040276829E-2</v>
      </c>
      <c r="I29">
        <f t="shared" si="2"/>
        <v>5.1178369597231765E-3</v>
      </c>
    </row>
    <row r="30" spans="1:9">
      <c r="E30">
        <v>25</v>
      </c>
      <c r="F30">
        <f t="shared" si="3"/>
        <v>0.5756502368468539</v>
      </c>
      <c r="G30">
        <f t="shared" si="0"/>
        <v>1.30300559198147</v>
      </c>
      <c r="H30">
        <f t="shared" si="1"/>
        <v>9.5306772865042091E-2</v>
      </c>
      <c r="I30">
        <f t="shared" si="2"/>
        <v>4.6932271349579141E-3</v>
      </c>
    </row>
    <row r="31" spans="1:9">
      <c r="E31">
        <v>26</v>
      </c>
      <c r="F31">
        <f t="shared" si="3"/>
        <v>0.5803434639818118</v>
      </c>
      <c r="G31">
        <f t="shared" si="0"/>
        <v>1.3136288851026301</v>
      </c>
      <c r="H31">
        <f t="shared" si="1"/>
        <v>9.5694498179341614E-2</v>
      </c>
      <c r="I31">
        <f t="shared" si="2"/>
        <v>4.3055018206583917E-3</v>
      </c>
    </row>
    <row r="32" spans="1:9">
      <c r="E32">
        <v>27</v>
      </c>
      <c r="F32">
        <f t="shared" si="3"/>
        <v>0.58464896580247017</v>
      </c>
      <c r="G32">
        <f t="shared" si="0"/>
        <v>1.3233745476412815</v>
      </c>
      <c r="H32">
        <f t="shared" si="1"/>
        <v>9.6048815505368215E-2</v>
      </c>
      <c r="I32">
        <f t="shared" si="2"/>
        <v>3.9511844946317903E-3</v>
      </c>
    </row>
    <row r="33" spans="5:9">
      <c r="E33">
        <v>28</v>
      </c>
      <c r="F33">
        <f t="shared" si="3"/>
        <v>0.588600150297102</v>
      </c>
      <c r="G33">
        <f t="shared" si="0"/>
        <v>1.3323181998139209</v>
      </c>
      <c r="H33">
        <f t="shared" si="1"/>
        <v>9.6372828351810796E-2</v>
      </c>
      <c r="I33">
        <f t="shared" si="2"/>
        <v>3.6271716481892091E-3</v>
      </c>
    </row>
    <row r="34" spans="5:9">
      <c r="E34">
        <v>29</v>
      </c>
      <c r="F34">
        <f t="shared" si="3"/>
        <v>0.59222732194529115</v>
      </c>
      <c r="G34">
        <f t="shared" si="0"/>
        <v>1.3405284369303949</v>
      </c>
      <c r="H34">
        <f t="shared" si="1"/>
        <v>9.6669314780443841E-2</v>
      </c>
      <c r="I34">
        <f t="shared" si="2"/>
        <v>3.3306852195561648E-3</v>
      </c>
    </row>
    <row r="35" spans="5:9">
      <c r="E35">
        <v>30</v>
      </c>
      <c r="F35">
        <f t="shared" si="3"/>
        <v>0.5955580071648473</v>
      </c>
      <c r="G35">
        <f t="shared" si="0"/>
        <v>1.3480675660550239</v>
      </c>
      <c r="H35">
        <f t="shared" si="1"/>
        <v>9.6940767664980262E-2</v>
      </c>
      <c r="I35">
        <f t="shared" si="2"/>
        <v>3.0592323350197431E-3</v>
      </c>
    </row>
    <row r="36" spans="5:9">
      <c r="E36">
        <v>31</v>
      </c>
      <c r="F36">
        <f t="shared" si="3"/>
        <v>0.598617239499867</v>
      </c>
      <c r="G36">
        <f t="shared" si="0"/>
        <v>1.354992251540321</v>
      </c>
      <c r="H36">
        <f t="shared" si="1"/>
        <v>9.7189428969425756E-2</v>
      </c>
      <c r="I36">
        <f t="shared" si="2"/>
        <v>2.8105710305742493E-3</v>
      </c>
    </row>
    <row r="37" spans="5:9">
      <c r="E37">
        <v>32</v>
      </c>
      <c r="F37">
        <f t="shared" si="3"/>
        <v>0.60142781053044125</v>
      </c>
      <c r="G37">
        <f t="shared" ref="G37:G65" si="4">F37/$C$10</f>
        <v>1.3613540829703907</v>
      </c>
      <c r="H37">
        <f t="shared" ref="H37:H65" si="5">$C$8*SQRT(2*$C$9*G37)*60</f>
        <v>9.7417319096759283E-2</v>
      </c>
      <c r="I37">
        <f t="shared" ref="I37:I65" si="6">$C$7-H37</f>
        <v>2.5826809032407222E-3</v>
      </c>
    </row>
    <row r="38" spans="5:9">
      <c r="E38">
        <v>33</v>
      </c>
      <c r="F38">
        <f t="shared" ref="F38:F65" si="7">F37+I37</f>
        <v>0.60401049143368202</v>
      </c>
      <c r="G38">
        <f t="shared" si="4"/>
        <v>1.3672000766725034</v>
      </c>
      <c r="H38">
        <f t="shared" si="5"/>
        <v>9.762626214670457E-2</v>
      </c>
      <c r="I38">
        <f t="shared" si="6"/>
        <v>2.3737378532954351E-3</v>
      </c>
    </row>
    <row r="39" spans="5:9">
      <c r="E39">
        <v>34</v>
      </c>
      <c r="F39">
        <f t="shared" si="7"/>
        <v>0.60638422928697744</v>
      </c>
      <c r="G39">
        <f t="shared" si="4"/>
        <v>1.372573120056771</v>
      </c>
      <c r="H39">
        <f t="shared" si="5"/>
        <v>9.7817907757198244E-2</v>
      </c>
      <c r="I39">
        <f t="shared" si="6"/>
        <v>2.1820922428017614E-3</v>
      </c>
    </row>
    <row r="40" spans="5:9">
      <c r="E40">
        <v>35</v>
      </c>
      <c r="F40">
        <f t="shared" si="7"/>
        <v>0.60856632152977919</v>
      </c>
      <c r="G40">
        <f t="shared" si="4"/>
        <v>1.3775123665168509</v>
      </c>
      <c r="H40">
        <f t="shared" si="5"/>
        <v>9.7993750076004499E-2</v>
      </c>
      <c r="I40">
        <f t="shared" si="6"/>
        <v>2.0062499239955067E-3</v>
      </c>
    </row>
    <row r="41" spans="5:9">
      <c r="E41">
        <v>36</v>
      </c>
      <c r="F41">
        <f t="shared" si="7"/>
        <v>0.61057257145377464</v>
      </c>
      <c r="G41">
        <f t="shared" si="4"/>
        <v>1.3820535873877007</v>
      </c>
      <c r="H41">
        <f t="shared" si="5"/>
        <v>9.8155144308089054E-2</v>
      </c>
      <c r="I41">
        <f t="shared" si="6"/>
        <v>1.8448556919109516E-3</v>
      </c>
    </row>
    <row r="42" spans="5:9">
      <c r="E42">
        <v>37</v>
      </c>
      <c r="F42">
        <f t="shared" si="7"/>
        <v>0.61241742714568559</v>
      </c>
      <c r="G42">
        <f t="shared" si="4"/>
        <v>1.3862294864477376</v>
      </c>
      <c r="H42">
        <f t="shared" si="5"/>
        <v>9.8303321204434413E-2</v>
      </c>
      <c r="I42">
        <f t="shared" si="6"/>
        <v>1.6966787955655926E-3</v>
      </c>
    </row>
    <row r="43" spans="5:9">
      <c r="E43">
        <v>38</v>
      </c>
      <c r="F43">
        <f t="shared" si="7"/>
        <v>0.61411410594125115</v>
      </c>
      <c r="G43">
        <f t="shared" si="4"/>
        <v>1.3900699816250313</v>
      </c>
      <c r="H43">
        <f t="shared" si="5"/>
        <v>9.8439399794175653E-2</v>
      </c>
      <c r="I43">
        <f t="shared" si="6"/>
        <v>1.5606002058243529E-3</v>
      </c>
    </row>
    <row r="44" spans="5:9">
      <c r="E44">
        <v>39</v>
      </c>
      <c r="F44">
        <f t="shared" si="7"/>
        <v>0.61567470614707553</v>
      </c>
      <c r="G44">
        <f t="shared" si="4"/>
        <v>1.3936024578838357</v>
      </c>
      <c r="H44">
        <f t="shared" si="5"/>
        <v>9.8564398610675924E-2</v>
      </c>
      <c r="I44">
        <f t="shared" si="6"/>
        <v>1.4356013893240815E-3</v>
      </c>
    </row>
    <row r="45" spans="5:9">
      <c r="E45">
        <v>40</v>
      </c>
      <c r="F45">
        <f t="shared" si="7"/>
        <v>0.61711030753639962</v>
      </c>
      <c r="G45">
        <f t="shared" si="4"/>
        <v>1.3968519947004829</v>
      </c>
      <c r="H45">
        <f t="shared" si="5"/>
        <v>9.8679245620718517E-2</v>
      </c>
      <c r="I45">
        <f t="shared" si="6"/>
        <v>1.3207543792814885E-3</v>
      </c>
    </row>
    <row r="46" spans="5:9">
      <c r="E46">
        <v>41</v>
      </c>
      <c r="F46">
        <f t="shared" si="7"/>
        <v>0.61843106191568109</v>
      </c>
      <c r="G46">
        <f t="shared" si="4"/>
        <v>1.3998415710641867</v>
      </c>
      <c r="H46">
        <f t="shared" si="5"/>
        <v>9.8784787032292931E-2</v>
      </c>
      <c r="I46">
        <f t="shared" si="6"/>
        <v>1.2152129677070744E-3</v>
      </c>
    </row>
    <row r="47" spans="5:9">
      <c r="E47">
        <v>42</v>
      </c>
      <c r="F47">
        <f t="shared" si="7"/>
        <v>0.61964627488338819</v>
      </c>
      <c r="G47">
        <f t="shared" si="4"/>
        <v>1.4025922505410928</v>
      </c>
      <c r="H47">
        <f t="shared" si="5"/>
        <v>9.8881795128895306E-2</v>
      </c>
      <c r="I47">
        <f t="shared" si="6"/>
        <v>1.1182048711046999E-3</v>
      </c>
    </row>
    <row r="48" spans="5:9">
      <c r="E48">
        <v>43</v>
      </c>
      <c r="F48">
        <f t="shared" si="7"/>
        <v>0.62076447975449289</v>
      </c>
      <c r="G48">
        <f t="shared" si="4"/>
        <v>1.4051233486051034</v>
      </c>
      <c r="H48">
        <f t="shared" si="5"/>
        <v>9.8970975255610105E-2</v>
      </c>
      <c r="I48">
        <f t="shared" si="6"/>
        <v>1.0290247443899003E-3</v>
      </c>
    </row>
    <row r="49" spans="5:9">
      <c r="E49">
        <v>44</v>
      </c>
      <c r="F49">
        <f t="shared" si="7"/>
        <v>0.62179350449888282</v>
      </c>
      <c r="G49">
        <f t="shared" si="4"/>
        <v>1.4074525841554471</v>
      </c>
      <c r="H49">
        <f t="shared" si="5"/>
        <v>9.9052972063523231E-2</v>
      </c>
      <c r="I49">
        <f t="shared" si="6"/>
        <v>9.4702793647677419E-4</v>
      </c>
    </row>
    <row r="50" spans="5:9">
      <c r="E50">
        <v>45</v>
      </c>
      <c r="F50">
        <f t="shared" si="7"/>
        <v>0.62274053243535965</v>
      </c>
      <c r="G50">
        <f t="shared" si="4"/>
        <v>1.4095962168997869</v>
      </c>
      <c r="H50">
        <f t="shared" si="5"/>
        <v>9.9128375103478383E-2</v>
      </c>
      <c r="I50">
        <f t="shared" si="6"/>
        <v>8.7162489652162223E-4</v>
      </c>
    </row>
    <row r="51" spans="5:9">
      <c r="E51">
        <v>46</v>
      </c>
      <c r="F51">
        <f t="shared" si="7"/>
        <v>0.62361215733188124</v>
      </c>
      <c r="G51">
        <f t="shared" si="4"/>
        <v>1.4115691720756571</v>
      </c>
      <c r="H51">
        <f t="shared" si="5"/>
        <v>9.9197723847229219E-2</v>
      </c>
      <c r="I51">
        <f t="shared" si="6"/>
        <v>8.0227615277078668E-4</v>
      </c>
    </row>
    <row r="52" spans="5:9">
      <c r="E52">
        <v>47</v>
      </c>
      <c r="F52">
        <f t="shared" si="7"/>
        <v>0.62441443348465198</v>
      </c>
      <c r="G52">
        <f t="shared" si="4"/>
        <v>1.413385153806334</v>
      </c>
      <c r="H52">
        <f t="shared" si="5"/>
        <v>9.9261512203182842E-2</v>
      </c>
      <c r="I52">
        <f t="shared" si="6"/>
        <v>7.3848779681716381E-4</v>
      </c>
    </row>
    <row r="53" spans="5:9">
      <c r="E53">
        <v>48</v>
      </c>
      <c r="F53">
        <f t="shared" si="7"/>
        <v>0.62515292128146915</v>
      </c>
      <c r="G53">
        <f t="shared" si="4"/>
        <v>1.4150567482351553</v>
      </c>
      <c r="H53">
        <f t="shared" si="5"/>
        <v>9.9320192584797726E-2</v>
      </c>
      <c r="I53">
        <f t="shared" si="6"/>
        <v>6.7980741520227983E-4</v>
      </c>
    </row>
    <row r="54" spans="5:9">
      <c r="E54">
        <v>49</v>
      </c>
      <c r="F54">
        <f t="shared" si="7"/>
        <v>0.62583272869667139</v>
      </c>
      <c r="G54">
        <f t="shared" si="4"/>
        <v>1.4165955174508702</v>
      </c>
      <c r="H54">
        <f t="shared" si="5"/>
        <v>9.9374179581983607E-2</v>
      </c>
      <c r="I54">
        <f t="shared" si="6"/>
        <v>6.2582041801639843E-4</v>
      </c>
    </row>
    <row r="55" spans="5:9">
      <c r="E55">
        <v>50</v>
      </c>
      <c r="F55">
        <f t="shared" si="7"/>
        <v>0.62645854911468779</v>
      </c>
      <c r="G55">
        <f t="shared" si="4"/>
        <v>1.4180120851026412</v>
      </c>
      <c r="H55">
        <f t="shared" si="5"/>
        <v>9.9423853279308708E-2</v>
      </c>
      <c r="I55">
        <f t="shared" si="6"/>
        <v>5.7614672069129791E-4</v>
      </c>
    </row>
    <row r="56" spans="5:9">
      <c r="E56">
        <v>51</v>
      </c>
      <c r="F56">
        <f t="shared" si="7"/>
        <v>0.62703469583537907</v>
      </c>
      <c r="G56">
        <f t="shared" si="4"/>
        <v>1.4193162145041587</v>
      </c>
      <c r="H56">
        <f t="shared" si="5"/>
        <v>9.9469562259250771E-2</v>
      </c>
      <c r="I56">
        <f t="shared" si="6"/>
        <v>5.3043774074923444E-4</v>
      </c>
    </row>
    <row r="57" spans="5:9">
      <c r="E57">
        <v>52</v>
      </c>
      <c r="F57">
        <f t="shared" si="7"/>
        <v>0.62756513357612831</v>
      </c>
      <c r="G57">
        <f t="shared" si="4"/>
        <v>1.4205168799397887</v>
      </c>
      <c r="H57">
        <f t="shared" si="5"/>
        <v>9.9511626323969302E-2</v>
      </c>
      <c r="I57">
        <f t="shared" si="6"/>
        <v>4.8837367603070392E-4</v>
      </c>
    </row>
    <row r="58" spans="5:9">
      <c r="E58">
        <v>53</v>
      </c>
      <c r="F58">
        <f t="shared" si="7"/>
        <v>0.62805350725215903</v>
      </c>
      <c r="G58">
        <f t="shared" si="4"/>
        <v>1.4216223318098866</v>
      </c>
      <c r="H58">
        <f t="shared" si="5"/>
        <v>9.9550338964998084E-2</v>
      </c>
      <c r="I58">
        <f t="shared" si="6"/>
        <v>4.49661035001922E-4</v>
      </c>
    </row>
    <row r="59" spans="5:9">
      <c r="E59">
        <v>54</v>
      </c>
      <c r="F59">
        <f t="shared" si="7"/>
        <v>0.62850316828716091</v>
      </c>
      <c r="G59">
        <f t="shared" si="4"/>
        <v>1.4226401561858704</v>
      </c>
      <c r="H59">
        <f t="shared" si="5"/>
        <v>9.9585969606746538E-2</v>
      </c>
      <c r="I59">
        <f t="shared" si="6"/>
        <v>4.1403039325346724E-4</v>
      </c>
    </row>
    <row r="60" spans="5:9">
      <c r="E60">
        <v>55</v>
      </c>
      <c r="F60">
        <f t="shared" si="7"/>
        <v>0.6289171986804144</v>
      </c>
      <c r="G60">
        <f t="shared" si="4"/>
        <v>1.4235773292870484</v>
      </c>
      <c r="H60">
        <f t="shared" si="5"/>
        <v>9.9618765646669674E-2</v>
      </c>
      <c r="I60">
        <f t="shared" si="6"/>
        <v>3.812343533303314E-4</v>
      </c>
    </row>
    <row r="61" spans="5:9">
      <c r="E61">
        <v>56</v>
      </c>
      <c r="F61">
        <f t="shared" si="7"/>
        <v>0.62929843303374478</v>
      </c>
      <c r="G61">
        <f t="shared" si="4"/>
        <v>1.4244402673394427</v>
      </c>
      <c r="H61">
        <f t="shared" si="5"/>
        <v>9.964895431234308E-2</v>
      </c>
      <c r="I61">
        <f t="shared" si="6"/>
        <v>3.5104568765692568E-4</v>
      </c>
    </row>
    <row r="62" spans="5:9">
      <c r="E62">
        <v>57</v>
      </c>
      <c r="F62">
        <f t="shared" si="7"/>
        <v>0.62964947872140176</v>
      </c>
      <c r="G62">
        <f t="shared" si="4"/>
        <v>1.4252348722310579</v>
      </c>
      <c r="H62">
        <f t="shared" si="5"/>
        <v>9.9676744353401403E-2</v>
      </c>
      <c r="I62">
        <f t="shared" si="6"/>
        <v>3.2325564659860251E-4</v>
      </c>
    </row>
    <row r="63" spans="5:9">
      <c r="E63">
        <v>58</v>
      </c>
      <c r="F63">
        <f t="shared" si="7"/>
        <v>0.62997273436800039</v>
      </c>
      <c r="G63">
        <f t="shared" si="4"/>
        <v>1.4259665733373839</v>
      </c>
      <c r="H63">
        <f t="shared" si="5"/>
        <v>9.9702327584313383E-2</v>
      </c>
      <c r="I63">
        <f t="shared" si="6"/>
        <v>2.9767241568662284E-4</v>
      </c>
    </row>
    <row r="64" spans="5:9">
      <c r="E64">
        <v>59</v>
      </c>
      <c r="F64">
        <f t="shared" si="7"/>
        <v>0.63027040678368706</v>
      </c>
      <c r="G64">
        <f t="shared" si="4"/>
        <v>1.4266403658547691</v>
      </c>
      <c r="H64">
        <f t="shared" si="5"/>
        <v>9.9725880292233074E-2</v>
      </c>
      <c r="I64">
        <f t="shared" si="6"/>
        <v>2.7411970776693162E-4</v>
      </c>
    </row>
    <row r="65" spans="5:9">
      <c r="E65">
        <v>60</v>
      </c>
      <c r="F65">
        <f t="shared" si="7"/>
        <v>0.63054452649145398</v>
      </c>
      <c r="G65">
        <f t="shared" si="4"/>
        <v>1.4272608459470713</v>
      </c>
      <c r="H65">
        <f t="shared" si="5"/>
        <v>9.9747564522647436E-2</v>
      </c>
      <c r="I65">
        <f t="shared" si="6"/>
        <v>2.5243547735256944E-4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382"/>
  <sheetViews>
    <sheetView zoomScale="89" zoomScaleNormal="171" workbookViewId="0">
      <selection activeCell="B31" sqref="B31"/>
    </sheetView>
  </sheetViews>
  <sheetFormatPr defaultRowHeight="14.4"/>
  <cols>
    <col min="1" max="1" width="28.33203125" style="195" customWidth="1"/>
    <col min="2" max="2" width="11.88671875" style="195" customWidth="1"/>
    <col min="3" max="3" width="12.33203125" style="195" customWidth="1"/>
    <col min="4" max="7" width="20" style="195" customWidth="1"/>
    <col min="8" max="8" width="16.33203125" style="59" bestFit="1" customWidth="1"/>
    <col min="9" max="9" width="22.33203125" style="59" customWidth="1"/>
    <col min="10" max="10" width="29.6640625" style="195" customWidth="1"/>
    <col min="11" max="12" width="39.33203125" style="195" customWidth="1"/>
    <col min="13" max="13" width="22.33203125" style="195" customWidth="1"/>
    <col min="18" max="18" width="19.88671875" style="195" bestFit="1" customWidth="1"/>
    <col min="19" max="19" width="13.88671875" style="195" bestFit="1" customWidth="1"/>
    <col min="25" max="25" width="10.5546875" style="195" bestFit="1" customWidth="1"/>
    <col min="28" max="28" width="14.109375" style="195" bestFit="1" customWidth="1"/>
    <col min="29" max="29" width="11.109375" style="195" customWidth="1"/>
  </cols>
  <sheetData>
    <row r="1" spans="1:31">
      <c r="A1" s="83" t="s">
        <v>461</v>
      </c>
    </row>
    <row r="2" spans="1:31">
      <c r="A2" s="84" t="s">
        <v>462</v>
      </c>
      <c r="B2" s="186"/>
    </row>
    <row r="3" spans="1:31">
      <c r="A3" s="85" t="s">
        <v>463</v>
      </c>
      <c r="B3" s="186"/>
    </row>
    <row r="4" spans="1:31" ht="15" customHeight="1" thickBot="1">
      <c r="A4" s="71"/>
    </row>
    <row r="5" spans="1:31" ht="16.8" customHeight="1" thickBot="1">
      <c r="A5" s="74" t="s">
        <v>1</v>
      </c>
      <c r="B5" s="75"/>
      <c r="C5" s="76"/>
      <c r="H5" s="72" t="s">
        <v>360</v>
      </c>
      <c r="I5" s="72" t="s">
        <v>464</v>
      </c>
      <c r="J5" s="204" t="s">
        <v>465</v>
      </c>
      <c r="K5" s="204" t="s">
        <v>466</v>
      </c>
      <c r="L5" s="204" t="s">
        <v>467</v>
      </c>
      <c r="M5" s="204" t="s">
        <v>468</v>
      </c>
      <c r="R5" s="60" t="s">
        <v>469</v>
      </c>
      <c r="S5" s="61" t="s">
        <v>470</v>
      </c>
      <c r="V5" s="56" t="s">
        <v>471</v>
      </c>
      <c r="Y5" s="59"/>
      <c r="AB5" s="90" t="s">
        <v>1</v>
      </c>
      <c r="AC5" s="91" t="s">
        <v>472</v>
      </c>
      <c r="AD5" s="91" t="s">
        <v>472</v>
      </c>
      <c r="AE5" s="92" t="s">
        <v>472</v>
      </c>
    </row>
    <row r="6" spans="1:31">
      <c r="A6" s="77" t="s">
        <v>473</v>
      </c>
      <c r="B6" s="78" t="s">
        <v>146</v>
      </c>
      <c r="C6" s="79">
        <v>0.75</v>
      </c>
      <c r="J6">
        <v>0</v>
      </c>
      <c r="K6">
        <v>0</v>
      </c>
      <c r="L6">
        <f t="shared" ref="L6:L69" si="0">($C$14*(I7/1000))*1000</f>
        <v>0</v>
      </c>
      <c r="M6">
        <f t="shared" ref="M6:M69" si="1">L6-K7</f>
        <v>0</v>
      </c>
      <c r="V6" s="56" t="s">
        <v>474</v>
      </c>
      <c r="Y6" s="59"/>
      <c r="AB6" s="93" t="s">
        <v>475</v>
      </c>
      <c r="AC6" s="94" t="s">
        <v>297</v>
      </c>
      <c r="AD6" s="94">
        <v>8</v>
      </c>
      <c r="AE6" s="95" t="s">
        <v>146</v>
      </c>
    </row>
    <row r="7" spans="1:31">
      <c r="A7" s="77" t="s">
        <v>476</v>
      </c>
      <c r="B7" s="78" t="s">
        <v>146</v>
      </c>
      <c r="C7" s="79">
        <v>0.02</v>
      </c>
      <c r="H7" s="87">
        <f>IF($S$5="Station 1 - 2014",'Station 1 - 2014'!A12,IF('Week 10 Studio'!$S$5="Station 1 - 2015",'Station 1 - 2015'!A12,IF('Week 10 Studio'!$S$5="Station 2 - 2015",'Station 2 - 2015'!A12,IF('Week 10 Studio'!$S$5="Station 3 - 2013",'Station 3 - 2013'!A12,"N/A"))))</f>
        <v>41275</v>
      </c>
      <c r="I7" s="88">
        <f>IF($S$5="Station 1 - 2014",'Station 1 - 2014'!B12,IF('Week 10 Studio'!$S$5="Station 1 - 2015",'Station 1 - 2015'!B12,IF('Week 10 Studio'!$S$5="Station 2 - 2015",'Station 2 - 2015'!B12,IF('Week 10 Studio'!$S$5="Station 3 - 2013",'Station 3 - 2013'!B12,"N/A"))))</f>
        <v>0</v>
      </c>
      <c r="J7">
        <f t="shared" ref="J7:J70" si="2">IF(IF(J6+M$6&lt;$C$13,J6+M6,$C$13)&gt;0,IF(J6+M6&lt;$C$13,J6+M6,$C$13),0)</f>
        <v>0</v>
      </c>
      <c r="K7">
        <f t="shared" ref="K7:K70" si="3">IF(MONTH(H7)=1,0,$C$18)</f>
        <v>0</v>
      </c>
      <c r="L7">
        <f t="shared" si="0"/>
        <v>0</v>
      </c>
      <c r="M7">
        <f t="shared" si="1"/>
        <v>0</v>
      </c>
      <c r="V7" s="56" t="s">
        <v>477</v>
      </c>
      <c r="Y7" s="59"/>
      <c r="AB7" s="93" t="s">
        <v>478</v>
      </c>
      <c r="AC7" s="94" t="s">
        <v>273</v>
      </c>
      <c r="AD7" s="94">
        <v>12</v>
      </c>
      <c r="AE7" s="95" t="s">
        <v>146</v>
      </c>
    </row>
    <row r="8" spans="1:31">
      <c r="A8" s="77" t="s">
        <v>479</v>
      </c>
      <c r="B8" s="78" t="s">
        <v>480</v>
      </c>
      <c r="C8" s="79">
        <v>0</v>
      </c>
      <c r="D8" s="86"/>
      <c r="E8" s="86"/>
      <c r="F8" s="86"/>
      <c r="G8" s="86"/>
      <c r="H8" s="87">
        <f>IF($S$5="Station 1 - 2014",'Station 1 - 2014'!A13,IF('Week 10 Studio'!$S$5="Station 1 - 2015",'Station 1 - 2015'!A13,IF('Week 10 Studio'!$S$5="Station 2 - 2015",'Station 2 - 2015'!A13,IF('Week 10 Studio'!$S$5="Station 3 - 2013",'Station 3 - 2013'!A13,"N/A"))))</f>
        <v>41276</v>
      </c>
      <c r="I8" s="88">
        <f>IF($S$5="Station 1 - 2014",'Station 1 - 2014'!B13,IF('Week 10 Studio'!$S$5="Station 1 - 2015",'Station 1 - 2015'!B13,IF('Week 10 Studio'!$S$5="Station 2 - 2015",'Station 2 - 2015'!B13,IF('Week 10 Studio'!$S$5="Station 3 - 2013",'Station 3 - 2013'!B13,"N/A"))))</f>
        <v>0</v>
      </c>
      <c r="J8">
        <f t="shared" si="2"/>
        <v>0</v>
      </c>
      <c r="K8">
        <f t="shared" si="3"/>
        <v>0</v>
      </c>
      <c r="L8">
        <f t="shared" si="0"/>
        <v>0</v>
      </c>
      <c r="M8">
        <f t="shared" si="1"/>
        <v>0</v>
      </c>
      <c r="V8" s="56" t="s">
        <v>470</v>
      </c>
      <c r="Y8" s="59"/>
      <c r="AB8" s="93" t="s">
        <v>481</v>
      </c>
      <c r="AC8" s="94" t="s">
        <v>482</v>
      </c>
      <c r="AD8" s="94">
        <f>AD6*AD7</f>
        <v>96</v>
      </c>
      <c r="AE8" s="95" t="s">
        <v>121</v>
      </c>
    </row>
    <row r="9" spans="1:31" ht="16.8" customHeight="1" thickBot="1">
      <c r="A9" s="77" t="s">
        <v>483</v>
      </c>
      <c r="B9" s="78" t="s">
        <v>484</v>
      </c>
      <c r="C9" s="79">
        <v>0.1</v>
      </c>
      <c r="H9" s="87">
        <f>IF($S$5="Station 1 - 2014",'Station 1 - 2014'!A14,IF('Week 10 Studio'!$S$5="Station 1 - 2015",'Station 1 - 2015'!A14,IF('Week 10 Studio'!$S$5="Station 2 - 2015",'Station 2 - 2015'!A14,IF('Week 10 Studio'!$S$5="Station 3 - 2013",'Station 3 - 2013'!A14,"N/A"))))</f>
        <v>41277</v>
      </c>
      <c r="I9" s="88">
        <f>IF($S$5="Station 1 - 2014",'Station 1 - 2014'!B14,IF('Week 10 Studio'!$S$5="Station 1 - 2015",'Station 1 - 2015'!B14,IF('Week 10 Studio'!$S$5="Station 2 - 2015",'Station 2 - 2015'!B14,IF('Week 10 Studio'!$S$5="Station 3 - 2013",'Station 3 - 2013'!B14,"N/A"))))</f>
        <v>0</v>
      </c>
      <c r="J9">
        <f t="shared" si="2"/>
        <v>0</v>
      </c>
      <c r="K9">
        <f t="shared" si="3"/>
        <v>0</v>
      </c>
      <c r="L9">
        <f t="shared" si="0"/>
        <v>0</v>
      </c>
      <c r="M9">
        <f t="shared" si="1"/>
        <v>0</v>
      </c>
      <c r="Y9" s="59"/>
      <c r="AB9" s="96" t="s">
        <v>485</v>
      </c>
      <c r="AC9" s="97" t="s">
        <v>486</v>
      </c>
      <c r="AD9" s="97">
        <v>0</v>
      </c>
      <c r="AE9" s="98" t="s">
        <v>114</v>
      </c>
    </row>
    <row r="10" spans="1:31" ht="16.2" customHeight="1">
      <c r="A10" s="77" t="s">
        <v>487</v>
      </c>
      <c r="B10" s="78" t="s">
        <v>488</v>
      </c>
      <c r="C10" s="79">
        <f>PI()*(C7/2)^2</f>
        <v>3.1415926535897931E-4</v>
      </c>
      <c r="H10" s="87">
        <f>IF($S$5="Station 1 - 2014",'Station 1 - 2014'!A15,IF('Week 10 Studio'!$S$5="Station 1 - 2015",'Station 1 - 2015'!A15,IF('Week 10 Studio'!$S$5="Station 2 - 2015",'Station 2 - 2015'!A15,IF('Week 10 Studio'!$S$5="Station 3 - 2013",'Station 3 - 2013'!A15,"N/A"))))</f>
        <v>41278</v>
      </c>
      <c r="I10" s="88">
        <f>IF($S$5="Station 1 - 2014",'Station 1 - 2014'!B15,IF('Week 10 Studio'!$S$5="Station 1 - 2015",'Station 1 - 2015'!B15,IF('Week 10 Studio'!$S$5="Station 2 - 2015",'Station 2 - 2015'!B15,IF('Week 10 Studio'!$S$5="Station 3 - 2013",'Station 3 - 2013'!B15,"N/A"))))</f>
        <v>0</v>
      </c>
      <c r="J10">
        <f t="shared" si="2"/>
        <v>0</v>
      </c>
      <c r="K10">
        <f t="shared" si="3"/>
        <v>0</v>
      </c>
      <c r="L10">
        <f t="shared" si="0"/>
        <v>550</v>
      </c>
      <c r="M10">
        <f t="shared" si="1"/>
        <v>550</v>
      </c>
      <c r="R10" s="73"/>
      <c r="Y10" s="59"/>
    </row>
    <row r="11" spans="1:31" ht="16.2" customHeight="1">
      <c r="A11" s="77" t="s">
        <v>489</v>
      </c>
      <c r="B11" s="78" t="s">
        <v>490</v>
      </c>
      <c r="C11" s="79">
        <v>9.81</v>
      </c>
      <c r="H11" s="87">
        <f>IF($S$5="Station 1 - 2014",'Station 1 - 2014'!A16,IF('Week 10 Studio'!$S$5="Station 1 - 2015",'Station 1 - 2015'!A16,IF('Week 10 Studio'!$S$5="Station 2 - 2015",'Station 2 - 2015'!A16,IF('Week 10 Studio'!$S$5="Station 3 - 2013",'Station 3 - 2013'!A16,"N/A"))))</f>
        <v>41279</v>
      </c>
      <c r="I11" s="88">
        <f>IF($S$5="Station 1 - 2014",'Station 1 - 2014'!B16,IF('Week 10 Studio'!$S$5="Station 1 - 2015",'Station 1 - 2015'!B16,IF('Week 10 Studio'!$S$5="Station 2 - 2015",'Station 2 - 2015'!B16,IF('Week 10 Studio'!$S$5="Station 3 - 2013",'Station 3 - 2013'!B16,"N/A"))))</f>
        <v>4.4000000000000004</v>
      </c>
      <c r="J11">
        <f t="shared" si="2"/>
        <v>550</v>
      </c>
      <c r="K11">
        <f t="shared" si="3"/>
        <v>0</v>
      </c>
      <c r="L11">
        <f t="shared" si="0"/>
        <v>700</v>
      </c>
      <c r="M11">
        <f t="shared" si="1"/>
        <v>700</v>
      </c>
      <c r="Y11" s="59"/>
    </row>
    <row r="12" spans="1:31" ht="16.2" customHeight="1">
      <c r="A12" s="77" t="s">
        <v>491</v>
      </c>
      <c r="B12" s="78" t="s">
        <v>492</v>
      </c>
      <c r="C12" s="79">
        <f>PI()*(C6/2)^2</f>
        <v>0.44178646691106466</v>
      </c>
      <c r="H12" s="87">
        <f>IF($S$5="Station 1 - 2014",'Station 1 - 2014'!A17,IF('Week 10 Studio'!$S$5="Station 1 - 2015",'Station 1 - 2015'!A17,IF('Week 10 Studio'!$S$5="Station 2 - 2015",'Station 2 - 2015'!A17,IF('Week 10 Studio'!$S$5="Station 3 - 2013",'Station 3 - 2013'!A17,"N/A"))))</f>
        <v>41280</v>
      </c>
      <c r="I12" s="88">
        <f>IF($S$5="Station 1 - 2014",'Station 1 - 2014'!B17,IF('Week 10 Studio'!$S$5="Station 1 - 2015",'Station 1 - 2015'!B17,IF('Week 10 Studio'!$S$5="Station 2 - 2015",'Station 2 - 2015'!B17,IF('Week 10 Studio'!$S$5="Station 3 - 2013",'Station 3 - 2013'!B17,"N/A"))))</f>
        <v>5.6</v>
      </c>
      <c r="J12">
        <f t="shared" si="2"/>
        <v>1250</v>
      </c>
      <c r="K12">
        <f t="shared" si="3"/>
        <v>0</v>
      </c>
      <c r="L12">
        <f t="shared" si="0"/>
        <v>625</v>
      </c>
      <c r="M12">
        <f t="shared" si="1"/>
        <v>625</v>
      </c>
      <c r="Y12" s="59"/>
    </row>
    <row r="13" spans="1:31">
      <c r="A13" s="77" t="s">
        <v>493</v>
      </c>
      <c r="B13" s="78" t="s">
        <v>259</v>
      </c>
      <c r="C13" s="79">
        <v>5000</v>
      </c>
      <c r="H13" s="87">
        <f>IF($S$5="Station 1 - 2014",'Station 1 - 2014'!A18,IF('Week 10 Studio'!$S$5="Station 1 - 2015",'Station 1 - 2015'!A18,IF('Week 10 Studio'!$S$5="Station 2 - 2015",'Station 2 - 2015'!A18,IF('Week 10 Studio'!$S$5="Station 3 - 2013",'Station 3 - 2013'!A18,"N/A"))))</f>
        <v>41281</v>
      </c>
      <c r="I13" s="88">
        <f>IF($S$5="Station 1 - 2014",'Station 1 - 2014'!B18,IF('Week 10 Studio'!$S$5="Station 1 - 2015",'Station 1 - 2015'!B18,IF('Week 10 Studio'!$S$5="Station 2 - 2015",'Station 2 - 2015'!B18,IF('Week 10 Studio'!$S$5="Station 3 - 2013",'Station 3 - 2013'!B18,"N/A"))))</f>
        <v>5</v>
      </c>
      <c r="J13">
        <f t="shared" si="2"/>
        <v>1875</v>
      </c>
      <c r="K13">
        <f t="shared" si="3"/>
        <v>0</v>
      </c>
      <c r="L13">
        <f t="shared" si="0"/>
        <v>325</v>
      </c>
      <c r="M13">
        <f t="shared" si="1"/>
        <v>325</v>
      </c>
      <c r="Y13" s="59"/>
    </row>
    <row r="14" spans="1:31" ht="16.2" customHeight="1">
      <c r="A14" s="77" t="s">
        <v>120</v>
      </c>
      <c r="B14" s="78" t="s">
        <v>492</v>
      </c>
      <c r="C14" s="79">
        <v>125</v>
      </c>
      <c r="H14" s="87">
        <f>IF($S$5="Station 1 - 2014",'Station 1 - 2014'!A19,IF('Week 10 Studio'!$S$5="Station 1 - 2015",'Station 1 - 2015'!A19,IF('Week 10 Studio'!$S$5="Station 2 - 2015",'Station 2 - 2015'!A19,IF('Week 10 Studio'!$S$5="Station 3 - 2013",'Station 3 - 2013'!A19,"N/A"))))</f>
        <v>41282</v>
      </c>
      <c r="I14" s="88">
        <f>IF($S$5="Station 1 - 2014",'Station 1 - 2014'!B19,IF('Week 10 Studio'!$S$5="Station 1 - 2015",'Station 1 - 2015'!B19,IF('Week 10 Studio'!$S$5="Station 2 - 2015",'Station 2 - 2015'!B19,IF('Week 10 Studio'!$S$5="Station 3 - 2013",'Station 3 - 2013'!B19,"N/A"))))</f>
        <v>2.6</v>
      </c>
      <c r="J14">
        <f t="shared" si="2"/>
        <v>2200</v>
      </c>
      <c r="K14">
        <f t="shared" si="3"/>
        <v>0</v>
      </c>
      <c r="L14">
        <f t="shared" si="0"/>
        <v>25</v>
      </c>
      <c r="M14">
        <f t="shared" si="1"/>
        <v>25</v>
      </c>
      <c r="Y14" s="59"/>
    </row>
    <row r="15" spans="1:31" ht="16.2" customHeight="1">
      <c r="A15" s="77" t="s">
        <v>494</v>
      </c>
      <c r="B15" s="78" t="s">
        <v>484</v>
      </c>
      <c r="C15" s="79"/>
      <c r="H15" s="87">
        <f>IF($S$5="Station 1 - 2014",'Station 1 - 2014'!A20,IF('Week 10 Studio'!$S$5="Station 1 - 2015",'Station 1 - 2015'!A20,IF('Week 10 Studio'!$S$5="Station 2 - 2015",'Station 2 - 2015'!A20,IF('Week 10 Studio'!$S$5="Station 3 - 2013",'Station 3 - 2013'!A20,"N/A"))))</f>
        <v>41283</v>
      </c>
      <c r="I15" s="88">
        <f>IF($S$5="Station 1 - 2014",'Station 1 - 2014'!B20,IF('Week 10 Studio'!$S$5="Station 1 - 2015",'Station 1 - 2015'!B20,IF('Week 10 Studio'!$S$5="Station 2 - 2015",'Station 2 - 2015'!B20,IF('Week 10 Studio'!$S$5="Station 3 - 2013",'Station 3 - 2013'!B20,"N/A"))))</f>
        <v>0.2</v>
      </c>
      <c r="J15">
        <f t="shared" si="2"/>
        <v>2225</v>
      </c>
      <c r="K15">
        <f t="shared" si="3"/>
        <v>0</v>
      </c>
      <c r="L15">
        <f t="shared" si="0"/>
        <v>0</v>
      </c>
      <c r="M15">
        <f t="shared" si="1"/>
        <v>0</v>
      </c>
      <c r="Y15" s="59"/>
    </row>
    <row r="16" spans="1:31" ht="16.2" customHeight="1">
      <c r="A16" s="77" t="s">
        <v>495</v>
      </c>
      <c r="B16" s="78" t="s">
        <v>496</v>
      </c>
      <c r="C16" s="79">
        <v>136</v>
      </c>
      <c r="H16" s="87">
        <f>IF($S$5="Station 1 - 2014",'Station 1 - 2014'!A21,IF('Week 10 Studio'!$S$5="Station 1 - 2015",'Station 1 - 2015'!A21,IF('Week 10 Studio'!$S$5="Station 2 - 2015",'Station 2 - 2015'!A21,IF('Week 10 Studio'!$S$5="Station 3 - 2013",'Station 3 - 2013'!A21,"N/A"))))</f>
        <v>41284</v>
      </c>
      <c r="I16" s="88">
        <f>IF($S$5="Station 1 - 2014",'Station 1 - 2014'!B21,IF('Week 10 Studio'!$S$5="Station 1 - 2015",'Station 1 - 2015'!B21,IF('Week 10 Studio'!$S$5="Station 2 - 2015",'Station 2 - 2015'!B21,IF('Week 10 Studio'!$S$5="Station 3 - 2013",'Station 3 - 2013'!B21,"N/A"))))</f>
        <v>0</v>
      </c>
      <c r="J16">
        <f t="shared" si="2"/>
        <v>2225</v>
      </c>
      <c r="K16">
        <f t="shared" si="3"/>
        <v>0</v>
      </c>
      <c r="L16">
        <f t="shared" si="0"/>
        <v>0</v>
      </c>
      <c r="M16">
        <f t="shared" si="1"/>
        <v>0</v>
      </c>
      <c r="Y16" s="59"/>
    </row>
    <row r="17" spans="1:25" ht="16.2" customHeight="1">
      <c r="A17" s="77" t="s">
        <v>497</v>
      </c>
      <c r="B17" s="78" t="s">
        <v>496</v>
      </c>
      <c r="C17" s="79">
        <v>601</v>
      </c>
      <c r="H17" s="87">
        <f>IF($S$5="Station 1 - 2014",'Station 1 - 2014'!A22,IF('Week 10 Studio'!$S$5="Station 1 - 2015",'Station 1 - 2015'!A22,IF('Week 10 Studio'!$S$5="Station 2 - 2015",'Station 2 - 2015'!A22,IF('Week 10 Studio'!$S$5="Station 3 - 2013",'Station 3 - 2013'!A22,"N/A"))))</f>
        <v>41285</v>
      </c>
      <c r="I17" s="88">
        <f>IF($S$5="Station 1 - 2014",'Station 1 - 2014'!B22,IF('Week 10 Studio'!$S$5="Station 1 - 2015",'Station 1 - 2015'!B22,IF('Week 10 Studio'!$S$5="Station 2 - 2015",'Station 2 - 2015'!B22,IF('Week 10 Studio'!$S$5="Station 3 - 2013",'Station 3 - 2013'!B22,"N/A"))))</f>
        <v>0</v>
      </c>
      <c r="J17">
        <f t="shared" si="2"/>
        <v>2225</v>
      </c>
      <c r="K17">
        <f t="shared" si="3"/>
        <v>0</v>
      </c>
      <c r="L17">
        <f t="shared" si="0"/>
        <v>0</v>
      </c>
      <c r="M17">
        <f t="shared" si="1"/>
        <v>0</v>
      </c>
      <c r="Y17" s="59"/>
    </row>
    <row r="18" spans="1:25" ht="16.2" customHeight="1">
      <c r="A18" s="80" t="s">
        <v>275</v>
      </c>
      <c r="B18" s="81" t="s">
        <v>496</v>
      </c>
      <c r="C18" s="82">
        <v>369</v>
      </c>
      <c r="H18" s="87">
        <f>IF($S$5="Station 1 - 2014",'Station 1 - 2014'!A23,IF('Week 10 Studio'!$S$5="Station 1 - 2015",'Station 1 - 2015'!A23,IF('Week 10 Studio'!$S$5="Station 2 - 2015",'Station 2 - 2015'!A23,IF('Week 10 Studio'!$S$5="Station 3 - 2013",'Station 3 - 2013'!A23,"N/A"))))</f>
        <v>41286</v>
      </c>
      <c r="I18" s="88">
        <f>IF($S$5="Station 1 - 2014",'Station 1 - 2014'!B23,IF('Week 10 Studio'!$S$5="Station 1 - 2015",'Station 1 - 2015'!B23,IF('Week 10 Studio'!$S$5="Station 2 - 2015",'Station 2 - 2015'!B23,IF('Week 10 Studio'!$S$5="Station 3 - 2013",'Station 3 - 2013'!B23,"N/A"))))</f>
        <v>0</v>
      </c>
      <c r="J18">
        <f t="shared" si="2"/>
        <v>2225</v>
      </c>
      <c r="K18">
        <f t="shared" si="3"/>
        <v>0</v>
      </c>
      <c r="L18">
        <f t="shared" si="0"/>
        <v>0</v>
      </c>
      <c r="M18">
        <f t="shared" si="1"/>
        <v>0</v>
      </c>
      <c r="Y18" s="59"/>
    </row>
    <row r="19" spans="1:25">
      <c r="H19" s="87">
        <f>IF($S$5="Station 1 - 2014",'Station 1 - 2014'!A24,IF('Week 10 Studio'!$S$5="Station 1 - 2015",'Station 1 - 2015'!A24,IF('Week 10 Studio'!$S$5="Station 2 - 2015",'Station 2 - 2015'!A24,IF('Week 10 Studio'!$S$5="Station 3 - 2013",'Station 3 - 2013'!A24,"N/A"))))</f>
        <v>41287</v>
      </c>
      <c r="I19" s="88">
        <f>IF($S$5="Station 1 - 2014",'Station 1 - 2014'!B24,IF('Week 10 Studio'!$S$5="Station 1 - 2015",'Station 1 - 2015'!B24,IF('Week 10 Studio'!$S$5="Station 2 - 2015",'Station 2 - 2015'!B24,IF('Week 10 Studio'!$S$5="Station 3 - 2013",'Station 3 - 2013'!B24,"N/A"))))</f>
        <v>0</v>
      </c>
      <c r="J19">
        <f t="shared" si="2"/>
        <v>2225</v>
      </c>
      <c r="K19">
        <f t="shared" si="3"/>
        <v>0</v>
      </c>
      <c r="L19">
        <f t="shared" si="0"/>
        <v>0</v>
      </c>
      <c r="M19">
        <f t="shared" si="1"/>
        <v>0</v>
      </c>
      <c r="Y19" s="59"/>
    </row>
    <row r="20" spans="1:25">
      <c r="H20" s="87">
        <f>IF($S$5="Station 1 - 2014",'Station 1 - 2014'!A25,IF('Week 10 Studio'!$S$5="Station 1 - 2015",'Station 1 - 2015'!A25,IF('Week 10 Studio'!$S$5="Station 2 - 2015",'Station 2 - 2015'!A25,IF('Week 10 Studio'!$S$5="Station 3 - 2013",'Station 3 - 2013'!A25,"N/A"))))</f>
        <v>41288</v>
      </c>
      <c r="I20" s="88">
        <f>IF($S$5="Station 1 - 2014",'Station 1 - 2014'!B25,IF('Week 10 Studio'!$S$5="Station 1 - 2015",'Station 1 - 2015'!B25,IF('Week 10 Studio'!$S$5="Station 2 - 2015",'Station 2 - 2015'!B25,IF('Week 10 Studio'!$S$5="Station 3 - 2013",'Station 3 - 2013'!B25,"N/A"))))</f>
        <v>0</v>
      </c>
      <c r="J20">
        <f t="shared" si="2"/>
        <v>2225</v>
      </c>
      <c r="K20">
        <f t="shared" si="3"/>
        <v>0</v>
      </c>
      <c r="L20">
        <f t="shared" si="0"/>
        <v>125</v>
      </c>
      <c r="M20">
        <f t="shared" si="1"/>
        <v>125</v>
      </c>
      <c r="Y20" s="59"/>
    </row>
    <row r="21" spans="1:25">
      <c r="A21" t="s">
        <v>498</v>
      </c>
      <c r="B21" t="s">
        <v>499</v>
      </c>
      <c r="C21">
        <f>0.5*(1-(COS(($C$18-$C$16)/($C$17-$C$16)*(PI()))))*100</f>
        <v>50.168902509605815</v>
      </c>
      <c r="H21" s="87">
        <f>IF($S$5="Station 1 - 2014",'Station 1 - 2014'!A26,IF('Week 10 Studio'!$S$5="Station 1 - 2015",'Station 1 - 2015'!A26,IF('Week 10 Studio'!$S$5="Station 2 - 2015",'Station 2 - 2015'!A26,IF('Week 10 Studio'!$S$5="Station 3 - 2013",'Station 3 - 2013'!A26,"N/A"))))</f>
        <v>41289</v>
      </c>
      <c r="I21" s="88">
        <f>IF($S$5="Station 1 - 2014",'Station 1 - 2014'!B26,IF('Week 10 Studio'!$S$5="Station 1 - 2015",'Station 1 - 2015'!B26,IF('Week 10 Studio'!$S$5="Station 2 - 2015",'Station 2 - 2015'!B26,IF('Week 10 Studio'!$S$5="Station 3 - 2013",'Station 3 - 2013'!B26,"N/A"))))</f>
        <v>1</v>
      </c>
      <c r="J21">
        <f t="shared" si="2"/>
        <v>2350</v>
      </c>
      <c r="K21">
        <f t="shared" si="3"/>
        <v>0</v>
      </c>
      <c r="L21">
        <f t="shared" si="0"/>
        <v>150</v>
      </c>
      <c r="M21">
        <f t="shared" si="1"/>
        <v>150</v>
      </c>
      <c r="Y21" s="59"/>
    </row>
    <row r="22" spans="1:25">
      <c r="H22" s="87">
        <f>IF($S$5="Station 1 - 2014",'Station 1 - 2014'!A27,IF('Week 10 Studio'!$S$5="Station 1 - 2015",'Station 1 - 2015'!A27,IF('Week 10 Studio'!$S$5="Station 2 - 2015",'Station 2 - 2015'!A27,IF('Week 10 Studio'!$S$5="Station 3 - 2013",'Station 3 - 2013'!A27,"N/A"))))</f>
        <v>41290</v>
      </c>
      <c r="I22" s="88">
        <f>IF($S$5="Station 1 - 2014",'Station 1 - 2014'!B27,IF('Week 10 Studio'!$S$5="Station 1 - 2015",'Station 1 - 2015'!B27,IF('Week 10 Studio'!$S$5="Station 2 - 2015",'Station 2 - 2015'!B27,IF('Week 10 Studio'!$S$5="Station 3 - 2013",'Station 3 - 2013'!B27,"N/A"))))</f>
        <v>1.2</v>
      </c>
      <c r="J22">
        <f t="shared" si="2"/>
        <v>2500</v>
      </c>
      <c r="K22">
        <f t="shared" si="3"/>
        <v>0</v>
      </c>
      <c r="L22">
        <f t="shared" si="0"/>
        <v>275</v>
      </c>
      <c r="M22">
        <f t="shared" si="1"/>
        <v>275</v>
      </c>
      <c r="Y22" s="59"/>
    </row>
    <row r="23" spans="1:25">
      <c r="H23" s="87">
        <f>IF($S$5="Station 1 - 2014",'Station 1 - 2014'!A28,IF('Week 10 Studio'!$S$5="Station 1 - 2015",'Station 1 - 2015'!A28,IF('Week 10 Studio'!$S$5="Station 2 - 2015",'Station 2 - 2015'!A28,IF('Week 10 Studio'!$S$5="Station 3 - 2013",'Station 3 - 2013'!A28,"N/A"))))</f>
        <v>41291</v>
      </c>
      <c r="I23" s="88">
        <f>IF($S$5="Station 1 - 2014",'Station 1 - 2014'!B28,IF('Week 10 Studio'!$S$5="Station 1 - 2015",'Station 1 - 2015'!B28,IF('Week 10 Studio'!$S$5="Station 2 - 2015",'Station 2 - 2015'!B28,IF('Week 10 Studio'!$S$5="Station 3 - 2013",'Station 3 - 2013'!B28,"N/A"))))</f>
        <v>2.2000000000000002</v>
      </c>
      <c r="J23">
        <f t="shared" si="2"/>
        <v>2775</v>
      </c>
      <c r="K23">
        <f t="shared" si="3"/>
        <v>0</v>
      </c>
      <c r="L23">
        <f t="shared" si="0"/>
        <v>0</v>
      </c>
      <c r="M23">
        <f t="shared" si="1"/>
        <v>0</v>
      </c>
      <c r="Y23" s="59"/>
    </row>
    <row r="24" spans="1:25">
      <c r="A24" t="s">
        <v>500</v>
      </c>
      <c r="B24" t="s">
        <v>499</v>
      </c>
      <c r="H24" s="87">
        <f>IF($S$5="Station 1 - 2014",'Station 1 - 2014'!A29,IF('Week 10 Studio'!$S$5="Station 1 - 2015",'Station 1 - 2015'!A29,IF('Week 10 Studio'!$S$5="Station 2 - 2015",'Station 2 - 2015'!A29,IF('Week 10 Studio'!$S$5="Station 3 - 2013",'Station 3 - 2013'!A29,"N/A"))))</f>
        <v>41292</v>
      </c>
      <c r="I24" s="88">
        <f>IF($S$5="Station 1 - 2014",'Station 1 - 2014'!B29,IF('Week 10 Studio'!$S$5="Station 1 - 2015",'Station 1 - 2015'!B29,IF('Week 10 Studio'!$S$5="Station 2 - 2015",'Station 2 - 2015'!B29,IF('Week 10 Studio'!$S$5="Station 3 - 2013",'Station 3 - 2013'!B29,"N/A"))))</f>
        <v>0</v>
      </c>
      <c r="J24">
        <f t="shared" si="2"/>
        <v>2775</v>
      </c>
      <c r="K24">
        <f t="shared" si="3"/>
        <v>0</v>
      </c>
      <c r="L24">
        <f t="shared" si="0"/>
        <v>0</v>
      </c>
      <c r="M24">
        <f t="shared" si="1"/>
        <v>0</v>
      </c>
    </row>
    <row r="25" spans="1:25">
      <c r="B25">
        <v>1</v>
      </c>
      <c r="C25">
        <v>166</v>
      </c>
      <c r="H25" s="87">
        <f>IF($S$5="Station 1 - 2014",'Station 1 - 2014'!A30,IF('Week 10 Studio'!$S$5="Station 1 - 2015",'Station 1 - 2015'!A30,IF('Week 10 Studio'!$S$5="Station 2 - 2015",'Station 2 - 2015'!A30,IF('Week 10 Studio'!$S$5="Station 3 - 2013",'Station 3 - 2013'!A30,"N/A"))))</f>
        <v>41293</v>
      </c>
      <c r="I25" s="88">
        <f>IF($S$5="Station 1 - 2014",'Station 1 - 2014'!B30,IF('Week 10 Studio'!$S$5="Station 1 - 2015",'Station 1 - 2015'!B30,IF('Week 10 Studio'!$S$5="Station 2 - 2015",'Station 2 - 2015'!B30,IF('Week 10 Studio'!$S$5="Station 3 - 2013",'Station 3 - 2013'!B30,"N/A"))))</f>
        <v>0</v>
      </c>
      <c r="J25">
        <f t="shared" si="2"/>
        <v>2775</v>
      </c>
      <c r="K25">
        <f t="shared" si="3"/>
        <v>0</v>
      </c>
      <c r="L25">
        <f t="shared" si="0"/>
        <v>0</v>
      </c>
      <c r="M25">
        <f t="shared" si="1"/>
        <v>0</v>
      </c>
    </row>
    <row r="26" spans="1:25">
      <c r="B26">
        <v>50</v>
      </c>
      <c r="C26">
        <v>369</v>
      </c>
      <c r="H26" s="87">
        <f>IF($S$5="Station 1 - 2014",'Station 1 - 2014'!A31,IF('Week 10 Studio'!$S$5="Station 1 - 2015",'Station 1 - 2015'!A31,IF('Week 10 Studio'!$S$5="Station 2 - 2015",'Station 2 - 2015'!A31,IF('Week 10 Studio'!$S$5="Station 3 - 2013",'Station 3 - 2013'!A31,"N/A"))))</f>
        <v>41294</v>
      </c>
      <c r="I26" s="88">
        <f>IF($S$5="Station 1 - 2014",'Station 1 - 2014'!B31,IF('Week 10 Studio'!$S$5="Station 1 - 2015",'Station 1 - 2015'!B31,IF('Week 10 Studio'!$S$5="Station 2 - 2015",'Station 2 - 2015'!B31,IF('Week 10 Studio'!$S$5="Station 3 - 2013",'Station 3 - 2013'!B31,"N/A"))))</f>
        <v>0</v>
      </c>
      <c r="J26">
        <f t="shared" si="2"/>
        <v>2775</v>
      </c>
      <c r="K26">
        <f t="shared" si="3"/>
        <v>0</v>
      </c>
      <c r="L26">
        <f t="shared" si="0"/>
        <v>0</v>
      </c>
      <c r="M26">
        <f t="shared" si="1"/>
        <v>0</v>
      </c>
    </row>
    <row r="27" spans="1:25">
      <c r="B27">
        <v>99</v>
      </c>
      <c r="C27">
        <v>571</v>
      </c>
      <c r="H27" s="87">
        <f>IF($S$5="Station 1 - 2014",'Station 1 - 2014'!A32,IF('Week 10 Studio'!$S$5="Station 1 - 2015",'Station 1 - 2015'!A32,IF('Week 10 Studio'!$S$5="Station 2 - 2015",'Station 2 - 2015'!A32,IF('Week 10 Studio'!$S$5="Station 3 - 2013",'Station 3 - 2013'!A32,"N/A"))))</f>
        <v>41295</v>
      </c>
      <c r="I27" s="88">
        <f>IF($S$5="Station 1 - 2014",'Station 1 - 2014'!B32,IF('Week 10 Studio'!$S$5="Station 1 - 2015",'Station 1 - 2015'!B32,IF('Week 10 Studio'!$S$5="Station 2 - 2015",'Station 2 - 2015'!B32,IF('Week 10 Studio'!$S$5="Station 3 - 2013",'Station 3 - 2013'!B32,"N/A"))))</f>
        <v>0</v>
      </c>
      <c r="J27">
        <f t="shared" si="2"/>
        <v>2775</v>
      </c>
      <c r="K27">
        <f t="shared" si="3"/>
        <v>0</v>
      </c>
      <c r="L27">
        <f t="shared" si="0"/>
        <v>25</v>
      </c>
      <c r="M27">
        <f t="shared" si="1"/>
        <v>25</v>
      </c>
    </row>
    <row r="28" spans="1:25">
      <c r="A28" t="s">
        <v>460</v>
      </c>
      <c r="H28" s="87">
        <f>IF($S$5="Station 1 - 2014",'Station 1 - 2014'!A33,IF('Week 10 Studio'!$S$5="Station 1 - 2015",'Station 1 - 2015'!A33,IF('Week 10 Studio'!$S$5="Station 2 - 2015",'Station 2 - 2015'!A33,IF('Week 10 Studio'!$S$5="Station 3 - 2013",'Station 3 - 2013'!A33,"N/A"))))</f>
        <v>41296</v>
      </c>
      <c r="I28" s="88">
        <f>IF($S$5="Station 1 - 2014",'Station 1 - 2014'!B33,IF('Week 10 Studio'!$S$5="Station 1 - 2015",'Station 1 - 2015'!B33,IF('Week 10 Studio'!$S$5="Station 2 - 2015",'Station 2 - 2015'!B33,IF('Week 10 Studio'!$S$5="Station 3 - 2013",'Station 3 - 2013'!B33,"N/A"))))</f>
        <v>0.2</v>
      </c>
      <c r="J28">
        <f t="shared" si="2"/>
        <v>2800</v>
      </c>
      <c r="K28">
        <f t="shared" si="3"/>
        <v>0</v>
      </c>
      <c r="L28">
        <f t="shared" si="0"/>
        <v>800</v>
      </c>
      <c r="M28">
        <f t="shared" si="1"/>
        <v>800</v>
      </c>
    </row>
    <row r="29" spans="1:25">
      <c r="H29" s="87">
        <f>IF($S$5="Station 1 - 2014",'Station 1 - 2014'!A34,IF('Week 10 Studio'!$S$5="Station 1 - 2015",'Station 1 - 2015'!A34,IF('Week 10 Studio'!$S$5="Station 2 - 2015",'Station 2 - 2015'!A34,IF('Week 10 Studio'!$S$5="Station 3 - 2013",'Station 3 - 2013'!A34,"N/A"))))</f>
        <v>41297</v>
      </c>
      <c r="I29" s="88">
        <f>IF($S$5="Station 1 - 2014",'Station 1 - 2014'!B34,IF('Week 10 Studio'!$S$5="Station 1 - 2015",'Station 1 - 2015'!B34,IF('Week 10 Studio'!$S$5="Station 2 - 2015",'Station 2 - 2015'!B34,IF('Week 10 Studio'!$S$5="Station 3 - 2013",'Station 3 - 2013'!B34,"N/A"))))</f>
        <v>6.4</v>
      </c>
      <c r="J29">
        <f t="shared" si="2"/>
        <v>3600</v>
      </c>
      <c r="K29">
        <f t="shared" si="3"/>
        <v>0</v>
      </c>
      <c r="L29">
        <f t="shared" si="0"/>
        <v>275</v>
      </c>
      <c r="M29">
        <f t="shared" si="1"/>
        <v>275</v>
      </c>
    </row>
    <row r="30" spans="1:25">
      <c r="A30" t="s">
        <v>501</v>
      </c>
      <c r="B30">
        <f>COUNTIF(J7:J371,0)</f>
        <v>97</v>
      </c>
      <c r="H30" s="87">
        <f>IF($S$5="Station 1 - 2014",'Station 1 - 2014'!A35,IF('Week 10 Studio'!$S$5="Station 1 - 2015",'Station 1 - 2015'!A35,IF('Week 10 Studio'!$S$5="Station 2 - 2015",'Station 2 - 2015'!A35,IF('Week 10 Studio'!$S$5="Station 3 - 2013",'Station 3 - 2013'!A35,"N/A"))))</f>
        <v>41298</v>
      </c>
      <c r="I30" s="88">
        <f>IF($S$5="Station 1 - 2014",'Station 1 - 2014'!B35,IF('Week 10 Studio'!$S$5="Station 1 - 2015",'Station 1 - 2015'!B35,IF('Week 10 Studio'!$S$5="Station 2 - 2015",'Station 2 - 2015'!B35,IF('Week 10 Studio'!$S$5="Station 3 - 2013",'Station 3 - 2013'!B35,"N/A"))))</f>
        <v>2.2000000000000002</v>
      </c>
      <c r="J30">
        <f t="shared" si="2"/>
        <v>3875</v>
      </c>
      <c r="K30">
        <f t="shared" si="3"/>
        <v>0</v>
      </c>
      <c r="L30">
        <f t="shared" si="0"/>
        <v>25</v>
      </c>
      <c r="M30">
        <f t="shared" si="1"/>
        <v>25</v>
      </c>
    </row>
    <row r="31" spans="1:25">
      <c r="H31" s="87">
        <f>IF($S$5="Station 1 - 2014",'Station 1 - 2014'!A36,IF('Week 10 Studio'!$S$5="Station 1 - 2015",'Station 1 - 2015'!A36,IF('Week 10 Studio'!$S$5="Station 2 - 2015",'Station 2 - 2015'!A36,IF('Week 10 Studio'!$S$5="Station 3 - 2013",'Station 3 - 2013'!A36,"N/A"))))</f>
        <v>41299</v>
      </c>
      <c r="I31" s="88">
        <f>IF($S$5="Station 1 - 2014",'Station 1 - 2014'!B36,IF('Week 10 Studio'!$S$5="Station 1 - 2015",'Station 1 - 2015'!B36,IF('Week 10 Studio'!$S$5="Station 2 - 2015",'Station 2 - 2015'!B36,IF('Week 10 Studio'!$S$5="Station 3 - 2013",'Station 3 - 2013'!B36,"N/A"))))</f>
        <v>0.2</v>
      </c>
      <c r="J31">
        <f t="shared" si="2"/>
        <v>3900</v>
      </c>
      <c r="K31">
        <f t="shared" si="3"/>
        <v>0</v>
      </c>
      <c r="L31">
        <f t="shared" si="0"/>
        <v>200</v>
      </c>
      <c r="M31">
        <f t="shared" si="1"/>
        <v>200</v>
      </c>
    </row>
    <row r="32" spans="1:25">
      <c r="H32" s="87">
        <f>IF($S$5="Station 1 - 2014",'Station 1 - 2014'!A37,IF('Week 10 Studio'!$S$5="Station 1 - 2015",'Station 1 - 2015'!A37,IF('Week 10 Studio'!$S$5="Station 2 - 2015",'Station 2 - 2015'!A37,IF('Week 10 Studio'!$S$5="Station 3 - 2013",'Station 3 - 2013'!A37,"N/A"))))</f>
        <v>41300</v>
      </c>
      <c r="I32" s="88">
        <f>IF($S$5="Station 1 - 2014",'Station 1 - 2014'!B37,IF('Week 10 Studio'!$S$5="Station 1 - 2015",'Station 1 - 2015'!B37,IF('Week 10 Studio'!$S$5="Station 2 - 2015",'Station 2 - 2015'!B37,IF('Week 10 Studio'!$S$5="Station 3 - 2013",'Station 3 - 2013'!B37,"N/A"))))</f>
        <v>1.6</v>
      </c>
      <c r="J32">
        <f t="shared" si="2"/>
        <v>4100</v>
      </c>
      <c r="K32">
        <f t="shared" si="3"/>
        <v>0</v>
      </c>
      <c r="L32">
        <f t="shared" si="0"/>
        <v>575</v>
      </c>
      <c r="M32">
        <f t="shared" si="1"/>
        <v>575</v>
      </c>
    </row>
    <row r="33" spans="1:13">
      <c r="H33" s="87">
        <f>IF($S$5="Station 1 - 2014",'Station 1 - 2014'!A38,IF('Week 10 Studio'!$S$5="Station 1 - 2015",'Station 1 - 2015'!A38,IF('Week 10 Studio'!$S$5="Station 2 - 2015",'Station 2 - 2015'!A38,IF('Week 10 Studio'!$S$5="Station 3 - 2013",'Station 3 - 2013'!A38,"N/A"))))</f>
        <v>41301</v>
      </c>
      <c r="I33" s="88">
        <f>IF($S$5="Station 1 - 2014",'Station 1 - 2014'!B38,IF('Week 10 Studio'!$S$5="Station 1 - 2015",'Station 1 - 2015'!B38,IF('Week 10 Studio'!$S$5="Station 2 - 2015",'Station 2 - 2015'!B38,IF('Week 10 Studio'!$S$5="Station 3 - 2013",'Station 3 - 2013'!B38,"N/A"))))</f>
        <v>4.5999999999999996</v>
      </c>
      <c r="J33">
        <f t="shared" si="2"/>
        <v>4675</v>
      </c>
      <c r="K33">
        <f t="shared" si="3"/>
        <v>0</v>
      </c>
      <c r="L33">
        <f t="shared" si="0"/>
        <v>1300</v>
      </c>
      <c r="M33">
        <f t="shared" si="1"/>
        <v>1300</v>
      </c>
    </row>
    <row r="34" spans="1:13">
      <c r="B34" s="89">
        <v>0.01</v>
      </c>
      <c r="C34" s="89">
        <v>0.5</v>
      </c>
      <c r="D34" s="89">
        <v>0.99</v>
      </c>
      <c r="H34" s="87">
        <f>IF($S$5="Station 1 - 2014",'Station 1 - 2014'!A39,IF('Week 10 Studio'!$S$5="Station 1 - 2015",'Station 1 - 2015'!A39,IF('Week 10 Studio'!$S$5="Station 2 - 2015",'Station 2 - 2015'!A39,IF('Week 10 Studio'!$S$5="Station 3 - 2013",'Station 3 - 2013'!A39,"N/A"))))</f>
        <v>41302</v>
      </c>
      <c r="I34" s="88">
        <f>IF($S$5="Station 1 - 2014",'Station 1 - 2014'!B39,IF('Week 10 Studio'!$S$5="Station 1 - 2015",'Station 1 - 2015'!B39,IF('Week 10 Studio'!$S$5="Station 2 - 2015",'Station 2 - 2015'!B39,IF('Week 10 Studio'!$S$5="Station 3 - 2013",'Station 3 - 2013'!B39,"N/A"))))</f>
        <v>10.4</v>
      </c>
      <c r="J34">
        <f t="shared" si="2"/>
        <v>5000</v>
      </c>
      <c r="K34">
        <f t="shared" si="3"/>
        <v>0</v>
      </c>
      <c r="L34">
        <f t="shared" si="0"/>
        <v>1350</v>
      </c>
      <c r="M34">
        <f t="shared" si="1"/>
        <v>1350</v>
      </c>
    </row>
    <row r="35" spans="1:13">
      <c r="A35" t="s">
        <v>471</v>
      </c>
      <c r="B35">
        <v>5855</v>
      </c>
      <c r="C35">
        <v>16650</v>
      </c>
      <c r="D35">
        <v>39750</v>
      </c>
      <c r="E35" t="s">
        <v>259</v>
      </c>
      <c r="H35" s="87">
        <f>IF($S$5="Station 1 - 2014",'Station 1 - 2014'!A40,IF('Week 10 Studio'!$S$5="Station 1 - 2015",'Station 1 - 2015'!A40,IF('Week 10 Studio'!$S$5="Station 2 - 2015",'Station 2 - 2015'!A40,IF('Week 10 Studio'!$S$5="Station 3 - 2013",'Station 3 - 2013'!A40,"N/A"))))</f>
        <v>41303</v>
      </c>
      <c r="I35" s="88">
        <f>IF($S$5="Station 1 - 2014",'Station 1 - 2014'!B40,IF('Week 10 Studio'!$S$5="Station 1 - 2015",'Station 1 - 2015'!B40,IF('Week 10 Studio'!$S$5="Station 2 - 2015",'Station 2 - 2015'!B40,IF('Week 10 Studio'!$S$5="Station 3 - 2013",'Station 3 - 2013'!B40,"N/A"))))</f>
        <v>10.8</v>
      </c>
      <c r="J35">
        <f t="shared" si="2"/>
        <v>5000</v>
      </c>
      <c r="K35">
        <f t="shared" si="3"/>
        <v>0</v>
      </c>
      <c r="L35">
        <f t="shared" si="0"/>
        <v>775</v>
      </c>
      <c r="M35">
        <f t="shared" si="1"/>
        <v>775</v>
      </c>
    </row>
    <row r="36" spans="1:13">
      <c r="A36" t="s">
        <v>474</v>
      </c>
      <c r="B36">
        <v>5852</v>
      </c>
      <c r="C36">
        <v>16615</v>
      </c>
      <c r="D36">
        <v>39716</v>
      </c>
      <c r="E36" t="s">
        <v>259</v>
      </c>
      <c r="H36" s="87">
        <f>IF($S$5="Station 1 - 2014",'Station 1 - 2014'!A41,IF('Week 10 Studio'!$S$5="Station 1 - 2015",'Station 1 - 2015'!A41,IF('Week 10 Studio'!$S$5="Station 2 - 2015",'Station 2 - 2015'!A41,IF('Week 10 Studio'!$S$5="Station 3 - 2013",'Station 3 - 2013'!A41,"N/A"))))</f>
        <v>41304</v>
      </c>
      <c r="I36" s="88">
        <f>IF($S$5="Station 1 - 2014",'Station 1 - 2014'!B41,IF('Week 10 Studio'!$S$5="Station 1 - 2015",'Station 1 - 2015'!B41,IF('Week 10 Studio'!$S$5="Station 2 - 2015",'Station 2 - 2015'!B41,IF('Week 10 Studio'!$S$5="Station 3 - 2013",'Station 3 - 2013'!B41,"N/A"))))</f>
        <v>6.2</v>
      </c>
      <c r="J36">
        <f t="shared" si="2"/>
        <v>5000</v>
      </c>
      <c r="K36">
        <f t="shared" si="3"/>
        <v>0</v>
      </c>
      <c r="L36">
        <f t="shared" si="0"/>
        <v>175</v>
      </c>
      <c r="M36">
        <f t="shared" si="1"/>
        <v>175</v>
      </c>
    </row>
    <row r="37" spans="1:13">
      <c r="A37" t="s">
        <v>477</v>
      </c>
      <c r="B37">
        <v>8333</v>
      </c>
      <c r="C37" t="s">
        <v>502</v>
      </c>
      <c r="D37" t="s">
        <v>502</v>
      </c>
      <c r="E37" t="s">
        <v>259</v>
      </c>
      <c r="F37" t="s">
        <v>503</v>
      </c>
      <c r="H37" s="87">
        <f>IF($S$5="Station 1 - 2014",'Station 1 - 2014'!A42,IF('Week 10 Studio'!$S$5="Station 1 - 2015",'Station 1 - 2015'!A42,IF('Week 10 Studio'!$S$5="Station 2 - 2015",'Station 2 - 2015'!A42,IF('Week 10 Studio'!$S$5="Station 3 - 2013",'Station 3 - 2013'!A42,"N/A"))))</f>
        <v>41305</v>
      </c>
      <c r="I37" s="88">
        <f>IF($S$5="Station 1 - 2014",'Station 1 - 2014'!B42,IF('Week 10 Studio'!$S$5="Station 1 - 2015",'Station 1 - 2015'!B42,IF('Week 10 Studio'!$S$5="Station 2 - 2015",'Station 2 - 2015'!B42,IF('Week 10 Studio'!$S$5="Station 3 - 2013",'Station 3 - 2013'!B42,"N/A"))))</f>
        <v>1.4</v>
      </c>
      <c r="J37">
        <f t="shared" si="2"/>
        <v>5000</v>
      </c>
      <c r="K37">
        <f t="shared" si="3"/>
        <v>0</v>
      </c>
      <c r="L37">
        <f t="shared" si="0"/>
        <v>0</v>
      </c>
      <c r="M37">
        <f t="shared" si="1"/>
        <v>-369</v>
      </c>
    </row>
    <row r="38" spans="1:13">
      <c r="A38" t="s">
        <v>470</v>
      </c>
      <c r="B38">
        <v>4955</v>
      </c>
      <c r="C38" t="s">
        <v>504</v>
      </c>
      <c r="D38" t="s">
        <v>505</v>
      </c>
      <c r="E38" t="s">
        <v>259</v>
      </c>
      <c r="H38" s="87">
        <f>IF($S$5="Station 1 - 2014",'Station 1 - 2014'!A43,IF('Week 10 Studio'!$S$5="Station 1 - 2015",'Station 1 - 2015'!A43,IF('Week 10 Studio'!$S$5="Station 2 - 2015",'Station 2 - 2015'!A43,IF('Week 10 Studio'!$S$5="Station 3 - 2013",'Station 3 - 2013'!A43,"N/A"))))</f>
        <v>41306</v>
      </c>
      <c r="I38" s="88">
        <f>IF($S$5="Station 1 - 2014",'Station 1 - 2014'!B43,IF('Week 10 Studio'!$S$5="Station 1 - 2015",'Station 1 - 2015'!B43,IF('Week 10 Studio'!$S$5="Station 2 - 2015",'Station 2 - 2015'!B43,IF('Week 10 Studio'!$S$5="Station 3 - 2013",'Station 3 - 2013'!B43,"N/A"))))</f>
        <v>0</v>
      </c>
      <c r="J38">
        <f t="shared" si="2"/>
        <v>4631</v>
      </c>
      <c r="K38">
        <f t="shared" si="3"/>
        <v>369</v>
      </c>
      <c r="L38">
        <f t="shared" si="0"/>
        <v>125</v>
      </c>
      <c r="M38">
        <f t="shared" si="1"/>
        <v>-244</v>
      </c>
    </row>
    <row r="39" spans="1:13">
      <c r="H39" s="87">
        <f>IF($S$5="Station 1 - 2014",'Station 1 - 2014'!A44,IF('Week 10 Studio'!$S$5="Station 1 - 2015",'Station 1 - 2015'!A44,IF('Week 10 Studio'!$S$5="Station 2 - 2015",'Station 2 - 2015'!A44,IF('Week 10 Studio'!$S$5="Station 3 - 2013",'Station 3 - 2013'!A44,"N/A"))))</f>
        <v>41307</v>
      </c>
      <c r="I39" s="88">
        <f>IF($S$5="Station 1 - 2014",'Station 1 - 2014'!B44,IF('Week 10 Studio'!$S$5="Station 1 - 2015",'Station 1 - 2015'!B44,IF('Week 10 Studio'!$S$5="Station 2 - 2015",'Station 2 - 2015'!B44,IF('Week 10 Studio'!$S$5="Station 3 - 2013",'Station 3 - 2013'!B44,"N/A"))))</f>
        <v>1</v>
      </c>
      <c r="J39">
        <f t="shared" si="2"/>
        <v>4387</v>
      </c>
      <c r="K39">
        <f t="shared" si="3"/>
        <v>369</v>
      </c>
      <c r="L39">
        <f t="shared" si="0"/>
        <v>1000</v>
      </c>
      <c r="M39">
        <f t="shared" si="1"/>
        <v>631</v>
      </c>
    </row>
    <row r="40" spans="1:13">
      <c r="H40" s="87">
        <f>IF($S$5="Station 1 - 2014",'Station 1 - 2014'!A45,IF('Week 10 Studio'!$S$5="Station 1 - 2015",'Station 1 - 2015'!A45,IF('Week 10 Studio'!$S$5="Station 2 - 2015",'Station 2 - 2015'!A45,IF('Week 10 Studio'!$S$5="Station 3 - 2013",'Station 3 - 2013'!A45,"N/A"))))</f>
        <v>41308</v>
      </c>
      <c r="I40" s="88">
        <f>IF($S$5="Station 1 - 2014",'Station 1 - 2014'!B45,IF('Week 10 Studio'!$S$5="Station 1 - 2015",'Station 1 - 2015'!B45,IF('Week 10 Studio'!$S$5="Station 2 - 2015",'Station 2 - 2015'!B45,IF('Week 10 Studio'!$S$5="Station 3 - 2013",'Station 3 - 2013'!B45,"N/A"))))</f>
        <v>8</v>
      </c>
      <c r="J40">
        <f t="shared" si="2"/>
        <v>5000</v>
      </c>
      <c r="K40">
        <f t="shared" si="3"/>
        <v>369</v>
      </c>
      <c r="L40">
        <f t="shared" si="0"/>
        <v>200</v>
      </c>
      <c r="M40">
        <f t="shared" si="1"/>
        <v>-169</v>
      </c>
    </row>
    <row r="41" spans="1:13">
      <c r="H41" s="87">
        <f>IF($S$5="Station 1 - 2014",'Station 1 - 2014'!A46,IF('Week 10 Studio'!$S$5="Station 1 - 2015",'Station 1 - 2015'!A46,IF('Week 10 Studio'!$S$5="Station 2 - 2015",'Station 2 - 2015'!A46,IF('Week 10 Studio'!$S$5="Station 3 - 2013",'Station 3 - 2013'!A46,"N/A"))))</f>
        <v>41309</v>
      </c>
      <c r="I41" s="88">
        <f>IF($S$5="Station 1 - 2014",'Station 1 - 2014'!B46,IF('Week 10 Studio'!$S$5="Station 1 - 2015",'Station 1 - 2015'!B46,IF('Week 10 Studio'!$S$5="Station 2 - 2015",'Station 2 - 2015'!B46,IF('Week 10 Studio'!$S$5="Station 3 - 2013",'Station 3 - 2013'!B46,"N/A"))))</f>
        <v>1.6</v>
      </c>
      <c r="J41">
        <f t="shared" si="2"/>
        <v>4831</v>
      </c>
      <c r="K41">
        <f t="shared" si="3"/>
        <v>369</v>
      </c>
      <c r="L41">
        <f t="shared" si="0"/>
        <v>475</v>
      </c>
      <c r="M41">
        <f t="shared" si="1"/>
        <v>106</v>
      </c>
    </row>
    <row r="42" spans="1:13">
      <c r="H42" s="87">
        <f>IF($S$5="Station 1 - 2014",'Station 1 - 2014'!A47,IF('Week 10 Studio'!$S$5="Station 1 - 2015",'Station 1 - 2015'!A47,IF('Week 10 Studio'!$S$5="Station 2 - 2015",'Station 2 - 2015'!A47,IF('Week 10 Studio'!$S$5="Station 3 - 2013",'Station 3 - 2013'!A47,"N/A"))))</f>
        <v>41310</v>
      </c>
      <c r="I42" s="88">
        <f>IF($S$5="Station 1 - 2014",'Station 1 - 2014'!B47,IF('Week 10 Studio'!$S$5="Station 1 - 2015",'Station 1 - 2015'!B47,IF('Week 10 Studio'!$S$5="Station 2 - 2015",'Station 2 - 2015'!B47,IF('Week 10 Studio'!$S$5="Station 3 - 2013",'Station 3 - 2013'!B47,"N/A"))))</f>
        <v>3.8</v>
      </c>
      <c r="J42">
        <f t="shared" si="2"/>
        <v>4937</v>
      </c>
      <c r="K42">
        <f t="shared" si="3"/>
        <v>369</v>
      </c>
      <c r="L42">
        <f t="shared" si="0"/>
        <v>25</v>
      </c>
      <c r="M42">
        <f t="shared" si="1"/>
        <v>-344</v>
      </c>
    </row>
    <row r="43" spans="1:13">
      <c r="H43" s="87">
        <f>IF($S$5="Station 1 - 2014",'Station 1 - 2014'!A48,IF('Week 10 Studio'!$S$5="Station 1 - 2015",'Station 1 - 2015'!A48,IF('Week 10 Studio'!$S$5="Station 2 - 2015",'Station 2 - 2015'!A48,IF('Week 10 Studio'!$S$5="Station 3 - 2013",'Station 3 - 2013'!A48,"N/A"))))</f>
        <v>41311</v>
      </c>
      <c r="I43" s="88">
        <f>IF($S$5="Station 1 - 2014",'Station 1 - 2014'!B48,IF('Week 10 Studio'!$S$5="Station 1 - 2015",'Station 1 - 2015'!B48,IF('Week 10 Studio'!$S$5="Station 2 - 2015",'Station 2 - 2015'!B48,IF('Week 10 Studio'!$S$5="Station 3 - 2013",'Station 3 - 2013'!B48,"N/A"))))</f>
        <v>0.2</v>
      </c>
      <c r="J43">
        <f t="shared" si="2"/>
        <v>4593</v>
      </c>
      <c r="K43">
        <f t="shared" si="3"/>
        <v>369</v>
      </c>
      <c r="L43">
        <f t="shared" si="0"/>
        <v>200</v>
      </c>
      <c r="M43">
        <f t="shared" si="1"/>
        <v>-169</v>
      </c>
    </row>
    <row r="44" spans="1:13">
      <c r="H44" s="87">
        <f>IF($S$5="Station 1 - 2014",'Station 1 - 2014'!A49,IF('Week 10 Studio'!$S$5="Station 1 - 2015",'Station 1 - 2015'!A49,IF('Week 10 Studio'!$S$5="Station 2 - 2015",'Station 2 - 2015'!A49,IF('Week 10 Studio'!$S$5="Station 3 - 2013",'Station 3 - 2013'!A49,"N/A"))))</f>
        <v>41312</v>
      </c>
      <c r="I44" s="88">
        <f>IF($S$5="Station 1 - 2014",'Station 1 - 2014'!B49,IF('Week 10 Studio'!$S$5="Station 1 - 2015",'Station 1 - 2015'!B49,IF('Week 10 Studio'!$S$5="Station 2 - 2015",'Station 2 - 2015'!B49,IF('Week 10 Studio'!$S$5="Station 3 - 2013",'Station 3 - 2013'!B49,"N/A"))))</f>
        <v>1.6</v>
      </c>
      <c r="J44">
        <f t="shared" si="2"/>
        <v>4424</v>
      </c>
      <c r="K44">
        <f t="shared" si="3"/>
        <v>369</v>
      </c>
      <c r="L44">
        <f t="shared" si="0"/>
        <v>25</v>
      </c>
      <c r="M44">
        <f t="shared" si="1"/>
        <v>-344</v>
      </c>
    </row>
    <row r="45" spans="1:13">
      <c r="H45" s="87">
        <f>IF($S$5="Station 1 - 2014",'Station 1 - 2014'!A50,IF('Week 10 Studio'!$S$5="Station 1 - 2015",'Station 1 - 2015'!A50,IF('Week 10 Studio'!$S$5="Station 2 - 2015",'Station 2 - 2015'!A50,IF('Week 10 Studio'!$S$5="Station 3 - 2013",'Station 3 - 2013'!A50,"N/A"))))</f>
        <v>41313</v>
      </c>
      <c r="I45" s="88">
        <f>IF($S$5="Station 1 - 2014",'Station 1 - 2014'!B50,IF('Week 10 Studio'!$S$5="Station 1 - 2015",'Station 1 - 2015'!B50,IF('Week 10 Studio'!$S$5="Station 2 - 2015",'Station 2 - 2015'!B50,IF('Week 10 Studio'!$S$5="Station 3 - 2013",'Station 3 - 2013'!B50,"N/A"))))</f>
        <v>0.2</v>
      </c>
      <c r="J45">
        <f t="shared" si="2"/>
        <v>4080</v>
      </c>
      <c r="K45">
        <f t="shared" si="3"/>
        <v>369</v>
      </c>
      <c r="L45">
        <f t="shared" si="0"/>
        <v>0</v>
      </c>
      <c r="M45">
        <f t="shared" si="1"/>
        <v>-369</v>
      </c>
    </row>
    <row r="46" spans="1:13">
      <c r="H46" s="87">
        <f>IF($S$5="Station 1 - 2014",'Station 1 - 2014'!A51,IF('Week 10 Studio'!$S$5="Station 1 - 2015",'Station 1 - 2015'!A51,IF('Week 10 Studio'!$S$5="Station 2 - 2015",'Station 2 - 2015'!A51,IF('Week 10 Studio'!$S$5="Station 3 - 2013",'Station 3 - 2013'!A51,"N/A"))))</f>
        <v>41314</v>
      </c>
      <c r="I46" s="88">
        <f>IF($S$5="Station 1 - 2014",'Station 1 - 2014'!B51,IF('Week 10 Studio'!$S$5="Station 1 - 2015",'Station 1 - 2015'!B51,IF('Week 10 Studio'!$S$5="Station 2 - 2015",'Station 2 - 2015'!B51,IF('Week 10 Studio'!$S$5="Station 3 - 2013",'Station 3 - 2013'!B51,"N/A"))))</f>
        <v>0</v>
      </c>
      <c r="J46">
        <f t="shared" si="2"/>
        <v>3711</v>
      </c>
      <c r="K46">
        <f t="shared" si="3"/>
        <v>369</v>
      </c>
      <c r="L46">
        <f t="shared" si="0"/>
        <v>125</v>
      </c>
      <c r="M46">
        <f t="shared" si="1"/>
        <v>-244</v>
      </c>
    </row>
    <row r="47" spans="1:13">
      <c r="H47" s="87">
        <f>IF($S$5="Station 1 - 2014",'Station 1 - 2014'!A52,IF('Week 10 Studio'!$S$5="Station 1 - 2015",'Station 1 - 2015'!A52,IF('Week 10 Studio'!$S$5="Station 2 - 2015",'Station 2 - 2015'!A52,IF('Week 10 Studio'!$S$5="Station 3 - 2013",'Station 3 - 2013'!A52,"N/A"))))</f>
        <v>41315</v>
      </c>
      <c r="I47" s="88">
        <f>IF($S$5="Station 1 - 2014",'Station 1 - 2014'!B52,IF('Week 10 Studio'!$S$5="Station 1 - 2015",'Station 1 - 2015'!B52,IF('Week 10 Studio'!$S$5="Station 2 - 2015",'Station 2 - 2015'!B52,IF('Week 10 Studio'!$S$5="Station 3 - 2013",'Station 3 - 2013'!B52,"N/A"))))</f>
        <v>1</v>
      </c>
      <c r="J47">
        <f t="shared" si="2"/>
        <v>3467</v>
      </c>
      <c r="K47">
        <f t="shared" si="3"/>
        <v>369</v>
      </c>
      <c r="L47">
        <f t="shared" si="0"/>
        <v>175</v>
      </c>
      <c r="M47">
        <f t="shared" si="1"/>
        <v>-194</v>
      </c>
    </row>
    <row r="48" spans="1:13">
      <c r="H48" s="87">
        <f>IF($S$5="Station 1 - 2014",'Station 1 - 2014'!A53,IF('Week 10 Studio'!$S$5="Station 1 - 2015",'Station 1 - 2015'!A53,IF('Week 10 Studio'!$S$5="Station 2 - 2015",'Station 2 - 2015'!A53,IF('Week 10 Studio'!$S$5="Station 3 - 2013",'Station 3 - 2013'!A53,"N/A"))))</f>
        <v>41316</v>
      </c>
      <c r="I48" s="88">
        <f>IF($S$5="Station 1 - 2014",'Station 1 - 2014'!B53,IF('Week 10 Studio'!$S$5="Station 1 - 2015",'Station 1 - 2015'!B53,IF('Week 10 Studio'!$S$5="Station 2 - 2015",'Station 2 - 2015'!B53,IF('Week 10 Studio'!$S$5="Station 3 - 2013",'Station 3 - 2013'!B53,"N/A"))))</f>
        <v>1.4</v>
      </c>
      <c r="J48">
        <f t="shared" si="2"/>
        <v>3273</v>
      </c>
      <c r="K48">
        <f t="shared" si="3"/>
        <v>369</v>
      </c>
      <c r="L48">
        <f t="shared" si="0"/>
        <v>575</v>
      </c>
      <c r="M48">
        <f t="shared" si="1"/>
        <v>206</v>
      </c>
    </row>
    <row r="49" spans="8:13">
      <c r="H49" s="87">
        <f>IF($S$5="Station 1 - 2014",'Station 1 - 2014'!A54,IF('Week 10 Studio'!$S$5="Station 1 - 2015",'Station 1 - 2015'!A54,IF('Week 10 Studio'!$S$5="Station 2 - 2015",'Station 2 - 2015'!A54,IF('Week 10 Studio'!$S$5="Station 3 - 2013",'Station 3 - 2013'!A54,"N/A"))))</f>
        <v>41317</v>
      </c>
      <c r="I49" s="88">
        <f>IF($S$5="Station 1 - 2014",'Station 1 - 2014'!B54,IF('Week 10 Studio'!$S$5="Station 1 - 2015",'Station 1 - 2015'!B54,IF('Week 10 Studio'!$S$5="Station 2 - 2015",'Station 2 - 2015'!B54,IF('Week 10 Studio'!$S$5="Station 3 - 2013",'Station 3 - 2013'!B54,"N/A"))))</f>
        <v>4.5999999999999996</v>
      </c>
      <c r="J49">
        <f t="shared" si="2"/>
        <v>3479</v>
      </c>
      <c r="K49">
        <f t="shared" si="3"/>
        <v>369</v>
      </c>
      <c r="L49">
        <f t="shared" si="0"/>
        <v>375</v>
      </c>
      <c r="M49">
        <f t="shared" si="1"/>
        <v>6</v>
      </c>
    </row>
    <row r="50" spans="8:13">
      <c r="H50" s="87">
        <f>IF($S$5="Station 1 - 2014",'Station 1 - 2014'!A55,IF('Week 10 Studio'!$S$5="Station 1 - 2015",'Station 1 - 2015'!A55,IF('Week 10 Studio'!$S$5="Station 2 - 2015",'Station 2 - 2015'!A55,IF('Week 10 Studio'!$S$5="Station 3 - 2013",'Station 3 - 2013'!A55,"N/A"))))</f>
        <v>41318</v>
      </c>
      <c r="I50" s="88">
        <f>IF($S$5="Station 1 - 2014",'Station 1 - 2014'!B55,IF('Week 10 Studio'!$S$5="Station 1 - 2015",'Station 1 - 2015'!B55,IF('Week 10 Studio'!$S$5="Station 2 - 2015",'Station 2 - 2015'!B55,IF('Week 10 Studio'!$S$5="Station 3 - 2013",'Station 3 - 2013'!B55,"N/A"))))</f>
        <v>3</v>
      </c>
      <c r="J50">
        <f t="shared" si="2"/>
        <v>3485</v>
      </c>
      <c r="K50">
        <f t="shared" si="3"/>
        <v>369</v>
      </c>
      <c r="L50">
        <f t="shared" si="0"/>
        <v>700</v>
      </c>
      <c r="M50">
        <f t="shared" si="1"/>
        <v>331</v>
      </c>
    </row>
    <row r="51" spans="8:13">
      <c r="H51" s="87">
        <f>IF($S$5="Station 1 - 2014",'Station 1 - 2014'!A56,IF('Week 10 Studio'!$S$5="Station 1 - 2015",'Station 1 - 2015'!A56,IF('Week 10 Studio'!$S$5="Station 2 - 2015",'Station 2 - 2015'!A56,IF('Week 10 Studio'!$S$5="Station 3 - 2013",'Station 3 - 2013'!A56,"N/A"))))</f>
        <v>41319</v>
      </c>
      <c r="I51" s="88">
        <f>IF($S$5="Station 1 - 2014",'Station 1 - 2014'!B56,IF('Week 10 Studio'!$S$5="Station 1 - 2015",'Station 1 - 2015'!B56,IF('Week 10 Studio'!$S$5="Station 2 - 2015",'Station 2 - 2015'!B56,IF('Week 10 Studio'!$S$5="Station 3 - 2013",'Station 3 - 2013'!B56,"N/A"))))</f>
        <v>5.6</v>
      </c>
      <c r="J51">
        <f t="shared" si="2"/>
        <v>3816</v>
      </c>
      <c r="K51">
        <f t="shared" si="3"/>
        <v>369</v>
      </c>
      <c r="L51">
        <f t="shared" si="0"/>
        <v>300</v>
      </c>
      <c r="M51">
        <f t="shared" si="1"/>
        <v>-69</v>
      </c>
    </row>
    <row r="52" spans="8:13">
      <c r="H52" s="87">
        <f>IF($S$5="Station 1 - 2014",'Station 1 - 2014'!A57,IF('Week 10 Studio'!$S$5="Station 1 - 2015",'Station 1 - 2015'!A57,IF('Week 10 Studio'!$S$5="Station 2 - 2015",'Station 2 - 2015'!A57,IF('Week 10 Studio'!$S$5="Station 3 - 2013",'Station 3 - 2013'!A57,"N/A"))))</f>
        <v>41320</v>
      </c>
      <c r="I52" s="88">
        <f>IF($S$5="Station 1 - 2014",'Station 1 - 2014'!B57,IF('Week 10 Studio'!$S$5="Station 1 - 2015",'Station 1 - 2015'!B57,IF('Week 10 Studio'!$S$5="Station 2 - 2015",'Station 2 - 2015'!B57,IF('Week 10 Studio'!$S$5="Station 3 - 2013",'Station 3 - 2013'!B57,"N/A"))))</f>
        <v>2.4</v>
      </c>
      <c r="J52">
        <f t="shared" si="2"/>
        <v>3747</v>
      </c>
      <c r="K52">
        <f t="shared" si="3"/>
        <v>369</v>
      </c>
      <c r="L52">
        <f t="shared" si="0"/>
        <v>0</v>
      </c>
      <c r="M52">
        <f t="shared" si="1"/>
        <v>-369</v>
      </c>
    </row>
    <row r="53" spans="8:13">
      <c r="H53" s="87">
        <f>IF($S$5="Station 1 - 2014",'Station 1 - 2014'!A58,IF('Week 10 Studio'!$S$5="Station 1 - 2015",'Station 1 - 2015'!A58,IF('Week 10 Studio'!$S$5="Station 2 - 2015",'Station 2 - 2015'!A58,IF('Week 10 Studio'!$S$5="Station 3 - 2013",'Station 3 - 2013'!A58,"N/A"))))</f>
        <v>41321</v>
      </c>
      <c r="I53" s="88">
        <f>IF($S$5="Station 1 - 2014",'Station 1 - 2014'!B58,IF('Week 10 Studio'!$S$5="Station 1 - 2015",'Station 1 - 2015'!B58,IF('Week 10 Studio'!$S$5="Station 2 - 2015",'Station 2 - 2015'!B58,IF('Week 10 Studio'!$S$5="Station 3 - 2013",'Station 3 - 2013'!B58,"N/A"))))</f>
        <v>0</v>
      </c>
      <c r="J53">
        <f t="shared" si="2"/>
        <v>3378</v>
      </c>
      <c r="K53">
        <f t="shared" si="3"/>
        <v>369</v>
      </c>
      <c r="L53">
        <f t="shared" si="0"/>
        <v>0</v>
      </c>
      <c r="M53">
        <f t="shared" si="1"/>
        <v>-369</v>
      </c>
    </row>
    <row r="54" spans="8:13">
      <c r="H54" s="87">
        <f>IF($S$5="Station 1 - 2014",'Station 1 - 2014'!A59,IF('Week 10 Studio'!$S$5="Station 1 - 2015",'Station 1 - 2015'!A59,IF('Week 10 Studio'!$S$5="Station 2 - 2015",'Station 2 - 2015'!A59,IF('Week 10 Studio'!$S$5="Station 3 - 2013",'Station 3 - 2013'!A59,"N/A"))))</f>
        <v>41322</v>
      </c>
      <c r="I54" s="88">
        <f>IF($S$5="Station 1 - 2014",'Station 1 - 2014'!B59,IF('Week 10 Studio'!$S$5="Station 1 - 2015",'Station 1 - 2015'!B59,IF('Week 10 Studio'!$S$5="Station 2 - 2015",'Station 2 - 2015'!B59,IF('Week 10 Studio'!$S$5="Station 3 - 2013",'Station 3 - 2013'!B59,"N/A"))))</f>
        <v>0</v>
      </c>
      <c r="J54">
        <f t="shared" si="2"/>
        <v>3009</v>
      </c>
      <c r="K54">
        <f t="shared" si="3"/>
        <v>369</v>
      </c>
      <c r="L54">
        <f t="shared" si="0"/>
        <v>0</v>
      </c>
      <c r="M54">
        <f t="shared" si="1"/>
        <v>-369</v>
      </c>
    </row>
    <row r="55" spans="8:13">
      <c r="H55" s="87">
        <f>IF($S$5="Station 1 - 2014",'Station 1 - 2014'!A60,IF('Week 10 Studio'!$S$5="Station 1 - 2015",'Station 1 - 2015'!A60,IF('Week 10 Studio'!$S$5="Station 2 - 2015",'Station 2 - 2015'!A60,IF('Week 10 Studio'!$S$5="Station 3 - 2013",'Station 3 - 2013'!A60,"N/A"))))</f>
        <v>41323</v>
      </c>
      <c r="I55" s="88">
        <f>IF($S$5="Station 1 - 2014",'Station 1 - 2014'!B60,IF('Week 10 Studio'!$S$5="Station 1 - 2015",'Station 1 - 2015'!B60,IF('Week 10 Studio'!$S$5="Station 2 - 2015",'Station 2 - 2015'!B60,IF('Week 10 Studio'!$S$5="Station 3 - 2013",'Station 3 - 2013'!B60,"N/A"))))</f>
        <v>0</v>
      </c>
      <c r="J55">
        <f t="shared" si="2"/>
        <v>2640</v>
      </c>
      <c r="K55">
        <f t="shared" si="3"/>
        <v>369</v>
      </c>
      <c r="L55">
        <f t="shared" si="0"/>
        <v>0</v>
      </c>
      <c r="M55">
        <f t="shared" si="1"/>
        <v>-369</v>
      </c>
    </row>
    <row r="56" spans="8:13">
      <c r="H56" s="87">
        <f>IF($S$5="Station 1 - 2014",'Station 1 - 2014'!A61,IF('Week 10 Studio'!$S$5="Station 1 - 2015",'Station 1 - 2015'!A61,IF('Week 10 Studio'!$S$5="Station 2 - 2015",'Station 2 - 2015'!A61,IF('Week 10 Studio'!$S$5="Station 3 - 2013",'Station 3 - 2013'!A61,"N/A"))))</f>
        <v>41324</v>
      </c>
      <c r="I56" s="88">
        <f>IF($S$5="Station 1 - 2014",'Station 1 - 2014'!B61,IF('Week 10 Studio'!$S$5="Station 1 - 2015",'Station 1 - 2015'!B61,IF('Week 10 Studio'!$S$5="Station 2 - 2015",'Station 2 - 2015'!B61,IF('Week 10 Studio'!$S$5="Station 3 - 2013",'Station 3 - 2013'!B61,"N/A"))))</f>
        <v>0</v>
      </c>
      <c r="J56">
        <f t="shared" si="2"/>
        <v>2271</v>
      </c>
      <c r="K56">
        <f t="shared" si="3"/>
        <v>369</v>
      </c>
      <c r="L56">
        <f t="shared" si="0"/>
        <v>275</v>
      </c>
      <c r="M56">
        <f t="shared" si="1"/>
        <v>-94</v>
      </c>
    </row>
    <row r="57" spans="8:13">
      <c r="H57" s="87">
        <f>IF($S$5="Station 1 - 2014",'Station 1 - 2014'!A62,IF('Week 10 Studio'!$S$5="Station 1 - 2015",'Station 1 - 2015'!A62,IF('Week 10 Studio'!$S$5="Station 2 - 2015",'Station 2 - 2015'!A62,IF('Week 10 Studio'!$S$5="Station 3 - 2013",'Station 3 - 2013'!A62,"N/A"))))</f>
        <v>41325</v>
      </c>
      <c r="I57" s="88">
        <f>IF($S$5="Station 1 - 2014",'Station 1 - 2014'!B62,IF('Week 10 Studio'!$S$5="Station 1 - 2015",'Station 1 - 2015'!B62,IF('Week 10 Studio'!$S$5="Station 2 - 2015",'Station 2 - 2015'!B62,IF('Week 10 Studio'!$S$5="Station 3 - 2013",'Station 3 - 2013'!B62,"N/A"))))</f>
        <v>2.2000000000000002</v>
      </c>
      <c r="J57">
        <f t="shared" si="2"/>
        <v>2177</v>
      </c>
      <c r="K57">
        <f t="shared" si="3"/>
        <v>369</v>
      </c>
      <c r="L57">
        <f t="shared" si="0"/>
        <v>1125</v>
      </c>
      <c r="M57">
        <f t="shared" si="1"/>
        <v>756</v>
      </c>
    </row>
    <row r="58" spans="8:13">
      <c r="H58" s="87">
        <f>IF($S$5="Station 1 - 2014",'Station 1 - 2014'!A63,IF('Week 10 Studio'!$S$5="Station 1 - 2015",'Station 1 - 2015'!A63,IF('Week 10 Studio'!$S$5="Station 2 - 2015",'Station 2 - 2015'!A63,IF('Week 10 Studio'!$S$5="Station 3 - 2013",'Station 3 - 2013'!A63,"N/A"))))</f>
        <v>41326</v>
      </c>
      <c r="I58" s="88">
        <f>IF($S$5="Station 1 - 2014",'Station 1 - 2014'!B63,IF('Week 10 Studio'!$S$5="Station 1 - 2015",'Station 1 - 2015'!B63,IF('Week 10 Studio'!$S$5="Station 2 - 2015",'Station 2 - 2015'!B63,IF('Week 10 Studio'!$S$5="Station 3 - 2013",'Station 3 - 2013'!B63,"N/A"))))</f>
        <v>9</v>
      </c>
      <c r="J58">
        <f t="shared" si="2"/>
        <v>2933</v>
      </c>
      <c r="K58">
        <f t="shared" si="3"/>
        <v>369</v>
      </c>
      <c r="L58">
        <f t="shared" si="0"/>
        <v>1325</v>
      </c>
      <c r="M58">
        <f t="shared" si="1"/>
        <v>956</v>
      </c>
    </row>
    <row r="59" spans="8:13">
      <c r="H59" s="87">
        <f>IF($S$5="Station 1 - 2014",'Station 1 - 2014'!A64,IF('Week 10 Studio'!$S$5="Station 1 - 2015",'Station 1 - 2015'!A64,IF('Week 10 Studio'!$S$5="Station 2 - 2015",'Station 2 - 2015'!A64,IF('Week 10 Studio'!$S$5="Station 3 - 2013",'Station 3 - 2013'!A64,"N/A"))))</f>
        <v>41327</v>
      </c>
      <c r="I59" s="88">
        <f>IF($S$5="Station 1 - 2014",'Station 1 - 2014'!B64,IF('Week 10 Studio'!$S$5="Station 1 - 2015",'Station 1 - 2015'!B64,IF('Week 10 Studio'!$S$5="Station 2 - 2015",'Station 2 - 2015'!B64,IF('Week 10 Studio'!$S$5="Station 3 - 2013",'Station 3 - 2013'!B64,"N/A"))))</f>
        <v>10.6</v>
      </c>
      <c r="J59">
        <f t="shared" si="2"/>
        <v>3889</v>
      </c>
      <c r="K59">
        <f t="shared" si="3"/>
        <v>369</v>
      </c>
      <c r="L59">
        <f t="shared" si="0"/>
        <v>575</v>
      </c>
      <c r="M59">
        <f t="shared" si="1"/>
        <v>206</v>
      </c>
    </row>
    <row r="60" spans="8:13">
      <c r="H60" s="87">
        <f>IF($S$5="Station 1 - 2014",'Station 1 - 2014'!A65,IF('Week 10 Studio'!$S$5="Station 1 - 2015",'Station 1 - 2015'!A65,IF('Week 10 Studio'!$S$5="Station 2 - 2015",'Station 2 - 2015'!A65,IF('Week 10 Studio'!$S$5="Station 3 - 2013",'Station 3 - 2013'!A65,"N/A"))))</f>
        <v>41328</v>
      </c>
      <c r="I60" s="88">
        <f>IF($S$5="Station 1 - 2014",'Station 1 - 2014'!B65,IF('Week 10 Studio'!$S$5="Station 1 - 2015",'Station 1 - 2015'!B65,IF('Week 10 Studio'!$S$5="Station 2 - 2015",'Station 2 - 2015'!B65,IF('Week 10 Studio'!$S$5="Station 3 - 2013",'Station 3 - 2013'!B65,"N/A"))))</f>
        <v>4.5999999999999996</v>
      </c>
      <c r="J60">
        <f t="shared" si="2"/>
        <v>4095</v>
      </c>
      <c r="K60">
        <f t="shared" si="3"/>
        <v>369</v>
      </c>
      <c r="L60">
        <f t="shared" si="0"/>
        <v>2950</v>
      </c>
      <c r="M60">
        <f t="shared" si="1"/>
        <v>2581</v>
      </c>
    </row>
    <row r="61" spans="8:13">
      <c r="H61" s="87">
        <f>IF($S$5="Station 1 - 2014",'Station 1 - 2014'!A66,IF('Week 10 Studio'!$S$5="Station 1 - 2015",'Station 1 - 2015'!A66,IF('Week 10 Studio'!$S$5="Station 2 - 2015",'Station 2 - 2015'!A66,IF('Week 10 Studio'!$S$5="Station 3 - 2013",'Station 3 - 2013'!A66,"N/A"))))</f>
        <v>41329</v>
      </c>
      <c r="I61" s="88">
        <f>IF($S$5="Station 1 - 2014",'Station 1 - 2014'!B66,IF('Week 10 Studio'!$S$5="Station 1 - 2015",'Station 1 - 2015'!B66,IF('Week 10 Studio'!$S$5="Station 2 - 2015",'Station 2 - 2015'!B66,IF('Week 10 Studio'!$S$5="Station 3 - 2013",'Station 3 - 2013'!B66,"N/A"))))</f>
        <v>23.6</v>
      </c>
      <c r="J61">
        <f t="shared" si="2"/>
        <v>5000</v>
      </c>
      <c r="K61">
        <f t="shared" si="3"/>
        <v>369</v>
      </c>
      <c r="L61">
        <f t="shared" si="0"/>
        <v>200</v>
      </c>
      <c r="M61">
        <f t="shared" si="1"/>
        <v>-169</v>
      </c>
    </row>
    <row r="62" spans="8:13">
      <c r="H62" s="87">
        <f>IF($S$5="Station 1 - 2014",'Station 1 - 2014'!A67,IF('Week 10 Studio'!$S$5="Station 1 - 2015",'Station 1 - 2015'!A67,IF('Week 10 Studio'!$S$5="Station 2 - 2015",'Station 2 - 2015'!A67,IF('Week 10 Studio'!$S$5="Station 3 - 2013",'Station 3 - 2013'!A67,"N/A"))))</f>
        <v>41330</v>
      </c>
      <c r="I62" s="88">
        <f>IF($S$5="Station 1 - 2014",'Station 1 - 2014'!B67,IF('Week 10 Studio'!$S$5="Station 1 - 2015",'Station 1 - 2015'!B67,IF('Week 10 Studio'!$S$5="Station 2 - 2015",'Station 2 - 2015'!B67,IF('Week 10 Studio'!$S$5="Station 3 - 2013",'Station 3 - 2013'!B67,"N/A"))))</f>
        <v>1.6</v>
      </c>
      <c r="J62">
        <f t="shared" si="2"/>
        <v>4831</v>
      </c>
      <c r="K62">
        <f t="shared" si="3"/>
        <v>369</v>
      </c>
      <c r="L62">
        <f t="shared" si="0"/>
        <v>275</v>
      </c>
      <c r="M62">
        <f t="shared" si="1"/>
        <v>-94</v>
      </c>
    </row>
    <row r="63" spans="8:13">
      <c r="H63" s="87">
        <f>IF($S$5="Station 1 - 2014",'Station 1 - 2014'!A68,IF('Week 10 Studio'!$S$5="Station 1 - 2015",'Station 1 - 2015'!A68,IF('Week 10 Studio'!$S$5="Station 2 - 2015",'Station 2 - 2015'!A68,IF('Week 10 Studio'!$S$5="Station 3 - 2013",'Station 3 - 2013'!A68,"N/A"))))</f>
        <v>41331</v>
      </c>
      <c r="I63" s="88">
        <f>IF($S$5="Station 1 - 2014",'Station 1 - 2014'!B68,IF('Week 10 Studio'!$S$5="Station 1 - 2015",'Station 1 - 2015'!B68,IF('Week 10 Studio'!$S$5="Station 2 - 2015",'Station 2 - 2015'!B68,IF('Week 10 Studio'!$S$5="Station 3 - 2013",'Station 3 - 2013'!B68,"N/A"))))</f>
        <v>2.2000000000000002</v>
      </c>
      <c r="J63">
        <f t="shared" si="2"/>
        <v>4737</v>
      </c>
      <c r="K63">
        <f t="shared" si="3"/>
        <v>369</v>
      </c>
      <c r="L63">
        <f t="shared" si="0"/>
        <v>25</v>
      </c>
      <c r="M63">
        <f t="shared" si="1"/>
        <v>-344</v>
      </c>
    </row>
    <row r="64" spans="8:13">
      <c r="H64" s="87">
        <f>IF($S$5="Station 1 - 2014",'Station 1 - 2014'!A69,IF('Week 10 Studio'!$S$5="Station 1 - 2015",'Station 1 - 2015'!A69,IF('Week 10 Studio'!$S$5="Station 2 - 2015",'Station 2 - 2015'!A69,IF('Week 10 Studio'!$S$5="Station 3 - 2013",'Station 3 - 2013'!A69,"N/A"))))</f>
        <v>41332</v>
      </c>
      <c r="I64" s="88">
        <f>IF($S$5="Station 1 - 2014",'Station 1 - 2014'!B69,IF('Week 10 Studio'!$S$5="Station 1 - 2015",'Station 1 - 2015'!B69,IF('Week 10 Studio'!$S$5="Station 2 - 2015",'Station 2 - 2015'!B69,IF('Week 10 Studio'!$S$5="Station 3 - 2013",'Station 3 - 2013'!B69,"N/A"))))</f>
        <v>0.2</v>
      </c>
      <c r="J64">
        <f t="shared" si="2"/>
        <v>4393</v>
      </c>
      <c r="K64">
        <f t="shared" si="3"/>
        <v>369</v>
      </c>
      <c r="L64">
        <f t="shared" si="0"/>
        <v>1075</v>
      </c>
      <c r="M64">
        <f t="shared" si="1"/>
        <v>706</v>
      </c>
    </row>
    <row r="65" spans="8:13">
      <c r="H65" s="87">
        <f>IF($S$5="Station 1 - 2014",'Station 1 - 2014'!A70,IF('Week 10 Studio'!$S$5="Station 1 - 2015",'Station 1 - 2015'!A70,IF('Week 10 Studio'!$S$5="Station 2 - 2015",'Station 2 - 2015'!A70,IF('Week 10 Studio'!$S$5="Station 3 - 2013",'Station 3 - 2013'!A70,"N/A"))))</f>
        <v>41333</v>
      </c>
      <c r="I65" s="88">
        <f>IF($S$5="Station 1 - 2014",'Station 1 - 2014'!B70,IF('Week 10 Studio'!$S$5="Station 1 - 2015",'Station 1 - 2015'!B70,IF('Week 10 Studio'!$S$5="Station 2 - 2015",'Station 2 - 2015'!B70,IF('Week 10 Studio'!$S$5="Station 3 - 2013",'Station 3 - 2013'!B70,"N/A"))))</f>
        <v>8.6</v>
      </c>
      <c r="J65">
        <f t="shared" si="2"/>
        <v>5000</v>
      </c>
      <c r="K65">
        <f t="shared" si="3"/>
        <v>369</v>
      </c>
      <c r="L65">
        <f t="shared" si="0"/>
        <v>2500</v>
      </c>
      <c r="M65">
        <f t="shared" si="1"/>
        <v>2131</v>
      </c>
    </row>
    <row r="66" spans="8:13">
      <c r="H66" s="87">
        <f>IF($S$5="Station 1 - 2014",'Station 1 - 2014'!A71,IF('Week 10 Studio'!$S$5="Station 1 - 2015",'Station 1 - 2015'!A71,IF('Week 10 Studio'!$S$5="Station 2 - 2015",'Station 2 - 2015'!A71,IF('Week 10 Studio'!$S$5="Station 3 - 2013",'Station 3 - 2013'!A71,"N/A"))))</f>
        <v>41334</v>
      </c>
      <c r="I66" s="88">
        <f>IF($S$5="Station 1 - 2014",'Station 1 - 2014'!B71,IF('Week 10 Studio'!$S$5="Station 1 - 2015",'Station 1 - 2015'!B71,IF('Week 10 Studio'!$S$5="Station 2 - 2015",'Station 2 - 2015'!B71,IF('Week 10 Studio'!$S$5="Station 3 - 2013",'Station 3 - 2013'!B71,"N/A"))))</f>
        <v>20</v>
      </c>
      <c r="J66">
        <f t="shared" si="2"/>
        <v>5000</v>
      </c>
      <c r="K66">
        <f t="shared" si="3"/>
        <v>369</v>
      </c>
      <c r="L66">
        <f t="shared" si="0"/>
        <v>550</v>
      </c>
      <c r="M66">
        <f t="shared" si="1"/>
        <v>181</v>
      </c>
    </row>
    <row r="67" spans="8:13">
      <c r="H67" s="87">
        <f>IF($S$5="Station 1 - 2014",'Station 1 - 2014'!A72,IF('Week 10 Studio'!$S$5="Station 1 - 2015",'Station 1 - 2015'!A72,IF('Week 10 Studio'!$S$5="Station 2 - 2015",'Station 2 - 2015'!A72,IF('Week 10 Studio'!$S$5="Station 3 - 2013",'Station 3 - 2013'!A72,"N/A"))))</f>
        <v>41335</v>
      </c>
      <c r="I67" s="88">
        <f>IF($S$5="Station 1 - 2014",'Station 1 - 2014'!B72,IF('Week 10 Studio'!$S$5="Station 1 - 2015",'Station 1 - 2015'!B72,IF('Week 10 Studio'!$S$5="Station 2 - 2015",'Station 2 - 2015'!B72,IF('Week 10 Studio'!$S$5="Station 3 - 2013",'Station 3 - 2013'!B72,"N/A"))))</f>
        <v>4.4000000000000004</v>
      </c>
      <c r="J67">
        <f t="shared" si="2"/>
        <v>5000</v>
      </c>
      <c r="K67">
        <f t="shared" si="3"/>
        <v>369</v>
      </c>
      <c r="L67">
        <f t="shared" si="0"/>
        <v>0</v>
      </c>
      <c r="M67">
        <f t="shared" si="1"/>
        <v>-369</v>
      </c>
    </row>
    <row r="68" spans="8:13">
      <c r="H68" s="87">
        <f>IF($S$5="Station 1 - 2014",'Station 1 - 2014'!A73,IF('Week 10 Studio'!$S$5="Station 1 - 2015",'Station 1 - 2015'!A73,IF('Week 10 Studio'!$S$5="Station 2 - 2015",'Station 2 - 2015'!A73,IF('Week 10 Studio'!$S$5="Station 3 - 2013",'Station 3 - 2013'!A73,"N/A"))))</f>
        <v>41336</v>
      </c>
      <c r="I68" s="88">
        <f>IF($S$5="Station 1 - 2014",'Station 1 - 2014'!B73,IF('Week 10 Studio'!$S$5="Station 1 - 2015",'Station 1 - 2015'!B73,IF('Week 10 Studio'!$S$5="Station 2 - 2015",'Station 2 - 2015'!B73,IF('Week 10 Studio'!$S$5="Station 3 - 2013",'Station 3 - 2013'!B73,"N/A"))))</f>
        <v>0</v>
      </c>
      <c r="J68">
        <f t="shared" si="2"/>
        <v>4631</v>
      </c>
      <c r="K68">
        <f t="shared" si="3"/>
        <v>369</v>
      </c>
      <c r="L68">
        <f t="shared" si="0"/>
        <v>0</v>
      </c>
      <c r="M68">
        <f t="shared" si="1"/>
        <v>-369</v>
      </c>
    </row>
    <row r="69" spans="8:13">
      <c r="H69" s="87">
        <f>IF($S$5="Station 1 - 2014",'Station 1 - 2014'!A74,IF('Week 10 Studio'!$S$5="Station 1 - 2015",'Station 1 - 2015'!A74,IF('Week 10 Studio'!$S$5="Station 2 - 2015",'Station 2 - 2015'!A74,IF('Week 10 Studio'!$S$5="Station 3 - 2013",'Station 3 - 2013'!A74,"N/A"))))</f>
        <v>41337</v>
      </c>
      <c r="I69" s="88">
        <f>IF($S$5="Station 1 - 2014",'Station 1 - 2014'!B74,IF('Week 10 Studio'!$S$5="Station 1 - 2015",'Station 1 - 2015'!B74,IF('Week 10 Studio'!$S$5="Station 2 - 2015",'Station 2 - 2015'!B74,IF('Week 10 Studio'!$S$5="Station 3 - 2013",'Station 3 - 2013'!B74,"N/A"))))</f>
        <v>0</v>
      </c>
      <c r="J69">
        <f t="shared" si="2"/>
        <v>4262</v>
      </c>
      <c r="K69">
        <f t="shared" si="3"/>
        <v>369</v>
      </c>
      <c r="L69">
        <f t="shared" si="0"/>
        <v>0</v>
      </c>
      <c r="M69">
        <f t="shared" si="1"/>
        <v>-369</v>
      </c>
    </row>
    <row r="70" spans="8:13">
      <c r="H70" s="87">
        <f>IF($S$5="Station 1 - 2014",'Station 1 - 2014'!A75,IF('Week 10 Studio'!$S$5="Station 1 - 2015",'Station 1 - 2015'!A75,IF('Week 10 Studio'!$S$5="Station 2 - 2015",'Station 2 - 2015'!A75,IF('Week 10 Studio'!$S$5="Station 3 - 2013",'Station 3 - 2013'!A75,"N/A"))))</f>
        <v>41338</v>
      </c>
      <c r="I70" s="88">
        <f>IF($S$5="Station 1 - 2014",'Station 1 - 2014'!B75,IF('Week 10 Studio'!$S$5="Station 1 - 2015",'Station 1 - 2015'!B75,IF('Week 10 Studio'!$S$5="Station 2 - 2015",'Station 2 - 2015'!B75,IF('Week 10 Studio'!$S$5="Station 3 - 2013",'Station 3 - 2013'!B75,"N/A"))))</f>
        <v>0</v>
      </c>
      <c r="J70">
        <f t="shared" si="2"/>
        <v>3893</v>
      </c>
      <c r="K70">
        <f t="shared" si="3"/>
        <v>369</v>
      </c>
      <c r="L70">
        <f t="shared" ref="L70:L133" si="4">($C$14*(I71/1000))*1000</f>
        <v>0</v>
      </c>
      <c r="M70">
        <f t="shared" ref="M70:M133" si="5">L70-K71</f>
        <v>-369</v>
      </c>
    </row>
    <row r="71" spans="8:13">
      <c r="H71" s="87">
        <f>IF($S$5="Station 1 - 2014",'Station 1 - 2014'!A76,IF('Week 10 Studio'!$S$5="Station 1 - 2015",'Station 1 - 2015'!A76,IF('Week 10 Studio'!$S$5="Station 2 - 2015",'Station 2 - 2015'!A76,IF('Week 10 Studio'!$S$5="Station 3 - 2013",'Station 3 - 2013'!A76,"N/A"))))</f>
        <v>41339</v>
      </c>
      <c r="I71" s="88">
        <f>IF($S$5="Station 1 - 2014",'Station 1 - 2014'!B76,IF('Week 10 Studio'!$S$5="Station 1 - 2015",'Station 1 - 2015'!B76,IF('Week 10 Studio'!$S$5="Station 2 - 2015",'Station 2 - 2015'!B76,IF('Week 10 Studio'!$S$5="Station 3 - 2013",'Station 3 - 2013'!B76,"N/A"))))</f>
        <v>0</v>
      </c>
      <c r="J71">
        <f t="shared" ref="J71:J134" si="6">IF(IF(J70+M$6&lt;$C$13,J70+M70,$C$13)&gt;0,IF(J70+M70&lt;$C$13,J70+M70,$C$13),0)</f>
        <v>3524</v>
      </c>
      <c r="K71">
        <f t="shared" ref="K71:K134" si="7">IF(MONTH(H71)=1,0,$C$18)</f>
        <v>369</v>
      </c>
      <c r="L71">
        <f t="shared" si="4"/>
        <v>0</v>
      </c>
      <c r="M71">
        <f t="shared" si="5"/>
        <v>-369</v>
      </c>
    </row>
    <row r="72" spans="8:13">
      <c r="H72" s="87">
        <f>IF($S$5="Station 1 - 2014",'Station 1 - 2014'!A77,IF('Week 10 Studio'!$S$5="Station 1 - 2015",'Station 1 - 2015'!A77,IF('Week 10 Studio'!$S$5="Station 2 - 2015",'Station 2 - 2015'!A77,IF('Week 10 Studio'!$S$5="Station 3 - 2013",'Station 3 - 2013'!A77,"N/A"))))</f>
        <v>41340</v>
      </c>
      <c r="I72" s="88">
        <f>IF($S$5="Station 1 - 2014",'Station 1 - 2014'!B77,IF('Week 10 Studio'!$S$5="Station 1 - 2015",'Station 1 - 2015'!B77,IF('Week 10 Studio'!$S$5="Station 2 - 2015",'Station 2 - 2015'!B77,IF('Week 10 Studio'!$S$5="Station 3 - 2013",'Station 3 - 2013'!B77,"N/A"))))</f>
        <v>0</v>
      </c>
      <c r="J72">
        <f t="shared" si="6"/>
        <v>3155</v>
      </c>
      <c r="K72">
        <f t="shared" si="7"/>
        <v>369</v>
      </c>
      <c r="L72">
        <f t="shared" si="4"/>
        <v>0</v>
      </c>
      <c r="M72">
        <f t="shared" si="5"/>
        <v>-369</v>
      </c>
    </row>
    <row r="73" spans="8:13">
      <c r="H73" s="87">
        <f>IF($S$5="Station 1 - 2014",'Station 1 - 2014'!A78,IF('Week 10 Studio'!$S$5="Station 1 - 2015",'Station 1 - 2015'!A78,IF('Week 10 Studio'!$S$5="Station 2 - 2015",'Station 2 - 2015'!A78,IF('Week 10 Studio'!$S$5="Station 3 - 2013",'Station 3 - 2013'!A78,"N/A"))))</f>
        <v>41341</v>
      </c>
      <c r="I73" s="88">
        <f>IF($S$5="Station 1 - 2014",'Station 1 - 2014'!B78,IF('Week 10 Studio'!$S$5="Station 1 - 2015",'Station 1 - 2015'!B78,IF('Week 10 Studio'!$S$5="Station 2 - 2015",'Station 2 - 2015'!B78,IF('Week 10 Studio'!$S$5="Station 3 - 2013",'Station 3 - 2013'!B78,"N/A"))))</f>
        <v>0</v>
      </c>
      <c r="J73">
        <f t="shared" si="6"/>
        <v>2786</v>
      </c>
      <c r="K73">
        <f t="shared" si="7"/>
        <v>369</v>
      </c>
      <c r="L73">
        <f t="shared" si="4"/>
        <v>100</v>
      </c>
      <c r="M73">
        <f t="shared" si="5"/>
        <v>-269</v>
      </c>
    </row>
    <row r="74" spans="8:13">
      <c r="H74" s="87">
        <f>IF($S$5="Station 1 - 2014",'Station 1 - 2014'!A79,IF('Week 10 Studio'!$S$5="Station 1 - 2015",'Station 1 - 2015'!A79,IF('Week 10 Studio'!$S$5="Station 2 - 2015",'Station 2 - 2015'!A79,IF('Week 10 Studio'!$S$5="Station 3 - 2013",'Station 3 - 2013'!A79,"N/A"))))</f>
        <v>41342</v>
      </c>
      <c r="I74" s="88">
        <f>IF($S$5="Station 1 - 2014",'Station 1 - 2014'!B79,IF('Week 10 Studio'!$S$5="Station 1 - 2015",'Station 1 - 2015'!B79,IF('Week 10 Studio'!$S$5="Station 2 - 2015",'Station 2 - 2015'!B79,IF('Week 10 Studio'!$S$5="Station 3 - 2013",'Station 3 - 2013'!B79,"N/A"))))</f>
        <v>0.8</v>
      </c>
      <c r="J74">
        <f t="shared" si="6"/>
        <v>2517</v>
      </c>
      <c r="K74">
        <f t="shared" si="7"/>
        <v>369</v>
      </c>
      <c r="L74">
        <f t="shared" si="4"/>
        <v>0</v>
      </c>
      <c r="M74">
        <f t="shared" si="5"/>
        <v>-369</v>
      </c>
    </row>
    <row r="75" spans="8:13">
      <c r="H75" s="87">
        <f>IF($S$5="Station 1 - 2014",'Station 1 - 2014'!A80,IF('Week 10 Studio'!$S$5="Station 1 - 2015",'Station 1 - 2015'!A80,IF('Week 10 Studio'!$S$5="Station 2 - 2015",'Station 2 - 2015'!A80,IF('Week 10 Studio'!$S$5="Station 3 - 2013",'Station 3 - 2013'!A80,"N/A"))))</f>
        <v>41343</v>
      </c>
      <c r="I75" s="88">
        <f>IF($S$5="Station 1 - 2014",'Station 1 - 2014'!B80,IF('Week 10 Studio'!$S$5="Station 1 - 2015",'Station 1 - 2015'!B80,IF('Week 10 Studio'!$S$5="Station 2 - 2015",'Station 2 - 2015'!B80,IF('Week 10 Studio'!$S$5="Station 3 - 2013",'Station 3 - 2013'!B80,"N/A"))))</f>
        <v>0</v>
      </c>
      <c r="J75">
        <f t="shared" si="6"/>
        <v>2148</v>
      </c>
      <c r="K75">
        <f t="shared" si="7"/>
        <v>369</v>
      </c>
      <c r="L75">
        <f t="shared" si="4"/>
        <v>500</v>
      </c>
      <c r="M75">
        <f t="shared" si="5"/>
        <v>131</v>
      </c>
    </row>
    <row r="76" spans="8:13">
      <c r="H76" s="87">
        <f>IF($S$5="Station 1 - 2014",'Station 1 - 2014'!A81,IF('Week 10 Studio'!$S$5="Station 1 - 2015",'Station 1 - 2015'!A81,IF('Week 10 Studio'!$S$5="Station 2 - 2015",'Station 2 - 2015'!A81,IF('Week 10 Studio'!$S$5="Station 3 - 2013",'Station 3 - 2013'!A81,"N/A"))))</f>
        <v>41344</v>
      </c>
      <c r="I76" s="88">
        <f>IF($S$5="Station 1 - 2014",'Station 1 - 2014'!B81,IF('Week 10 Studio'!$S$5="Station 1 - 2015",'Station 1 - 2015'!B81,IF('Week 10 Studio'!$S$5="Station 2 - 2015",'Station 2 - 2015'!B81,IF('Week 10 Studio'!$S$5="Station 3 - 2013",'Station 3 - 2013'!B81,"N/A"))))</f>
        <v>4</v>
      </c>
      <c r="J76">
        <f t="shared" si="6"/>
        <v>2279</v>
      </c>
      <c r="K76">
        <f t="shared" si="7"/>
        <v>369</v>
      </c>
      <c r="L76">
        <f t="shared" si="4"/>
        <v>2850</v>
      </c>
      <c r="M76">
        <f t="shared" si="5"/>
        <v>2481</v>
      </c>
    </row>
    <row r="77" spans="8:13">
      <c r="H77" s="87">
        <f>IF($S$5="Station 1 - 2014",'Station 1 - 2014'!A82,IF('Week 10 Studio'!$S$5="Station 1 - 2015",'Station 1 - 2015'!A82,IF('Week 10 Studio'!$S$5="Station 2 - 2015",'Station 2 - 2015'!A82,IF('Week 10 Studio'!$S$5="Station 3 - 2013",'Station 3 - 2013'!A82,"N/A"))))</f>
        <v>41345</v>
      </c>
      <c r="I77" s="88">
        <f>IF($S$5="Station 1 - 2014",'Station 1 - 2014'!B82,IF('Week 10 Studio'!$S$5="Station 1 - 2015",'Station 1 - 2015'!B82,IF('Week 10 Studio'!$S$5="Station 2 - 2015",'Station 2 - 2015'!B82,IF('Week 10 Studio'!$S$5="Station 3 - 2013",'Station 3 - 2013'!B82,"N/A"))))</f>
        <v>22.8</v>
      </c>
      <c r="J77">
        <f t="shared" si="6"/>
        <v>4760</v>
      </c>
      <c r="K77">
        <f t="shared" si="7"/>
        <v>369</v>
      </c>
      <c r="L77">
        <f t="shared" si="4"/>
        <v>3150</v>
      </c>
      <c r="M77">
        <f t="shared" si="5"/>
        <v>2781</v>
      </c>
    </row>
    <row r="78" spans="8:13">
      <c r="H78" s="87">
        <f>IF($S$5="Station 1 - 2014",'Station 1 - 2014'!A83,IF('Week 10 Studio'!$S$5="Station 1 - 2015",'Station 1 - 2015'!A83,IF('Week 10 Studio'!$S$5="Station 2 - 2015",'Station 2 - 2015'!A83,IF('Week 10 Studio'!$S$5="Station 3 - 2013",'Station 3 - 2013'!A83,"N/A"))))</f>
        <v>41346</v>
      </c>
      <c r="I78" s="88">
        <f>IF($S$5="Station 1 - 2014",'Station 1 - 2014'!B83,IF('Week 10 Studio'!$S$5="Station 1 - 2015",'Station 1 - 2015'!B83,IF('Week 10 Studio'!$S$5="Station 2 - 2015",'Station 2 - 2015'!B83,IF('Week 10 Studio'!$S$5="Station 3 - 2013",'Station 3 - 2013'!B83,"N/A"))))</f>
        <v>25.2</v>
      </c>
      <c r="J78">
        <f t="shared" si="6"/>
        <v>5000</v>
      </c>
      <c r="K78">
        <f t="shared" si="7"/>
        <v>369</v>
      </c>
      <c r="L78">
        <f t="shared" si="4"/>
        <v>700</v>
      </c>
      <c r="M78">
        <f t="shared" si="5"/>
        <v>331</v>
      </c>
    </row>
    <row r="79" spans="8:13">
      <c r="H79" s="87">
        <f>IF($S$5="Station 1 - 2014",'Station 1 - 2014'!A84,IF('Week 10 Studio'!$S$5="Station 1 - 2015",'Station 1 - 2015'!A84,IF('Week 10 Studio'!$S$5="Station 2 - 2015",'Station 2 - 2015'!A84,IF('Week 10 Studio'!$S$5="Station 3 - 2013",'Station 3 - 2013'!A84,"N/A"))))</f>
        <v>41347</v>
      </c>
      <c r="I79" s="88">
        <f>IF($S$5="Station 1 - 2014",'Station 1 - 2014'!B84,IF('Week 10 Studio'!$S$5="Station 1 - 2015",'Station 1 - 2015'!B84,IF('Week 10 Studio'!$S$5="Station 2 - 2015",'Station 2 - 2015'!B84,IF('Week 10 Studio'!$S$5="Station 3 - 2013",'Station 3 - 2013'!B84,"N/A"))))</f>
        <v>5.6</v>
      </c>
      <c r="J79">
        <f t="shared" si="6"/>
        <v>5000</v>
      </c>
      <c r="K79">
        <f t="shared" si="7"/>
        <v>369</v>
      </c>
      <c r="L79">
        <f t="shared" si="4"/>
        <v>175</v>
      </c>
      <c r="M79">
        <f t="shared" si="5"/>
        <v>-194</v>
      </c>
    </row>
    <row r="80" spans="8:13">
      <c r="H80" s="87">
        <f>IF($S$5="Station 1 - 2014",'Station 1 - 2014'!A85,IF('Week 10 Studio'!$S$5="Station 1 - 2015",'Station 1 - 2015'!A85,IF('Week 10 Studio'!$S$5="Station 2 - 2015",'Station 2 - 2015'!A85,IF('Week 10 Studio'!$S$5="Station 3 - 2013",'Station 3 - 2013'!A85,"N/A"))))</f>
        <v>41348</v>
      </c>
      <c r="I80" s="88">
        <f>IF($S$5="Station 1 - 2014",'Station 1 - 2014'!B85,IF('Week 10 Studio'!$S$5="Station 1 - 2015",'Station 1 - 2015'!B85,IF('Week 10 Studio'!$S$5="Station 2 - 2015",'Station 2 - 2015'!B85,IF('Week 10 Studio'!$S$5="Station 3 - 2013",'Station 3 - 2013'!B85,"N/A"))))</f>
        <v>1.4</v>
      </c>
      <c r="J80">
        <f t="shared" si="6"/>
        <v>4806</v>
      </c>
      <c r="K80">
        <f t="shared" si="7"/>
        <v>369</v>
      </c>
      <c r="L80">
        <f t="shared" si="4"/>
        <v>0</v>
      </c>
      <c r="M80">
        <f t="shared" si="5"/>
        <v>-369</v>
      </c>
    </row>
    <row r="81" spans="8:13">
      <c r="H81" s="87">
        <f>IF($S$5="Station 1 - 2014",'Station 1 - 2014'!A86,IF('Week 10 Studio'!$S$5="Station 1 - 2015",'Station 1 - 2015'!A86,IF('Week 10 Studio'!$S$5="Station 2 - 2015",'Station 2 - 2015'!A86,IF('Week 10 Studio'!$S$5="Station 3 - 2013",'Station 3 - 2013'!A86,"N/A"))))</f>
        <v>41349</v>
      </c>
      <c r="I81" s="88">
        <f>IF($S$5="Station 1 - 2014",'Station 1 - 2014'!B86,IF('Week 10 Studio'!$S$5="Station 1 - 2015",'Station 1 - 2015'!B86,IF('Week 10 Studio'!$S$5="Station 2 - 2015",'Station 2 - 2015'!B86,IF('Week 10 Studio'!$S$5="Station 3 - 2013",'Station 3 - 2013'!B86,"N/A"))))</f>
        <v>0</v>
      </c>
      <c r="J81">
        <f t="shared" si="6"/>
        <v>4437</v>
      </c>
      <c r="K81">
        <f t="shared" si="7"/>
        <v>369</v>
      </c>
      <c r="L81">
        <f t="shared" si="4"/>
        <v>225</v>
      </c>
      <c r="M81">
        <f t="shared" si="5"/>
        <v>-144</v>
      </c>
    </row>
    <row r="82" spans="8:13">
      <c r="H82" s="87">
        <f>IF($S$5="Station 1 - 2014",'Station 1 - 2014'!A87,IF('Week 10 Studio'!$S$5="Station 1 - 2015",'Station 1 - 2015'!A87,IF('Week 10 Studio'!$S$5="Station 2 - 2015",'Station 2 - 2015'!A87,IF('Week 10 Studio'!$S$5="Station 3 - 2013",'Station 3 - 2013'!A87,"N/A"))))</f>
        <v>41350</v>
      </c>
      <c r="I82" s="88">
        <f>IF($S$5="Station 1 - 2014",'Station 1 - 2014'!B87,IF('Week 10 Studio'!$S$5="Station 1 - 2015",'Station 1 - 2015'!B87,IF('Week 10 Studio'!$S$5="Station 2 - 2015",'Station 2 - 2015'!B87,IF('Week 10 Studio'!$S$5="Station 3 - 2013",'Station 3 - 2013'!B87,"N/A"))))</f>
        <v>1.8</v>
      </c>
      <c r="J82">
        <f t="shared" si="6"/>
        <v>4293</v>
      </c>
      <c r="K82">
        <f t="shared" si="7"/>
        <v>369</v>
      </c>
      <c r="L82">
        <f t="shared" si="4"/>
        <v>0</v>
      </c>
      <c r="M82">
        <f t="shared" si="5"/>
        <v>-369</v>
      </c>
    </row>
    <row r="83" spans="8:13">
      <c r="H83" s="87">
        <f>IF($S$5="Station 1 - 2014",'Station 1 - 2014'!A88,IF('Week 10 Studio'!$S$5="Station 1 - 2015",'Station 1 - 2015'!A88,IF('Week 10 Studio'!$S$5="Station 2 - 2015",'Station 2 - 2015'!A88,IF('Week 10 Studio'!$S$5="Station 3 - 2013",'Station 3 - 2013'!A88,"N/A"))))</f>
        <v>41351</v>
      </c>
      <c r="I83" s="88">
        <f>IF($S$5="Station 1 - 2014",'Station 1 - 2014'!B88,IF('Week 10 Studio'!$S$5="Station 1 - 2015",'Station 1 - 2015'!B88,IF('Week 10 Studio'!$S$5="Station 2 - 2015",'Station 2 - 2015'!B88,IF('Week 10 Studio'!$S$5="Station 3 - 2013",'Station 3 - 2013'!B88,"N/A"))))</f>
        <v>0</v>
      </c>
      <c r="J83">
        <f t="shared" si="6"/>
        <v>3924</v>
      </c>
      <c r="K83">
        <f t="shared" si="7"/>
        <v>369</v>
      </c>
      <c r="L83">
        <f t="shared" si="4"/>
        <v>950</v>
      </c>
      <c r="M83">
        <f t="shared" si="5"/>
        <v>581</v>
      </c>
    </row>
    <row r="84" spans="8:13">
      <c r="H84" s="87">
        <f>IF($S$5="Station 1 - 2014",'Station 1 - 2014'!A89,IF('Week 10 Studio'!$S$5="Station 1 - 2015",'Station 1 - 2015'!A89,IF('Week 10 Studio'!$S$5="Station 2 - 2015",'Station 2 - 2015'!A89,IF('Week 10 Studio'!$S$5="Station 3 - 2013",'Station 3 - 2013'!A89,"N/A"))))</f>
        <v>41352</v>
      </c>
      <c r="I84" s="88">
        <f>IF($S$5="Station 1 - 2014",'Station 1 - 2014'!B89,IF('Week 10 Studio'!$S$5="Station 1 - 2015",'Station 1 - 2015'!B89,IF('Week 10 Studio'!$S$5="Station 2 - 2015",'Station 2 - 2015'!B89,IF('Week 10 Studio'!$S$5="Station 3 - 2013",'Station 3 - 2013'!B89,"N/A"))))</f>
        <v>7.6</v>
      </c>
      <c r="J84">
        <f t="shared" si="6"/>
        <v>4505</v>
      </c>
      <c r="K84">
        <f t="shared" si="7"/>
        <v>369</v>
      </c>
      <c r="L84">
        <f t="shared" si="4"/>
        <v>375</v>
      </c>
      <c r="M84">
        <f t="shared" si="5"/>
        <v>6</v>
      </c>
    </row>
    <row r="85" spans="8:13">
      <c r="H85" s="87">
        <f>IF($S$5="Station 1 - 2014",'Station 1 - 2014'!A90,IF('Week 10 Studio'!$S$5="Station 1 - 2015",'Station 1 - 2015'!A90,IF('Week 10 Studio'!$S$5="Station 2 - 2015",'Station 2 - 2015'!A90,IF('Week 10 Studio'!$S$5="Station 3 - 2013",'Station 3 - 2013'!A90,"N/A"))))</f>
        <v>41353</v>
      </c>
      <c r="I85" s="88">
        <f>IF($S$5="Station 1 - 2014",'Station 1 - 2014'!B90,IF('Week 10 Studio'!$S$5="Station 1 - 2015",'Station 1 - 2015'!B90,IF('Week 10 Studio'!$S$5="Station 2 - 2015",'Station 2 - 2015'!B90,IF('Week 10 Studio'!$S$5="Station 3 - 2013",'Station 3 - 2013'!B90,"N/A"))))</f>
        <v>3</v>
      </c>
      <c r="J85">
        <f t="shared" si="6"/>
        <v>4511</v>
      </c>
      <c r="K85">
        <f t="shared" si="7"/>
        <v>369</v>
      </c>
      <c r="L85">
        <f t="shared" si="4"/>
        <v>0</v>
      </c>
      <c r="M85">
        <f t="shared" si="5"/>
        <v>-369</v>
      </c>
    </row>
    <row r="86" spans="8:13">
      <c r="H86" s="87">
        <f>IF($S$5="Station 1 - 2014",'Station 1 - 2014'!A91,IF('Week 10 Studio'!$S$5="Station 1 - 2015",'Station 1 - 2015'!A91,IF('Week 10 Studio'!$S$5="Station 2 - 2015",'Station 2 - 2015'!A91,IF('Week 10 Studio'!$S$5="Station 3 - 2013",'Station 3 - 2013'!A91,"N/A"))))</f>
        <v>41354</v>
      </c>
      <c r="I86" s="88">
        <f>IF($S$5="Station 1 - 2014",'Station 1 - 2014'!B91,IF('Week 10 Studio'!$S$5="Station 1 - 2015",'Station 1 - 2015'!B91,IF('Week 10 Studio'!$S$5="Station 2 - 2015",'Station 2 - 2015'!B91,IF('Week 10 Studio'!$S$5="Station 3 - 2013",'Station 3 - 2013'!B91,"N/A"))))</f>
        <v>0</v>
      </c>
      <c r="J86">
        <f t="shared" si="6"/>
        <v>4142</v>
      </c>
      <c r="K86">
        <f t="shared" si="7"/>
        <v>369</v>
      </c>
      <c r="L86">
        <f t="shared" si="4"/>
        <v>0</v>
      </c>
      <c r="M86">
        <f t="shared" si="5"/>
        <v>-369</v>
      </c>
    </row>
    <row r="87" spans="8:13">
      <c r="H87" s="87">
        <f>IF($S$5="Station 1 - 2014",'Station 1 - 2014'!A92,IF('Week 10 Studio'!$S$5="Station 1 - 2015",'Station 1 - 2015'!A92,IF('Week 10 Studio'!$S$5="Station 2 - 2015",'Station 2 - 2015'!A92,IF('Week 10 Studio'!$S$5="Station 3 - 2013",'Station 3 - 2013'!A92,"N/A"))))</f>
        <v>41355</v>
      </c>
      <c r="I87" s="88">
        <f>IF($S$5="Station 1 - 2014",'Station 1 - 2014'!B92,IF('Week 10 Studio'!$S$5="Station 1 - 2015",'Station 1 - 2015'!B92,IF('Week 10 Studio'!$S$5="Station 2 - 2015",'Station 2 - 2015'!B92,IF('Week 10 Studio'!$S$5="Station 3 - 2013",'Station 3 - 2013'!B92,"N/A"))))</f>
        <v>0</v>
      </c>
      <c r="J87">
        <f t="shared" si="6"/>
        <v>3773</v>
      </c>
      <c r="K87">
        <f t="shared" si="7"/>
        <v>369</v>
      </c>
      <c r="L87">
        <f t="shared" si="4"/>
        <v>0</v>
      </c>
      <c r="M87">
        <f t="shared" si="5"/>
        <v>-369</v>
      </c>
    </row>
    <row r="88" spans="8:13">
      <c r="H88" s="87">
        <f>IF($S$5="Station 1 - 2014",'Station 1 - 2014'!A93,IF('Week 10 Studio'!$S$5="Station 1 - 2015",'Station 1 - 2015'!A93,IF('Week 10 Studio'!$S$5="Station 2 - 2015",'Station 2 - 2015'!A93,IF('Week 10 Studio'!$S$5="Station 3 - 2013",'Station 3 - 2013'!A93,"N/A"))))</f>
        <v>41356</v>
      </c>
      <c r="I88" s="88">
        <f>IF($S$5="Station 1 - 2014",'Station 1 - 2014'!B93,IF('Week 10 Studio'!$S$5="Station 1 - 2015",'Station 1 - 2015'!B93,IF('Week 10 Studio'!$S$5="Station 2 - 2015",'Station 2 - 2015'!B93,IF('Week 10 Studio'!$S$5="Station 3 - 2013",'Station 3 - 2013'!B93,"N/A"))))</f>
        <v>0</v>
      </c>
      <c r="J88">
        <f t="shared" si="6"/>
        <v>3404</v>
      </c>
      <c r="K88">
        <f t="shared" si="7"/>
        <v>369</v>
      </c>
      <c r="L88">
        <f t="shared" si="4"/>
        <v>0</v>
      </c>
      <c r="M88">
        <f t="shared" si="5"/>
        <v>-369</v>
      </c>
    </row>
    <row r="89" spans="8:13">
      <c r="H89" s="87">
        <f>IF($S$5="Station 1 - 2014",'Station 1 - 2014'!A94,IF('Week 10 Studio'!$S$5="Station 1 - 2015",'Station 1 - 2015'!A94,IF('Week 10 Studio'!$S$5="Station 2 - 2015",'Station 2 - 2015'!A94,IF('Week 10 Studio'!$S$5="Station 3 - 2013",'Station 3 - 2013'!A94,"N/A"))))</f>
        <v>41357</v>
      </c>
      <c r="I89" s="88">
        <f>IF($S$5="Station 1 - 2014",'Station 1 - 2014'!B94,IF('Week 10 Studio'!$S$5="Station 1 - 2015",'Station 1 - 2015'!B94,IF('Week 10 Studio'!$S$5="Station 2 - 2015",'Station 2 - 2015'!B94,IF('Week 10 Studio'!$S$5="Station 3 - 2013",'Station 3 - 2013'!B94,"N/A"))))</f>
        <v>0</v>
      </c>
      <c r="J89">
        <f t="shared" si="6"/>
        <v>3035</v>
      </c>
      <c r="K89">
        <f t="shared" si="7"/>
        <v>369</v>
      </c>
      <c r="L89">
        <f t="shared" si="4"/>
        <v>50</v>
      </c>
      <c r="M89">
        <f t="shared" si="5"/>
        <v>-319</v>
      </c>
    </row>
    <row r="90" spans="8:13">
      <c r="H90" s="87">
        <f>IF($S$5="Station 1 - 2014",'Station 1 - 2014'!A95,IF('Week 10 Studio'!$S$5="Station 1 - 2015",'Station 1 - 2015'!A95,IF('Week 10 Studio'!$S$5="Station 2 - 2015",'Station 2 - 2015'!A95,IF('Week 10 Studio'!$S$5="Station 3 - 2013",'Station 3 - 2013'!A95,"N/A"))))</f>
        <v>41358</v>
      </c>
      <c r="I90" s="88">
        <f>IF($S$5="Station 1 - 2014",'Station 1 - 2014'!B95,IF('Week 10 Studio'!$S$5="Station 1 - 2015",'Station 1 - 2015'!B95,IF('Week 10 Studio'!$S$5="Station 2 - 2015",'Station 2 - 2015'!B95,IF('Week 10 Studio'!$S$5="Station 3 - 2013",'Station 3 - 2013'!B95,"N/A"))))</f>
        <v>0.4</v>
      </c>
      <c r="J90">
        <f t="shared" si="6"/>
        <v>2716</v>
      </c>
      <c r="K90">
        <f t="shared" si="7"/>
        <v>369</v>
      </c>
      <c r="L90">
        <f t="shared" si="4"/>
        <v>100</v>
      </c>
      <c r="M90">
        <f t="shared" si="5"/>
        <v>-269</v>
      </c>
    </row>
    <row r="91" spans="8:13">
      <c r="H91" s="87">
        <f>IF($S$5="Station 1 - 2014",'Station 1 - 2014'!A96,IF('Week 10 Studio'!$S$5="Station 1 - 2015",'Station 1 - 2015'!A96,IF('Week 10 Studio'!$S$5="Station 2 - 2015",'Station 2 - 2015'!A96,IF('Week 10 Studio'!$S$5="Station 3 - 2013",'Station 3 - 2013'!A96,"N/A"))))</f>
        <v>41359</v>
      </c>
      <c r="I91" s="88">
        <f>IF($S$5="Station 1 - 2014",'Station 1 - 2014'!B96,IF('Week 10 Studio'!$S$5="Station 1 - 2015",'Station 1 - 2015'!B96,IF('Week 10 Studio'!$S$5="Station 2 - 2015",'Station 2 - 2015'!B96,IF('Week 10 Studio'!$S$5="Station 3 - 2013",'Station 3 - 2013'!B96,"N/A"))))</f>
        <v>0.8</v>
      </c>
      <c r="J91">
        <f t="shared" si="6"/>
        <v>2447</v>
      </c>
      <c r="K91">
        <f t="shared" si="7"/>
        <v>369</v>
      </c>
      <c r="L91">
        <f t="shared" si="4"/>
        <v>0</v>
      </c>
      <c r="M91">
        <f t="shared" si="5"/>
        <v>-369</v>
      </c>
    </row>
    <row r="92" spans="8:13">
      <c r="H92" s="87">
        <f>IF($S$5="Station 1 - 2014",'Station 1 - 2014'!A97,IF('Week 10 Studio'!$S$5="Station 1 - 2015",'Station 1 - 2015'!A97,IF('Week 10 Studio'!$S$5="Station 2 - 2015",'Station 2 - 2015'!A97,IF('Week 10 Studio'!$S$5="Station 3 - 2013",'Station 3 - 2013'!A97,"N/A"))))</f>
        <v>41360</v>
      </c>
      <c r="I92" s="88">
        <f>IF($S$5="Station 1 - 2014",'Station 1 - 2014'!B97,IF('Week 10 Studio'!$S$5="Station 1 - 2015",'Station 1 - 2015'!B97,IF('Week 10 Studio'!$S$5="Station 2 - 2015",'Station 2 - 2015'!B97,IF('Week 10 Studio'!$S$5="Station 3 - 2013",'Station 3 - 2013'!B97,"N/A"))))</f>
        <v>0</v>
      </c>
      <c r="J92">
        <f t="shared" si="6"/>
        <v>2078</v>
      </c>
      <c r="K92">
        <f t="shared" si="7"/>
        <v>369</v>
      </c>
      <c r="L92">
        <f t="shared" si="4"/>
        <v>0</v>
      </c>
      <c r="M92">
        <f t="shared" si="5"/>
        <v>-369</v>
      </c>
    </row>
    <row r="93" spans="8:13">
      <c r="H93" s="87">
        <f>IF($S$5="Station 1 - 2014",'Station 1 - 2014'!A98,IF('Week 10 Studio'!$S$5="Station 1 - 2015",'Station 1 - 2015'!A98,IF('Week 10 Studio'!$S$5="Station 2 - 2015",'Station 2 - 2015'!A98,IF('Week 10 Studio'!$S$5="Station 3 - 2013",'Station 3 - 2013'!A98,"N/A"))))</f>
        <v>41361</v>
      </c>
      <c r="I93" s="88">
        <f>IF($S$5="Station 1 - 2014",'Station 1 - 2014'!B98,IF('Week 10 Studio'!$S$5="Station 1 - 2015",'Station 1 - 2015'!B98,IF('Week 10 Studio'!$S$5="Station 2 - 2015",'Station 2 - 2015'!B98,IF('Week 10 Studio'!$S$5="Station 3 - 2013",'Station 3 - 2013'!B98,"N/A"))))</f>
        <v>0</v>
      </c>
      <c r="J93">
        <f t="shared" si="6"/>
        <v>1709</v>
      </c>
      <c r="K93">
        <f t="shared" si="7"/>
        <v>369</v>
      </c>
      <c r="L93">
        <f t="shared" si="4"/>
        <v>0</v>
      </c>
      <c r="M93">
        <f t="shared" si="5"/>
        <v>-369</v>
      </c>
    </row>
    <row r="94" spans="8:13">
      <c r="H94" s="87">
        <f>IF($S$5="Station 1 - 2014",'Station 1 - 2014'!A99,IF('Week 10 Studio'!$S$5="Station 1 - 2015",'Station 1 - 2015'!A99,IF('Week 10 Studio'!$S$5="Station 2 - 2015",'Station 2 - 2015'!A99,IF('Week 10 Studio'!$S$5="Station 3 - 2013",'Station 3 - 2013'!A99,"N/A"))))</f>
        <v>41362</v>
      </c>
      <c r="I94" s="88">
        <f>IF($S$5="Station 1 - 2014",'Station 1 - 2014'!B99,IF('Week 10 Studio'!$S$5="Station 1 - 2015",'Station 1 - 2015'!B99,IF('Week 10 Studio'!$S$5="Station 2 - 2015",'Station 2 - 2015'!B99,IF('Week 10 Studio'!$S$5="Station 3 - 2013",'Station 3 - 2013'!B99,"N/A"))))</f>
        <v>0</v>
      </c>
      <c r="J94">
        <f t="shared" si="6"/>
        <v>1340</v>
      </c>
      <c r="K94">
        <f t="shared" si="7"/>
        <v>369</v>
      </c>
      <c r="L94">
        <f t="shared" si="4"/>
        <v>0</v>
      </c>
      <c r="M94">
        <f t="shared" si="5"/>
        <v>-369</v>
      </c>
    </row>
    <row r="95" spans="8:13">
      <c r="H95" s="87">
        <f>IF($S$5="Station 1 - 2014",'Station 1 - 2014'!A100,IF('Week 10 Studio'!$S$5="Station 1 - 2015",'Station 1 - 2015'!A100,IF('Week 10 Studio'!$S$5="Station 2 - 2015",'Station 2 - 2015'!A100,IF('Week 10 Studio'!$S$5="Station 3 - 2013",'Station 3 - 2013'!A100,"N/A"))))</f>
        <v>41363</v>
      </c>
      <c r="I95" s="88">
        <f>IF($S$5="Station 1 - 2014",'Station 1 - 2014'!B100,IF('Week 10 Studio'!$S$5="Station 1 - 2015",'Station 1 - 2015'!B100,IF('Week 10 Studio'!$S$5="Station 2 - 2015",'Station 2 - 2015'!B100,IF('Week 10 Studio'!$S$5="Station 3 - 2013",'Station 3 - 2013'!B100,"N/A"))))</f>
        <v>0</v>
      </c>
      <c r="J95">
        <f t="shared" si="6"/>
        <v>971</v>
      </c>
      <c r="K95">
        <f t="shared" si="7"/>
        <v>369</v>
      </c>
      <c r="L95">
        <f t="shared" si="4"/>
        <v>0</v>
      </c>
      <c r="M95">
        <f t="shared" si="5"/>
        <v>-369</v>
      </c>
    </row>
    <row r="96" spans="8:13">
      <c r="H96" s="87">
        <f>IF($S$5="Station 1 - 2014",'Station 1 - 2014'!A101,IF('Week 10 Studio'!$S$5="Station 1 - 2015",'Station 1 - 2015'!A101,IF('Week 10 Studio'!$S$5="Station 2 - 2015",'Station 2 - 2015'!A101,IF('Week 10 Studio'!$S$5="Station 3 - 2013",'Station 3 - 2013'!A101,"N/A"))))</f>
        <v>41364</v>
      </c>
      <c r="I96" s="88">
        <f>IF($S$5="Station 1 - 2014",'Station 1 - 2014'!B101,IF('Week 10 Studio'!$S$5="Station 1 - 2015",'Station 1 - 2015'!B101,IF('Week 10 Studio'!$S$5="Station 2 - 2015",'Station 2 - 2015'!B101,IF('Week 10 Studio'!$S$5="Station 3 - 2013",'Station 3 - 2013'!B101,"N/A"))))</f>
        <v>0</v>
      </c>
      <c r="J96">
        <f t="shared" si="6"/>
        <v>602</v>
      </c>
      <c r="K96">
        <f t="shared" si="7"/>
        <v>369</v>
      </c>
      <c r="L96">
        <f t="shared" si="4"/>
        <v>0</v>
      </c>
      <c r="M96">
        <f t="shared" si="5"/>
        <v>-369</v>
      </c>
    </row>
    <row r="97" spans="8:13">
      <c r="H97" s="87">
        <f>IF($S$5="Station 1 - 2014",'Station 1 - 2014'!A102,IF('Week 10 Studio'!$S$5="Station 1 - 2015",'Station 1 - 2015'!A102,IF('Week 10 Studio'!$S$5="Station 2 - 2015",'Station 2 - 2015'!A102,IF('Week 10 Studio'!$S$5="Station 3 - 2013",'Station 3 - 2013'!A102,"N/A"))))</f>
        <v>41365</v>
      </c>
      <c r="I97" s="88">
        <f>IF($S$5="Station 1 - 2014",'Station 1 - 2014'!B102,IF('Week 10 Studio'!$S$5="Station 1 - 2015",'Station 1 - 2015'!B102,IF('Week 10 Studio'!$S$5="Station 2 - 2015",'Station 2 - 2015'!B102,IF('Week 10 Studio'!$S$5="Station 3 - 2013",'Station 3 - 2013'!B102,"N/A"))))</f>
        <v>0</v>
      </c>
      <c r="J97">
        <f t="shared" si="6"/>
        <v>233</v>
      </c>
      <c r="K97">
        <f t="shared" si="7"/>
        <v>369</v>
      </c>
      <c r="L97">
        <f t="shared" si="4"/>
        <v>0</v>
      </c>
      <c r="M97">
        <f t="shared" si="5"/>
        <v>-369</v>
      </c>
    </row>
    <row r="98" spans="8:13">
      <c r="H98" s="87">
        <f>IF($S$5="Station 1 - 2014",'Station 1 - 2014'!A103,IF('Week 10 Studio'!$S$5="Station 1 - 2015",'Station 1 - 2015'!A103,IF('Week 10 Studio'!$S$5="Station 2 - 2015",'Station 2 - 2015'!A103,IF('Week 10 Studio'!$S$5="Station 3 - 2013",'Station 3 - 2013'!A103,"N/A"))))</f>
        <v>41366</v>
      </c>
      <c r="I98" s="88">
        <f>IF($S$5="Station 1 - 2014",'Station 1 - 2014'!B103,IF('Week 10 Studio'!$S$5="Station 1 - 2015",'Station 1 - 2015'!B103,IF('Week 10 Studio'!$S$5="Station 2 - 2015",'Station 2 - 2015'!B103,IF('Week 10 Studio'!$S$5="Station 3 - 2013",'Station 3 - 2013'!B103,"N/A"))))</f>
        <v>0</v>
      </c>
      <c r="J98">
        <f t="shared" si="6"/>
        <v>0</v>
      </c>
      <c r="K98">
        <f t="shared" si="7"/>
        <v>369</v>
      </c>
      <c r="L98">
        <f t="shared" si="4"/>
        <v>0</v>
      </c>
      <c r="M98">
        <f t="shared" si="5"/>
        <v>-369</v>
      </c>
    </row>
    <row r="99" spans="8:13">
      <c r="H99" s="87">
        <f>IF($S$5="Station 1 - 2014",'Station 1 - 2014'!A104,IF('Week 10 Studio'!$S$5="Station 1 - 2015",'Station 1 - 2015'!A104,IF('Week 10 Studio'!$S$5="Station 2 - 2015",'Station 2 - 2015'!A104,IF('Week 10 Studio'!$S$5="Station 3 - 2013",'Station 3 - 2013'!A104,"N/A"))))</f>
        <v>41367</v>
      </c>
      <c r="I99" s="88">
        <f>IF($S$5="Station 1 - 2014",'Station 1 - 2014'!B104,IF('Week 10 Studio'!$S$5="Station 1 - 2015",'Station 1 - 2015'!B104,IF('Week 10 Studio'!$S$5="Station 2 - 2015",'Station 2 - 2015'!B104,IF('Week 10 Studio'!$S$5="Station 3 - 2013",'Station 3 - 2013'!B104,"N/A"))))</f>
        <v>0</v>
      </c>
      <c r="J99">
        <f t="shared" si="6"/>
        <v>0</v>
      </c>
      <c r="K99">
        <f t="shared" si="7"/>
        <v>369</v>
      </c>
      <c r="L99">
        <f t="shared" si="4"/>
        <v>1225</v>
      </c>
      <c r="M99">
        <f t="shared" si="5"/>
        <v>856</v>
      </c>
    </row>
    <row r="100" spans="8:13">
      <c r="H100" s="87">
        <f>IF($S$5="Station 1 - 2014",'Station 1 - 2014'!A105,IF('Week 10 Studio'!$S$5="Station 1 - 2015",'Station 1 - 2015'!A105,IF('Week 10 Studio'!$S$5="Station 2 - 2015",'Station 2 - 2015'!A105,IF('Week 10 Studio'!$S$5="Station 3 - 2013",'Station 3 - 2013'!A105,"N/A"))))</f>
        <v>41368</v>
      </c>
      <c r="I100" s="88">
        <f>IF($S$5="Station 1 - 2014",'Station 1 - 2014'!B105,IF('Week 10 Studio'!$S$5="Station 1 - 2015",'Station 1 - 2015'!B105,IF('Week 10 Studio'!$S$5="Station 2 - 2015",'Station 2 - 2015'!B105,IF('Week 10 Studio'!$S$5="Station 3 - 2013",'Station 3 - 2013'!B105,"N/A"))))</f>
        <v>9.8000000000000007</v>
      </c>
      <c r="J100">
        <f t="shared" si="6"/>
        <v>856</v>
      </c>
      <c r="K100">
        <f t="shared" si="7"/>
        <v>369</v>
      </c>
      <c r="L100">
        <f t="shared" si="4"/>
        <v>275</v>
      </c>
      <c r="M100">
        <f t="shared" si="5"/>
        <v>-94</v>
      </c>
    </row>
    <row r="101" spans="8:13">
      <c r="H101" s="87">
        <f>IF($S$5="Station 1 - 2014",'Station 1 - 2014'!A106,IF('Week 10 Studio'!$S$5="Station 1 - 2015",'Station 1 - 2015'!A106,IF('Week 10 Studio'!$S$5="Station 2 - 2015",'Station 2 - 2015'!A106,IF('Week 10 Studio'!$S$5="Station 3 - 2013",'Station 3 - 2013'!A106,"N/A"))))</f>
        <v>41369</v>
      </c>
      <c r="I101" s="88">
        <f>IF($S$5="Station 1 - 2014",'Station 1 - 2014'!B106,IF('Week 10 Studio'!$S$5="Station 1 - 2015",'Station 1 - 2015'!B106,IF('Week 10 Studio'!$S$5="Station 2 - 2015",'Station 2 - 2015'!B106,IF('Week 10 Studio'!$S$5="Station 3 - 2013",'Station 3 - 2013'!B106,"N/A"))))</f>
        <v>2.2000000000000002</v>
      </c>
      <c r="J101">
        <f t="shared" si="6"/>
        <v>762</v>
      </c>
      <c r="K101">
        <f t="shared" si="7"/>
        <v>369</v>
      </c>
      <c r="L101">
        <f t="shared" si="4"/>
        <v>425</v>
      </c>
      <c r="M101">
        <f t="shared" si="5"/>
        <v>56</v>
      </c>
    </row>
    <row r="102" spans="8:13">
      <c r="H102" s="87">
        <f>IF($S$5="Station 1 - 2014",'Station 1 - 2014'!A107,IF('Week 10 Studio'!$S$5="Station 1 - 2015",'Station 1 - 2015'!A107,IF('Week 10 Studio'!$S$5="Station 2 - 2015",'Station 2 - 2015'!A107,IF('Week 10 Studio'!$S$5="Station 3 - 2013",'Station 3 - 2013'!A107,"N/A"))))</f>
        <v>41370</v>
      </c>
      <c r="I102" s="88">
        <f>IF($S$5="Station 1 - 2014",'Station 1 - 2014'!B107,IF('Week 10 Studio'!$S$5="Station 1 - 2015",'Station 1 - 2015'!B107,IF('Week 10 Studio'!$S$5="Station 2 - 2015",'Station 2 - 2015'!B107,IF('Week 10 Studio'!$S$5="Station 3 - 2013",'Station 3 - 2013'!B107,"N/A"))))</f>
        <v>3.4</v>
      </c>
      <c r="J102">
        <f t="shared" si="6"/>
        <v>818</v>
      </c>
      <c r="K102">
        <f t="shared" si="7"/>
        <v>369</v>
      </c>
      <c r="L102">
        <f t="shared" si="4"/>
        <v>0</v>
      </c>
      <c r="M102">
        <f t="shared" si="5"/>
        <v>-369</v>
      </c>
    </row>
    <row r="103" spans="8:13">
      <c r="H103" s="87">
        <f>IF($S$5="Station 1 - 2014",'Station 1 - 2014'!A108,IF('Week 10 Studio'!$S$5="Station 1 - 2015",'Station 1 - 2015'!A108,IF('Week 10 Studio'!$S$5="Station 2 - 2015",'Station 2 - 2015'!A108,IF('Week 10 Studio'!$S$5="Station 3 - 2013",'Station 3 - 2013'!A108,"N/A"))))</f>
        <v>41371</v>
      </c>
      <c r="I103" s="88">
        <f>IF($S$5="Station 1 - 2014",'Station 1 - 2014'!B108,IF('Week 10 Studio'!$S$5="Station 1 - 2015",'Station 1 - 2015'!B108,IF('Week 10 Studio'!$S$5="Station 2 - 2015",'Station 2 - 2015'!B108,IF('Week 10 Studio'!$S$5="Station 3 - 2013",'Station 3 - 2013'!B108,"N/A"))))</f>
        <v>0</v>
      </c>
      <c r="J103">
        <f t="shared" si="6"/>
        <v>449</v>
      </c>
      <c r="K103">
        <f t="shared" si="7"/>
        <v>369</v>
      </c>
      <c r="L103">
        <f t="shared" si="4"/>
        <v>250</v>
      </c>
      <c r="M103">
        <f t="shared" si="5"/>
        <v>-119</v>
      </c>
    </row>
    <row r="104" spans="8:13">
      <c r="H104" s="87">
        <f>IF($S$5="Station 1 - 2014",'Station 1 - 2014'!A109,IF('Week 10 Studio'!$S$5="Station 1 - 2015",'Station 1 - 2015'!A109,IF('Week 10 Studio'!$S$5="Station 2 - 2015",'Station 2 - 2015'!A109,IF('Week 10 Studio'!$S$5="Station 3 - 2013",'Station 3 - 2013'!A109,"N/A"))))</f>
        <v>41372</v>
      </c>
      <c r="I104" s="88">
        <f>IF($S$5="Station 1 - 2014",'Station 1 - 2014'!B109,IF('Week 10 Studio'!$S$5="Station 1 - 2015",'Station 1 - 2015'!B109,IF('Week 10 Studio'!$S$5="Station 2 - 2015",'Station 2 - 2015'!B109,IF('Week 10 Studio'!$S$5="Station 3 - 2013",'Station 3 - 2013'!B109,"N/A"))))</f>
        <v>2</v>
      </c>
      <c r="J104">
        <f t="shared" si="6"/>
        <v>330</v>
      </c>
      <c r="K104">
        <f t="shared" si="7"/>
        <v>369</v>
      </c>
      <c r="L104">
        <f t="shared" si="4"/>
        <v>0</v>
      </c>
      <c r="M104">
        <f t="shared" si="5"/>
        <v>-369</v>
      </c>
    </row>
    <row r="105" spans="8:13">
      <c r="H105" s="87">
        <f>IF($S$5="Station 1 - 2014",'Station 1 - 2014'!A110,IF('Week 10 Studio'!$S$5="Station 1 - 2015",'Station 1 - 2015'!A110,IF('Week 10 Studio'!$S$5="Station 2 - 2015",'Station 2 - 2015'!A110,IF('Week 10 Studio'!$S$5="Station 3 - 2013",'Station 3 - 2013'!A110,"N/A"))))</f>
        <v>41373</v>
      </c>
      <c r="I105" s="88">
        <f>IF($S$5="Station 1 - 2014",'Station 1 - 2014'!B110,IF('Week 10 Studio'!$S$5="Station 1 - 2015",'Station 1 - 2015'!B110,IF('Week 10 Studio'!$S$5="Station 2 - 2015",'Station 2 - 2015'!B110,IF('Week 10 Studio'!$S$5="Station 3 - 2013",'Station 3 - 2013'!B110,"N/A"))))</f>
        <v>0</v>
      </c>
      <c r="J105">
        <f t="shared" si="6"/>
        <v>0</v>
      </c>
      <c r="K105">
        <f t="shared" si="7"/>
        <v>369</v>
      </c>
      <c r="L105">
        <f t="shared" si="4"/>
        <v>150</v>
      </c>
      <c r="M105">
        <f t="shared" si="5"/>
        <v>-219</v>
      </c>
    </row>
    <row r="106" spans="8:13">
      <c r="H106" s="87">
        <f>IF($S$5="Station 1 - 2014",'Station 1 - 2014'!A111,IF('Week 10 Studio'!$S$5="Station 1 - 2015",'Station 1 - 2015'!A111,IF('Week 10 Studio'!$S$5="Station 2 - 2015",'Station 2 - 2015'!A111,IF('Week 10 Studio'!$S$5="Station 3 - 2013",'Station 3 - 2013'!A111,"N/A"))))</f>
        <v>41374</v>
      </c>
      <c r="I106" s="88">
        <f>IF($S$5="Station 1 - 2014",'Station 1 - 2014'!B111,IF('Week 10 Studio'!$S$5="Station 1 - 2015",'Station 1 - 2015'!B111,IF('Week 10 Studio'!$S$5="Station 2 - 2015",'Station 2 - 2015'!B111,IF('Week 10 Studio'!$S$5="Station 3 - 2013",'Station 3 - 2013'!B111,"N/A"))))</f>
        <v>1.2</v>
      </c>
      <c r="J106">
        <f t="shared" si="6"/>
        <v>0</v>
      </c>
      <c r="K106">
        <f t="shared" si="7"/>
        <v>369</v>
      </c>
      <c r="L106">
        <f t="shared" si="4"/>
        <v>125</v>
      </c>
      <c r="M106">
        <f t="shared" si="5"/>
        <v>-244</v>
      </c>
    </row>
    <row r="107" spans="8:13">
      <c r="H107" s="87">
        <f>IF($S$5="Station 1 - 2014",'Station 1 - 2014'!A112,IF('Week 10 Studio'!$S$5="Station 1 - 2015",'Station 1 - 2015'!A112,IF('Week 10 Studio'!$S$5="Station 2 - 2015",'Station 2 - 2015'!A112,IF('Week 10 Studio'!$S$5="Station 3 - 2013",'Station 3 - 2013'!A112,"N/A"))))</f>
        <v>41375</v>
      </c>
      <c r="I107" s="88">
        <f>IF($S$5="Station 1 - 2014",'Station 1 - 2014'!B112,IF('Week 10 Studio'!$S$5="Station 1 - 2015",'Station 1 - 2015'!B112,IF('Week 10 Studio'!$S$5="Station 2 - 2015",'Station 2 - 2015'!B112,IF('Week 10 Studio'!$S$5="Station 3 - 2013",'Station 3 - 2013'!B112,"N/A"))))</f>
        <v>1</v>
      </c>
      <c r="J107">
        <f t="shared" si="6"/>
        <v>0</v>
      </c>
      <c r="K107">
        <f t="shared" si="7"/>
        <v>369</v>
      </c>
      <c r="L107">
        <f t="shared" si="4"/>
        <v>1050</v>
      </c>
      <c r="M107">
        <f t="shared" si="5"/>
        <v>681</v>
      </c>
    </row>
    <row r="108" spans="8:13">
      <c r="H108" s="87">
        <f>IF($S$5="Station 1 - 2014",'Station 1 - 2014'!A113,IF('Week 10 Studio'!$S$5="Station 1 - 2015",'Station 1 - 2015'!A113,IF('Week 10 Studio'!$S$5="Station 2 - 2015",'Station 2 - 2015'!A113,IF('Week 10 Studio'!$S$5="Station 3 - 2013",'Station 3 - 2013'!A113,"N/A"))))</f>
        <v>41376</v>
      </c>
      <c r="I108" s="88">
        <f>IF($S$5="Station 1 - 2014",'Station 1 - 2014'!B113,IF('Week 10 Studio'!$S$5="Station 1 - 2015",'Station 1 - 2015'!B113,IF('Week 10 Studio'!$S$5="Station 2 - 2015",'Station 2 - 2015'!B113,IF('Week 10 Studio'!$S$5="Station 3 - 2013",'Station 3 - 2013'!B113,"N/A"))))</f>
        <v>8.4</v>
      </c>
      <c r="J108">
        <f t="shared" si="6"/>
        <v>681</v>
      </c>
      <c r="K108">
        <f t="shared" si="7"/>
        <v>369</v>
      </c>
      <c r="L108">
        <f t="shared" si="4"/>
        <v>0</v>
      </c>
      <c r="M108">
        <f t="shared" si="5"/>
        <v>-369</v>
      </c>
    </row>
    <row r="109" spans="8:13">
      <c r="H109" s="87">
        <f>IF($S$5="Station 1 - 2014",'Station 1 - 2014'!A114,IF('Week 10 Studio'!$S$5="Station 1 - 2015",'Station 1 - 2015'!A114,IF('Week 10 Studio'!$S$5="Station 2 - 2015",'Station 2 - 2015'!A114,IF('Week 10 Studio'!$S$5="Station 3 - 2013",'Station 3 - 2013'!A114,"N/A"))))</f>
        <v>41377</v>
      </c>
      <c r="I109" s="88">
        <f>IF($S$5="Station 1 - 2014",'Station 1 - 2014'!B114,IF('Week 10 Studio'!$S$5="Station 1 - 2015",'Station 1 - 2015'!B114,IF('Week 10 Studio'!$S$5="Station 2 - 2015",'Station 2 - 2015'!B114,IF('Week 10 Studio'!$S$5="Station 3 - 2013",'Station 3 - 2013'!B114,"N/A"))))</f>
        <v>0</v>
      </c>
      <c r="J109">
        <f t="shared" si="6"/>
        <v>312</v>
      </c>
      <c r="K109">
        <f t="shared" si="7"/>
        <v>369</v>
      </c>
      <c r="L109">
        <f t="shared" si="4"/>
        <v>0</v>
      </c>
      <c r="M109">
        <f t="shared" si="5"/>
        <v>-369</v>
      </c>
    </row>
    <row r="110" spans="8:13">
      <c r="H110" s="87">
        <f>IF($S$5="Station 1 - 2014",'Station 1 - 2014'!A115,IF('Week 10 Studio'!$S$5="Station 1 - 2015",'Station 1 - 2015'!A115,IF('Week 10 Studio'!$S$5="Station 2 - 2015",'Station 2 - 2015'!A115,IF('Week 10 Studio'!$S$5="Station 3 - 2013",'Station 3 - 2013'!A115,"N/A"))))</f>
        <v>41378</v>
      </c>
      <c r="I110" s="88">
        <f>IF($S$5="Station 1 - 2014",'Station 1 - 2014'!B115,IF('Week 10 Studio'!$S$5="Station 1 - 2015",'Station 1 - 2015'!B115,IF('Week 10 Studio'!$S$5="Station 2 - 2015",'Station 2 - 2015'!B115,IF('Week 10 Studio'!$S$5="Station 3 - 2013",'Station 3 - 2013'!B115,"N/A"))))</f>
        <v>0</v>
      </c>
      <c r="J110">
        <f t="shared" si="6"/>
        <v>0</v>
      </c>
      <c r="K110">
        <f t="shared" si="7"/>
        <v>369</v>
      </c>
      <c r="L110">
        <f t="shared" si="4"/>
        <v>0</v>
      </c>
      <c r="M110">
        <f t="shared" si="5"/>
        <v>-369</v>
      </c>
    </row>
    <row r="111" spans="8:13">
      <c r="H111" s="87">
        <f>IF($S$5="Station 1 - 2014",'Station 1 - 2014'!A116,IF('Week 10 Studio'!$S$5="Station 1 - 2015",'Station 1 - 2015'!A116,IF('Week 10 Studio'!$S$5="Station 2 - 2015",'Station 2 - 2015'!A116,IF('Week 10 Studio'!$S$5="Station 3 - 2013",'Station 3 - 2013'!A116,"N/A"))))</f>
        <v>41379</v>
      </c>
      <c r="I111" s="88">
        <f>IF($S$5="Station 1 - 2014",'Station 1 - 2014'!B116,IF('Week 10 Studio'!$S$5="Station 1 - 2015",'Station 1 - 2015'!B116,IF('Week 10 Studio'!$S$5="Station 2 - 2015",'Station 2 - 2015'!B116,IF('Week 10 Studio'!$S$5="Station 3 - 2013",'Station 3 - 2013'!B116,"N/A"))))</f>
        <v>0</v>
      </c>
      <c r="J111">
        <f t="shared" si="6"/>
        <v>0</v>
      </c>
      <c r="K111">
        <f t="shared" si="7"/>
        <v>369</v>
      </c>
      <c r="L111">
        <f t="shared" si="4"/>
        <v>0</v>
      </c>
      <c r="M111">
        <f t="shared" si="5"/>
        <v>-369</v>
      </c>
    </row>
    <row r="112" spans="8:13">
      <c r="H112" s="87">
        <f>IF($S$5="Station 1 - 2014",'Station 1 - 2014'!A117,IF('Week 10 Studio'!$S$5="Station 1 - 2015",'Station 1 - 2015'!A117,IF('Week 10 Studio'!$S$5="Station 2 - 2015",'Station 2 - 2015'!A117,IF('Week 10 Studio'!$S$5="Station 3 - 2013",'Station 3 - 2013'!A117,"N/A"))))</f>
        <v>41380</v>
      </c>
      <c r="I112" s="88">
        <f>IF($S$5="Station 1 - 2014",'Station 1 - 2014'!B117,IF('Week 10 Studio'!$S$5="Station 1 - 2015",'Station 1 - 2015'!B117,IF('Week 10 Studio'!$S$5="Station 2 - 2015",'Station 2 - 2015'!B117,IF('Week 10 Studio'!$S$5="Station 3 - 2013",'Station 3 - 2013'!B117,"N/A"))))</f>
        <v>0</v>
      </c>
      <c r="J112">
        <f t="shared" si="6"/>
        <v>0</v>
      </c>
      <c r="K112">
        <f t="shared" si="7"/>
        <v>369</v>
      </c>
      <c r="L112">
        <f t="shared" si="4"/>
        <v>0</v>
      </c>
      <c r="M112">
        <f t="shared" si="5"/>
        <v>-369</v>
      </c>
    </row>
    <row r="113" spans="8:13">
      <c r="H113" s="87">
        <f>IF($S$5="Station 1 - 2014",'Station 1 - 2014'!A118,IF('Week 10 Studio'!$S$5="Station 1 - 2015",'Station 1 - 2015'!A118,IF('Week 10 Studio'!$S$5="Station 2 - 2015",'Station 2 - 2015'!A118,IF('Week 10 Studio'!$S$5="Station 3 - 2013",'Station 3 - 2013'!A118,"N/A"))))</f>
        <v>41381</v>
      </c>
      <c r="I113" s="88">
        <f>IF($S$5="Station 1 - 2014",'Station 1 - 2014'!B118,IF('Week 10 Studio'!$S$5="Station 1 - 2015",'Station 1 - 2015'!B118,IF('Week 10 Studio'!$S$5="Station 2 - 2015",'Station 2 - 2015'!B118,IF('Week 10 Studio'!$S$5="Station 3 - 2013",'Station 3 - 2013'!B118,"N/A"))))</f>
        <v>0</v>
      </c>
      <c r="J113">
        <f t="shared" si="6"/>
        <v>0</v>
      </c>
      <c r="K113">
        <f t="shared" si="7"/>
        <v>369</v>
      </c>
      <c r="L113">
        <f t="shared" si="4"/>
        <v>1025</v>
      </c>
      <c r="M113">
        <f t="shared" si="5"/>
        <v>656</v>
      </c>
    </row>
    <row r="114" spans="8:13">
      <c r="H114" s="87">
        <f>IF($S$5="Station 1 - 2014",'Station 1 - 2014'!A119,IF('Week 10 Studio'!$S$5="Station 1 - 2015",'Station 1 - 2015'!A119,IF('Week 10 Studio'!$S$5="Station 2 - 2015",'Station 2 - 2015'!A119,IF('Week 10 Studio'!$S$5="Station 3 - 2013",'Station 3 - 2013'!A119,"N/A"))))</f>
        <v>41382</v>
      </c>
      <c r="I114" s="88">
        <f>IF($S$5="Station 1 - 2014",'Station 1 - 2014'!B119,IF('Week 10 Studio'!$S$5="Station 1 - 2015",'Station 1 - 2015'!B119,IF('Week 10 Studio'!$S$5="Station 2 - 2015",'Station 2 - 2015'!B119,IF('Week 10 Studio'!$S$5="Station 3 - 2013",'Station 3 - 2013'!B119,"N/A"))))</f>
        <v>8.1999999999999993</v>
      </c>
      <c r="J114">
        <f t="shared" si="6"/>
        <v>656</v>
      </c>
      <c r="K114">
        <f t="shared" si="7"/>
        <v>369</v>
      </c>
      <c r="L114">
        <f t="shared" si="4"/>
        <v>100</v>
      </c>
      <c r="M114">
        <f t="shared" si="5"/>
        <v>-269</v>
      </c>
    </row>
    <row r="115" spans="8:13">
      <c r="H115" s="87">
        <f>IF($S$5="Station 1 - 2014",'Station 1 - 2014'!A120,IF('Week 10 Studio'!$S$5="Station 1 - 2015",'Station 1 - 2015'!A120,IF('Week 10 Studio'!$S$5="Station 2 - 2015",'Station 2 - 2015'!A120,IF('Week 10 Studio'!$S$5="Station 3 - 2013",'Station 3 - 2013'!A120,"N/A"))))</f>
        <v>41383</v>
      </c>
      <c r="I115" s="88">
        <f>IF($S$5="Station 1 - 2014",'Station 1 - 2014'!B120,IF('Week 10 Studio'!$S$5="Station 1 - 2015",'Station 1 - 2015'!B120,IF('Week 10 Studio'!$S$5="Station 2 - 2015",'Station 2 - 2015'!B120,IF('Week 10 Studio'!$S$5="Station 3 - 2013",'Station 3 - 2013'!B120,"N/A"))))</f>
        <v>0.8</v>
      </c>
      <c r="J115">
        <f t="shared" si="6"/>
        <v>387</v>
      </c>
      <c r="K115">
        <f t="shared" si="7"/>
        <v>369</v>
      </c>
      <c r="L115">
        <f t="shared" si="4"/>
        <v>0</v>
      </c>
      <c r="M115">
        <f t="shared" si="5"/>
        <v>-369</v>
      </c>
    </row>
    <row r="116" spans="8:13">
      <c r="H116" s="87">
        <f>IF($S$5="Station 1 - 2014",'Station 1 - 2014'!A121,IF('Week 10 Studio'!$S$5="Station 1 - 2015",'Station 1 - 2015'!A121,IF('Week 10 Studio'!$S$5="Station 2 - 2015",'Station 2 - 2015'!A121,IF('Week 10 Studio'!$S$5="Station 3 - 2013",'Station 3 - 2013'!A121,"N/A"))))</f>
        <v>41384</v>
      </c>
      <c r="I116" s="88">
        <f>IF($S$5="Station 1 - 2014",'Station 1 - 2014'!B121,IF('Week 10 Studio'!$S$5="Station 1 - 2015",'Station 1 - 2015'!B121,IF('Week 10 Studio'!$S$5="Station 2 - 2015",'Station 2 - 2015'!B121,IF('Week 10 Studio'!$S$5="Station 3 - 2013",'Station 3 - 2013'!B121,"N/A"))))</f>
        <v>0</v>
      </c>
      <c r="J116">
        <f t="shared" si="6"/>
        <v>18</v>
      </c>
      <c r="K116">
        <f t="shared" si="7"/>
        <v>369</v>
      </c>
      <c r="L116">
        <f t="shared" si="4"/>
        <v>0</v>
      </c>
      <c r="M116">
        <f t="shared" si="5"/>
        <v>-369</v>
      </c>
    </row>
    <row r="117" spans="8:13">
      <c r="H117" s="87">
        <f>IF($S$5="Station 1 - 2014",'Station 1 - 2014'!A122,IF('Week 10 Studio'!$S$5="Station 1 - 2015",'Station 1 - 2015'!A122,IF('Week 10 Studio'!$S$5="Station 2 - 2015",'Station 2 - 2015'!A122,IF('Week 10 Studio'!$S$5="Station 3 - 2013",'Station 3 - 2013'!A122,"N/A"))))</f>
        <v>41385</v>
      </c>
      <c r="I117" s="88">
        <f>IF($S$5="Station 1 - 2014",'Station 1 - 2014'!B122,IF('Week 10 Studio'!$S$5="Station 1 - 2015",'Station 1 - 2015'!B122,IF('Week 10 Studio'!$S$5="Station 2 - 2015",'Station 2 - 2015'!B122,IF('Week 10 Studio'!$S$5="Station 3 - 2013",'Station 3 - 2013'!B122,"N/A"))))</f>
        <v>0</v>
      </c>
      <c r="J117">
        <f t="shared" si="6"/>
        <v>0</v>
      </c>
      <c r="K117">
        <f t="shared" si="7"/>
        <v>369</v>
      </c>
      <c r="L117">
        <f t="shared" si="4"/>
        <v>0</v>
      </c>
      <c r="M117">
        <f t="shared" si="5"/>
        <v>-369</v>
      </c>
    </row>
    <row r="118" spans="8:13">
      <c r="H118" s="87">
        <f>IF($S$5="Station 1 - 2014",'Station 1 - 2014'!A123,IF('Week 10 Studio'!$S$5="Station 1 - 2015",'Station 1 - 2015'!A123,IF('Week 10 Studio'!$S$5="Station 2 - 2015",'Station 2 - 2015'!A123,IF('Week 10 Studio'!$S$5="Station 3 - 2013",'Station 3 - 2013'!A123,"N/A"))))</f>
        <v>41386</v>
      </c>
      <c r="I118" s="88">
        <f>IF($S$5="Station 1 - 2014",'Station 1 - 2014'!B123,IF('Week 10 Studio'!$S$5="Station 1 - 2015",'Station 1 - 2015'!B123,IF('Week 10 Studio'!$S$5="Station 2 - 2015",'Station 2 - 2015'!B123,IF('Week 10 Studio'!$S$5="Station 3 - 2013",'Station 3 - 2013'!B123,"N/A"))))</f>
        <v>0</v>
      </c>
      <c r="J118">
        <f t="shared" si="6"/>
        <v>0</v>
      </c>
      <c r="K118">
        <f t="shared" si="7"/>
        <v>369</v>
      </c>
      <c r="L118">
        <f t="shared" si="4"/>
        <v>0</v>
      </c>
      <c r="M118">
        <f t="shared" si="5"/>
        <v>-369</v>
      </c>
    </row>
    <row r="119" spans="8:13">
      <c r="H119" s="87">
        <f>IF($S$5="Station 1 - 2014",'Station 1 - 2014'!A124,IF('Week 10 Studio'!$S$5="Station 1 - 2015",'Station 1 - 2015'!A124,IF('Week 10 Studio'!$S$5="Station 2 - 2015",'Station 2 - 2015'!A124,IF('Week 10 Studio'!$S$5="Station 3 - 2013",'Station 3 - 2013'!A124,"N/A"))))</f>
        <v>41387</v>
      </c>
      <c r="I119" s="88">
        <f>IF($S$5="Station 1 - 2014",'Station 1 - 2014'!B124,IF('Week 10 Studio'!$S$5="Station 1 - 2015",'Station 1 - 2015'!B124,IF('Week 10 Studio'!$S$5="Station 2 - 2015",'Station 2 - 2015'!B124,IF('Week 10 Studio'!$S$5="Station 3 - 2013",'Station 3 - 2013'!B124,"N/A"))))</f>
        <v>0</v>
      </c>
      <c r="J119">
        <f t="shared" si="6"/>
        <v>0</v>
      </c>
      <c r="K119">
        <f t="shared" si="7"/>
        <v>369</v>
      </c>
      <c r="L119">
        <f t="shared" si="4"/>
        <v>75</v>
      </c>
      <c r="M119">
        <f t="shared" si="5"/>
        <v>-294</v>
      </c>
    </row>
    <row r="120" spans="8:13">
      <c r="H120" s="87">
        <f>IF($S$5="Station 1 - 2014",'Station 1 - 2014'!A125,IF('Week 10 Studio'!$S$5="Station 1 - 2015",'Station 1 - 2015'!A125,IF('Week 10 Studio'!$S$5="Station 2 - 2015",'Station 2 - 2015'!A125,IF('Week 10 Studio'!$S$5="Station 3 - 2013",'Station 3 - 2013'!A125,"N/A"))))</f>
        <v>41388</v>
      </c>
      <c r="I120" s="88">
        <f>IF($S$5="Station 1 - 2014",'Station 1 - 2014'!B125,IF('Week 10 Studio'!$S$5="Station 1 - 2015",'Station 1 - 2015'!B125,IF('Week 10 Studio'!$S$5="Station 2 - 2015",'Station 2 - 2015'!B125,IF('Week 10 Studio'!$S$5="Station 3 - 2013",'Station 3 - 2013'!B125,"N/A"))))</f>
        <v>0.6</v>
      </c>
      <c r="J120">
        <f t="shared" si="6"/>
        <v>0</v>
      </c>
      <c r="K120">
        <f t="shared" si="7"/>
        <v>369</v>
      </c>
      <c r="L120">
        <f t="shared" si="4"/>
        <v>150</v>
      </c>
      <c r="M120">
        <f t="shared" si="5"/>
        <v>-219</v>
      </c>
    </row>
    <row r="121" spans="8:13">
      <c r="H121" s="87">
        <f>IF($S$5="Station 1 - 2014",'Station 1 - 2014'!A126,IF('Week 10 Studio'!$S$5="Station 1 - 2015",'Station 1 - 2015'!A126,IF('Week 10 Studio'!$S$5="Station 2 - 2015",'Station 2 - 2015'!A126,IF('Week 10 Studio'!$S$5="Station 3 - 2013",'Station 3 - 2013'!A126,"N/A"))))</f>
        <v>41389</v>
      </c>
      <c r="I121" s="88">
        <f>IF($S$5="Station 1 - 2014",'Station 1 - 2014'!B126,IF('Week 10 Studio'!$S$5="Station 1 - 2015",'Station 1 - 2015'!B126,IF('Week 10 Studio'!$S$5="Station 2 - 2015",'Station 2 - 2015'!B126,IF('Week 10 Studio'!$S$5="Station 3 - 2013",'Station 3 - 2013'!B126,"N/A"))))</f>
        <v>1.2</v>
      </c>
      <c r="J121">
        <f t="shared" si="6"/>
        <v>0</v>
      </c>
      <c r="K121">
        <f t="shared" si="7"/>
        <v>369</v>
      </c>
      <c r="L121">
        <f t="shared" si="4"/>
        <v>2325</v>
      </c>
      <c r="M121">
        <f t="shared" si="5"/>
        <v>1956</v>
      </c>
    </row>
    <row r="122" spans="8:13">
      <c r="H122" s="87">
        <f>IF($S$5="Station 1 - 2014",'Station 1 - 2014'!A127,IF('Week 10 Studio'!$S$5="Station 1 - 2015",'Station 1 - 2015'!A127,IF('Week 10 Studio'!$S$5="Station 2 - 2015",'Station 2 - 2015'!A127,IF('Week 10 Studio'!$S$5="Station 3 - 2013",'Station 3 - 2013'!A127,"N/A"))))</f>
        <v>41390</v>
      </c>
      <c r="I122" s="88">
        <f>IF($S$5="Station 1 - 2014",'Station 1 - 2014'!B127,IF('Week 10 Studio'!$S$5="Station 1 - 2015",'Station 1 - 2015'!B127,IF('Week 10 Studio'!$S$5="Station 2 - 2015",'Station 2 - 2015'!B127,IF('Week 10 Studio'!$S$5="Station 3 - 2013",'Station 3 - 2013'!B127,"N/A"))))</f>
        <v>18.600000000000001</v>
      </c>
      <c r="J122">
        <f t="shared" si="6"/>
        <v>1956</v>
      </c>
      <c r="K122">
        <f t="shared" si="7"/>
        <v>369</v>
      </c>
      <c r="L122">
        <f t="shared" si="4"/>
        <v>350</v>
      </c>
      <c r="M122">
        <f t="shared" si="5"/>
        <v>-19</v>
      </c>
    </row>
    <row r="123" spans="8:13">
      <c r="H123" s="87">
        <f>IF($S$5="Station 1 - 2014",'Station 1 - 2014'!A128,IF('Week 10 Studio'!$S$5="Station 1 - 2015",'Station 1 - 2015'!A128,IF('Week 10 Studio'!$S$5="Station 2 - 2015",'Station 2 - 2015'!A128,IF('Week 10 Studio'!$S$5="Station 3 - 2013",'Station 3 - 2013'!A128,"N/A"))))</f>
        <v>41391</v>
      </c>
      <c r="I123" s="88">
        <f>IF($S$5="Station 1 - 2014",'Station 1 - 2014'!B128,IF('Week 10 Studio'!$S$5="Station 1 - 2015",'Station 1 - 2015'!B128,IF('Week 10 Studio'!$S$5="Station 2 - 2015",'Station 2 - 2015'!B128,IF('Week 10 Studio'!$S$5="Station 3 - 2013",'Station 3 - 2013'!B128,"N/A"))))</f>
        <v>2.8</v>
      </c>
      <c r="J123">
        <f t="shared" si="6"/>
        <v>1937</v>
      </c>
      <c r="K123">
        <f t="shared" si="7"/>
        <v>369</v>
      </c>
      <c r="L123">
        <f t="shared" si="4"/>
        <v>875</v>
      </c>
      <c r="M123">
        <f t="shared" si="5"/>
        <v>506</v>
      </c>
    </row>
    <row r="124" spans="8:13">
      <c r="H124" s="87">
        <f>IF($S$5="Station 1 - 2014",'Station 1 - 2014'!A129,IF('Week 10 Studio'!$S$5="Station 1 - 2015",'Station 1 - 2015'!A129,IF('Week 10 Studio'!$S$5="Station 2 - 2015",'Station 2 - 2015'!A129,IF('Week 10 Studio'!$S$5="Station 3 - 2013",'Station 3 - 2013'!A129,"N/A"))))</f>
        <v>41392</v>
      </c>
      <c r="I124" s="88">
        <f>IF($S$5="Station 1 - 2014",'Station 1 - 2014'!B129,IF('Week 10 Studio'!$S$5="Station 1 - 2015",'Station 1 - 2015'!B129,IF('Week 10 Studio'!$S$5="Station 2 - 2015",'Station 2 - 2015'!B129,IF('Week 10 Studio'!$S$5="Station 3 - 2013",'Station 3 - 2013'!B129,"N/A"))))</f>
        <v>7</v>
      </c>
      <c r="J124">
        <f t="shared" si="6"/>
        <v>2443</v>
      </c>
      <c r="K124">
        <f t="shared" si="7"/>
        <v>369</v>
      </c>
      <c r="L124">
        <f t="shared" si="4"/>
        <v>0</v>
      </c>
      <c r="M124">
        <f t="shared" si="5"/>
        <v>-369</v>
      </c>
    </row>
    <row r="125" spans="8:13">
      <c r="H125" s="87">
        <f>IF($S$5="Station 1 - 2014",'Station 1 - 2014'!A130,IF('Week 10 Studio'!$S$5="Station 1 - 2015",'Station 1 - 2015'!A130,IF('Week 10 Studio'!$S$5="Station 2 - 2015",'Station 2 - 2015'!A130,IF('Week 10 Studio'!$S$5="Station 3 - 2013",'Station 3 - 2013'!A130,"N/A"))))</f>
        <v>41393</v>
      </c>
      <c r="I125" s="88">
        <f>IF($S$5="Station 1 - 2014",'Station 1 - 2014'!B130,IF('Week 10 Studio'!$S$5="Station 1 - 2015",'Station 1 - 2015'!B130,IF('Week 10 Studio'!$S$5="Station 2 - 2015",'Station 2 - 2015'!B130,IF('Week 10 Studio'!$S$5="Station 3 - 2013",'Station 3 - 2013'!B130,"N/A"))))</f>
        <v>0</v>
      </c>
      <c r="J125">
        <f t="shared" si="6"/>
        <v>2074</v>
      </c>
      <c r="K125">
        <f t="shared" si="7"/>
        <v>369</v>
      </c>
      <c r="L125">
        <f t="shared" si="4"/>
        <v>25</v>
      </c>
      <c r="M125">
        <f t="shared" si="5"/>
        <v>-344</v>
      </c>
    </row>
    <row r="126" spans="8:13">
      <c r="H126" s="87">
        <f>IF($S$5="Station 1 - 2014",'Station 1 - 2014'!A131,IF('Week 10 Studio'!$S$5="Station 1 - 2015",'Station 1 - 2015'!A131,IF('Week 10 Studio'!$S$5="Station 2 - 2015",'Station 2 - 2015'!A131,IF('Week 10 Studio'!$S$5="Station 3 - 2013",'Station 3 - 2013'!A131,"N/A"))))</f>
        <v>41394</v>
      </c>
      <c r="I126" s="88">
        <f>IF($S$5="Station 1 - 2014",'Station 1 - 2014'!B131,IF('Week 10 Studio'!$S$5="Station 1 - 2015",'Station 1 - 2015'!B131,IF('Week 10 Studio'!$S$5="Station 2 - 2015",'Station 2 - 2015'!B131,IF('Week 10 Studio'!$S$5="Station 3 - 2013",'Station 3 - 2013'!B131,"N/A"))))</f>
        <v>0.2</v>
      </c>
      <c r="J126">
        <f t="shared" si="6"/>
        <v>1730</v>
      </c>
      <c r="K126">
        <f t="shared" si="7"/>
        <v>369</v>
      </c>
      <c r="L126">
        <f t="shared" si="4"/>
        <v>25</v>
      </c>
      <c r="M126">
        <f t="shared" si="5"/>
        <v>-344</v>
      </c>
    </row>
    <row r="127" spans="8:13">
      <c r="H127" s="87">
        <f>IF($S$5="Station 1 - 2014",'Station 1 - 2014'!A132,IF('Week 10 Studio'!$S$5="Station 1 - 2015",'Station 1 - 2015'!A132,IF('Week 10 Studio'!$S$5="Station 2 - 2015",'Station 2 - 2015'!A132,IF('Week 10 Studio'!$S$5="Station 3 - 2013",'Station 3 - 2013'!A132,"N/A"))))</f>
        <v>41395</v>
      </c>
      <c r="I127" s="88">
        <f>IF($S$5="Station 1 - 2014",'Station 1 - 2014'!B132,IF('Week 10 Studio'!$S$5="Station 1 - 2015",'Station 1 - 2015'!B132,IF('Week 10 Studio'!$S$5="Station 2 - 2015",'Station 2 - 2015'!B132,IF('Week 10 Studio'!$S$5="Station 3 - 2013",'Station 3 - 2013'!B132,"N/A"))))</f>
        <v>0.2</v>
      </c>
      <c r="J127">
        <f t="shared" si="6"/>
        <v>1386</v>
      </c>
      <c r="K127">
        <f t="shared" si="7"/>
        <v>369</v>
      </c>
      <c r="L127">
        <f t="shared" si="4"/>
        <v>125</v>
      </c>
      <c r="M127">
        <f t="shared" si="5"/>
        <v>-244</v>
      </c>
    </row>
    <row r="128" spans="8:13">
      <c r="H128" s="87">
        <f>IF($S$5="Station 1 - 2014",'Station 1 - 2014'!A133,IF('Week 10 Studio'!$S$5="Station 1 - 2015",'Station 1 - 2015'!A133,IF('Week 10 Studio'!$S$5="Station 2 - 2015",'Station 2 - 2015'!A133,IF('Week 10 Studio'!$S$5="Station 3 - 2013",'Station 3 - 2013'!A133,"N/A"))))</f>
        <v>41396</v>
      </c>
      <c r="I128" s="88">
        <f>IF($S$5="Station 1 - 2014",'Station 1 - 2014'!B133,IF('Week 10 Studio'!$S$5="Station 1 - 2015",'Station 1 - 2015'!B133,IF('Week 10 Studio'!$S$5="Station 2 - 2015",'Station 2 - 2015'!B133,IF('Week 10 Studio'!$S$5="Station 3 - 2013",'Station 3 - 2013'!B133,"N/A"))))</f>
        <v>1</v>
      </c>
      <c r="J128">
        <f t="shared" si="6"/>
        <v>1142</v>
      </c>
      <c r="K128">
        <f t="shared" si="7"/>
        <v>369</v>
      </c>
      <c r="L128">
        <f t="shared" si="4"/>
        <v>0</v>
      </c>
      <c r="M128">
        <f t="shared" si="5"/>
        <v>-369</v>
      </c>
    </row>
    <row r="129" spans="8:13">
      <c r="H129" s="87">
        <f>IF($S$5="Station 1 - 2014",'Station 1 - 2014'!A134,IF('Week 10 Studio'!$S$5="Station 1 - 2015",'Station 1 - 2015'!A134,IF('Week 10 Studio'!$S$5="Station 2 - 2015",'Station 2 - 2015'!A134,IF('Week 10 Studio'!$S$5="Station 3 - 2013",'Station 3 - 2013'!A134,"N/A"))))</f>
        <v>41397</v>
      </c>
      <c r="I129" s="88">
        <f>IF($S$5="Station 1 - 2014",'Station 1 - 2014'!B134,IF('Week 10 Studio'!$S$5="Station 1 - 2015",'Station 1 - 2015'!B134,IF('Week 10 Studio'!$S$5="Station 2 - 2015",'Station 2 - 2015'!B134,IF('Week 10 Studio'!$S$5="Station 3 - 2013",'Station 3 - 2013'!B134,"N/A"))))</f>
        <v>0</v>
      </c>
      <c r="J129">
        <f t="shared" si="6"/>
        <v>773</v>
      </c>
      <c r="K129">
        <f t="shared" si="7"/>
        <v>369</v>
      </c>
      <c r="L129">
        <f t="shared" si="4"/>
        <v>0</v>
      </c>
      <c r="M129">
        <f t="shared" si="5"/>
        <v>-369</v>
      </c>
    </row>
    <row r="130" spans="8:13">
      <c r="H130" s="87">
        <f>IF($S$5="Station 1 - 2014",'Station 1 - 2014'!A135,IF('Week 10 Studio'!$S$5="Station 1 - 2015",'Station 1 - 2015'!A135,IF('Week 10 Studio'!$S$5="Station 2 - 2015",'Station 2 - 2015'!A135,IF('Week 10 Studio'!$S$5="Station 3 - 2013",'Station 3 - 2013'!A135,"N/A"))))</f>
        <v>41398</v>
      </c>
      <c r="I130" s="88">
        <f>IF($S$5="Station 1 - 2014",'Station 1 - 2014'!B135,IF('Week 10 Studio'!$S$5="Station 1 - 2015",'Station 1 - 2015'!B135,IF('Week 10 Studio'!$S$5="Station 2 - 2015",'Station 2 - 2015'!B135,IF('Week 10 Studio'!$S$5="Station 3 - 2013",'Station 3 - 2013'!B135,"N/A"))))</f>
        <v>0</v>
      </c>
      <c r="J130">
        <f t="shared" si="6"/>
        <v>404</v>
      </c>
      <c r="K130">
        <f t="shared" si="7"/>
        <v>369</v>
      </c>
      <c r="L130">
        <f t="shared" si="4"/>
        <v>0</v>
      </c>
      <c r="M130">
        <f t="shared" si="5"/>
        <v>-369</v>
      </c>
    </row>
    <row r="131" spans="8:13">
      <c r="H131" s="87">
        <f>IF($S$5="Station 1 - 2014",'Station 1 - 2014'!A136,IF('Week 10 Studio'!$S$5="Station 1 - 2015",'Station 1 - 2015'!A136,IF('Week 10 Studio'!$S$5="Station 2 - 2015",'Station 2 - 2015'!A136,IF('Week 10 Studio'!$S$5="Station 3 - 2013",'Station 3 - 2013'!A136,"N/A"))))</f>
        <v>41399</v>
      </c>
      <c r="I131" s="88">
        <f>IF($S$5="Station 1 - 2014",'Station 1 - 2014'!B136,IF('Week 10 Studio'!$S$5="Station 1 - 2015",'Station 1 - 2015'!B136,IF('Week 10 Studio'!$S$5="Station 2 - 2015",'Station 2 - 2015'!B136,IF('Week 10 Studio'!$S$5="Station 3 - 2013",'Station 3 - 2013'!B136,"N/A"))))</f>
        <v>0</v>
      </c>
      <c r="J131">
        <f t="shared" si="6"/>
        <v>35</v>
      </c>
      <c r="K131">
        <f t="shared" si="7"/>
        <v>369</v>
      </c>
      <c r="L131">
        <f t="shared" si="4"/>
        <v>0</v>
      </c>
      <c r="M131">
        <f t="shared" si="5"/>
        <v>-369</v>
      </c>
    </row>
    <row r="132" spans="8:13">
      <c r="H132" s="87">
        <f>IF($S$5="Station 1 - 2014",'Station 1 - 2014'!A137,IF('Week 10 Studio'!$S$5="Station 1 - 2015",'Station 1 - 2015'!A137,IF('Week 10 Studio'!$S$5="Station 2 - 2015",'Station 2 - 2015'!A137,IF('Week 10 Studio'!$S$5="Station 3 - 2013",'Station 3 - 2013'!A137,"N/A"))))</f>
        <v>41400</v>
      </c>
      <c r="I132" s="88">
        <f>IF($S$5="Station 1 - 2014",'Station 1 - 2014'!B137,IF('Week 10 Studio'!$S$5="Station 1 - 2015",'Station 1 - 2015'!B137,IF('Week 10 Studio'!$S$5="Station 2 - 2015",'Station 2 - 2015'!B137,IF('Week 10 Studio'!$S$5="Station 3 - 2013",'Station 3 - 2013'!B137,"N/A"))))</f>
        <v>0</v>
      </c>
      <c r="J132">
        <f t="shared" si="6"/>
        <v>0</v>
      </c>
      <c r="K132">
        <f t="shared" si="7"/>
        <v>369</v>
      </c>
      <c r="L132">
        <f t="shared" si="4"/>
        <v>0</v>
      </c>
      <c r="M132">
        <f t="shared" si="5"/>
        <v>-369</v>
      </c>
    </row>
    <row r="133" spans="8:13">
      <c r="H133" s="87">
        <f>IF($S$5="Station 1 - 2014",'Station 1 - 2014'!A138,IF('Week 10 Studio'!$S$5="Station 1 - 2015",'Station 1 - 2015'!A138,IF('Week 10 Studio'!$S$5="Station 2 - 2015",'Station 2 - 2015'!A138,IF('Week 10 Studio'!$S$5="Station 3 - 2013",'Station 3 - 2013'!A138,"N/A"))))</f>
        <v>41401</v>
      </c>
      <c r="I133" s="88">
        <f>IF($S$5="Station 1 - 2014",'Station 1 - 2014'!B138,IF('Week 10 Studio'!$S$5="Station 1 - 2015",'Station 1 - 2015'!B138,IF('Week 10 Studio'!$S$5="Station 2 - 2015",'Station 2 - 2015'!B138,IF('Week 10 Studio'!$S$5="Station 3 - 2013",'Station 3 - 2013'!B138,"N/A"))))</f>
        <v>0</v>
      </c>
      <c r="J133">
        <f t="shared" si="6"/>
        <v>0</v>
      </c>
      <c r="K133">
        <f t="shared" si="7"/>
        <v>369</v>
      </c>
      <c r="L133">
        <f t="shared" si="4"/>
        <v>0</v>
      </c>
      <c r="M133">
        <f t="shared" si="5"/>
        <v>-369</v>
      </c>
    </row>
    <row r="134" spans="8:13">
      <c r="H134" s="87">
        <f>IF($S$5="Station 1 - 2014",'Station 1 - 2014'!A139,IF('Week 10 Studio'!$S$5="Station 1 - 2015",'Station 1 - 2015'!A139,IF('Week 10 Studio'!$S$5="Station 2 - 2015",'Station 2 - 2015'!A139,IF('Week 10 Studio'!$S$5="Station 3 - 2013",'Station 3 - 2013'!A139,"N/A"))))</f>
        <v>41402</v>
      </c>
      <c r="I134" s="88">
        <f>IF($S$5="Station 1 - 2014",'Station 1 - 2014'!B139,IF('Week 10 Studio'!$S$5="Station 1 - 2015",'Station 1 - 2015'!B139,IF('Week 10 Studio'!$S$5="Station 2 - 2015",'Station 2 - 2015'!B139,IF('Week 10 Studio'!$S$5="Station 3 - 2013",'Station 3 - 2013'!B139,"N/A"))))</f>
        <v>0</v>
      </c>
      <c r="J134">
        <f t="shared" si="6"/>
        <v>0</v>
      </c>
      <c r="K134">
        <f t="shared" si="7"/>
        <v>369</v>
      </c>
      <c r="L134">
        <f t="shared" ref="L134:L197" si="8">($C$14*(I135/1000))*1000</f>
        <v>0</v>
      </c>
      <c r="M134">
        <f t="shared" ref="M134:M197" si="9">L134-K135</f>
        <v>-369</v>
      </c>
    </row>
    <row r="135" spans="8:13">
      <c r="H135" s="87">
        <f>IF($S$5="Station 1 - 2014",'Station 1 - 2014'!A140,IF('Week 10 Studio'!$S$5="Station 1 - 2015",'Station 1 - 2015'!A140,IF('Week 10 Studio'!$S$5="Station 2 - 2015",'Station 2 - 2015'!A140,IF('Week 10 Studio'!$S$5="Station 3 - 2013",'Station 3 - 2013'!A140,"N/A"))))</f>
        <v>41403</v>
      </c>
      <c r="I135" s="88">
        <f>IF($S$5="Station 1 - 2014",'Station 1 - 2014'!B140,IF('Week 10 Studio'!$S$5="Station 1 - 2015",'Station 1 - 2015'!B140,IF('Week 10 Studio'!$S$5="Station 2 - 2015",'Station 2 - 2015'!B140,IF('Week 10 Studio'!$S$5="Station 3 - 2013",'Station 3 - 2013'!B140,"N/A"))))</f>
        <v>0</v>
      </c>
      <c r="J135">
        <f t="shared" ref="J135:J198" si="10">IF(IF(J134+M$6&lt;$C$13,J134+M134,$C$13)&gt;0,IF(J134+M134&lt;$C$13,J134+M134,$C$13),0)</f>
        <v>0</v>
      </c>
      <c r="K135">
        <f t="shared" ref="K135:K198" si="11">IF(MONTH(H135)=1,0,$C$18)</f>
        <v>369</v>
      </c>
      <c r="L135">
        <f t="shared" si="8"/>
        <v>0</v>
      </c>
      <c r="M135">
        <f t="shared" si="9"/>
        <v>-369</v>
      </c>
    </row>
    <row r="136" spans="8:13">
      <c r="H136" s="87">
        <f>IF($S$5="Station 1 - 2014",'Station 1 - 2014'!A141,IF('Week 10 Studio'!$S$5="Station 1 - 2015",'Station 1 - 2015'!A141,IF('Week 10 Studio'!$S$5="Station 2 - 2015",'Station 2 - 2015'!A141,IF('Week 10 Studio'!$S$5="Station 3 - 2013",'Station 3 - 2013'!A141,"N/A"))))</f>
        <v>41404</v>
      </c>
      <c r="I136" s="88">
        <f>IF($S$5="Station 1 - 2014",'Station 1 - 2014'!B141,IF('Week 10 Studio'!$S$5="Station 1 - 2015",'Station 1 - 2015'!B141,IF('Week 10 Studio'!$S$5="Station 2 - 2015",'Station 2 - 2015'!B141,IF('Week 10 Studio'!$S$5="Station 3 - 2013",'Station 3 - 2013'!B141,"N/A"))))</f>
        <v>0</v>
      </c>
      <c r="J136">
        <f t="shared" si="10"/>
        <v>0</v>
      </c>
      <c r="K136">
        <f t="shared" si="11"/>
        <v>369</v>
      </c>
      <c r="L136">
        <f t="shared" si="8"/>
        <v>2725</v>
      </c>
      <c r="M136">
        <f t="shared" si="9"/>
        <v>2356</v>
      </c>
    </row>
    <row r="137" spans="8:13">
      <c r="H137" s="87">
        <f>IF($S$5="Station 1 - 2014",'Station 1 - 2014'!A142,IF('Week 10 Studio'!$S$5="Station 1 - 2015",'Station 1 - 2015'!A142,IF('Week 10 Studio'!$S$5="Station 2 - 2015",'Station 2 - 2015'!A142,IF('Week 10 Studio'!$S$5="Station 3 - 2013",'Station 3 - 2013'!A142,"N/A"))))</f>
        <v>41405</v>
      </c>
      <c r="I137" s="88">
        <f>IF($S$5="Station 1 - 2014",'Station 1 - 2014'!B142,IF('Week 10 Studio'!$S$5="Station 1 - 2015",'Station 1 - 2015'!B142,IF('Week 10 Studio'!$S$5="Station 2 - 2015",'Station 2 - 2015'!B142,IF('Week 10 Studio'!$S$5="Station 3 - 2013",'Station 3 - 2013'!B142,"N/A"))))</f>
        <v>21.8</v>
      </c>
      <c r="J137">
        <f t="shared" si="10"/>
        <v>2356</v>
      </c>
      <c r="K137">
        <f t="shared" si="11"/>
        <v>369</v>
      </c>
      <c r="L137">
        <f t="shared" si="8"/>
        <v>1137.5</v>
      </c>
      <c r="M137">
        <f t="shared" si="9"/>
        <v>768.5</v>
      </c>
    </row>
    <row r="138" spans="8:13">
      <c r="H138" s="87">
        <f>IF($S$5="Station 1 - 2014",'Station 1 - 2014'!A143,IF('Week 10 Studio'!$S$5="Station 1 - 2015",'Station 1 - 2015'!A143,IF('Week 10 Studio'!$S$5="Station 2 - 2015",'Station 2 - 2015'!A143,IF('Week 10 Studio'!$S$5="Station 3 - 2013",'Station 3 - 2013'!A143,"N/A"))))</f>
        <v>41406</v>
      </c>
      <c r="I138" s="88">
        <f>IF($S$5="Station 1 - 2014",'Station 1 - 2014'!B143,IF('Week 10 Studio'!$S$5="Station 1 - 2015",'Station 1 - 2015'!B143,IF('Week 10 Studio'!$S$5="Station 2 - 2015",'Station 2 - 2015'!B143,IF('Week 10 Studio'!$S$5="Station 3 - 2013",'Station 3 - 2013'!B143,"N/A"))))</f>
        <v>9.1</v>
      </c>
      <c r="J138">
        <f t="shared" si="10"/>
        <v>3124.5</v>
      </c>
      <c r="K138">
        <f t="shared" si="11"/>
        <v>369</v>
      </c>
      <c r="L138">
        <f t="shared" si="8"/>
        <v>125</v>
      </c>
      <c r="M138">
        <f t="shared" si="9"/>
        <v>-244</v>
      </c>
    </row>
    <row r="139" spans="8:13">
      <c r="H139" s="87">
        <f>IF($S$5="Station 1 - 2014",'Station 1 - 2014'!A144,IF('Week 10 Studio'!$S$5="Station 1 - 2015",'Station 1 - 2015'!A144,IF('Week 10 Studio'!$S$5="Station 2 - 2015",'Station 2 - 2015'!A144,IF('Week 10 Studio'!$S$5="Station 3 - 2013",'Station 3 - 2013'!A144,"N/A"))))</f>
        <v>41407</v>
      </c>
      <c r="I139" s="88">
        <f>IF($S$5="Station 1 - 2014",'Station 1 - 2014'!B144,IF('Week 10 Studio'!$S$5="Station 1 - 2015",'Station 1 - 2015'!B144,IF('Week 10 Studio'!$S$5="Station 2 - 2015",'Station 2 - 2015'!B144,IF('Week 10 Studio'!$S$5="Station 3 - 2013",'Station 3 - 2013'!B144,"N/A"))))</f>
        <v>1</v>
      </c>
      <c r="J139">
        <f t="shared" si="10"/>
        <v>2880.5</v>
      </c>
      <c r="K139">
        <f t="shared" si="11"/>
        <v>369</v>
      </c>
      <c r="L139">
        <f t="shared" si="8"/>
        <v>325</v>
      </c>
      <c r="M139">
        <f t="shared" si="9"/>
        <v>-44</v>
      </c>
    </row>
    <row r="140" spans="8:13">
      <c r="H140" s="87">
        <f>IF($S$5="Station 1 - 2014",'Station 1 - 2014'!A145,IF('Week 10 Studio'!$S$5="Station 1 - 2015",'Station 1 - 2015'!A145,IF('Week 10 Studio'!$S$5="Station 2 - 2015",'Station 2 - 2015'!A145,IF('Week 10 Studio'!$S$5="Station 3 - 2013",'Station 3 - 2013'!A145,"N/A"))))</f>
        <v>41408</v>
      </c>
      <c r="I140" s="88">
        <f>IF($S$5="Station 1 - 2014",'Station 1 - 2014'!B145,IF('Week 10 Studio'!$S$5="Station 1 - 2015",'Station 1 - 2015'!B145,IF('Week 10 Studio'!$S$5="Station 2 - 2015",'Station 2 - 2015'!B145,IF('Week 10 Studio'!$S$5="Station 3 - 2013",'Station 3 - 2013'!B145,"N/A"))))</f>
        <v>2.6</v>
      </c>
      <c r="J140">
        <f t="shared" si="10"/>
        <v>2836.5</v>
      </c>
      <c r="K140">
        <f t="shared" si="11"/>
        <v>369</v>
      </c>
      <c r="L140">
        <f t="shared" si="8"/>
        <v>150</v>
      </c>
      <c r="M140">
        <f t="shared" si="9"/>
        <v>-219</v>
      </c>
    </row>
    <row r="141" spans="8:13">
      <c r="H141" s="87">
        <f>IF($S$5="Station 1 - 2014",'Station 1 - 2014'!A146,IF('Week 10 Studio'!$S$5="Station 1 - 2015",'Station 1 - 2015'!A146,IF('Week 10 Studio'!$S$5="Station 2 - 2015",'Station 2 - 2015'!A146,IF('Week 10 Studio'!$S$5="Station 3 - 2013",'Station 3 - 2013'!A146,"N/A"))))</f>
        <v>41409</v>
      </c>
      <c r="I141" s="88">
        <f>IF($S$5="Station 1 - 2014",'Station 1 - 2014'!B146,IF('Week 10 Studio'!$S$5="Station 1 - 2015",'Station 1 - 2015'!B146,IF('Week 10 Studio'!$S$5="Station 2 - 2015",'Station 2 - 2015'!B146,IF('Week 10 Studio'!$S$5="Station 3 - 2013",'Station 3 - 2013'!B146,"N/A"))))</f>
        <v>1.2</v>
      </c>
      <c r="J141">
        <f t="shared" si="10"/>
        <v>2617.5</v>
      </c>
      <c r="K141">
        <f t="shared" si="11"/>
        <v>369</v>
      </c>
      <c r="L141">
        <f t="shared" si="8"/>
        <v>0</v>
      </c>
      <c r="M141">
        <f t="shared" si="9"/>
        <v>-369</v>
      </c>
    </row>
    <row r="142" spans="8:13">
      <c r="H142" s="87">
        <f>IF($S$5="Station 1 - 2014",'Station 1 - 2014'!A147,IF('Week 10 Studio'!$S$5="Station 1 - 2015",'Station 1 - 2015'!A147,IF('Week 10 Studio'!$S$5="Station 2 - 2015",'Station 2 - 2015'!A147,IF('Week 10 Studio'!$S$5="Station 3 - 2013",'Station 3 - 2013'!A147,"N/A"))))</f>
        <v>41410</v>
      </c>
      <c r="I142" s="88">
        <f>IF($S$5="Station 1 - 2014",'Station 1 - 2014'!B147,IF('Week 10 Studio'!$S$5="Station 1 - 2015",'Station 1 - 2015'!B147,IF('Week 10 Studio'!$S$5="Station 2 - 2015",'Station 2 - 2015'!B147,IF('Week 10 Studio'!$S$5="Station 3 - 2013",'Station 3 - 2013'!B147,"N/A"))))</f>
        <v>0</v>
      </c>
      <c r="J142">
        <f t="shared" si="10"/>
        <v>2248.5</v>
      </c>
      <c r="K142">
        <f t="shared" si="11"/>
        <v>369</v>
      </c>
      <c r="L142">
        <f t="shared" si="8"/>
        <v>50</v>
      </c>
      <c r="M142">
        <f t="shared" si="9"/>
        <v>-319</v>
      </c>
    </row>
    <row r="143" spans="8:13">
      <c r="H143" s="87">
        <f>IF($S$5="Station 1 - 2014",'Station 1 - 2014'!A148,IF('Week 10 Studio'!$S$5="Station 1 - 2015",'Station 1 - 2015'!A148,IF('Week 10 Studio'!$S$5="Station 2 - 2015",'Station 2 - 2015'!A148,IF('Week 10 Studio'!$S$5="Station 3 - 2013",'Station 3 - 2013'!A148,"N/A"))))</f>
        <v>41411</v>
      </c>
      <c r="I143" s="88">
        <f>IF($S$5="Station 1 - 2014",'Station 1 - 2014'!B148,IF('Week 10 Studio'!$S$5="Station 1 - 2015",'Station 1 - 2015'!B148,IF('Week 10 Studio'!$S$5="Station 2 - 2015",'Station 2 - 2015'!B148,IF('Week 10 Studio'!$S$5="Station 3 - 2013",'Station 3 - 2013'!B148,"N/A"))))</f>
        <v>0.4</v>
      </c>
      <c r="J143">
        <f t="shared" si="10"/>
        <v>1929.5</v>
      </c>
      <c r="K143">
        <f t="shared" si="11"/>
        <v>369</v>
      </c>
      <c r="L143">
        <f t="shared" si="8"/>
        <v>200</v>
      </c>
      <c r="M143">
        <f t="shared" si="9"/>
        <v>-169</v>
      </c>
    </row>
    <row r="144" spans="8:13">
      <c r="H144" s="87">
        <f>IF($S$5="Station 1 - 2014",'Station 1 - 2014'!A149,IF('Week 10 Studio'!$S$5="Station 1 - 2015",'Station 1 - 2015'!A149,IF('Week 10 Studio'!$S$5="Station 2 - 2015",'Station 2 - 2015'!A149,IF('Week 10 Studio'!$S$5="Station 3 - 2013",'Station 3 - 2013'!A149,"N/A"))))</f>
        <v>41412</v>
      </c>
      <c r="I144" s="88">
        <f>IF($S$5="Station 1 - 2014",'Station 1 - 2014'!B149,IF('Week 10 Studio'!$S$5="Station 1 - 2015",'Station 1 - 2015'!B149,IF('Week 10 Studio'!$S$5="Station 2 - 2015",'Station 2 - 2015'!B149,IF('Week 10 Studio'!$S$5="Station 3 - 2013",'Station 3 - 2013'!B149,"N/A"))))</f>
        <v>1.6</v>
      </c>
      <c r="J144">
        <f t="shared" si="10"/>
        <v>1760.5</v>
      </c>
      <c r="K144">
        <f t="shared" si="11"/>
        <v>369</v>
      </c>
      <c r="L144">
        <f t="shared" si="8"/>
        <v>0</v>
      </c>
      <c r="M144">
        <f t="shared" si="9"/>
        <v>-369</v>
      </c>
    </row>
    <row r="145" spans="8:13">
      <c r="H145" s="87">
        <f>IF($S$5="Station 1 - 2014",'Station 1 - 2014'!A150,IF('Week 10 Studio'!$S$5="Station 1 - 2015",'Station 1 - 2015'!A150,IF('Week 10 Studio'!$S$5="Station 2 - 2015",'Station 2 - 2015'!A150,IF('Week 10 Studio'!$S$5="Station 3 - 2013",'Station 3 - 2013'!A150,"N/A"))))</f>
        <v>41413</v>
      </c>
      <c r="I145" s="88">
        <f>IF($S$5="Station 1 - 2014",'Station 1 - 2014'!B150,IF('Week 10 Studio'!$S$5="Station 1 - 2015",'Station 1 - 2015'!B150,IF('Week 10 Studio'!$S$5="Station 2 - 2015",'Station 2 - 2015'!B150,IF('Week 10 Studio'!$S$5="Station 3 - 2013",'Station 3 - 2013'!B150,"N/A"))))</f>
        <v>0</v>
      </c>
      <c r="J145">
        <f t="shared" si="10"/>
        <v>1391.5</v>
      </c>
      <c r="K145">
        <f t="shared" si="11"/>
        <v>369</v>
      </c>
      <c r="L145">
        <f t="shared" si="8"/>
        <v>350</v>
      </c>
      <c r="M145">
        <f t="shared" si="9"/>
        <v>-19</v>
      </c>
    </row>
    <row r="146" spans="8:13">
      <c r="H146" s="87">
        <f>IF($S$5="Station 1 - 2014",'Station 1 - 2014'!A151,IF('Week 10 Studio'!$S$5="Station 1 - 2015",'Station 1 - 2015'!A151,IF('Week 10 Studio'!$S$5="Station 2 - 2015",'Station 2 - 2015'!A151,IF('Week 10 Studio'!$S$5="Station 3 - 2013",'Station 3 - 2013'!A151,"N/A"))))</f>
        <v>41414</v>
      </c>
      <c r="I146" s="88">
        <f>IF($S$5="Station 1 - 2014",'Station 1 - 2014'!B151,IF('Week 10 Studio'!$S$5="Station 1 - 2015",'Station 1 - 2015'!B151,IF('Week 10 Studio'!$S$5="Station 2 - 2015",'Station 2 - 2015'!B151,IF('Week 10 Studio'!$S$5="Station 3 - 2013",'Station 3 - 2013'!B151,"N/A"))))</f>
        <v>2.8</v>
      </c>
      <c r="J146">
        <f t="shared" si="10"/>
        <v>1372.5</v>
      </c>
      <c r="K146">
        <f t="shared" si="11"/>
        <v>369</v>
      </c>
      <c r="L146">
        <f t="shared" si="8"/>
        <v>450</v>
      </c>
      <c r="M146">
        <f t="shared" si="9"/>
        <v>81</v>
      </c>
    </row>
    <row r="147" spans="8:13">
      <c r="H147" s="87">
        <f>IF($S$5="Station 1 - 2014",'Station 1 - 2014'!A152,IF('Week 10 Studio'!$S$5="Station 1 - 2015",'Station 1 - 2015'!A152,IF('Week 10 Studio'!$S$5="Station 2 - 2015",'Station 2 - 2015'!A152,IF('Week 10 Studio'!$S$5="Station 3 - 2013",'Station 3 - 2013'!A152,"N/A"))))</f>
        <v>41415</v>
      </c>
      <c r="I147" s="88">
        <f>IF($S$5="Station 1 - 2014",'Station 1 - 2014'!B152,IF('Week 10 Studio'!$S$5="Station 1 - 2015",'Station 1 - 2015'!B152,IF('Week 10 Studio'!$S$5="Station 2 - 2015",'Station 2 - 2015'!B152,IF('Week 10 Studio'!$S$5="Station 3 - 2013",'Station 3 - 2013'!B152,"N/A"))))</f>
        <v>3.6</v>
      </c>
      <c r="J147">
        <f t="shared" si="10"/>
        <v>1453.5</v>
      </c>
      <c r="K147">
        <f t="shared" si="11"/>
        <v>369</v>
      </c>
      <c r="L147">
        <f t="shared" si="8"/>
        <v>50</v>
      </c>
      <c r="M147">
        <f t="shared" si="9"/>
        <v>-319</v>
      </c>
    </row>
    <row r="148" spans="8:13">
      <c r="H148" s="87">
        <f>IF($S$5="Station 1 - 2014",'Station 1 - 2014'!A153,IF('Week 10 Studio'!$S$5="Station 1 - 2015",'Station 1 - 2015'!A153,IF('Week 10 Studio'!$S$5="Station 2 - 2015",'Station 2 - 2015'!A153,IF('Week 10 Studio'!$S$5="Station 3 - 2013",'Station 3 - 2013'!A153,"N/A"))))</f>
        <v>41416</v>
      </c>
      <c r="I148" s="88">
        <f>IF($S$5="Station 1 - 2014",'Station 1 - 2014'!B153,IF('Week 10 Studio'!$S$5="Station 1 - 2015",'Station 1 - 2015'!B153,IF('Week 10 Studio'!$S$5="Station 2 - 2015",'Station 2 - 2015'!B153,IF('Week 10 Studio'!$S$5="Station 3 - 2013",'Station 3 - 2013'!B153,"N/A"))))</f>
        <v>0.4</v>
      </c>
      <c r="J148">
        <f t="shared" si="10"/>
        <v>1134.5</v>
      </c>
      <c r="K148">
        <f t="shared" si="11"/>
        <v>369</v>
      </c>
      <c r="L148">
        <f t="shared" si="8"/>
        <v>1175</v>
      </c>
      <c r="M148">
        <f t="shared" si="9"/>
        <v>806</v>
      </c>
    </row>
    <row r="149" spans="8:13">
      <c r="H149" s="87">
        <f>IF($S$5="Station 1 - 2014",'Station 1 - 2014'!A154,IF('Week 10 Studio'!$S$5="Station 1 - 2015",'Station 1 - 2015'!A154,IF('Week 10 Studio'!$S$5="Station 2 - 2015",'Station 2 - 2015'!A154,IF('Week 10 Studio'!$S$5="Station 3 - 2013",'Station 3 - 2013'!A154,"N/A"))))</f>
        <v>41417</v>
      </c>
      <c r="I149" s="88">
        <f>IF($S$5="Station 1 - 2014",'Station 1 - 2014'!B154,IF('Week 10 Studio'!$S$5="Station 1 - 2015",'Station 1 - 2015'!B154,IF('Week 10 Studio'!$S$5="Station 2 - 2015",'Station 2 - 2015'!B154,IF('Week 10 Studio'!$S$5="Station 3 - 2013",'Station 3 - 2013'!B154,"N/A"))))</f>
        <v>9.4</v>
      </c>
      <c r="J149">
        <f t="shared" si="10"/>
        <v>1940.5</v>
      </c>
      <c r="K149">
        <f t="shared" si="11"/>
        <v>369</v>
      </c>
      <c r="L149">
        <f t="shared" si="8"/>
        <v>175</v>
      </c>
      <c r="M149">
        <f t="shared" si="9"/>
        <v>-194</v>
      </c>
    </row>
    <row r="150" spans="8:13">
      <c r="H150" s="87">
        <f>IF($S$5="Station 1 - 2014",'Station 1 - 2014'!A155,IF('Week 10 Studio'!$S$5="Station 1 - 2015",'Station 1 - 2015'!A155,IF('Week 10 Studio'!$S$5="Station 2 - 2015",'Station 2 - 2015'!A155,IF('Week 10 Studio'!$S$5="Station 3 - 2013",'Station 3 - 2013'!A155,"N/A"))))</f>
        <v>41418</v>
      </c>
      <c r="I150" s="88">
        <f>IF($S$5="Station 1 - 2014",'Station 1 - 2014'!B155,IF('Week 10 Studio'!$S$5="Station 1 - 2015",'Station 1 - 2015'!B155,IF('Week 10 Studio'!$S$5="Station 2 - 2015",'Station 2 - 2015'!B155,IF('Week 10 Studio'!$S$5="Station 3 - 2013",'Station 3 - 2013'!B155,"N/A"))))</f>
        <v>1.4</v>
      </c>
      <c r="J150">
        <f t="shared" si="10"/>
        <v>1746.5</v>
      </c>
      <c r="K150">
        <f t="shared" si="11"/>
        <v>369</v>
      </c>
      <c r="L150">
        <f t="shared" si="8"/>
        <v>150</v>
      </c>
      <c r="M150">
        <f t="shared" si="9"/>
        <v>-219</v>
      </c>
    </row>
    <row r="151" spans="8:13">
      <c r="H151" s="87">
        <f>IF($S$5="Station 1 - 2014",'Station 1 - 2014'!A156,IF('Week 10 Studio'!$S$5="Station 1 - 2015",'Station 1 - 2015'!A156,IF('Week 10 Studio'!$S$5="Station 2 - 2015",'Station 2 - 2015'!A156,IF('Week 10 Studio'!$S$5="Station 3 - 2013",'Station 3 - 2013'!A156,"N/A"))))</f>
        <v>41419</v>
      </c>
      <c r="I151" s="88">
        <f>IF($S$5="Station 1 - 2014",'Station 1 - 2014'!B156,IF('Week 10 Studio'!$S$5="Station 1 - 2015",'Station 1 - 2015'!B156,IF('Week 10 Studio'!$S$5="Station 2 - 2015",'Station 2 - 2015'!B156,IF('Week 10 Studio'!$S$5="Station 3 - 2013",'Station 3 - 2013'!B156,"N/A"))))</f>
        <v>1.2</v>
      </c>
      <c r="J151">
        <f t="shared" si="10"/>
        <v>1527.5</v>
      </c>
      <c r="K151">
        <f t="shared" si="11"/>
        <v>369</v>
      </c>
      <c r="L151">
        <f t="shared" si="8"/>
        <v>275</v>
      </c>
      <c r="M151">
        <f t="shared" si="9"/>
        <v>-94</v>
      </c>
    </row>
    <row r="152" spans="8:13">
      <c r="H152" s="87">
        <f>IF($S$5="Station 1 - 2014",'Station 1 - 2014'!A157,IF('Week 10 Studio'!$S$5="Station 1 - 2015",'Station 1 - 2015'!A157,IF('Week 10 Studio'!$S$5="Station 2 - 2015",'Station 2 - 2015'!A157,IF('Week 10 Studio'!$S$5="Station 3 - 2013",'Station 3 - 2013'!A157,"N/A"))))</f>
        <v>41420</v>
      </c>
      <c r="I152" s="88">
        <f>IF($S$5="Station 1 - 2014",'Station 1 - 2014'!B157,IF('Week 10 Studio'!$S$5="Station 1 - 2015",'Station 1 - 2015'!B157,IF('Week 10 Studio'!$S$5="Station 2 - 2015",'Station 2 - 2015'!B157,IF('Week 10 Studio'!$S$5="Station 3 - 2013",'Station 3 - 2013'!B157,"N/A"))))</f>
        <v>2.2000000000000002</v>
      </c>
      <c r="J152">
        <f t="shared" si="10"/>
        <v>1433.5</v>
      </c>
      <c r="K152">
        <f t="shared" si="11"/>
        <v>369</v>
      </c>
      <c r="L152">
        <f t="shared" si="8"/>
        <v>100</v>
      </c>
      <c r="M152">
        <f t="shared" si="9"/>
        <v>-269</v>
      </c>
    </row>
    <row r="153" spans="8:13">
      <c r="H153" s="87">
        <f>IF($S$5="Station 1 - 2014",'Station 1 - 2014'!A158,IF('Week 10 Studio'!$S$5="Station 1 - 2015",'Station 1 - 2015'!A158,IF('Week 10 Studio'!$S$5="Station 2 - 2015",'Station 2 - 2015'!A158,IF('Week 10 Studio'!$S$5="Station 3 - 2013",'Station 3 - 2013'!A158,"N/A"))))</f>
        <v>41421</v>
      </c>
      <c r="I153" s="88">
        <f>IF($S$5="Station 1 - 2014",'Station 1 - 2014'!B158,IF('Week 10 Studio'!$S$5="Station 1 - 2015",'Station 1 - 2015'!B158,IF('Week 10 Studio'!$S$5="Station 2 - 2015",'Station 2 - 2015'!B158,IF('Week 10 Studio'!$S$5="Station 3 - 2013",'Station 3 - 2013'!B158,"N/A"))))</f>
        <v>0.8</v>
      </c>
      <c r="J153">
        <f t="shared" si="10"/>
        <v>1164.5</v>
      </c>
      <c r="K153">
        <f t="shared" si="11"/>
        <v>369</v>
      </c>
      <c r="L153">
        <f t="shared" si="8"/>
        <v>50</v>
      </c>
      <c r="M153">
        <f t="shared" si="9"/>
        <v>-319</v>
      </c>
    </row>
    <row r="154" spans="8:13">
      <c r="H154" s="87">
        <f>IF($S$5="Station 1 - 2014",'Station 1 - 2014'!A159,IF('Week 10 Studio'!$S$5="Station 1 - 2015",'Station 1 - 2015'!A159,IF('Week 10 Studio'!$S$5="Station 2 - 2015",'Station 2 - 2015'!A159,IF('Week 10 Studio'!$S$5="Station 3 - 2013",'Station 3 - 2013'!A159,"N/A"))))</f>
        <v>41422</v>
      </c>
      <c r="I154" s="88">
        <f>IF($S$5="Station 1 - 2014",'Station 1 - 2014'!B159,IF('Week 10 Studio'!$S$5="Station 1 - 2015",'Station 1 - 2015'!B159,IF('Week 10 Studio'!$S$5="Station 2 - 2015",'Station 2 - 2015'!B159,IF('Week 10 Studio'!$S$5="Station 3 - 2013",'Station 3 - 2013'!B159,"N/A"))))</f>
        <v>0.4</v>
      </c>
      <c r="J154">
        <f t="shared" si="10"/>
        <v>845.5</v>
      </c>
      <c r="K154">
        <f t="shared" si="11"/>
        <v>369</v>
      </c>
      <c r="L154">
        <f t="shared" si="8"/>
        <v>300</v>
      </c>
      <c r="M154">
        <f t="shared" si="9"/>
        <v>-69</v>
      </c>
    </row>
    <row r="155" spans="8:13">
      <c r="H155" s="87">
        <f>IF($S$5="Station 1 - 2014",'Station 1 - 2014'!A160,IF('Week 10 Studio'!$S$5="Station 1 - 2015",'Station 1 - 2015'!A160,IF('Week 10 Studio'!$S$5="Station 2 - 2015",'Station 2 - 2015'!A160,IF('Week 10 Studio'!$S$5="Station 3 - 2013",'Station 3 - 2013'!A160,"N/A"))))</f>
        <v>41423</v>
      </c>
      <c r="I155" s="88">
        <f>IF($S$5="Station 1 - 2014",'Station 1 - 2014'!B160,IF('Week 10 Studio'!$S$5="Station 1 - 2015",'Station 1 - 2015'!B160,IF('Week 10 Studio'!$S$5="Station 2 - 2015",'Station 2 - 2015'!B160,IF('Week 10 Studio'!$S$5="Station 3 - 2013",'Station 3 - 2013'!B160,"N/A"))))</f>
        <v>2.4</v>
      </c>
      <c r="J155">
        <f t="shared" si="10"/>
        <v>776.5</v>
      </c>
      <c r="K155">
        <f t="shared" si="11"/>
        <v>369</v>
      </c>
      <c r="L155">
        <f t="shared" si="8"/>
        <v>450</v>
      </c>
      <c r="M155">
        <f t="shared" si="9"/>
        <v>81</v>
      </c>
    </row>
    <row r="156" spans="8:13">
      <c r="H156" s="87">
        <f>IF($S$5="Station 1 - 2014",'Station 1 - 2014'!A161,IF('Week 10 Studio'!$S$5="Station 1 - 2015",'Station 1 - 2015'!A161,IF('Week 10 Studio'!$S$5="Station 2 - 2015",'Station 2 - 2015'!A161,IF('Week 10 Studio'!$S$5="Station 3 - 2013",'Station 3 - 2013'!A161,"N/A"))))</f>
        <v>41424</v>
      </c>
      <c r="I156" s="88">
        <f>IF($S$5="Station 1 - 2014",'Station 1 - 2014'!B161,IF('Week 10 Studio'!$S$5="Station 1 - 2015",'Station 1 - 2015'!B161,IF('Week 10 Studio'!$S$5="Station 2 - 2015",'Station 2 - 2015'!B161,IF('Week 10 Studio'!$S$5="Station 3 - 2013",'Station 3 - 2013'!B161,"N/A"))))</f>
        <v>3.6</v>
      </c>
      <c r="J156">
        <f t="shared" si="10"/>
        <v>857.5</v>
      </c>
      <c r="K156">
        <f t="shared" si="11"/>
        <v>369</v>
      </c>
      <c r="L156">
        <f t="shared" si="8"/>
        <v>25</v>
      </c>
      <c r="M156">
        <f t="shared" si="9"/>
        <v>-344</v>
      </c>
    </row>
    <row r="157" spans="8:13">
      <c r="H157" s="87">
        <f>IF($S$5="Station 1 - 2014",'Station 1 - 2014'!A162,IF('Week 10 Studio'!$S$5="Station 1 - 2015",'Station 1 - 2015'!A162,IF('Week 10 Studio'!$S$5="Station 2 - 2015",'Station 2 - 2015'!A162,IF('Week 10 Studio'!$S$5="Station 3 - 2013",'Station 3 - 2013'!A162,"N/A"))))</f>
        <v>41425</v>
      </c>
      <c r="I157" s="88">
        <f>IF($S$5="Station 1 - 2014",'Station 1 - 2014'!B162,IF('Week 10 Studio'!$S$5="Station 1 - 2015",'Station 1 - 2015'!B162,IF('Week 10 Studio'!$S$5="Station 2 - 2015",'Station 2 - 2015'!B162,IF('Week 10 Studio'!$S$5="Station 3 - 2013",'Station 3 - 2013'!B162,"N/A"))))</f>
        <v>0.2</v>
      </c>
      <c r="J157">
        <f t="shared" si="10"/>
        <v>513.5</v>
      </c>
      <c r="K157">
        <f t="shared" si="11"/>
        <v>369</v>
      </c>
      <c r="L157">
        <f t="shared" si="8"/>
        <v>75</v>
      </c>
      <c r="M157">
        <f t="shared" si="9"/>
        <v>-294</v>
      </c>
    </row>
    <row r="158" spans="8:13">
      <c r="H158" s="87">
        <f>IF($S$5="Station 1 - 2014",'Station 1 - 2014'!A163,IF('Week 10 Studio'!$S$5="Station 1 - 2015",'Station 1 - 2015'!A163,IF('Week 10 Studio'!$S$5="Station 2 - 2015",'Station 2 - 2015'!A163,IF('Week 10 Studio'!$S$5="Station 3 - 2013",'Station 3 - 2013'!A163,"N/A"))))</f>
        <v>41426</v>
      </c>
      <c r="I158" s="88">
        <f>IF($S$5="Station 1 - 2014",'Station 1 - 2014'!B163,IF('Week 10 Studio'!$S$5="Station 1 - 2015",'Station 1 - 2015'!B163,IF('Week 10 Studio'!$S$5="Station 2 - 2015",'Station 2 - 2015'!B163,IF('Week 10 Studio'!$S$5="Station 3 - 2013",'Station 3 - 2013'!B163,"N/A"))))</f>
        <v>0.6</v>
      </c>
      <c r="J158">
        <f t="shared" si="10"/>
        <v>219.5</v>
      </c>
      <c r="K158">
        <f t="shared" si="11"/>
        <v>369</v>
      </c>
      <c r="L158">
        <f t="shared" si="8"/>
        <v>0</v>
      </c>
      <c r="M158">
        <f t="shared" si="9"/>
        <v>-369</v>
      </c>
    </row>
    <row r="159" spans="8:13">
      <c r="H159" s="87">
        <f>IF($S$5="Station 1 - 2014",'Station 1 - 2014'!A164,IF('Week 10 Studio'!$S$5="Station 1 - 2015",'Station 1 - 2015'!A164,IF('Week 10 Studio'!$S$5="Station 2 - 2015",'Station 2 - 2015'!A164,IF('Week 10 Studio'!$S$5="Station 3 - 2013",'Station 3 - 2013'!A164,"N/A"))))</f>
        <v>41427</v>
      </c>
      <c r="I159" s="88">
        <f>IF($S$5="Station 1 - 2014",'Station 1 - 2014'!B164,IF('Week 10 Studio'!$S$5="Station 1 - 2015",'Station 1 - 2015'!B164,IF('Week 10 Studio'!$S$5="Station 2 - 2015",'Station 2 - 2015'!B164,IF('Week 10 Studio'!$S$5="Station 3 - 2013",'Station 3 - 2013'!B164,"N/A"))))</f>
        <v>0</v>
      </c>
      <c r="J159">
        <f t="shared" si="10"/>
        <v>0</v>
      </c>
      <c r="K159">
        <f t="shared" si="11"/>
        <v>369</v>
      </c>
      <c r="L159">
        <f t="shared" si="8"/>
        <v>0</v>
      </c>
      <c r="M159">
        <f t="shared" si="9"/>
        <v>-369</v>
      </c>
    </row>
    <row r="160" spans="8:13">
      <c r="H160" s="87">
        <f>IF($S$5="Station 1 - 2014",'Station 1 - 2014'!A165,IF('Week 10 Studio'!$S$5="Station 1 - 2015",'Station 1 - 2015'!A165,IF('Week 10 Studio'!$S$5="Station 2 - 2015",'Station 2 - 2015'!A165,IF('Week 10 Studio'!$S$5="Station 3 - 2013",'Station 3 - 2013'!A165,"N/A"))))</f>
        <v>41428</v>
      </c>
      <c r="I160" s="88">
        <f>IF($S$5="Station 1 - 2014",'Station 1 - 2014'!B165,IF('Week 10 Studio'!$S$5="Station 1 - 2015",'Station 1 - 2015'!B165,IF('Week 10 Studio'!$S$5="Station 2 - 2015",'Station 2 - 2015'!B165,IF('Week 10 Studio'!$S$5="Station 3 - 2013",'Station 3 - 2013'!B165,"N/A"))))</f>
        <v>0</v>
      </c>
      <c r="J160">
        <f t="shared" si="10"/>
        <v>0</v>
      </c>
      <c r="K160">
        <f t="shared" si="11"/>
        <v>369</v>
      </c>
      <c r="L160">
        <f t="shared" si="8"/>
        <v>50</v>
      </c>
      <c r="M160">
        <f t="shared" si="9"/>
        <v>-319</v>
      </c>
    </row>
    <row r="161" spans="8:13">
      <c r="H161" s="87">
        <f>IF($S$5="Station 1 - 2014",'Station 1 - 2014'!A166,IF('Week 10 Studio'!$S$5="Station 1 - 2015",'Station 1 - 2015'!A166,IF('Week 10 Studio'!$S$5="Station 2 - 2015",'Station 2 - 2015'!A166,IF('Week 10 Studio'!$S$5="Station 3 - 2013",'Station 3 - 2013'!A166,"N/A"))))</f>
        <v>41429</v>
      </c>
      <c r="I161" s="88">
        <f>IF($S$5="Station 1 - 2014",'Station 1 - 2014'!B166,IF('Week 10 Studio'!$S$5="Station 1 - 2015",'Station 1 - 2015'!B166,IF('Week 10 Studio'!$S$5="Station 2 - 2015",'Station 2 - 2015'!B166,IF('Week 10 Studio'!$S$5="Station 3 - 2013",'Station 3 - 2013'!B166,"N/A"))))</f>
        <v>0.4</v>
      </c>
      <c r="J161">
        <f t="shared" si="10"/>
        <v>0</v>
      </c>
      <c r="K161">
        <f t="shared" si="11"/>
        <v>369</v>
      </c>
      <c r="L161">
        <f t="shared" si="8"/>
        <v>0</v>
      </c>
      <c r="M161">
        <f t="shared" si="9"/>
        <v>-369</v>
      </c>
    </row>
    <row r="162" spans="8:13">
      <c r="H162" s="87">
        <f>IF($S$5="Station 1 - 2014",'Station 1 - 2014'!A167,IF('Week 10 Studio'!$S$5="Station 1 - 2015",'Station 1 - 2015'!A167,IF('Week 10 Studio'!$S$5="Station 2 - 2015",'Station 2 - 2015'!A167,IF('Week 10 Studio'!$S$5="Station 3 - 2013",'Station 3 - 2013'!A167,"N/A"))))</f>
        <v>41430</v>
      </c>
      <c r="I162" s="88">
        <f>IF($S$5="Station 1 - 2014",'Station 1 - 2014'!B167,IF('Week 10 Studio'!$S$5="Station 1 - 2015",'Station 1 - 2015'!B167,IF('Week 10 Studio'!$S$5="Station 2 - 2015",'Station 2 - 2015'!B167,IF('Week 10 Studio'!$S$5="Station 3 - 2013",'Station 3 - 2013'!B167,"N/A"))))</f>
        <v>0</v>
      </c>
      <c r="J162">
        <f t="shared" si="10"/>
        <v>0</v>
      </c>
      <c r="K162">
        <f t="shared" si="11"/>
        <v>369</v>
      </c>
      <c r="L162">
        <f t="shared" si="8"/>
        <v>1425</v>
      </c>
      <c r="M162">
        <f t="shared" si="9"/>
        <v>1056</v>
      </c>
    </row>
    <row r="163" spans="8:13">
      <c r="H163" s="87">
        <f>IF($S$5="Station 1 - 2014",'Station 1 - 2014'!A168,IF('Week 10 Studio'!$S$5="Station 1 - 2015",'Station 1 - 2015'!A168,IF('Week 10 Studio'!$S$5="Station 2 - 2015",'Station 2 - 2015'!A168,IF('Week 10 Studio'!$S$5="Station 3 - 2013",'Station 3 - 2013'!A168,"N/A"))))</f>
        <v>41431</v>
      </c>
      <c r="I163" s="88">
        <f>IF($S$5="Station 1 - 2014",'Station 1 - 2014'!B168,IF('Week 10 Studio'!$S$5="Station 1 - 2015",'Station 1 - 2015'!B168,IF('Week 10 Studio'!$S$5="Station 2 - 2015",'Station 2 - 2015'!B168,IF('Week 10 Studio'!$S$5="Station 3 - 2013",'Station 3 - 2013'!B168,"N/A"))))</f>
        <v>11.4</v>
      </c>
      <c r="J163">
        <f t="shared" si="10"/>
        <v>1056</v>
      </c>
      <c r="K163">
        <f t="shared" si="11"/>
        <v>369</v>
      </c>
      <c r="L163">
        <f t="shared" si="8"/>
        <v>200</v>
      </c>
      <c r="M163">
        <f t="shared" si="9"/>
        <v>-169</v>
      </c>
    </row>
    <row r="164" spans="8:13">
      <c r="H164" s="87">
        <f>IF($S$5="Station 1 - 2014",'Station 1 - 2014'!A169,IF('Week 10 Studio'!$S$5="Station 1 - 2015",'Station 1 - 2015'!A169,IF('Week 10 Studio'!$S$5="Station 2 - 2015",'Station 2 - 2015'!A169,IF('Week 10 Studio'!$S$5="Station 3 - 2013",'Station 3 - 2013'!A169,"N/A"))))</f>
        <v>41432</v>
      </c>
      <c r="I164" s="88">
        <f>IF($S$5="Station 1 - 2014",'Station 1 - 2014'!B169,IF('Week 10 Studio'!$S$5="Station 1 - 2015",'Station 1 - 2015'!B169,IF('Week 10 Studio'!$S$5="Station 2 - 2015",'Station 2 - 2015'!B169,IF('Week 10 Studio'!$S$5="Station 3 - 2013",'Station 3 - 2013'!B169,"N/A"))))</f>
        <v>1.6</v>
      </c>
      <c r="J164">
        <f t="shared" si="10"/>
        <v>887</v>
      </c>
      <c r="K164">
        <f t="shared" si="11"/>
        <v>369</v>
      </c>
      <c r="L164">
        <f t="shared" si="8"/>
        <v>350</v>
      </c>
      <c r="M164">
        <f t="shared" si="9"/>
        <v>-19</v>
      </c>
    </row>
    <row r="165" spans="8:13">
      <c r="H165" s="87">
        <f>IF($S$5="Station 1 - 2014",'Station 1 - 2014'!A170,IF('Week 10 Studio'!$S$5="Station 1 - 2015",'Station 1 - 2015'!A170,IF('Week 10 Studio'!$S$5="Station 2 - 2015",'Station 2 - 2015'!A170,IF('Week 10 Studio'!$S$5="Station 3 - 2013",'Station 3 - 2013'!A170,"N/A"))))</f>
        <v>41433</v>
      </c>
      <c r="I165" s="88">
        <f>IF($S$5="Station 1 - 2014",'Station 1 - 2014'!B170,IF('Week 10 Studio'!$S$5="Station 1 - 2015",'Station 1 - 2015'!B170,IF('Week 10 Studio'!$S$5="Station 2 - 2015",'Station 2 - 2015'!B170,IF('Week 10 Studio'!$S$5="Station 3 - 2013",'Station 3 - 2013'!B170,"N/A"))))</f>
        <v>2.8</v>
      </c>
      <c r="J165">
        <f t="shared" si="10"/>
        <v>868</v>
      </c>
      <c r="K165">
        <f t="shared" si="11"/>
        <v>369</v>
      </c>
      <c r="L165">
        <f t="shared" si="8"/>
        <v>75</v>
      </c>
      <c r="M165">
        <f t="shared" si="9"/>
        <v>-294</v>
      </c>
    </row>
    <row r="166" spans="8:13">
      <c r="H166" s="87">
        <f>IF($S$5="Station 1 - 2014",'Station 1 - 2014'!A171,IF('Week 10 Studio'!$S$5="Station 1 - 2015",'Station 1 - 2015'!A171,IF('Week 10 Studio'!$S$5="Station 2 - 2015",'Station 2 - 2015'!A171,IF('Week 10 Studio'!$S$5="Station 3 - 2013",'Station 3 - 2013'!A171,"N/A"))))</f>
        <v>41434</v>
      </c>
      <c r="I166" s="88">
        <f>IF($S$5="Station 1 - 2014",'Station 1 - 2014'!B171,IF('Week 10 Studio'!$S$5="Station 1 - 2015",'Station 1 - 2015'!B171,IF('Week 10 Studio'!$S$5="Station 2 - 2015",'Station 2 - 2015'!B171,IF('Week 10 Studio'!$S$5="Station 3 - 2013",'Station 3 - 2013'!B171,"N/A"))))</f>
        <v>0.6</v>
      </c>
      <c r="J166">
        <f t="shared" si="10"/>
        <v>574</v>
      </c>
      <c r="K166">
        <f t="shared" si="11"/>
        <v>369</v>
      </c>
      <c r="L166">
        <f t="shared" si="8"/>
        <v>150</v>
      </c>
      <c r="M166">
        <f t="shared" si="9"/>
        <v>-219</v>
      </c>
    </row>
    <row r="167" spans="8:13">
      <c r="H167" s="87">
        <f>IF($S$5="Station 1 - 2014",'Station 1 - 2014'!A172,IF('Week 10 Studio'!$S$5="Station 1 - 2015",'Station 1 - 2015'!A172,IF('Week 10 Studio'!$S$5="Station 2 - 2015",'Station 2 - 2015'!A172,IF('Week 10 Studio'!$S$5="Station 3 - 2013",'Station 3 - 2013'!A172,"N/A"))))</f>
        <v>41435</v>
      </c>
      <c r="I167" s="88">
        <f>IF($S$5="Station 1 - 2014",'Station 1 - 2014'!B172,IF('Week 10 Studio'!$S$5="Station 1 - 2015",'Station 1 - 2015'!B172,IF('Week 10 Studio'!$S$5="Station 2 - 2015",'Station 2 - 2015'!B172,IF('Week 10 Studio'!$S$5="Station 3 - 2013",'Station 3 - 2013'!B172,"N/A"))))</f>
        <v>1.2</v>
      </c>
      <c r="J167">
        <f t="shared" si="10"/>
        <v>355</v>
      </c>
      <c r="K167">
        <f t="shared" si="11"/>
        <v>369</v>
      </c>
      <c r="L167">
        <f t="shared" si="8"/>
        <v>2450</v>
      </c>
      <c r="M167">
        <f t="shared" si="9"/>
        <v>2081</v>
      </c>
    </row>
    <row r="168" spans="8:13">
      <c r="H168" s="87">
        <f>IF($S$5="Station 1 - 2014",'Station 1 - 2014'!A173,IF('Week 10 Studio'!$S$5="Station 1 - 2015",'Station 1 - 2015'!A173,IF('Week 10 Studio'!$S$5="Station 2 - 2015",'Station 2 - 2015'!A173,IF('Week 10 Studio'!$S$5="Station 3 - 2013",'Station 3 - 2013'!A173,"N/A"))))</f>
        <v>41436</v>
      </c>
      <c r="I168" s="88">
        <f>IF($S$5="Station 1 - 2014",'Station 1 - 2014'!B173,IF('Week 10 Studio'!$S$5="Station 1 - 2015",'Station 1 - 2015'!B173,IF('Week 10 Studio'!$S$5="Station 2 - 2015",'Station 2 - 2015'!B173,IF('Week 10 Studio'!$S$5="Station 3 - 2013",'Station 3 - 2013'!B173,"N/A"))))</f>
        <v>19.600000000000001</v>
      </c>
      <c r="J168">
        <f t="shared" si="10"/>
        <v>2436</v>
      </c>
      <c r="K168">
        <f t="shared" si="11"/>
        <v>369</v>
      </c>
      <c r="L168">
        <f t="shared" si="8"/>
        <v>925</v>
      </c>
      <c r="M168">
        <f t="shared" si="9"/>
        <v>556</v>
      </c>
    </row>
    <row r="169" spans="8:13">
      <c r="H169" s="87">
        <f>IF($S$5="Station 1 - 2014",'Station 1 - 2014'!A174,IF('Week 10 Studio'!$S$5="Station 1 - 2015",'Station 1 - 2015'!A174,IF('Week 10 Studio'!$S$5="Station 2 - 2015",'Station 2 - 2015'!A174,IF('Week 10 Studio'!$S$5="Station 3 - 2013",'Station 3 - 2013'!A174,"N/A"))))</f>
        <v>41437</v>
      </c>
      <c r="I169" s="88">
        <f>IF($S$5="Station 1 - 2014",'Station 1 - 2014'!B174,IF('Week 10 Studio'!$S$5="Station 1 - 2015",'Station 1 - 2015'!B174,IF('Week 10 Studio'!$S$5="Station 2 - 2015",'Station 2 - 2015'!B174,IF('Week 10 Studio'!$S$5="Station 3 - 2013",'Station 3 - 2013'!B174,"N/A"))))</f>
        <v>7.4</v>
      </c>
      <c r="J169">
        <f t="shared" si="10"/>
        <v>2992</v>
      </c>
      <c r="K169">
        <f t="shared" si="11"/>
        <v>369</v>
      </c>
      <c r="L169">
        <f t="shared" si="8"/>
        <v>25</v>
      </c>
      <c r="M169">
        <f t="shared" si="9"/>
        <v>-344</v>
      </c>
    </row>
    <row r="170" spans="8:13">
      <c r="H170" s="87">
        <f>IF($S$5="Station 1 - 2014",'Station 1 - 2014'!A175,IF('Week 10 Studio'!$S$5="Station 1 - 2015",'Station 1 - 2015'!A175,IF('Week 10 Studio'!$S$5="Station 2 - 2015",'Station 2 - 2015'!A175,IF('Week 10 Studio'!$S$5="Station 3 - 2013",'Station 3 - 2013'!A175,"N/A"))))</f>
        <v>41438</v>
      </c>
      <c r="I170" s="88">
        <f>IF($S$5="Station 1 - 2014",'Station 1 - 2014'!B175,IF('Week 10 Studio'!$S$5="Station 1 - 2015",'Station 1 - 2015'!B175,IF('Week 10 Studio'!$S$5="Station 2 - 2015",'Station 2 - 2015'!B175,IF('Week 10 Studio'!$S$5="Station 3 - 2013",'Station 3 - 2013'!B175,"N/A"))))</f>
        <v>0.2</v>
      </c>
      <c r="J170">
        <f t="shared" si="10"/>
        <v>2648</v>
      </c>
      <c r="K170">
        <f t="shared" si="11"/>
        <v>369</v>
      </c>
      <c r="L170">
        <f t="shared" si="8"/>
        <v>0</v>
      </c>
      <c r="M170">
        <f t="shared" si="9"/>
        <v>-369</v>
      </c>
    </row>
    <row r="171" spans="8:13">
      <c r="H171" s="87">
        <f>IF($S$5="Station 1 - 2014",'Station 1 - 2014'!A176,IF('Week 10 Studio'!$S$5="Station 1 - 2015",'Station 1 - 2015'!A176,IF('Week 10 Studio'!$S$5="Station 2 - 2015",'Station 2 - 2015'!A176,IF('Week 10 Studio'!$S$5="Station 3 - 2013",'Station 3 - 2013'!A176,"N/A"))))</f>
        <v>41439</v>
      </c>
      <c r="I171" s="88">
        <f>IF($S$5="Station 1 - 2014",'Station 1 - 2014'!B176,IF('Week 10 Studio'!$S$5="Station 1 - 2015",'Station 1 - 2015'!B176,IF('Week 10 Studio'!$S$5="Station 2 - 2015",'Station 2 - 2015'!B176,IF('Week 10 Studio'!$S$5="Station 3 - 2013",'Station 3 - 2013'!B176,"N/A"))))</f>
        <v>0</v>
      </c>
      <c r="J171">
        <f t="shared" si="10"/>
        <v>2279</v>
      </c>
      <c r="K171">
        <f t="shared" si="11"/>
        <v>369</v>
      </c>
      <c r="L171">
        <f t="shared" si="8"/>
        <v>150</v>
      </c>
      <c r="M171">
        <f t="shared" si="9"/>
        <v>-219</v>
      </c>
    </row>
    <row r="172" spans="8:13">
      <c r="H172" s="87">
        <f>IF($S$5="Station 1 - 2014",'Station 1 - 2014'!A177,IF('Week 10 Studio'!$S$5="Station 1 - 2015",'Station 1 - 2015'!A177,IF('Week 10 Studio'!$S$5="Station 2 - 2015",'Station 2 - 2015'!A177,IF('Week 10 Studio'!$S$5="Station 3 - 2013",'Station 3 - 2013'!A177,"N/A"))))</f>
        <v>41440</v>
      </c>
      <c r="I172" s="88">
        <f>IF($S$5="Station 1 - 2014",'Station 1 - 2014'!B177,IF('Week 10 Studio'!$S$5="Station 1 - 2015",'Station 1 - 2015'!B177,IF('Week 10 Studio'!$S$5="Station 2 - 2015",'Station 2 - 2015'!B177,IF('Week 10 Studio'!$S$5="Station 3 - 2013",'Station 3 - 2013'!B177,"N/A"))))</f>
        <v>1.2</v>
      </c>
      <c r="J172">
        <f t="shared" si="10"/>
        <v>2060</v>
      </c>
      <c r="K172">
        <f t="shared" si="11"/>
        <v>369</v>
      </c>
      <c r="L172">
        <f t="shared" si="8"/>
        <v>50</v>
      </c>
      <c r="M172">
        <f t="shared" si="9"/>
        <v>-319</v>
      </c>
    </row>
    <row r="173" spans="8:13">
      <c r="H173" s="87">
        <f>IF($S$5="Station 1 - 2014",'Station 1 - 2014'!A178,IF('Week 10 Studio'!$S$5="Station 1 - 2015",'Station 1 - 2015'!A178,IF('Week 10 Studio'!$S$5="Station 2 - 2015",'Station 2 - 2015'!A178,IF('Week 10 Studio'!$S$5="Station 3 - 2013",'Station 3 - 2013'!A178,"N/A"))))</f>
        <v>41441</v>
      </c>
      <c r="I173" s="88">
        <f>IF($S$5="Station 1 - 2014",'Station 1 - 2014'!B178,IF('Week 10 Studio'!$S$5="Station 1 - 2015",'Station 1 - 2015'!B178,IF('Week 10 Studio'!$S$5="Station 2 - 2015",'Station 2 - 2015'!B178,IF('Week 10 Studio'!$S$5="Station 3 - 2013",'Station 3 - 2013'!B178,"N/A"))))</f>
        <v>0.4</v>
      </c>
      <c r="J173">
        <f t="shared" si="10"/>
        <v>1741</v>
      </c>
      <c r="K173">
        <f t="shared" si="11"/>
        <v>369</v>
      </c>
      <c r="L173">
        <f t="shared" si="8"/>
        <v>300</v>
      </c>
      <c r="M173">
        <f t="shared" si="9"/>
        <v>-69</v>
      </c>
    </row>
    <row r="174" spans="8:13">
      <c r="H174" s="87">
        <f>IF($S$5="Station 1 - 2014",'Station 1 - 2014'!A179,IF('Week 10 Studio'!$S$5="Station 1 - 2015",'Station 1 - 2015'!A179,IF('Week 10 Studio'!$S$5="Station 2 - 2015",'Station 2 - 2015'!A179,IF('Week 10 Studio'!$S$5="Station 3 - 2013",'Station 3 - 2013'!A179,"N/A"))))</f>
        <v>41442</v>
      </c>
      <c r="I174" s="88">
        <f>IF($S$5="Station 1 - 2014",'Station 1 - 2014'!B179,IF('Week 10 Studio'!$S$5="Station 1 - 2015",'Station 1 - 2015'!B179,IF('Week 10 Studio'!$S$5="Station 2 - 2015",'Station 2 - 2015'!B179,IF('Week 10 Studio'!$S$5="Station 3 - 2013",'Station 3 - 2013'!B179,"N/A"))))</f>
        <v>2.4</v>
      </c>
      <c r="J174">
        <f t="shared" si="10"/>
        <v>1672</v>
      </c>
      <c r="K174">
        <f t="shared" si="11"/>
        <v>369</v>
      </c>
      <c r="L174">
        <f t="shared" si="8"/>
        <v>225</v>
      </c>
      <c r="M174">
        <f t="shared" si="9"/>
        <v>-144</v>
      </c>
    </row>
    <row r="175" spans="8:13">
      <c r="H175" s="87">
        <f>IF($S$5="Station 1 - 2014",'Station 1 - 2014'!A180,IF('Week 10 Studio'!$S$5="Station 1 - 2015",'Station 1 - 2015'!A180,IF('Week 10 Studio'!$S$5="Station 2 - 2015",'Station 2 - 2015'!A180,IF('Week 10 Studio'!$S$5="Station 3 - 2013",'Station 3 - 2013'!A180,"N/A"))))</f>
        <v>41443</v>
      </c>
      <c r="I175" s="88">
        <f>IF($S$5="Station 1 - 2014",'Station 1 - 2014'!B180,IF('Week 10 Studio'!$S$5="Station 1 - 2015",'Station 1 - 2015'!B180,IF('Week 10 Studio'!$S$5="Station 2 - 2015",'Station 2 - 2015'!B180,IF('Week 10 Studio'!$S$5="Station 3 - 2013",'Station 3 - 2013'!B180,"N/A"))))</f>
        <v>1.8</v>
      </c>
      <c r="J175">
        <f t="shared" si="10"/>
        <v>1528</v>
      </c>
      <c r="K175">
        <f t="shared" si="11"/>
        <v>369</v>
      </c>
      <c r="L175">
        <f t="shared" si="8"/>
        <v>850</v>
      </c>
      <c r="M175">
        <f t="shared" si="9"/>
        <v>481</v>
      </c>
    </row>
    <row r="176" spans="8:13">
      <c r="H176" s="87">
        <f>IF($S$5="Station 1 - 2014",'Station 1 - 2014'!A181,IF('Week 10 Studio'!$S$5="Station 1 - 2015",'Station 1 - 2015'!A181,IF('Week 10 Studio'!$S$5="Station 2 - 2015",'Station 2 - 2015'!A181,IF('Week 10 Studio'!$S$5="Station 3 - 2013",'Station 3 - 2013'!A181,"N/A"))))</f>
        <v>41444</v>
      </c>
      <c r="I176" s="88">
        <f>IF($S$5="Station 1 - 2014",'Station 1 - 2014'!B181,IF('Week 10 Studio'!$S$5="Station 1 - 2015",'Station 1 - 2015'!B181,IF('Week 10 Studio'!$S$5="Station 2 - 2015",'Station 2 - 2015'!B181,IF('Week 10 Studio'!$S$5="Station 3 - 2013",'Station 3 - 2013'!B181,"N/A"))))</f>
        <v>6.8</v>
      </c>
      <c r="J176">
        <f t="shared" si="10"/>
        <v>2009</v>
      </c>
      <c r="K176">
        <f t="shared" si="11"/>
        <v>369</v>
      </c>
      <c r="L176">
        <f t="shared" si="8"/>
        <v>675</v>
      </c>
      <c r="M176">
        <f t="shared" si="9"/>
        <v>306</v>
      </c>
    </row>
    <row r="177" spans="8:13">
      <c r="H177" s="87">
        <f>IF($S$5="Station 1 - 2014",'Station 1 - 2014'!A182,IF('Week 10 Studio'!$S$5="Station 1 - 2015",'Station 1 - 2015'!A182,IF('Week 10 Studio'!$S$5="Station 2 - 2015",'Station 2 - 2015'!A182,IF('Week 10 Studio'!$S$5="Station 3 - 2013",'Station 3 - 2013'!A182,"N/A"))))</f>
        <v>41445</v>
      </c>
      <c r="I177" s="88">
        <f>IF($S$5="Station 1 - 2014",'Station 1 - 2014'!B182,IF('Week 10 Studio'!$S$5="Station 1 - 2015",'Station 1 - 2015'!B182,IF('Week 10 Studio'!$S$5="Station 2 - 2015",'Station 2 - 2015'!B182,IF('Week 10 Studio'!$S$5="Station 3 - 2013",'Station 3 - 2013'!B182,"N/A"))))</f>
        <v>5.4</v>
      </c>
      <c r="J177">
        <f t="shared" si="10"/>
        <v>2315</v>
      </c>
      <c r="K177">
        <f t="shared" si="11"/>
        <v>369</v>
      </c>
      <c r="L177">
        <f t="shared" si="8"/>
        <v>0</v>
      </c>
      <c r="M177">
        <f t="shared" si="9"/>
        <v>-369</v>
      </c>
    </row>
    <row r="178" spans="8:13">
      <c r="H178" s="87">
        <f>IF($S$5="Station 1 - 2014",'Station 1 - 2014'!A183,IF('Week 10 Studio'!$S$5="Station 1 - 2015",'Station 1 - 2015'!A183,IF('Week 10 Studio'!$S$5="Station 2 - 2015",'Station 2 - 2015'!A183,IF('Week 10 Studio'!$S$5="Station 3 - 2013",'Station 3 - 2013'!A183,"N/A"))))</f>
        <v>41446</v>
      </c>
      <c r="I178" s="88">
        <f>IF($S$5="Station 1 - 2014",'Station 1 - 2014'!B183,IF('Week 10 Studio'!$S$5="Station 1 - 2015",'Station 1 - 2015'!B183,IF('Week 10 Studio'!$S$5="Station 2 - 2015",'Station 2 - 2015'!B183,IF('Week 10 Studio'!$S$5="Station 3 - 2013",'Station 3 - 2013'!B183,"N/A"))))</f>
        <v>0</v>
      </c>
      <c r="J178">
        <f t="shared" si="10"/>
        <v>1946</v>
      </c>
      <c r="K178">
        <f t="shared" si="11"/>
        <v>369</v>
      </c>
      <c r="L178">
        <f t="shared" si="8"/>
        <v>0</v>
      </c>
      <c r="M178">
        <f t="shared" si="9"/>
        <v>-369</v>
      </c>
    </row>
    <row r="179" spans="8:13">
      <c r="H179" s="87">
        <f>IF($S$5="Station 1 - 2014",'Station 1 - 2014'!A184,IF('Week 10 Studio'!$S$5="Station 1 - 2015",'Station 1 - 2015'!A184,IF('Week 10 Studio'!$S$5="Station 2 - 2015",'Station 2 - 2015'!A184,IF('Week 10 Studio'!$S$5="Station 3 - 2013",'Station 3 - 2013'!A184,"N/A"))))</f>
        <v>41447</v>
      </c>
      <c r="I179" s="88">
        <f>IF($S$5="Station 1 - 2014",'Station 1 - 2014'!B184,IF('Week 10 Studio'!$S$5="Station 1 - 2015",'Station 1 - 2015'!B184,IF('Week 10 Studio'!$S$5="Station 2 - 2015",'Station 2 - 2015'!B184,IF('Week 10 Studio'!$S$5="Station 3 - 2013",'Station 3 - 2013'!B184,"N/A"))))</f>
        <v>0</v>
      </c>
      <c r="J179">
        <f t="shared" si="10"/>
        <v>1577</v>
      </c>
      <c r="K179">
        <f t="shared" si="11"/>
        <v>369</v>
      </c>
      <c r="L179">
        <f t="shared" si="8"/>
        <v>100</v>
      </c>
      <c r="M179">
        <f t="shared" si="9"/>
        <v>-269</v>
      </c>
    </row>
    <row r="180" spans="8:13">
      <c r="H180" s="87">
        <f>IF($S$5="Station 1 - 2014",'Station 1 - 2014'!A185,IF('Week 10 Studio'!$S$5="Station 1 - 2015",'Station 1 - 2015'!A185,IF('Week 10 Studio'!$S$5="Station 2 - 2015",'Station 2 - 2015'!A185,IF('Week 10 Studio'!$S$5="Station 3 - 2013",'Station 3 - 2013'!A185,"N/A"))))</f>
        <v>41448</v>
      </c>
      <c r="I180" s="88">
        <f>IF($S$5="Station 1 - 2014",'Station 1 - 2014'!B185,IF('Week 10 Studio'!$S$5="Station 1 - 2015",'Station 1 - 2015'!B185,IF('Week 10 Studio'!$S$5="Station 2 - 2015",'Station 2 - 2015'!B185,IF('Week 10 Studio'!$S$5="Station 3 - 2013",'Station 3 - 2013'!B185,"N/A"))))</f>
        <v>0.8</v>
      </c>
      <c r="J180">
        <f t="shared" si="10"/>
        <v>1308</v>
      </c>
      <c r="K180">
        <f t="shared" si="11"/>
        <v>369</v>
      </c>
      <c r="L180">
        <f t="shared" si="8"/>
        <v>875</v>
      </c>
      <c r="M180">
        <f t="shared" si="9"/>
        <v>506</v>
      </c>
    </row>
    <row r="181" spans="8:13">
      <c r="H181" s="87">
        <f>IF($S$5="Station 1 - 2014",'Station 1 - 2014'!A186,IF('Week 10 Studio'!$S$5="Station 1 - 2015",'Station 1 - 2015'!A186,IF('Week 10 Studio'!$S$5="Station 2 - 2015",'Station 2 - 2015'!A186,IF('Week 10 Studio'!$S$5="Station 3 - 2013",'Station 3 - 2013'!A186,"N/A"))))</f>
        <v>41449</v>
      </c>
      <c r="I181" s="88">
        <f>IF($S$5="Station 1 - 2014",'Station 1 - 2014'!B186,IF('Week 10 Studio'!$S$5="Station 1 - 2015",'Station 1 - 2015'!B186,IF('Week 10 Studio'!$S$5="Station 2 - 2015",'Station 2 - 2015'!B186,IF('Week 10 Studio'!$S$5="Station 3 - 2013",'Station 3 - 2013'!B186,"N/A"))))</f>
        <v>7</v>
      </c>
      <c r="J181">
        <f t="shared" si="10"/>
        <v>1814</v>
      </c>
      <c r="K181">
        <f t="shared" si="11"/>
        <v>369</v>
      </c>
      <c r="L181">
        <f t="shared" si="8"/>
        <v>0</v>
      </c>
      <c r="M181">
        <f t="shared" si="9"/>
        <v>-369</v>
      </c>
    </row>
    <row r="182" spans="8:13">
      <c r="H182" s="87">
        <f>IF($S$5="Station 1 - 2014",'Station 1 - 2014'!A187,IF('Week 10 Studio'!$S$5="Station 1 - 2015",'Station 1 - 2015'!A187,IF('Week 10 Studio'!$S$5="Station 2 - 2015",'Station 2 - 2015'!A187,IF('Week 10 Studio'!$S$5="Station 3 - 2013",'Station 3 - 2013'!A187,"N/A"))))</f>
        <v>41450</v>
      </c>
      <c r="I182" s="88">
        <f>IF($S$5="Station 1 - 2014",'Station 1 - 2014'!B187,IF('Week 10 Studio'!$S$5="Station 1 - 2015",'Station 1 - 2015'!B187,IF('Week 10 Studio'!$S$5="Station 2 - 2015",'Station 2 - 2015'!B187,IF('Week 10 Studio'!$S$5="Station 3 - 2013",'Station 3 - 2013'!B187,"N/A"))))</f>
        <v>0</v>
      </c>
      <c r="J182">
        <f t="shared" si="10"/>
        <v>1445</v>
      </c>
      <c r="K182">
        <f t="shared" si="11"/>
        <v>369</v>
      </c>
      <c r="L182">
        <f t="shared" si="8"/>
        <v>175</v>
      </c>
      <c r="M182">
        <f t="shared" si="9"/>
        <v>-194</v>
      </c>
    </row>
    <row r="183" spans="8:13">
      <c r="H183" s="87">
        <f>IF($S$5="Station 1 - 2014",'Station 1 - 2014'!A188,IF('Week 10 Studio'!$S$5="Station 1 - 2015",'Station 1 - 2015'!A188,IF('Week 10 Studio'!$S$5="Station 2 - 2015",'Station 2 - 2015'!A188,IF('Week 10 Studio'!$S$5="Station 3 - 2013",'Station 3 - 2013'!A188,"N/A"))))</f>
        <v>41451</v>
      </c>
      <c r="I183" s="88">
        <f>IF($S$5="Station 1 - 2014",'Station 1 - 2014'!B188,IF('Week 10 Studio'!$S$5="Station 1 - 2015",'Station 1 - 2015'!B188,IF('Week 10 Studio'!$S$5="Station 2 - 2015",'Station 2 - 2015'!B188,IF('Week 10 Studio'!$S$5="Station 3 - 2013",'Station 3 - 2013'!B188,"N/A"))))</f>
        <v>1.4</v>
      </c>
      <c r="J183">
        <f t="shared" si="10"/>
        <v>1251</v>
      </c>
      <c r="K183">
        <f t="shared" si="11"/>
        <v>369</v>
      </c>
      <c r="L183">
        <f t="shared" si="8"/>
        <v>250</v>
      </c>
      <c r="M183">
        <f t="shared" si="9"/>
        <v>-119</v>
      </c>
    </row>
    <row r="184" spans="8:13">
      <c r="H184" s="87">
        <f>IF($S$5="Station 1 - 2014",'Station 1 - 2014'!A189,IF('Week 10 Studio'!$S$5="Station 1 - 2015",'Station 1 - 2015'!A189,IF('Week 10 Studio'!$S$5="Station 2 - 2015",'Station 2 - 2015'!A189,IF('Week 10 Studio'!$S$5="Station 3 - 2013",'Station 3 - 2013'!A189,"N/A"))))</f>
        <v>41452</v>
      </c>
      <c r="I184" s="88">
        <f>IF($S$5="Station 1 - 2014",'Station 1 - 2014'!B189,IF('Week 10 Studio'!$S$5="Station 1 - 2015",'Station 1 - 2015'!B189,IF('Week 10 Studio'!$S$5="Station 2 - 2015",'Station 2 - 2015'!B189,IF('Week 10 Studio'!$S$5="Station 3 - 2013",'Station 3 - 2013'!B189,"N/A"))))</f>
        <v>2</v>
      </c>
      <c r="J184">
        <f t="shared" si="10"/>
        <v>1132</v>
      </c>
      <c r="K184">
        <f t="shared" si="11"/>
        <v>369</v>
      </c>
      <c r="L184">
        <f t="shared" si="8"/>
        <v>425</v>
      </c>
      <c r="M184">
        <f t="shared" si="9"/>
        <v>56</v>
      </c>
    </row>
    <row r="185" spans="8:13">
      <c r="H185" s="87">
        <f>IF($S$5="Station 1 - 2014",'Station 1 - 2014'!A190,IF('Week 10 Studio'!$S$5="Station 1 - 2015",'Station 1 - 2015'!A190,IF('Week 10 Studio'!$S$5="Station 2 - 2015",'Station 2 - 2015'!A190,IF('Week 10 Studio'!$S$5="Station 3 - 2013",'Station 3 - 2013'!A190,"N/A"))))</f>
        <v>41453</v>
      </c>
      <c r="I185" s="88">
        <f>IF($S$5="Station 1 - 2014",'Station 1 - 2014'!B190,IF('Week 10 Studio'!$S$5="Station 1 - 2015",'Station 1 - 2015'!B190,IF('Week 10 Studio'!$S$5="Station 2 - 2015",'Station 2 - 2015'!B190,IF('Week 10 Studio'!$S$5="Station 3 - 2013",'Station 3 - 2013'!B190,"N/A"))))</f>
        <v>3.4</v>
      </c>
      <c r="J185">
        <f t="shared" si="10"/>
        <v>1188</v>
      </c>
      <c r="K185">
        <f t="shared" si="11"/>
        <v>369</v>
      </c>
      <c r="L185">
        <f t="shared" si="8"/>
        <v>0</v>
      </c>
      <c r="M185">
        <f t="shared" si="9"/>
        <v>-369</v>
      </c>
    </row>
    <row r="186" spans="8:13">
      <c r="H186" s="87">
        <f>IF($S$5="Station 1 - 2014",'Station 1 - 2014'!A191,IF('Week 10 Studio'!$S$5="Station 1 - 2015",'Station 1 - 2015'!A191,IF('Week 10 Studio'!$S$5="Station 2 - 2015",'Station 2 - 2015'!A191,IF('Week 10 Studio'!$S$5="Station 3 - 2013",'Station 3 - 2013'!A191,"N/A"))))</f>
        <v>41454</v>
      </c>
      <c r="I186" s="88">
        <f>IF($S$5="Station 1 - 2014",'Station 1 - 2014'!B191,IF('Week 10 Studio'!$S$5="Station 1 - 2015",'Station 1 - 2015'!B191,IF('Week 10 Studio'!$S$5="Station 2 - 2015",'Station 2 - 2015'!B191,IF('Week 10 Studio'!$S$5="Station 3 - 2013",'Station 3 - 2013'!B191,"N/A"))))</f>
        <v>0</v>
      </c>
      <c r="J186">
        <f t="shared" si="10"/>
        <v>819</v>
      </c>
      <c r="K186">
        <f t="shared" si="11"/>
        <v>369</v>
      </c>
      <c r="L186">
        <f t="shared" si="8"/>
        <v>0</v>
      </c>
      <c r="M186">
        <f t="shared" si="9"/>
        <v>-369</v>
      </c>
    </row>
    <row r="187" spans="8:13">
      <c r="H187" s="87">
        <f>IF($S$5="Station 1 - 2014",'Station 1 - 2014'!A192,IF('Week 10 Studio'!$S$5="Station 1 - 2015",'Station 1 - 2015'!A192,IF('Week 10 Studio'!$S$5="Station 2 - 2015",'Station 2 - 2015'!A192,IF('Week 10 Studio'!$S$5="Station 3 - 2013",'Station 3 - 2013'!A192,"N/A"))))</f>
        <v>41455</v>
      </c>
      <c r="I187" s="88">
        <f>IF($S$5="Station 1 - 2014",'Station 1 - 2014'!B192,IF('Week 10 Studio'!$S$5="Station 1 - 2015",'Station 1 - 2015'!B192,IF('Week 10 Studio'!$S$5="Station 2 - 2015",'Station 2 - 2015'!B192,IF('Week 10 Studio'!$S$5="Station 3 - 2013",'Station 3 - 2013'!B192,"N/A"))))</f>
        <v>0</v>
      </c>
      <c r="J187">
        <f t="shared" si="10"/>
        <v>450</v>
      </c>
      <c r="K187">
        <f t="shared" si="11"/>
        <v>369</v>
      </c>
      <c r="L187">
        <f t="shared" si="8"/>
        <v>200</v>
      </c>
      <c r="M187">
        <f t="shared" si="9"/>
        <v>-169</v>
      </c>
    </row>
    <row r="188" spans="8:13">
      <c r="H188" s="87">
        <f>IF($S$5="Station 1 - 2014",'Station 1 - 2014'!A193,IF('Week 10 Studio'!$S$5="Station 1 - 2015",'Station 1 - 2015'!A193,IF('Week 10 Studio'!$S$5="Station 2 - 2015",'Station 2 - 2015'!A193,IF('Week 10 Studio'!$S$5="Station 3 - 2013",'Station 3 - 2013'!A193,"N/A"))))</f>
        <v>41456</v>
      </c>
      <c r="I188" s="88">
        <f>IF($S$5="Station 1 - 2014",'Station 1 - 2014'!B193,IF('Week 10 Studio'!$S$5="Station 1 - 2015",'Station 1 - 2015'!B193,IF('Week 10 Studio'!$S$5="Station 2 - 2015",'Station 2 - 2015'!B193,IF('Week 10 Studio'!$S$5="Station 3 - 2013",'Station 3 - 2013'!B193,"N/A"))))</f>
        <v>1.6</v>
      </c>
      <c r="J188">
        <f t="shared" si="10"/>
        <v>281</v>
      </c>
      <c r="K188">
        <f t="shared" si="11"/>
        <v>369</v>
      </c>
      <c r="L188">
        <f t="shared" si="8"/>
        <v>25</v>
      </c>
      <c r="M188">
        <f t="shared" si="9"/>
        <v>-344</v>
      </c>
    </row>
    <row r="189" spans="8:13">
      <c r="H189" s="87">
        <f>IF($S$5="Station 1 - 2014",'Station 1 - 2014'!A194,IF('Week 10 Studio'!$S$5="Station 1 - 2015",'Station 1 - 2015'!A194,IF('Week 10 Studio'!$S$5="Station 2 - 2015",'Station 2 - 2015'!A194,IF('Week 10 Studio'!$S$5="Station 3 - 2013",'Station 3 - 2013'!A194,"N/A"))))</f>
        <v>41457</v>
      </c>
      <c r="I189" s="88">
        <f>IF($S$5="Station 1 - 2014",'Station 1 - 2014'!B194,IF('Week 10 Studio'!$S$5="Station 1 - 2015",'Station 1 - 2015'!B194,IF('Week 10 Studio'!$S$5="Station 2 - 2015",'Station 2 - 2015'!B194,IF('Week 10 Studio'!$S$5="Station 3 - 2013",'Station 3 - 2013'!B194,"N/A"))))</f>
        <v>0.2</v>
      </c>
      <c r="J189">
        <f t="shared" si="10"/>
        <v>0</v>
      </c>
      <c r="K189">
        <f t="shared" si="11"/>
        <v>369</v>
      </c>
      <c r="L189">
        <f t="shared" si="8"/>
        <v>0</v>
      </c>
      <c r="M189">
        <f t="shared" si="9"/>
        <v>-369</v>
      </c>
    </row>
    <row r="190" spans="8:13">
      <c r="H190" s="87">
        <f>IF($S$5="Station 1 - 2014",'Station 1 - 2014'!A195,IF('Week 10 Studio'!$S$5="Station 1 - 2015",'Station 1 - 2015'!A195,IF('Week 10 Studio'!$S$5="Station 2 - 2015",'Station 2 - 2015'!A195,IF('Week 10 Studio'!$S$5="Station 3 - 2013",'Station 3 - 2013'!A195,"N/A"))))</f>
        <v>41458</v>
      </c>
      <c r="I190" s="88">
        <f>IF($S$5="Station 1 - 2014",'Station 1 - 2014'!B195,IF('Week 10 Studio'!$S$5="Station 1 - 2015",'Station 1 - 2015'!B195,IF('Week 10 Studio'!$S$5="Station 2 - 2015",'Station 2 - 2015'!B195,IF('Week 10 Studio'!$S$5="Station 3 - 2013",'Station 3 - 2013'!B195,"N/A"))))</f>
        <v>0</v>
      </c>
      <c r="J190">
        <f t="shared" si="10"/>
        <v>0</v>
      </c>
      <c r="K190">
        <f t="shared" si="11"/>
        <v>369</v>
      </c>
      <c r="L190">
        <f t="shared" si="8"/>
        <v>0</v>
      </c>
      <c r="M190">
        <f t="shared" si="9"/>
        <v>-369</v>
      </c>
    </row>
    <row r="191" spans="8:13">
      <c r="H191" s="87">
        <f>IF($S$5="Station 1 - 2014",'Station 1 - 2014'!A196,IF('Week 10 Studio'!$S$5="Station 1 - 2015",'Station 1 - 2015'!A196,IF('Week 10 Studio'!$S$5="Station 2 - 2015",'Station 2 - 2015'!A196,IF('Week 10 Studio'!$S$5="Station 3 - 2013",'Station 3 - 2013'!A196,"N/A"))))</f>
        <v>41459</v>
      </c>
      <c r="I191" s="88">
        <f>IF($S$5="Station 1 - 2014",'Station 1 - 2014'!B196,IF('Week 10 Studio'!$S$5="Station 1 - 2015",'Station 1 - 2015'!B196,IF('Week 10 Studio'!$S$5="Station 2 - 2015",'Station 2 - 2015'!B196,IF('Week 10 Studio'!$S$5="Station 3 - 2013",'Station 3 - 2013'!B196,"N/A"))))</f>
        <v>0</v>
      </c>
      <c r="J191">
        <f t="shared" si="10"/>
        <v>0</v>
      </c>
      <c r="K191">
        <f t="shared" si="11"/>
        <v>369</v>
      </c>
      <c r="L191">
        <f t="shared" si="8"/>
        <v>0</v>
      </c>
      <c r="M191">
        <f t="shared" si="9"/>
        <v>-369</v>
      </c>
    </row>
    <row r="192" spans="8:13">
      <c r="H192" s="87">
        <f>IF($S$5="Station 1 - 2014",'Station 1 - 2014'!A197,IF('Week 10 Studio'!$S$5="Station 1 - 2015",'Station 1 - 2015'!A197,IF('Week 10 Studio'!$S$5="Station 2 - 2015",'Station 2 - 2015'!A197,IF('Week 10 Studio'!$S$5="Station 3 - 2013",'Station 3 - 2013'!A197,"N/A"))))</f>
        <v>41460</v>
      </c>
      <c r="I192" s="88">
        <f>IF($S$5="Station 1 - 2014",'Station 1 - 2014'!B197,IF('Week 10 Studio'!$S$5="Station 1 - 2015",'Station 1 - 2015'!B197,IF('Week 10 Studio'!$S$5="Station 2 - 2015",'Station 2 - 2015'!B197,IF('Week 10 Studio'!$S$5="Station 3 - 2013",'Station 3 - 2013'!B197,"N/A"))))</f>
        <v>0</v>
      </c>
      <c r="J192">
        <f t="shared" si="10"/>
        <v>0</v>
      </c>
      <c r="K192">
        <f t="shared" si="11"/>
        <v>369</v>
      </c>
      <c r="L192">
        <f t="shared" si="8"/>
        <v>0</v>
      </c>
      <c r="M192">
        <f t="shared" si="9"/>
        <v>-369</v>
      </c>
    </row>
    <row r="193" spans="8:13">
      <c r="H193" s="87">
        <f>IF($S$5="Station 1 - 2014",'Station 1 - 2014'!A198,IF('Week 10 Studio'!$S$5="Station 1 - 2015",'Station 1 - 2015'!A198,IF('Week 10 Studio'!$S$5="Station 2 - 2015",'Station 2 - 2015'!A198,IF('Week 10 Studio'!$S$5="Station 3 - 2013",'Station 3 - 2013'!A198,"N/A"))))</f>
        <v>41461</v>
      </c>
      <c r="I193" s="88">
        <f>IF($S$5="Station 1 - 2014",'Station 1 - 2014'!B198,IF('Week 10 Studio'!$S$5="Station 1 - 2015",'Station 1 - 2015'!B198,IF('Week 10 Studio'!$S$5="Station 2 - 2015",'Station 2 - 2015'!B198,IF('Week 10 Studio'!$S$5="Station 3 - 2013",'Station 3 - 2013'!B198,"N/A"))))</f>
        <v>0</v>
      </c>
      <c r="J193">
        <f t="shared" si="10"/>
        <v>0</v>
      </c>
      <c r="K193">
        <f t="shared" si="11"/>
        <v>369</v>
      </c>
      <c r="L193">
        <f t="shared" si="8"/>
        <v>0</v>
      </c>
      <c r="M193">
        <f t="shared" si="9"/>
        <v>-369</v>
      </c>
    </row>
    <row r="194" spans="8:13">
      <c r="H194" s="87">
        <f>IF($S$5="Station 1 - 2014",'Station 1 - 2014'!A199,IF('Week 10 Studio'!$S$5="Station 1 - 2015",'Station 1 - 2015'!A199,IF('Week 10 Studio'!$S$5="Station 2 - 2015",'Station 2 - 2015'!A199,IF('Week 10 Studio'!$S$5="Station 3 - 2013",'Station 3 - 2013'!A199,"N/A"))))</f>
        <v>41462</v>
      </c>
      <c r="I194" s="88">
        <f>IF($S$5="Station 1 - 2014",'Station 1 - 2014'!B199,IF('Week 10 Studio'!$S$5="Station 1 - 2015",'Station 1 - 2015'!B199,IF('Week 10 Studio'!$S$5="Station 2 - 2015",'Station 2 - 2015'!B199,IF('Week 10 Studio'!$S$5="Station 3 - 2013",'Station 3 - 2013'!B199,"N/A"))))</f>
        <v>0</v>
      </c>
      <c r="J194">
        <f t="shared" si="10"/>
        <v>0</v>
      </c>
      <c r="K194">
        <f t="shared" si="11"/>
        <v>369</v>
      </c>
      <c r="L194">
        <f t="shared" si="8"/>
        <v>75</v>
      </c>
      <c r="M194">
        <f t="shared" si="9"/>
        <v>-294</v>
      </c>
    </row>
    <row r="195" spans="8:13">
      <c r="H195" s="87">
        <f>IF($S$5="Station 1 - 2014",'Station 1 - 2014'!A200,IF('Week 10 Studio'!$S$5="Station 1 - 2015",'Station 1 - 2015'!A200,IF('Week 10 Studio'!$S$5="Station 2 - 2015",'Station 2 - 2015'!A200,IF('Week 10 Studio'!$S$5="Station 3 - 2013",'Station 3 - 2013'!A200,"N/A"))))</f>
        <v>41463</v>
      </c>
      <c r="I195" s="88">
        <f>IF($S$5="Station 1 - 2014",'Station 1 - 2014'!B200,IF('Week 10 Studio'!$S$5="Station 1 - 2015",'Station 1 - 2015'!B200,IF('Week 10 Studio'!$S$5="Station 2 - 2015",'Station 2 - 2015'!B200,IF('Week 10 Studio'!$S$5="Station 3 - 2013",'Station 3 - 2013'!B200,"N/A"))))</f>
        <v>0.6</v>
      </c>
      <c r="J195">
        <f t="shared" si="10"/>
        <v>0</v>
      </c>
      <c r="K195">
        <f t="shared" si="11"/>
        <v>369</v>
      </c>
      <c r="L195">
        <f t="shared" si="8"/>
        <v>25</v>
      </c>
      <c r="M195">
        <f t="shared" si="9"/>
        <v>-344</v>
      </c>
    </row>
    <row r="196" spans="8:13">
      <c r="H196" s="87">
        <f>IF($S$5="Station 1 - 2014",'Station 1 - 2014'!A201,IF('Week 10 Studio'!$S$5="Station 1 - 2015",'Station 1 - 2015'!A201,IF('Week 10 Studio'!$S$5="Station 2 - 2015",'Station 2 - 2015'!A201,IF('Week 10 Studio'!$S$5="Station 3 - 2013",'Station 3 - 2013'!A201,"N/A"))))</f>
        <v>41464</v>
      </c>
      <c r="I196" s="88">
        <f>IF($S$5="Station 1 - 2014",'Station 1 - 2014'!B201,IF('Week 10 Studio'!$S$5="Station 1 - 2015",'Station 1 - 2015'!B201,IF('Week 10 Studio'!$S$5="Station 2 - 2015",'Station 2 - 2015'!B201,IF('Week 10 Studio'!$S$5="Station 3 - 2013",'Station 3 - 2013'!B201,"N/A"))))</f>
        <v>0.2</v>
      </c>
      <c r="J196">
        <f t="shared" si="10"/>
        <v>0</v>
      </c>
      <c r="K196">
        <f t="shared" si="11"/>
        <v>369</v>
      </c>
      <c r="L196">
        <f t="shared" si="8"/>
        <v>425</v>
      </c>
      <c r="M196">
        <f t="shared" si="9"/>
        <v>56</v>
      </c>
    </row>
    <row r="197" spans="8:13">
      <c r="H197" s="87">
        <f>IF($S$5="Station 1 - 2014",'Station 1 - 2014'!A202,IF('Week 10 Studio'!$S$5="Station 1 - 2015",'Station 1 - 2015'!A202,IF('Week 10 Studio'!$S$5="Station 2 - 2015",'Station 2 - 2015'!A202,IF('Week 10 Studio'!$S$5="Station 3 - 2013",'Station 3 - 2013'!A202,"N/A"))))</f>
        <v>41465</v>
      </c>
      <c r="I197" s="88">
        <f>IF($S$5="Station 1 - 2014",'Station 1 - 2014'!B202,IF('Week 10 Studio'!$S$5="Station 1 - 2015",'Station 1 - 2015'!B202,IF('Week 10 Studio'!$S$5="Station 2 - 2015",'Station 2 - 2015'!B202,IF('Week 10 Studio'!$S$5="Station 3 - 2013",'Station 3 - 2013'!B202,"N/A"))))</f>
        <v>3.4</v>
      </c>
      <c r="J197">
        <f t="shared" si="10"/>
        <v>56</v>
      </c>
      <c r="K197">
        <f t="shared" si="11"/>
        <v>369</v>
      </c>
      <c r="L197">
        <f t="shared" si="8"/>
        <v>350</v>
      </c>
      <c r="M197">
        <f t="shared" si="9"/>
        <v>-19</v>
      </c>
    </row>
    <row r="198" spans="8:13">
      <c r="H198" s="87">
        <f>IF($S$5="Station 1 - 2014",'Station 1 - 2014'!A203,IF('Week 10 Studio'!$S$5="Station 1 - 2015",'Station 1 - 2015'!A203,IF('Week 10 Studio'!$S$5="Station 2 - 2015",'Station 2 - 2015'!A203,IF('Week 10 Studio'!$S$5="Station 3 - 2013",'Station 3 - 2013'!A203,"N/A"))))</f>
        <v>41466</v>
      </c>
      <c r="I198" s="88">
        <f>IF($S$5="Station 1 - 2014",'Station 1 - 2014'!B203,IF('Week 10 Studio'!$S$5="Station 1 - 2015",'Station 1 - 2015'!B203,IF('Week 10 Studio'!$S$5="Station 2 - 2015",'Station 2 - 2015'!B203,IF('Week 10 Studio'!$S$5="Station 3 - 2013",'Station 3 - 2013'!B203,"N/A"))))</f>
        <v>2.8</v>
      </c>
      <c r="J198">
        <f t="shared" si="10"/>
        <v>37</v>
      </c>
      <c r="K198">
        <f t="shared" si="11"/>
        <v>369</v>
      </c>
      <c r="L198">
        <f t="shared" ref="L198:L261" si="12">($C$14*(I199/1000))*1000</f>
        <v>25</v>
      </c>
      <c r="M198">
        <f t="shared" ref="M198:M261" si="13">L198-K199</f>
        <v>-344</v>
      </c>
    </row>
    <row r="199" spans="8:13">
      <c r="H199" s="87">
        <f>IF($S$5="Station 1 - 2014",'Station 1 - 2014'!A204,IF('Week 10 Studio'!$S$5="Station 1 - 2015",'Station 1 - 2015'!A204,IF('Week 10 Studio'!$S$5="Station 2 - 2015",'Station 2 - 2015'!A204,IF('Week 10 Studio'!$S$5="Station 3 - 2013",'Station 3 - 2013'!A204,"N/A"))))</f>
        <v>41467</v>
      </c>
      <c r="I199" s="88">
        <f>IF($S$5="Station 1 - 2014",'Station 1 - 2014'!B204,IF('Week 10 Studio'!$S$5="Station 1 - 2015",'Station 1 - 2015'!B204,IF('Week 10 Studio'!$S$5="Station 2 - 2015",'Station 2 - 2015'!B204,IF('Week 10 Studio'!$S$5="Station 3 - 2013",'Station 3 - 2013'!B204,"N/A"))))</f>
        <v>0.2</v>
      </c>
      <c r="J199">
        <f t="shared" ref="J199:J262" si="14">IF(IF(J198+M$6&lt;$C$13,J198+M198,$C$13)&gt;0,IF(J198+M198&lt;$C$13,J198+M198,$C$13),0)</f>
        <v>0</v>
      </c>
      <c r="K199">
        <f t="shared" ref="K199:K262" si="15">IF(MONTH(H199)=1,0,$C$18)</f>
        <v>369</v>
      </c>
      <c r="L199">
        <f t="shared" si="12"/>
        <v>275</v>
      </c>
      <c r="M199">
        <f t="shared" si="13"/>
        <v>-94</v>
      </c>
    </row>
    <row r="200" spans="8:13">
      <c r="H200" s="87">
        <f>IF($S$5="Station 1 - 2014",'Station 1 - 2014'!A205,IF('Week 10 Studio'!$S$5="Station 1 - 2015",'Station 1 - 2015'!A205,IF('Week 10 Studio'!$S$5="Station 2 - 2015",'Station 2 - 2015'!A205,IF('Week 10 Studio'!$S$5="Station 3 - 2013",'Station 3 - 2013'!A205,"N/A"))))</f>
        <v>41468</v>
      </c>
      <c r="I200" s="88">
        <f>IF($S$5="Station 1 - 2014",'Station 1 - 2014'!B205,IF('Week 10 Studio'!$S$5="Station 1 - 2015",'Station 1 - 2015'!B205,IF('Week 10 Studio'!$S$5="Station 2 - 2015",'Station 2 - 2015'!B205,IF('Week 10 Studio'!$S$5="Station 3 - 2013",'Station 3 - 2013'!B205,"N/A"))))</f>
        <v>2.2000000000000002</v>
      </c>
      <c r="J200">
        <f t="shared" si="14"/>
        <v>0</v>
      </c>
      <c r="K200">
        <f t="shared" si="15"/>
        <v>369</v>
      </c>
      <c r="L200">
        <f t="shared" si="12"/>
        <v>175</v>
      </c>
      <c r="M200">
        <f t="shared" si="13"/>
        <v>-194</v>
      </c>
    </row>
    <row r="201" spans="8:13">
      <c r="H201" s="87">
        <f>IF($S$5="Station 1 - 2014",'Station 1 - 2014'!A206,IF('Week 10 Studio'!$S$5="Station 1 - 2015",'Station 1 - 2015'!A206,IF('Week 10 Studio'!$S$5="Station 2 - 2015",'Station 2 - 2015'!A206,IF('Week 10 Studio'!$S$5="Station 3 - 2013",'Station 3 - 2013'!A206,"N/A"))))</f>
        <v>41469</v>
      </c>
      <c r="I201" s="88">
        <f>IF($S$5="Station 1 - 2014",'Station 1 - 2014'!B206,IF('Week 10 Studio'!$S$5="Station 1 - 2015",'Station 1 - 2015'!B206,IF('Week 10 Studio'!$S$5="Station 2 - 2015",'Station 2 - 2015'!B206,IF('Week 10 Studio'!$S$5="Station 3 - 2013",'Station 3 - 2013'!B206,"N/A"))))</f>
        <v>1.4</v>
      </c>
      <c r="J201">
        <f t="shared" si="14"/>
        <v>0</v>
      </c>
      <c r="K201">
        <f t="shared" si="15"/>
        <v>369</v>
      </c>
      <c r="L201">
        <f t="shared" si="12"/>
        <v>0</v>
      </c>
      <c r="M201">
        <f t="shared" si="13"/>
        <v>-369</v>
      </c>
    </row>
    <row r="202" spans="8:13">
      <c r="H202" s="87">
        <f>IF($S$5="Station 1 - 2014",'Station 1 - 2014'!A207,IF('Week 10 Studio'!$S$5="Station 1 - 2015",'Station 1 - 2015'!A207,IF('Week 10 Studio'!$S$5="Station 2 - 2015",'Station 2 - 2015'!A207,IF('Week 10 Studio'!$S$5="Station 3 - 2013",'Station 3 - 2013'!A207,"N/A"))))</f>
        <v>41470</v>
      </c>
      <c r="I202" s="88">
        <f>IF($S$5="Station 1 - 2014",'Station 1 - 2014'!B207,IF('Week 10 Studio'!$S$5="Station 1 - 2015",'Station 1 - 2015'!B207,IF('Week 10 Studio'!$S$5="Station 2 - 2015",'Station 2 - 2015'!B207,IF('Week 10 Studio'!$S$5="Station 3 - 2013",'Station 3 - 2013'!B207,"N/A"))))</f>
        <v>0</v>
      </c>
      <c r="J202">
        <f t="shared" si="14"/>
        <v>0</v>
      </c>
      <c r="K202">
        <f t="shared" si="15"/>
        <v>369</v>
      </c>
      <c r="L202">
        <f t="shared" si="12"/>
        <v>0</v>
      </c>
      <c r="M202">
        <f t="shared" si="13"/>
        <v>-369</v>
      </c>
    </row>
    <row r="203" spans="8:13">
      <c r="H203" s="87">
        <f>IF($S$5="Station 1 - 2014",'Station 1 - 2014'!A208,IF('Week 10 Studio'!$S$5="Station 1 - 2015",'Station 1 - 2015'!A208,IF('Week 10 Studio'!$S$5="Station 2 - 2015",'Station 2 - 2015'!A208,IF('Week 10 Studio'!$S$5="Station 3 - 2013",'Station 3 - 2013'!A208,"N/A"))))</f>
        <v>41471</v>
      </c>
      <c r="I203" s="88">
        <f>IF($S$5="Station 1 - 2014",'Station 1 - 2014'!B208,IF('Week 10 Studio'!$S$5="Station 1 - 2015",'Station 1 - 2015'!B208,IF('Week 10 Studio'!$S$5="Station 2 - 2015",'Station 2 - 2015'!B208,IF('Week 10 Studio'!$S$5="Station 3 - 2013",'Station 3 - 2013'!B208,"N/A"))))</f>
        <v>0</v>
      </c>
      <c r="J203">
        <f t="shared" si="14"/>
        <v>0</v>
      </c>
      <c r="K203">
        <f t="shared" si="15"/>
        <v>369</v>
      </c>
      <c r="L203">
        <f t="shared" si="12"/>
        <v>0</v>
      </c>
      <c r="M203">
        <f t="shared" si="13"/>
        <v>-369</v>
      </c>
    </row>
    <row r="204" spans="8:13">
      <c r="H204" s="87">
        <f>IF($S$5="Station 1 - 2014",'Station 1 - 2014'!A209,IF('Week 10 Studio'!$S$5="Station 1 - 2015",'Station 1 - 2015'!A209,IF('Week 10 Studio'!$S$5="Station 2 - 2015",'Station 2 - 2015'!A209,IF('Week 10 Studio'!$S$5="Station 3 - 2013",'Station 3 - 2013'!A209,"N/A"))))</f>
        <v>41472</v>
      </c>
      <c r="I204" s="88">
        <f>IF($S$5="Station 1 - 2014",'Station 1 - 2014'!B209,IF('Week 10 Studio'!$S$5="Station 1 - 2015",'Station 1 - 2015'!B209,IF('Week 10 Studio'!$S$5="Station 2 - 2015",'Station 2 - 2015'!B209,IF('Week 10 Studio'!$S$5="Station 3 - 2013",'Station 3 - 2013'!B209,"N/A"))))</f>
        <v>0</v>
      </c>
      <c r="J204">
        <f t="shared" si="14"/>
        <v>0</v>
      </c>
      <c r="K204">
        <f t="shared" si="15"/>
        <v>369</v>
      </c>
      <c r="L204">
        <f t="shared" si="12"/>
        <v>0</v>
      </c>
      <c r="M204">
        <f t="shared" si="13"/>
        <v>-369</v>
      </c>
    </row>
    <row r="205" spans="8:13">
      <c r="H205" s="87">
        <f>IF($S$5="Station 1 - 2014",'Station 1 - 2014'!A210,IF('Week 10 Studio'!$S$5="Station 1 - 2015",'Station 1 - 2015'!A210,IF('Week 10 Studio'!$S$5="Station 2 - 2015",'Station 2 - 2015'!A210,IF('Week 10 Studio'!$S$5="Station 3 - 2013",'Station 3 - 2013'!A210,"N/A"))))</f>
        <v>41473</v>
      </c>
      <c r="I205" s="88">
        <f>IF($S$5="Station 1 - 2014",'Station 1 - 2014'!B210,IF('Week 10 Studio'!$S$5="Station 1 - 2015",'Station 1 - 2015'!B210,IF('Week 10 Studio'!$S$5="Station 2 - 2015",'Station 2 - 2015'!B210,IF('Week 10 Studio'!$S$5="Station 3 - 2013",'Station 3 - 2013'!B210,"N/A"))))</f>
        <v>0</v>
      </c>
      <c r="J205">
        <f t="shared" si="14"/>
        <v>0</v>
      </c>
      <c r="K205">
        <f t="shared" si="15"/>
        <v>369</v>
      </c>
      <c r="L205">
        <f t="shared" si="12"/>
        <v>0</v>
      </c>
      <c r="M205">
        <f t="shared" si="13"/>
        <v>-369</v>
      </c>
    </row>
    <row r="206" spans="8:13">
      <c r="H206" s="87">
        <f>IF($S$5="Station 1 - 2014",'Station 1 - 2014'!A211,IF('Week 10 Studio'!$S$5="Station 1 - 2015",'Station 1 - 2015'!A211,IF('Week 10 Studio'!$S$5="Station 2 - 2015",'Station 2 - 2015'!A211,IF('Week 10 Studio'!$S$5="Station 3 - 2013",'Station 3 - 2013'!A211,"N/A"))))</f>
        <v>41474</v>
      </c>
      <c r="I206" s="88">
        <f>IF($S$5="Station 1 - 2014",'Station 1 - 2014'!B211,IF('Week 10 Studio'!$S$5="Station 1 - 2015",'Station 1 - 2015'!B211,IF('Week 10 Studio'!$S$5="Station 2 - 2015",'Station 2 - 2015'!B211,IF('Week 10 Studio'!$S$5="Station 3 - 2013",'Station 3 - 2013'!B211,"N/A"))))</f>
        <v>0</v>
      </c>
      <c r="J206">
        <f t="shared" si="14"/>
        <v>0</v>
      </c>
      <c r="K206">
        <f t="shared" si="15"/>
        <v>369</v>
      </c>
      <c r="L206">
        <f t="shared" si="12"/>
        <v>0</v>
      </c>
      <c r="M206">
        <f t="shared" si="13"/>
        <v>-369</v>
      </c>
    </row>
    <row r="207" spans="8:13">
      <c r="H207" s="87">
        <f>IF($S$5="Station 1 - 2014",'Station 1 - 2014'!A212,IF('Week 10 Studio'!$S$5="Station 1 - 2015",'Station 1 - 2015'!A212,IF('Week 10 Studio'!$S$5="Station 2 - 2015",'Station 2 - 2015'!A212,IF('Week 10 Studio'!$S$5="Station 3 - 2013",'Station 3 - 2013'!A212,"N/A"))))</f>
        <v>41475</v>
      </c>
      <c r="I207" s="88">
        <f>IF($S$5="Station 1 - 2014",'Station 1 - 2014'!B212,IF('Week 10 Studio'!$S$5="Station 1 - 2015",'Station 1 - 2015'!B212,IF('Week 10 Studio'!$S$5="Station 2 - 2015",'Station 2 - 2015'!B212,IF('Week 10 Studio'!$S$5="Station 3 - 2013",'Station 3 - 2013'!B212,"N/A"))))</f>
        <v>0</v>
      </c>
      <c r="J207">
        <f t="shared" si="14"/>
        <v>0</v>
      </c>
      <c r="K207">
        <f t="shared" si="15"/>
        <v>369</v>
      </c>
      <c r="L207">
        <f t="shared" si="12"/>
        <v>0</v>
      </c>
      <c r="M207">
        <f t="shared" si="13"/>
        <v>-369</v>
      </c>
    </row>
    <row r="208" spans="8:13">
      <c r="H208" s="87">
        <f>IF($S$5="Station 1 - 2014",'Station 1 - 2014'!A213,IF('Week 10 Studio'!$S$5="Station 1 - 2015",'Station 1 - 2015'!A213,IF('Week 10 Studio'!$S$5="Station 2 - 2015",'Station 2 - 2015'!A213,IF('Week 10 Studio'!$S$5="Station 3 - 2013",'Station 3 - 2013'!A213,"N/A"))))</f>
        <v>41476</v>
      </c>
      <c r="I208" s="88">
        <f>IF($S$5="Station 1 - 2014",'Station 1 - 2014'!B213,IF('Week 10 Studio'!$S$5="Station 1 - 2015",'Station 1 - 2015'!B213,IF('Week 10 Studio'!$S$5="Station 2 - 2015",'Station 2 - 2015'!B213,IF('Week 10 Studio'!$S$5="Station 3 - 2013",'Station 3 - 2013'!B213,"N/A"))))</f>
        <v>0</v>
      </c>
      <c r="J208">
        <f t="shared" si="14"/>
        <v>0</v>
      </c>
      <c r="K208">
        <f t="shared" si="15"/>
        <v>369</v>
      </c>
      <c r="L208">
        <f t="shared" si="12"/>
        <v>0</v>
      </c>
      <c r="M208">
        <f t="shared" si="13"/>
        <v>-369</v>
      </c>
    </row>
    <row r="209" spans="8:13">
      <c r="H209" s="87">
        <f>IF($S$5="Station 1 - 2014",'Station 1 - 2014'!A214,IF('Week 10 Studio'!$S$5="Station 1 - 2015",'Station 1 - 2015'!A214,IF('Week 10 Studio'!$S$5="Station 2 - 2015",'Station 2 - 2015'!A214,IF('Week 10 Studio'!$S$5="Station 3 - 2013",'Station 3 - 2013'!A214,"N/A"))))</f>
        <v>41477</v>
      </c>
      <c r="I209" s="88">
        <f>IF($S$5="Station 1 - 2014",'Station 1 - 2014'!B214,IF('Week 10 Studio'!$S$5="Station 1 - 2015",'Station 1 - 2015'!B214,IF('Week 10 Studio'!$S$5="Station 2 - 2015",'Station 2 - 2015'!B214,IF('Week 10 Studio'!$S$5="Station 3 - 2013",'Station 3 - 2013'!B214,"N/A"))))</f>
        <v>0</v>
      </c>
      <c r="J209">
        <f t="shared" si="14"/>
        <v>0</v>
      </c>
      <c r="K209">
        <f t="shared" si="15"/>
        <v>369</v>
      </c>
      <c r="L209">
        <f t="shared" si="12"/>
        <v>0</v>
      </c>
      <c r="M209">
        <f t="shared" si="13"/>
        <v>-369</v>
      </c>
    </row>
    <row r="210" spans="8:13">
      <c r="H210" s="87">
        <f>IF($S$5="Station 1 - 2014",'Station 1 - 2014'!A215,IF('Week 10 Studio'!$S$5="Station 1 - 2015",'Station 1 - 2015'!A215,IF('Week 10 Studio'!$S$5="Station 2 - 2015",'Station 2 - 2015'!A215,IF('Week 10 Studio'!$S$5="Station 3 - 2013",'Station 3 - 2013'!A215,"N/A"))))</f>
        <v>41478</v>
      </c>
      <c r="I210" s="88">
        <f>IF($S$5="Station 1 - 2014",'Station 1 - 2014'!B215,IF('Week 10 Studio'!$S$5="Station 1 - 2015",'Station 1 - 2015'!B215,IF('Week 10 Studio'!$S$5="Station 2 - 2015",'Station 2 - 2015'!B215,IF('Week 10 Studio'!$S$5="Station 3 - 2013",'Station 3 - 2013'!B215,"N/A"))))</f>
        <v>0</v>
      </c>
      <c r="J210">
        <f t="shared" si="14"/>
        <v>0</v>
      </c>
      <c r="K210">
        <f t="shared" si="15"/>
        <v>369</v>
      </c>
      <c r="L210">
        <f t="shared" si="12"/>
        <v>0</v>
      </c>
      <c r="M210">
        <f t="shared" si="13"/>
        <v>-369</v>
      </c>
    </row>
    <row r="211" spans="8:13">
      <c r="H211" s="87">
        <f>IF($S$5="Station 1 - 2014",'Station 1 - 2014'!A216,IF('Week 10 Studio'!$S$5="Station 1 - 2015",'Station 1 - 2015'!A216,IF('Week 10 Studio'!$S$5="Station 2 - 2015",'Station 2 - 2015'!A216,IF('Week 10 Studio'!$S$5="Station 3 - 2013",'Station 3 - 2013'!A216,"N/A"))))</f>
        <v>41479</v>
      </c>
      <c r="I211" s="88">
        <f>IF($S$5="Station 1 - 2014",'Station 1 - 2014'!B216,IF('Week 10 Studio'!$S$5="Station 1 - 2015",'Station 1 - 2015'!B216,IF('Week 10 Studio'!$S$5="Station 2 - 2015",'Station 2 - 2015'!B216,IF('Week 10 Studio'!$S$5="Station 3 - 2013",'Station 3 - 2013'!B216,"N/A"))))</f>
        <v>0</v>
      </c>
      <c r="J211">
        <f t="shared" si="14"/>
        <v>0</v>
      </c>
      <c r="K211">
        <f t="shared" si="15"/>
        <v>369</v>
      </c>
      <c r="L211">
        <f t="shared" si="12"/>
        <v>0</v>
      </c>
      <c r="M211">
        <f t="shared" si="13"/>
        <v>-369</v>
      </c>
    </row>
    <row r="212" spans="8:13">
      <c r="H212" s="87">
        <f>IF($S$5="Station 1 - 2014",'Station 1 - 2014'!A217,IF('Week 10 Studio'!$S$5="Station 1 - 2015",'Station 1 - 2015'!A217,IF('Week 10 Studio'!$S$5="Station 2 - 2015",'Station 2 - 2015'!A217,IF('Week 10 Studio'!$S$5="Station 3 - 2013",'Station 3 - 2013'!A217,"N/A"))))</f>
        <v>41480</v>
      </c>
      <c r="I212" s="88">
        <f>IF($S$5="Station 1 - 2014",'Station 1 - 2014'!B217,IF('Week 10 Studio'!$S$5="Station 1 - 2015",'Station 1 - 2015'!B217,IF('Week 10 Studio'!$S$5="Station 2 - 2015",'Station 2 - 2015'!B217,IF('Week 10 Studio'!$S$5="Station 3 - 2013",'Station 3 - 2013'!B217,"N/A"))))</f>
        <v>0</v>
      </c>
      <c r="J212">
        <f t="shared" si="14"/>
        <v>0</v>
      </c>
      <c r="K212">
        <f t="shared" si="15"/>
        <v>369</v>
      </c>
      <c r="L212">
        <f t="shared" si="12"/>
        <v>0</v>
      </c>
      <c r="M212">
        <f t="shared" si="13"/>
        <v>-369</v>
      </c>
    </row>
    <row r="213" spans="8:13">
      <c r="H213" s="87">
        <f>IF($S$5="Station 1 - 2014",'Station 1 - 2014'!A218,IF('Week 10 Studio'!$S$5="Station 1 - 2015",'Station 1 - 2015'!A218,IF('Week 10 Studio'!$S$5="Station 2 - 2015",'Station 2 - 2015'!A218,IF('Week 10 Studio'!$S$5="Station 3 - 2013",'Station 3 - 2013'!A218,"N/A"))))</f>
        <v>41481</v>
      </c>
      <c r="I213" s="88">
        <f>IF($S$5="Station 1 - 2014",'Station 1 - 2014'!B218,IF('Week 10 Studio'!$S$5="Station 1 - 2015",'Station 1 - 2015'!B218,IF('Week 10 Studio'!$S$5="Station 2 - 2015",'Station 2 - 2015'!B218,IF('Week 10 Studio'!$S$5="Station 3 - 2013",'Station 3 - 2013'!B218,"N/A"))))</f>
        <v>0</v>
      </c>
      <c r="J213">
        <f t="shared" si="14"/>
        <v>0</v>
      </c>
      <c r="K213">
        <f t="shared" si="15"/>
        <v>369</v>
      </c>
      <c r="L213">
        <f t="shared" si="12"/>
        <v>0</v>
      </c>
      <c r="M213">
        <f t="shared" si="13"/>
        <v>-369</v>
      </c>
    </row>
    <row r="214" spans="8:13">
      <c r="H214" s="87">
        <f>IF($S$5="Station 1 - 2014",'Station 1 - 2014'!A219,IF('Week 10 Studio'!$S$5="Station 1 - 2015",'Station 1 - 2015'!A219,IF('Week 10 Studio'!$S$5="Station 2 - 2015",'Station 2 - 2015'!A219,IF('Week 10 Studio'!$S$5="Station 3 - 2013",'Station 3 - 2013'!A219,"N/A"))))</f>
        <v>41482</v>
      </c>
      <c r="I214" s="88">
        <f>IF($S$5="Station 1 - 2014",'Station 1 - 2014'!B219,IF('Week 10 Studio'!$S$5="Station 1 - 2015",'Station 1 - 2015'!B219,IF('Week 10 Studio'!$S$5="Station 2 - 2015",'Station 2 - 2015'!B219,IF('Week 10 Studio'!$S$5="Station 3 - 2013",'Station 3 - 2013'!B219,"N/A"))))</f>
        <v>0</v>
      </c>
      <c r="J214">
        <f t="shared" si="14"/>
        <v>0</v>
      </c>
      <c r="K214">
        <f t="shared" si="15"/>
        <v>369</v>
      </c>
      <c r="L214">
        <f t="shared" si="12"/>
        <v>0</v>
      </c>
      <c r="M214">
        <f t="shared" si="13"/>
        <v>-369</v>
      </c>
    </row>
    <row r="215" spans="8:13">
      <c r="H215" s="87">
        <f>IF($S$5="Station 1 - 2014",'Station 1 - 2014'!A220,IF('Week 10 Studio'!$S$5="Station 1 - 2015",'Station 1 - 2015'!A220,IF('Week 10 Studio'!$S$5="Station 2 - 2015",'Station 2 - 2015'!A220,IF('Week 10 Studio'!$S$5="Station 3 - 2013",'Station 3 - 2013'!A220,"N/A"))))</f>
        <v>41483</v>
      </c>
      <c r="I215" s="88">
        <f>IF($S$5="Station 1 - 2014",'Station 1 - 2014'!B220,IF('Week 10 Studio'!$S$5="Station 1 - 2015",'Station 1 - 2015'!B220,IF('Week 10 Studio'!$S$5="Station 2 - 2015",'Station 2 - 2015'!B220,IF('Week 10 Studio'!$S$5="Station 3 - 2013",'Station 3 - 2013'!B220,"N/A"))))</f>
        <v>0</v>
      </c>
      <c r="J215">
        <f t="shared" si="14"/>
        <v>0</v>
      </c>
      <c r="K215">
        <f t="shared" si="15"/>
        <v>369</v>
      </c>
      <c r="L215">
        <f t="shared" si="12"/>
        <v>0</v>
      </c>
      <c r="M215">
        <f t="shared" si="13"/>
        <v>-369</v>
      </c>
    </row>
    <row r="216" spans="8:13">
      <c r="H216" s="87">
        <f>IF($S$5="Station 1 - 2014",'Station 1 - 2014'!A221,IF('Week 10 Studio'!$S$5="Station 1 - 2015",'Station 1 - 2015'!A221,IF('Week 10 Studio'!$S$5="Station 2 - 2015",'Station 2 - 2015'!A221,IF('Week 10 Studio'!$S$5="Station 3 - 2013",'Station 3 - 2013'!A221,"N/A"))))</f>
        <v>41484</v>
      </c>
      <c r="I216" s="88">
        <f>IF($S$5="Station 1 - 2014",'Station 1 - 2014'!B221,IF('Week 10 Studio'!$S$5="Station 1 - 2015",'Station 1 - 2015'!B221,IF('Week 10 Studio'!$S$5="Station 2 - 2015",'Station 2 - 2015'!B221,IF('Week 10 Studio'!$S$5="Station 3 - 2013",'Station 3 - 2013'!B221,"N/A"))))</f>
        <v>0</v>
      </c>
      <c r="J216">
        <f t="shared" si="14"/>
        <v>0</v>
      </c>
      <c r="K216">
        <f t="shared" si="15"/>
        <v>369</v>
      </c>
      <c r="L216">
        <f t="shared" si="12"/>
        <v>0</v>
      </c>
      <c r="M216">
        <f t="shared" si="13"/>
        <v>-369</v>
      </c>
    </row>
    <row r="217" spans="8:13">
      <c r="H217" s="87">
        <f>IF($S$5="Station 1 - 2014",'Station 1 - 2014'!A222,IF('Week 10 Studio'!$S$5="Station 1 - 2015",'Station 1 - 2015'!A222,IF('Week 10 Studio'!$S$5="Station 2 - 2015",'Station 2 - 2015'!A222,IF('Week 10 Studio'!$S$5="Station 3 - 2013",'Station 3 - 2013'!A222,"N/A"))))</f>
        <v>41485</v>
      </c>
      <c r="I217" s="88">
        <f>IF($S$5="Station 1 - 2014",'Station 1 - 2014'!B222,IF('Week 10 Studio'!$S$5="Station 1 - 2015",'Station 1 - 2015'!B222,IF('Week 10 Studio'!$S$5="Station 2 - 2015",'Station 2 - 2015'!B222,IF('Week 10 Studio'!$S$5="Station 3 - 2013",'Station 3 - 2013'!B222,"N/A"))))</f>
        <v>0</v>
      </c>
      <c r="J217">
        <f t="shared" si="14"/>
        <v>0</v>
      </c>
      <c r="K217">
        <f t="shared" si="15"/>
        <v>369</v>
      </c>
      <c r="L217">
        <f t="shared" si="12"/>
        <v>675</v>
      </c>
      <c r="M217">
        <f t="shared" si="13"/>
        <v>306</v>
      </c>
    </row>
    <row r="218" spans="8:13">
      <c r="H218" s="87">
        <f>IF($S$5="Station 1 - 2014",'Station 1 - 2014'!A223,IF('Week 10 Studio'!$S$5="Station 1 - 2015",'Station 1 - 2015'!A223,IF('Week 10 Studio'!$S$5="Station 2 - 2015",'Station 2 - 2015'!A223,IF('Week 10 Studio'!$S$5="Station 3 - 2013",'Station 3 - 2013'!A223,"N/A"))))</f>
        <v>41486</v>
      </c>
      <c r="I218" s="88">
        <f>IF($S$5="Station 1 - 2014",'Station 1 - 2014'!B223,IF('Week 10 Studio'!$S$5="Station 1 - 2015",'Station 1 - 2015'!B223,IF('Week 10 Studio'!$S$5="Station 2 - 2015",'Station 2 - 2015'!B223,IF('Week 10 Studio'!$S$5="Station 3 - 2013",'Station 3 - 2013'!B223,"N/A"))))</f>
        <v>5.4</v>
      </c>
      <c r="J218">
        <f t="shared" si="14"/>
        <v>306</v>
      </c>
      <c r="K218">
        <f t="shared" si="15"/>
        <v>369</v>
      </c>
      <c r="L218">
        <f t="shared" si="12"/>
        <v>50</v>
      </c>
      <c r="M218">
        <f t="shared" si="13"/>
        <v>-319</v>
      </c>
    </row>
    <row r="219" spans="8:13">
      <c r="H219" s="87">
        <f>IF($S$5="Station 1 - 2014",'Station 1 - 2014'!A224,IF('Week 10 Studio'!$S$5="Station 1 - 2015",'Station 1 - 2015'!A224,IF('Week 10 Studio'!$S$5="Station 2 - 2015",'Station 2 - 2015'!A224,IF('Week 10 Studio'!$S$5="Station 3 - 2013",'Station 3 - 2013'!A224,"N/A"))))</f>
        <v>41487</v>
      </c>
      <c r="I219" s="88">
        <f>IF($S$5="Station 1 - 2014",'Station 1 - 2014'!B224,IF('Week 10 Studio'!$S$5="Station 1 - 2015",'Station 1 - 2015'!B224,IF('Week 10 Studio'!$S$5="Station 2 - 2015",'Station 2 - 2015'!B224,IF('Week 10 Studio'!$S$5="Station 3 - 2013",'Station 3 - 2013'!B224,"N/A"))))</f>
        <v>0.4</v>
      </c>
      <c r="J219">
        <f t="shared" si="14"/>
        <v>0</v>
      </c>
      <c r="K219">
        <f t="shared" si="15"/>
        <v>369</v>
      </c>
      <c r="L219">
        <f t="shared" si="12"/>
        <v>0</v>
      </c>
      <c r="M219">
        <f t="shared" si="13"/>
        <v>-369</v>
      </c>
    </row>
    <row r="220" spans="8:13">
      <c r="H220" s="87">
        <f>IF($S$5="Station 1 - 2014",'Station 1 - 2014'!A225,IF('Week 10 Studio'!$S$5="Station 1 - 2015",'Station 1 - 2015'!A225,IF('Week 10 Studio'!$S$5="Station 2 - 2015",'Station 2 - 2015'!A225,IF('Week 10 Studio'!$S$5="Station 3 - 2013",'Station 3 - 2013'!A225,"N/A"))))</f>
        <v>41488</v>
      </c>
      <c r="I220" s="88">
        <f>IF($S$5="Station 1 - 2014",'Station 1 - 2014'!B225,IF('Week 10 Studio'!$S$5="Station 1 - 2015",'Station 1 - 2015'!B225,IF('Week 10 Studio'!$S$5="Station 2 - 2015",'Station 2 - 2015'!B225,IF('Week 10 Studio'!$S$5="Station 3 - 2013",'Station 3 - 2013'!B225,"N/A"))))</f>
        <v>0</v>
      </c>
      <c r="J220">
        <f t="shared" si="14"/>
        <v>0</v>
      </c>
      <c r="K220">
        <f t="shared" si="15"/>
        <v>369</v>
      </c>
      <c r="L220">
        <f t="shared" si="12"/>
        <v>0</v>
      </c>
      <c r="M220">
        <f t="shared" si="13"/>
        <v>-369</v>
      </c>
    </row>
    <row r="221" spans="8:13">
      <c r="H221" s="87">
        <f>IF($S$5="Station 1 - 2014",'Station 1 - 2014'!A226,IF('Week 10 Studio'!$S$5="Station 1 - 2015",'Station 1 - 2015'!A226,IF('Week 10 Studio'!$S$5="Station 2 - 2015",'Station 2 - 2015'!A226,IF('Week 10 Studio'!$S$5="Station 3 - 2013",'Station 3 - 2013'!A226,"N/A"))))</f>
        <v>41489</v>
      </c>
      <c r="I221" s="88">
        <f>IF($S$5="Station 1 - 2014",'Station 1 - 2014'!B226,IF('Week 10 Studio'!$S$5="Station 1 - 2015",'Station 1 - 2015'!B226,IF('Week 10 Studio'!$S$5="Station 2 - 2015",'Station 2 - 2015'!B226,IF('Week 10 Studio'!$S$5="Station 3 - 2013",'Station 3 - 2013'!B226,"N/A"))))</f>
        <v>0</v>
      </c>
      <c r="J221">
        <f t="shared" si="14"/>
        <v>0</v>
      </c>
      <c r="K221">
        <f t="shared" si="15"/>
        <v>369</v>
      </c>
      <c r="L221">
        <f t="shared" si="12"/>
        <v>0</v>
      </c>
      <c r="M221">
        <f t="shared" si="13"/>
        <v>-369</v>
      </c>
    </row>
    <row r="222" spans="8:13">
      <c r="H222" s="87">
        <f>IF($S$5="Station 1 - 2014",'Station 1 - 2014'!A227,IF('Week 10 Studio'!$S$5="Station 1 - 2015",'Station 1 - 2015'!A227,IF('Week 10 Studio'!$S$5="Station 2 - 2015",'Station 2 - 2015'!A227,IF('Week 10 Studio'!$S$5="Station 3 - 2013",'Station 3 - 2013'!A227,"N/A"))))</f>
        <v>41490</v>
      </c>
      <c r="I222" s="88">
        <f>IF($S$5="Station 1 - 2014",'Station 1 - 2014'!B227,IF('Week 10 Studio'!$S$5="Station 1 - 2015",'Station 1 - 2015'!B227,IF('Week 10 Studio'!$S$5="Station 2 - 2015",'Station 2 - 2015'!B227,IF('Week 10 Studio'!$S$5="Station 3 - 2013",'Station 3 - 2013'!B227,"N/A"))))</f>
        <v>0</v>
      </c>
      <c r="J222">
        <f t="shared" si="14"/>
        <v>0</v>
      </c>
      <c r="K222">
        <f t="shared" si="15"/>
        <v>369</v>
      </c>
      <c r="L222">
        <f t="shared" si="12"/>
        <v>0</v>
      </c>
      <c r="M222">
        <f t="shared" si="13"/>
        <v>-369</v>
      </c>
    </row>
    <row r="223" spans="8:13">
      <c r="H223" s="87">
        <f>IF($S$5="Station 1 - 2014",'Station 1 - 2014'!A228,IF('Week 10 Studio'!$S$5="Station 1 - 2015",'Station 1 - 2015'!A228,IF('Week 10 Studio'!$S$5="Station 2 - 2015",'Station 2 - 2015'!A228,IF('Week 10 Studio'!$S$5="Station 3 - 2013",'Station 3 - 2013'!A228,"N/A"))))</f>
        <v>41491</v>
      </c>
      <c r="I223" s="88">
        <f>IF($S$5="Station 1 - 2014",'Station 1 - 2014'!B228,IF('Week 10 Studio'!$S$5="Station 1 - 2015",'Station 1 - 2015'!B228,IF('Week 10 Studio'!$S$5="Station 2 - 2015",'Station 2 - 2015'!B228,IF('Week 10 Studio'!$S$5="Station 3 - 2013",'Station 3 - 2013'!B228,"N/A"))))</f>
        <v>0</v>
      </c>
      <c r="J223">
        <f t="shared" si="14"/>
        <v>0</v>
      </c>
      <c r="K223">
        <f t="shared" si="15"/>
        <v>369</v>
      </c>
      <c r="L223">
        <f t="shared" si="12"/>
        <v>0</v>
      </c>
      <c r="M223">
        <f t="shared" si="13"/>
        <v>-369</v>
      </c>
    </row>
    <row r="224" spans="8:13">
      <c r="H224" s="87">
        <f>IF($S$5="Station 1 - 2014",'Station 1 - 2014'!A229,IF('Week 10 Studio'!$S$5="Station 1 - 2015",'Station 1 - 2015'!A229,IF('Week 10 Studio'!$S$5="Station 2 - 2015",'Station 2 - 2015'!A229,IF('Week 10 Studio'!$S$5="Station 3 - 2013",'Station 3 - 2013'!A229,"N/A"))))</f>
        <v>41492</v>
      </c>
      <c r="I224" s="88">
        <f>IF($S$5="Station 1 - 2014",'Station 1 - 2014'!B229,IF('Week 10 Studio'!$S$5="Station 1 - 2015",'Station 1 - 2015'!B229,IF('Week 10 Studio'!$S$5="Station 2 - 2015",'Station 2 - 2015'!B229,IF('Week 10 Studio'!$S$5="Station 3 - 2013",'Station 3 - 2013'!B229,"N/A"))))</f>
        <v>0</v>
      </c>
      <c r="J224">
        <f t="shared" si="14"/>
        <v>0</v>
      </c>
      <c r="K224">
        <f t="shared" si="15"/>
        <v>369</v>
      </c>
      <c r="L224">
        <f t="shared" si="12"/>
        <v>0</v>
      </c>
      <c r="M224">
        <f t="shared" si="13"/>
        <v>-369</v>
      </c>
    </row>
    <row r="225" spans="8:13">
      <c r="H225" s="87">
        <f>IF($S$5="Station 1 - 2014",'Station 1 - 2014'!A230,IF('Week 10 Studio'!$S$5="Station 1 - 2015",'Station 1 - 2015'!A230,IF('Week 10 Studio'!$S$5="Station 2 - 2015",'Station 2 - 2015'!A230,IF('Week 10 Studio'!$S$5="Station 3 - 2013",'Station 3 - 2013'!A230,"N/A"))))</f>
        <v>41493</v>
      </c>
      <c r="I225" s="88">
        <f>IF($S$5="Station 1 - 2014",'Station 1 - 2014'!B230,IF('Week 10 Studio'!$S$5="Station 1 - 2015",'Station 1 - 2015'!B230,IF('Week 10 Studio'!$S$5="Station 2 - 2015",'Station 2 - 2015'!B230,IF('Week 10 Studio'!$S$5="Station 3 - 2013",'Station 3 - 2013'!B230,"N/A"))))</f>
        <v>0</v>
      </c>
      <c r="J225">
        <f t="shared" si="14"/>
        <v>0</v>
      </c>
      <c r="K225">
        <f t="shared" si="15"/>
        <v>369</v>
      </c>
      <c r="L225">
        <f t="shared" si="12"/>
        <v>0</v>
      </c>
      <c r="M225">
        <f t="shared" si="13"/>
        <v>-369</v>
      </c>
    </row>
    <row r="226" spans="8:13">
      <c r="H226" s="87">
        <f>IF($S$5="Station 1 - 2014",'Station 1 - 2014'!A231,IF('Week 10 Studio'!$S$5="Station 1 - 2015",'Station 1 - 2015'!A231,IF('Week 10 Studio'!$S$5="Station 2 - 2015",'Station 2 - 2015'!A231,IF('Week 10 Studio'!$S$5="Station 3 - 2013",'Station 3 - 2013'!A231,"N/A"))))</f>
        <v>41494</v>
      </c>
      <c r="I226" s="88">
        <f>IF($S$5="Station 1 - 2014",'Station 1 - 2014'!B231,IF('Week 10 Studio'!$S$5="Station 1 - 2015",'Station 1 - 2015'!B231,IF('Week 10 Studio'!$S$5="Station 2 - 2015",'Station 2 - 2015'!B231,IF('Week 10 Studio'!$S$5="Station 3 - 2013",'Station 3 - 2013'!B231,"N/A"))))</f>
        <v>0</v>
      </c>
      <c r="J226">
        <f t="shared" si="14"/>
        <v>0</v>
      </c>
      <c r="K226">
        <f t="shared" si="15"/>
        <v>369</v>
      </c>
      <c r="L226">
        <f t="shared" si="12"/>
        <v>0</v>
      </c>
      <c r="M226">
        <f t="shared" si="13"/>
        <v>-369</v>
      </c>
    </row>
    <row r="227" spans="8:13">
      <c r="H227" s="87">
        <f>IF($S$5="Station 1 - 2014",'Station 1 - 2014'!A232,IF('Week 10 Studio'!$S$5="Station 1 - 2015",'Station 1 - 2015'!A232,IF('Week 10 Studio'!$S$5="Station 2 - 2015",'Station 2 - 2015'!A232,IF('Week 10 Studio'!$S$5="Station 3 - 2013",'Station 3 - 2013'!A232,"N/A"))))</f>
        <v>41495</v>
      </c>
      <c r="I227" s="88">
        <f>IF($S$5="Station 1 - 2014",'Station 1 - 2014'!B232,IF('Week 10 Studio'!$S$5="Station 1 - 2015",'Station 1 - 2015'!B232,IF('Week 10 Studio'!$S$5="Station 2 - 2015",'Station 2 - 2015'!B232,IF('Week 10 Studio'!$S$5="Station 3 - 2013",'Station 3 - 2013'!B232,"N/A"))))</f>
        <v>0</v>
      </c>
      <c r="J227">
        <f t="shared" si="14"/>
        <v>0</v>
      </c>
      <c r="K227">
        <f t="shared" si="15"/>
        <v>369</v>
      </c>
      <c r="L227">
        <f t="shared" si="12"/>
        <v>0</v>
      </c>
      <c r="M227">
        <f t="shared" si="13"/>
        <v>-369</v>
      </c>
    </row>
    <row r="228" spans="8:13">
      <c r="H228" s="87">
        <f>IF($S$5="Station 1 - 2014",'Station 1 - 2014'!A233,IF('Week 10 Studio'!$S$5="Station 1 - 2015",'Station 1 - 2015'!A233,IF('Week 10 Studio'!$S$5="Station 2 - 2015",'Station 2 - 2015'!A233,IF('Week 10 Studio'!$S$5="Station 3 - 2013",'Station 3 - 2013'!A233,"N/A"))))</f>
        <v>41496</v>
      </c>
      <c r="I228" s="88">
        <f>IF($S$5="Station 1 - 2014",'Station 1 - 2014'!B233,IF('Week 10 Studio'!$S$5="Station 1 - 2015",'Station 1 - 2015'!B233,IF('Week 10 Studio'!$S$5="Station 2 - 2015",'Station 2 - 2015'!B233,IF('Week 10 Studio'!$S$5="Station 3 - 2013",'Station 3 - 2013'!B233,"N/A"))))</f>
        <v>0</v>
      </c>
      <c r="J228">
        <f t="shared" si="14"/>
        <v>0</v>
      </c>
      <c r="K228">
        <f t="shared" si="15"/>
        <v>369</v>
      </c>
      <c r="L228">
        <f t="shared" si="12"/>
        <v>50</v>
      </c>
      <c r="M228">
        <f t="shared" si="13"/>
        <v>-319</v>
      </c>
    </row>
    <row r="229" spans="8:13">
      <c r="H229" s="87">
        <f>IF($S$5="Station 1 - 2014",'Station 1 - 2014'!A234,IF('Week 10 Studio'!$S$5="Station 1 - 2015",'Station 1 - 2015'!A234,IF('Week 10 Studio'!$S$5="Station 2 - 2015",'Station 2 - 2015'!A234,IF('Week 10 Studio'!$S$5="Station 3 - 2013",'Station 3 - 2013'!A234,"N/A"))))</f>
        <v>41497</v>
      </c>
      <c r="I229" s="88">
        <f>IF($S$5="Station 1 - 2014",'Station 1 - 2014'!B234,IF('Week 10 Studio'!$S$5="Station 1 - 2015",'Station 1 - 2015'!B234,IF('Week 10 Studio'!$S$5="Station 2 - 2015",'Station 2 - 2015'!B234,IF('Week 10 Studio'!$S$5="Station 3 - 2013",'Station 3 - 2013'!B234,"N/A"))))</f>
        <v>0.4</v>
      </c>
      <c r="J229">
        <f t="shared" si="14"/>
        <v>0</v>
      </c>
      <c r="K229">
        <f t="shared" si="15"/>
        <v>369</v>
      </c>
      <c r="L229">
        <f t="shared" si="12"/>
        <v>550</v>
      </c>
      <c r="M229">
        <f t="shared" si="13"/>
        <v>181</v>
      </c>
    </row>
    <row r="230" spans="8:13">
      <c r="H230" s="87">
        <f>IF($S$5="Station 1 - 2014",'Station 1 - 2014'!A235,IF('Week 10 Studio'!$S$5="Station 1 - 2015",'Station 1 - 2015'!A235,IF('Week 10 Studio'!$S$5="Station 2 - 2015",'Station 2 - 2015'!A235,IF('Week 10 Studio'!$S$5="Station 3 - 2013",'Station 3 - 2013'!A235,"N/A"))))</f>
        <v>41498</v>
      </c>
      <c r="I230" s="88">
        <f>IF($S$5="Station 1 - 2014",'Station 1 - 2014'!B235,IF('Week 10 Studio'!$S$5="Station 1 - 2015",'Station 1 - 2015'!B235,IF('Week 10 Studio'!$S$5="Station 2 - 2015",'Station 2 - 2015'!B235,IF('Week 10 Studio'!$S$5="Station 3 - 2013",'Station 3 - 2013'!B235,"N/A"))))</f>
        <v>4.4000000000000004</v>
      </c>
      <c r="J230">
        <f t="shared" si="14"/>
        <v>181</v>
      </c>
      <c r="K230">
        <f t="shared" si="15"/>
        <v>369</v>
      </c>
      <c r="L230">
        <f t="shared" si="12"/>
        <v>125</v>
      </c>
      <c r="M230">
        <f t="shared" si="13"/>
        <v>-244</v>
      </c>
    </row>
    <row r="231" spans="8:13">
      <c r="H231" s="87">
        <f>IF($S$5="Station 1 - 2014",'Station 1 - 2014'!A236,IF('Week 10 Studio'!$S$5="Station 1 - 2015",'Station 1 - 2015'!A236,IF('Week 10 Studio'!$S$5="Station 2 - 2015",'Station 2 - 2015'!A236,IF('Week 10 Studio'!$S$5="Station 3 - 2013",'Station 3 - 2013'!A236,"N/A"))))</f>
        <v>41499</v>
      </c>
      <c r="I231" s="88">
        <f>IF($S$5="Station 1 - 2014",'Station 1 - 2014'!B236,IF('Week 10 Studio'!$S$5="Station 1 - 2015",'Station 1 - 2015'!B236,IF('Week 10 Studio'!$S$5="Station 2 - 2015",'Station 2 - 2015'!B236,IF('Week 10 Studio'!$S$5="Station 3 - 2013",'Station 3 - 2013'!B236,"N/A"))))</f>
        <v>1</v>
      </c>
      <c r="J231">
        <f t="shared" si="14"/>
        <v>0</v>
      </c>
      <c r="K231">
        <f t="shared" si="15"/>
        <v>369</v>
      </c>
      <c r="L231">
        <f t="shared" si="12"/>
        <v>50</v>
      </c>
      <c r="M231">
        <f t="shared" si="13"/>
        <v>-319</v>
      </c>
    </row>
    <row r="232" spans="8:13">
      <c r="H232" s="87">
        <f>IF($S$5="Station 1 - 2014",'Station 1 - 2014'!A237,IF('Week 10 Studio'!$S$5="Station 1 - 2015",'Station 1 - 2015'!A237,IF('Week 10 Studio'!$S$5="Station 2 - 2015",'Station 2 - 2015'!A237,IF('Week 10 Studio'!$S$5="Station 3 - 2013",'Station 3 - 2013'!A237,"N/A"))))</f>
        <v>41500</v>
      </c>
      <c r="I232" s="88">
        <f>IF($S$5="Station 1 - 2014",'Station 1 - 2014'!B237,IF('Week 10 Studio'!$S$5="Station 1 - 2015",'Station 1 - 2015'!B237,IF('Week 10 Studio'!$S$5="Station 2 - 2015",'Station 2 - 2015'!B237,IF('Week 10 Studio'!$S$5="Station 3 - 2013",'Station 3 - 2013'!B237,"N/A"))))</f>
        <v>0.4</v>
      </c>
      <c r="J232">
        <f t="shared" si="14"/>
        <v>0</v>
      </c>
      <c r="K232">
        <f t="shared" si="15"/>
        <v>369</v>
      </c>
      <c r="L232">
        <f t="shared" si="12"/>
        <v>1050</v>
      </c>
      <c r="M232">
        <f t="shared" si="13"/>
        <v>681</v>
      </c>
    </row>
    <row r="233" spans="8:13">
      <c r="H233" s="87">
        <f>IF($S$5="Station 1 - 2014",'Station 1 - 2014'!A238,IF('Week 10 Studio'!$S$5="Station 1 - 2015",'Station 1 - 2015'!A238,IF('Week 10 Studio'!$S$5="Station 2 - 2015",'Station 2 - 2015'!A238,IF('Week 10 Studio'!$S$5="Station 3 - 2013",'Station 3 - 2013'!A238,"N/A"))))</f>
        <v>41501</v>
      </c>
      <c r="I233" s="88">
        <f>IF($S$5="Station 1 - 2014",'Station 1 - 2014'!B238,IF('Week 10 Studio'!$S$5="Station 1 - 2015",'Station 1 - 2015'!B238,IF('Week 10 Studio'!$S$5="Station 2 - 2015",'Station 2 - 2015'!B238,IF('Week 10 Studio'!$S$5="Station 3 - 2013",'Station 3 - 2013'!B238,"N/A"))))</f>
        <v>8.4</v>
      </c>
      <c r="J233">
        <f t="shared" si="14"/>
        <v>681</v>
      </c>
      <c r="K233">
        <f t="shared" si="15"/>
        <v>369</v>
      </c>
      <c r="L233">
        <f t="shared" si="12"/>
        <v>550</v>
      </c>
      <c r="M233">
        <f t="shared" si="13"/>
        <v>181</v>
      </c>
    </row>
    <row r="234" spans="8:13">
      <c r="H234" s="87">
        <f>IF($S$5="Station 1 - 2014",'Station 1 - 2014'!A239,IF('Week 10 Studio'!$S$5="Station 1 - 2015",'Station 1 - 2015'!A239,IF('Week 10 Studio'!$S$5="Station 2 - 2015",'Station 2 - 2015'!A239,IF('Week 10 Studio'!$S$5="Station 3 - 2013",'Station 3 - 2013'!A239,"N/A"))))</f>
        <v>41502</v>
      </c>
      <c r="I234" s="88">
        <f>IF($S$5="Station 1 - 2014",'Station 1 - 2014'!B239,IF('Week 10 Studio'!$S$5="Station 1 - 2015",'Station 1 - 2015'!B239,IF('Week 10 Studio'!$S$5="Station 2 - 2015",'Station 2 - 2015'!B239,IF('Week 10 Studio'!$S$5="Station 3 - 2013",'Station 3 - 2013'!B239,"N/A"))))</f>
        <v>4.4000000000000004</v>
      </c>
      <c r="J234">
        <f t="shared" si="14"/>
        <v>862</v>
      </c>
      <c r="K234">
        <f t="shared" si="15"/>
        <v>369</v>
      </c>
      <c r="L234">
        <f t="shared" si="12"/>
        <v>550</v>
      </c>
      <c r="M234">
        <f t="shared" si="13"/>
        <v>181</v>
      </c>
    </row>
    <row r="235" spans="8:13">
      <c r="H235" s="87">
        <f>IF($S$5="Station 1 - 2014",'Station 1 - 2014'!A240,IF('Week 10 Studio'!$S$5="Station 1 - 2015",'Station 1 - 2015'!A240,IF('Week 10 Studio'!$S$5="Station 2 - 2015",'Station 2 - 2015'!A240,IF('Week 10 Studio'!$S$5="Station 3 - 2013",'Station 3 - 2013'!A240,"N/A"))))</f>
        <v>41503</v>
      </c>
      <c r="I235" s="88">
        <f>IF($S$5="Station 1 - 2014",'Station 1 - 2014'!B240,IF('Week 10 Studio'!$S$5="Station 1 - 2015",'Station 1 - 2015'!B240,IF('Week 10 Studio'!$S$5="Station 2 - 2015",'Station 2 - 2015'!B240,IF('Week 10 Studio'!$S$5="Station 3 - 2013",'Station 3 - 2013'!B240,"N/A"))))</f>
        <v>4.4000000000000004</v>
      </c>
      <c r="J235">
        <f t="shared" si="14"/>
        <v>1043</v>
      </c>
      <c r="K235">
        <f t="shared" si="15"/>
        <v>369</v>
      </c>
      <c r="L235">
        <f t="shared" si="12"/>
        <v>1850</v>
      </c>
      <c r="M235">
        <f t="shared" si="13"/>
        <v>1481</v>
      </c>
    </row>
    <row r="236" spans="8:13">
      <c r="H236" s="87">
        <f>IF($S$5="Station 1 - 2014",'Station 1 - 2014'!A241,IF('Week 10 Studio'!$S$5="Station 1 - 2015",'Station 1 - 2015'!A241,IF('Week 10 Studio'!$S$5="Station 2 - 2015",'Station 2 - 2015'!A241,IF('Week 10 Studio'!$S$5="Station 3 - 2013",'Station 3 - 2013'!A241,"N/A"))))</f>
        <v>41504</v>
      </c>
      <c r="I236" s="88">
        <f>IF($S$5="Station 1 - 2014",'Station 1 - 2014'!B241,IF('Week 10 Studio'!$S$5="Station 1 - 2015",'Station 1 - 2015'!B241,IF('Week 10 Studio'!$S$5="Station 2 - 2015",'Station 2 - 2015'!B241,IF('Week 10 Studio'!$S$5="Station 3 - 2013",'Station 3 - 2013'!B241,"N/A"))))</f>
        <v>14.8</v>
      </c>
      <c r="J236">
        <f t="shared" si="14"/>
        <v>2524</v>
      </c>
      <c r="K236">
        <f t="shared" si="15"/>
        <v>369</v>
      </c>
      <c r="L236">
        <f t="shared" si="12"/>
        <v>700</v>
      </c>
      <c r="M236">
        <f t="shared" si="13"/>
        <v>331</v>
      </c>
    </row>
    <row r="237" spans="8:13">
      <c r="H237" s="87">
        <f>IF($S$5="Station 1 - 2014",'Station 1 - 2014'!A242,IF('Week 10 Studio'!$S$5="Station 1 - 2015",'Station 1 - 2015'!A242,IF('Week 10 Studio'!$S$5="Station 2 - 2015",'Station 2 - 2015'!A242,IF('Week 10 Studio'!$S$5="Station 3 - 2013",'Station 3 - 2013'!A242,"N/A"))))</f>
        <v>41505</v>
      </c>
      <c r="I237" s="88">
        <f>IF($S$5="Station 1 - 2014",'Station 1 - 2014'!B242,IF('Week 10 Studio'!$S$5="Station 1 - 2015",'Station 1 - 2015'!B242,IF('Week 10 Studio'!$S$5="Station 2 - 2015",'Station 2 - 2015'!B242,IF('Week 10 Studio'!$S$5="Station 3 - 2013",'Station 3 - 2013'!B242,"N/A"))))</f>
        <v>5.6</v>
      </c>
      <c r="J237">
        <f t="shared" si="14"/>
        <v>2855</v>
      </c>
      <c r="K237">
        <f t="shared" si="15"/>
        <v>369</v>
      </c>
      <c r="L237">
        <f t="shared" si="12"/>
        <v>150</v>
      </c>
      <c r="M237">
        <f t="shared" si="13"/>
        <v>-219</v>
      </c>
    </row>
    <row r="238" spans="8:13">
      <c r="H238" s="87">
        <f>IF($S$5="Station 1 - 2014",'Station 1 - 2014'!A243,IF('Week 10 Studio'!$S$5="Station 1 - 2015",'Station 1 - 2015'!A243,IF('Week 10 Studio'!$S$5="Station 2 - 2015",'Station 2 - 2015'!A243,IF('Week 10 Studio'!$S$5="Station 3 - 2013",'Station 3 - 2013'!A243,"N/A"))))</f>
        <v>41506</v>
      </c>
      <c r="I238" s="88">
        <f>IF($S$5="Station 1 - 2014",'Station 1 - 2014'!B243,IF('Week 10 Studio'!$S$5="Station 1 - 2015",'Station 1 - 2015'!B243,IF('Week 10 Studio'!$S$5="Station 2 - 2015",'Station 2 - 2015'!B243,IF('Week 10 Studio'!$S$5="Station 3 - 2013",'Station 3 - 2013'!B243,"N/A"))))</f>
        <v>1.2</v>
      </c>
      <c r="J238">
        <f t="shared" si="14"/>
        <v>2636</v>
      </c>
      <c r="K238">
        <f t="shared" si="15"/>
        <v>369</v>
      </c>
      <c r="L238">
        <f t="shared" si="12"/>
        <v>50</v>
      </c>
      <c r="M238">
        <f t="shared" si="13"/>
        <v>-319</v>
      </c>
    </row>
    <row r="239" spans="8:13">
      <c r="H239" s="87">
        <f>IF($S$5="Station 1 - 2014",'Station 1 - 2014'!A244,IF('Week 10 Studio'!$S$5="Station 1 - 2015",'Station 1 - 2015'!A244,IF('Week 10 Studio'!$S$5="Station 2 - 2015",'Station 2 - 2015'!A244,IF('Week 10 Studio'!$S$5="Station 3 - 2013",'Station 3 - 2013'!A244,"N/A"))))</f>
        <v>41507</v>
      </c>
      <c r="I239" s="88">
        <f>IF($S$5="Station 1 - 2014",'Station 1 - 2014'!B244,IF('Week 10 Studio'!$S$5="Station 1 - 2015",'Station 1 - 2015'!B244,IF('Week 10 Studio'!$S$5="Station 2 - 2015",'Station 2 - 2015'!B244,IF('Week 10 Studio'!$S$5="Station 3 - 2013",'Station 3 - 2013'!B244,"N/A"))))</f>
        <v>0.4</v>
      </c>
      <c r="J239">
        <f t="shared" si="14"/>
        <v>2317</v>
      </c>
      <c r="K239">
        <f t="shared" si="15"/>
        <v>369</v>
      </c>
      <c r="L239">
        <f t="shared" si="12"/>
        <v>75</v>
      </c>
      <c r="M239">
        <f t="shared" si="13"/>
        <v>-294</v>
      </c>
    </row>
    <row r="240" spans="8:13">
      <c r="H240" s="87">
        <f>IF($S$5="Station 1 - 2014",'Station 1 - 2014'!A245,IF('Week 10 Studio'!$S$5="Station 1 - 2015",'Station 1 - 2015'!A245,IF('Week 10 Studio'!$S$5="Station 2 - 2015",'Station 2 - 2015'!A245,IF('Week 10 Studio'!$S$5="Station 3 - 2013",'Station 3 - 2013'!A245,"N/A"))))</f>
        <v>41508</v>
      </c>
      <c r="I240" s="88">
        <f>IF($S$5="Station 1 - 2014",'Station 1 - 2014'!B245,IF('Week 10 Studio'!$S$5="Station 1 - 2015",'Station 1 - 2015'!B245,IF('Week 10 Studio'!$S$5="Station 2 - 2015",'Station 2 - 2015'!B245,IF('Week 10 Studio'!$S$5="Station 3 - 2013",'Station 3 - 2013'!B245,"N/A"))))</f>
        <v>0.6</v>
      </c>
      <c r="J240">
        <f t="shared" si="14"/>
        <v>2023</v>
      </c>
      <c r="K240">
        <f t="shared" si="15"/>
        <v>369</v>
      </c>
      <c r="L240">
        <f t="shared" si="12"/>
        <v>650</v>
      </c>
      <c r="M240">
        <f t="shared" si="13"/>
        <v>281</v>
      </c>
    </row>
    <row r="241" spans="8:13">
      <c r="H241" s="87">
        <f>IF($S$5="Station 1 - 2014",'Station 1 - 2014'!A246,IF('Week 10 Studio'!$S$5="Station 1 - 2015",'Station 1 - 2015'!A246,IF('Week 10 Studio'!$S$5="Station 2 - 2015",'Station 2 - 2015'!A246,IF('Week 10 Studio'!$S$5="Station 3 - 2013",'Station 3 - 2013'!A246,"N/A"))))</f>
        <v>41509</v>
      </c>
      <c r="I241" s="88">
        <f>IF($S$5="Station 1 - 2014",'Station 1 - 2014'!B246,IF('Week 10 Studio'!$S$5="Station 1 - 2015",'Station 1 - 2015'!B246,IF('Week 10 Studio'!$S$5="Station 2 - 2015",'Station 2 - 2015'!B246,IF('Week 10 Studio'!$S$5="Station 3 - 2013",'Station 3 - 2013'!B246,"N/A"))))</f>
        <v>5.2</v>
      </c>
      <c r="J241">
        <f t="shared" si="14"/>
        <v>2304</v>
      </c>
      <c r="K241">
        <f t="shared" si="15"/>
        <v>369</v>
      </c>
      <c r="L241">
        <f t="shared" si="12"/>
        <v>175</v>
      </c>
      <c r="M241">
        <f t="shared" si="13"/>
        <v>-194</v>
      </c>
    </row>
    <row r="242" spans="8:13">
      <c r="H242" s="87">
        <f>IF($S$5="Station 1 - 2014",'Station 1 - 2014'!A247,IF('Week 10 Studio'!$S$5="Station 1 - 2015",'Station 1 - 2015'!A247,IF('Week 10 Studio'!$S$5="Station 2 - 2015",'Station 2 - 2015'!A247,IF('Week 10 Studio'!$S$5="Station 3 - 2013",'Station 3 - 2013'!A247,"N/A"))))</f>
        <v>41510</v>
      </c>
      <c r="I242" s="88">
        <f>IF($S$5="Station 1 - 2014",'Station 1 - 2014'!B247,IF('Week 10 Studio'!$S$5="Station 1 - 2015",'Station 1 - 2015'!B247,IF('Week 10 Studio'!$S$5="Station 2 - 2015",'Station 2 - 2015'!B247,IF('Week 10 Studio'!$S$5="Station 3 - 2013",'Station 3 - 2013'!B247,"N/A"))))</f>
        <v>1.4</v>
      </c>
      <c r="J242">
        <f t="shared" si="14"/>
        <v>2110</v>
      </c>
      <c r="K242">
        <f t="shared" si="15"/>
        <v>369</v>
      </c>
      <c r="L242">
        <f t="shared" si="12"/>
        <v>0</v>
      </c>
      <c r="M242">
        <f t="shared" si="13"/>
        <v>-369</v>
      </c>
    </row>
    <row r="243" spans="8:13">
      <c r="H243" s="87">
        <f>IF($S$5="Station 1 - 2014",'Station 1 - 2014'!A248,IF('Week 10 Studio'!$S$5="Station 1 - 2015",'Station 1 - 2015'!A248,IF('Week 10 Studio'!$S$5="Station 2 - 2015",'Station 2 - 2015'!A248,IF('Week 10 Studio'!$S$5="Station 3 - 2013",'Station 3 - 2013'!A248,"N/A"))))</f>
        <v>41511</v>
      </c>
      <c r="I243" s="88">
        <f>IF($S$5="Station 1 - 2014",'Station 1 - 2014'!B248,IF('Week 10 Studio'!$S$5="Station 1 - 2015",'Station 1 - 2015'!B248,IF('Week 10 Studio'!$S$5="Station 2 - 2015",'Station 2 - 2015'!B248,IF('Week 10 Studio'!$S$5="Station 3 - 2013",'Station 3 - 2013'!B248,"N/A"))))</f>
        <v>0</v>
      </c>
      <c r="J243">
        <f t="shared" si="14"/>
        <v>1741</v>
      </c>
      <c r="K243">
        <f t="shared" si="15"/>
        <v>369</v>
      </c>
      <c r="L243">
        <f t="shared" si="12"/>
        <v>0</v>
      </c>
      <c r="M243">
        <f t="shared" si="13"/>
        <v>-369</v>
      </c>
    </row>
    <row r="244" spans="8:13">
      <c r="H244" s="87">
        <f>IF($S$5="Station 1 - 2014",'Station 1 - 2014'!A249,IF('Week 10 Studio'!$S$5="Station 1 - 2015",'Station 1 - 2015'!A249,IF('Week 10 Studio'!$S$5="Station 2 - 2015",'Station 2 - 2015'!A249,IF('Week 10 Studio'!$S$5="Station 3 - 2013",'Station 3 - 2013'!A249,"N/A"))))</f>
        <v>41512</v>
      </c>
      <c r="I244" s="88">
        <f>IF($S$5="Station 1 - 2014",'Station 1 - 2014'!B249,IF('Week 10 Studio'!$S$5="Station 1 - 2015",'Station 1 - 2015'!B249,IF('Week 10 Studio'!$S$5="Station 2 - 2015",'Station 2 - 2015'!B249,IF('Week 10 Studio'!$S$5="Station 3 - 2013",'Station 3 - 2013'!B249,"N/A"))))</f>
        <v>0</v>
      </c>
      <c r="J244">
        <f t="shared" si="14"/>
        <v>1372</v>
      </c>
      <c r="K244">
        <f t="shared" si="15"/>
        <v>369</v>
      </c>
      <c r="L244">
        <f t="shared" si="12"/>
        <v>50</v>
      </c>
      <c r="M244">
        <f t="shared" si="13"/>
        <v>-319</v>
      </c>
    </row>
    <row r="245" spans="8:13">
      <c r="H245" s="87">
        <f>IF($S$5="Station 1 - 2014",'Station 1 - 2014'!A250,IF('Week 10 Studio'!$S$5="Station 1 - 2015",'Station 1 - 2015'!A250,IF('Week 10 Studio'!$S$5="Station 2 - 2015",'Station 2 - 2015'!A250,IF('Week 10 Studio'!$S$5="Station 3 - 2013",'Station 3 - 2013'!A250,"N/A"))))</f>
        <v>41513</v>
      </c>
      <c r="I245" s="88">
        <f>IF($S$5="Station 1 - 2014",'Station 1 - 2014'!B250,IF('Week 10 Studio'!$S$5="Station 1 - 2015",'Station 1 - 2015'!B250,IF('Week 10 Studio'!$S$5="Station 2 - 2015",'Station 2 - 2015'!B250,IF('Week 10 Studio'!$S$5="Station 3 - 2013",'Station 3 - 2013'!B250,"N/A"))))</f>
        <v>0.4</v>
      </c>
      <c r="J245">
        <f t="shared" si="14"/>
        <v>1053</v>
      </c>
      <c r="K245">
        <f t="shared" si="15"/>
        <v>369</v>
      </c>
      <c r="L245">
        <f t="shared" si="12"/>
        <v>150</v>
      </c>
      <c r="M245">
        <f t="shared" si="13"/>
        <v>-219</v>
      </c>
    </row>
    <row r="246" spans="8:13">
      <c r="H246" s="87">
        <f>IF($S$5="Station 1 - 2014",'Station 1 - 2014'!A251,IF('Week 10 Studio'!$S$5="Station 1 - 2015",'Station 1 - 2015'!A251,IF('Week 10 Studio'!$S$5="Station 2 - 2015",'Station 2 - 2015'!A251,IF('Week 10 Studio'!$S$5="Station 3 - 2013",'Station 3 - 2013'!A251,"N/A"))))</f>
        <v>41514</v>
      </c>
      <c r="I246" s="88">
        <f>IF($S$5="Station 1 - 2014",'Station 1 - 2014'!B251,IF('Week 10 Studio'!$S$5="Station 1 - 2015",'Station 1 - 2015'!B251,IF('Week 10 Studio'!$S$5="Station 2 - 2015",'Station 2 - 2015'!B251,IF('Week 10 Studio'!$S$5="Station 3 - 2013",'Station 3 - 2013'!B251,"N/A"))))</f>
        <v>1.2</v>
      </c>
      <c r="J246">
        <f t="shared" si="14"/>
        <v>834</v>
      </c>
      <c r="K246">
        <f t="shared" si="15"/>
        <v>369</v>
      </c>
      <c r="L246">
        <f t="shared" si="12"/>
        <v>500</v>
      </c>
      <c r="M246">
        <f t="shared" si="13"/>
        <v>131</v>
      </c>
    </row>
    <row r="247" spans="8:13">
      <c r="H247" s="87">
        <f>IF($S$5="Station 1 - 2014",'Station 1 - 2014'!A252,IF('Week 10 Studio'!$S$5="Station 1 - 2015",'Station 1 - 2015'!A252,IF('Week 10 Studio'!$S$5="Station 2 - 2015",'Station 2 - 2015'!A252,IF('Week 10 Studio'!$S$5="Station 3 - 2013",'Station 3 - 2013'!A252,"N/A"))))</f>
        <v>41515</v>
      </c>
      <c r="I247" s="88">
        <f>IF($S$5="Station 1 - 2014",'Station 1 - 2014'!B252,IF('Week 10 Studio'!$S$5="Station 1 - 2015",'Station 1 - 2015'!B252,IF('Week 10 Studio'!$S$5="Station 2 - 2015",'Station 2 - 2015'!B252,IF('Week 10 Studio'!$S$5="Station 3 - 2013",'Station 3 - 2013'!B252,"N/A"))))</f>
        <v>4</v>
      </c>
      <c r="J247">
        <f t="shared" si="14"/>
        <v>965</v>
      </c>
      <c r="K247">
        <f t="shared" si="15"/>
        <v>369</v>
      </c>
      <c r="L247">
        <f t="shared" si="12"/>
        <v>0</v>
      </c>
      <c r="M247">
        <f t="shared" si="13"/>
        <v>-369</v>
      </c>
    </row>
    <row r="248" spans="8:13">
      <c r="H248" s="87">
        <f>IF($S$5="Station 1 - 2014",'Station 1 - 2014'!A253,IF('Week 10 Studio'!$S$5="Station 1 - 2015",'Station 1 - 2015'!A253,IF('Week 10 Studio'!$S$5="Station 2 - 2015",'Station 2 - 2015'!A253,IF('Week 10 Studio'!$S$5="Station 3 - 2013",'Station 3 - 2013'!A253,"N/A"))))</f>
        <v>41516</v>
      </c>
      <c r="I248" s="88">
        <f>IF($S$5="Station 1 - 2014",'Station 1 - 2014'!B253,IF('Week 10 Studio'!$S$5="Station 1 - 2015",'Station 1 - 2015'!B253,IF('Week 10 Studio'!$S$5="Station 2 - 2015",'Station 2 - 2015'!B253,IF('Week 10 Studio'!$S$5="Station 3 - 2013",'Station 3 - 2013'!B253,"N/A"))))</f>
        <v>0</v>
      </c>
      <c r="J248">
        <f t="shared" si="14"/>
        <v>596</v>
      </c>
      <c r="K248">
        <f t="shared" si="15"/>
        <v>369</v>
      </c>
      <c r="L248">
        <f t="shared" si="12"/>
        <v>0</v>
      </c>
      <c r="M248">
        <f t="shared" si="13"/>
        <v>-369</v>
      </c>
    </row>
    <row r="249" spans="8:13">
      <c r="H249" s="87">
        <f>IF($S$5="Station 1 - 2014",'Station 1 - 2014'!A254,IF('Week 10 Studio'!$S$5="Station 1 - 2015",'Station 1 - 2015'!A254,IF('Week 10 Studio'!$S$5="Station 2 - 2015",'Station 2 - 2015'!A254,IF('Week 10 Studio'!$S$5="Station 3 - 2013",'Station 3 - 2013'!A254,"N/A"))))</f>
        <v>41517</v>
      </c>
      <c r="I249" s="88">
        <f>IF($S$5="Station 1 - 2014",'Station 1 - 2014'!B254,IF('Week 10 Studio'!$S$5="Station 1 - 2015",'Station 1 - 2015'!B254,IF('Week 10 Studio'!$S$5="Station 2 - 2015",'Station 2 - 2015'!B254,IF('Week 10 Studio'!$S$5="Station 3 - 2013",'Station 3 - 2013'!B254,"N/A"))))</f>
        <v>0</v>
      </c>
      <c r="J249">
        <f t="shared" si="14"/>
        <v>227</v>
      </c>
      <c r="K249">
        <f t="shared" si="15"/>
        <v>369</v>
      </c>
      <c r="L249">
        <f t="shared" si="12"/>
        <v>0</v>
      </c>
      <c r="M249">
        <f t="shared" si="13"/>
        <v>-369</v>
      </c>
    </row>
    <row r="250" spans="8:13">
      <c r="H250" s="87">
        <f>IF($S$5="Station 1 - 2014",'Station 1 - 2014'!A255,IF('Week 10 Studio'!$S$5="Station 1 - 2015",'Station 1 - 2015'!A255,IF('Week 10 Studio'!$S$5="Station 2 - 2015",'Station 2 - 2015'!A255,IF('Week 10 Studio'!$S$5="Station 3 - 2013",'Station 3 - 2013'!A255,"N/A"))))</f>
        <v>41518</v>
      </c>
      <c r="I250" s="88">
        <f>IF($S$5="Station 1 - 2014",'Station 1 - 2014'!B255,IF('Week 10 Studio'!$S$5="Station 1 - 2015",'Station 1 - 2015'!B255,IF('Week 10 Studio'!$S$5="Station 2 - 2015",'Station 2 - 2015'!B255,IF('Week 10 Studio'!$S$5="Station 3 - 2013",'Station 3 - 2013'!B255,"N/A"))))</f>
        <v>0</v>
      </c>
      <c r="J250">
        <f t="shared" si="14"/>
        <v>0</v>
      </c>
      <c r="K250">
        <f t="shared" si="15"/>
        <v>369</v>
      </c>
      <c r="L250">
        <f t="shared" si="12"/>
        <v>0</v>
      </c>
      <c r="M250">
        <f t="shared" si="13"/>
        <v>-369</v>
      </c>
    </row>
    <row r="251" spans="8:13">
      <c r="H251" s="87">
        <f>IF($S$5="Station 1 - 2014",'Station 1 - 2014'!A256,IF('Week 10 Studio'!$S$5="Station 1 - 2015",'Station 1 - 2015'!A256,IF('Week 10 Studio'!$S$5="Station 2 - 2015",'Station 2 - 2015'!A256,IF('Week 10 Studio'!$S$5="Station 3 - 2013",'Station 3 - 2013'!A256,"N/A"))))</f>
        <v>41519</v>
      </c>
      <c r="I251" s="88">
        <f>IF($S$5="Station 1 - 2014",'Station 1 - 2014'!B256,IF('Week 10 Studio'!$S$5="Station 1 - 2015",'Station 1 - 2015'!B256,IF('Week 10 Studio'!$S$5="Station 2 - 2015",'Station 2 - 2015'!B256,IF('Week 10 Studio'!$S$5="Station 3 - 2013",'Station 3 - 2013'!B256,"N/A"))))</f>
        <v>0</v>
      </c>
      <c r="J251">
        <f t="shared" si="14"/>
        <v>0</v>
      </c>
      <c r="K251">
        <f t="shared" si="15"/>
        <v>369</v>
      </c>
      <c r="L251">
        <f t="shared" si="12"/>
        <v>600</v>
      </c>
      <c r="M251">
        <f t="shared" si="13"/>
        <v>231</v>
      </c>
    </row>
    <row r="252" spans="8:13">
      <c r="H252" s="87">
        <f>IF($S$5="Station 1 - 2014",'Station 1 - 2014'!A257,IF('Week 10 Studio'!$S$5="Station 1 - 2015",'Station 1 - 2015'!A257,IF('Week 10 Studio'!$S$5="Station 2 - 2015",'Station 2 - 2015'!A257,IF('Week 10 Studio'!$S$5="Station 3 - 2013",'Station 3 - 2013'!A257,"N/A"))))</f>
        <v>41520</v>
      </c>
      <c r="I252" s="88">
        <f>IF($S$5="Station 1 - 2014",'Station 1 - 2014'!B257,IF('Week 10 Studio'!$S$5="Station 1 - 2015",'Station 1 - 2015'!B257,IF('Week 10 Studio'!$S$5="Station 2 - 2015",'Station 2 - 2015'!B257,IF('Week 10 Studio'!$S$5="Station 3 - 2013",'Station 3 - 2013'!B257,"N/A"))))</f>
        <v>4.8</v>
      </c>
      <c r="J252">
        <f t="shared" si="14"/>
        <v>231</v>
      </c>
      <c r="K252">
        <f t="shared" si="15"/>
        <v>369</v>
      </c>
      <c r="L252">
        <f t="shared" si="12"/>
        <v>0</v>
      </c>
      <c r="M252">
        <f t="shared" si="13"/>
        <v>-369</v>
      </c>
    </row>
    <row r="253" spans="8:13">
      <c r="H253" s="87">
        <f>IF($S$5="Station 1 - 2014",'Station 1 - 2014'!A258,IF('Week 10 Studio'!$S$5="Station 1 - 2015",'Station 1 - 2015'!A258,IF('Week 10 Studio'!$S$5="Station 2 - 2015",'Station 2 - 2015'!A258,IF('Week 10 Studio'!$S$5="Station 3 - 2013",'Station 3 - 2013'!A258,"N/A"))))</f>
        <v>41521</v>
      </c>
      <c r="I253" s="88">
        <f>IF($S$5="Station 1 - 2014",'Station 1 - 2014'!B258,IF('Week 10 Studio'!$S$5="Station 1 - 2015",'Station 1 - 2015'!B258,IF('Week 10 Studio'!$S$5="Station 2 - 2015",'Station 2 - 2015'!B258,IF('Week 10 Studio'!$S$5="Station 3 - 2013",'Station 3 - 2013'!B258,"N/A"))))</f>
        <v>0</v>
      </c>
      <c r="J253">
        <f t="shared" si="14"/>
        <v>0</v>
      </c>
      <c r="K253">
        <f t="shared" si="15"/>
        <v>369</v>
      </c>
      <c r="L253">
        <f t="shared" si="12"/>
        <v>0</v>
      </c>
      <c r="M253">
        <f t="shared" si="13"/>
        <v>-369</v>
      </c>
    </row>
    <row r="254" spans="8:13">
      <c r="H254" s="87">
        <f>IF($S$5="Station 1 - 2014",'Station 1 - 2014'!A259,IF('Week 10 Studio'!$S$5="Station 1 - 2015",'Station 1 - 2015'!A259,IF('Week 10 Studio'!$S$5="Station 2 - 2015",'Station 2 - 2015'!A259,IF('Week 10 Studio'!$S$5="Station 3 - 2013",'Station 3 - 2013'!A259,"N/A"))))</f>
        <v>41522</v>
      </c>
      <c r="I254" s="88">
        <f>IF($S$5="Station 1 - 2014",'Station 1 - 2014'!B259,IF('Week 10 Studio'!$S$5="Station 1 - 2015",'Station 1 - 2015'!B259,IF('Week 10 Studio'!$S$5="Station 2 - 2015",'Station 2 - 2015'!B259,IF('Week 10 Studio'!$S$5="Station 3 - 2013",'Station 3 - 2013'!B259,"N/A"))))</f>
        <v>0</v>
      </c>
      <c r="J254">
        <f t="shared" si="14"/>
        <v>0</v>
      </c>
      <c r="K254">
        <f t="shared" si="15"/>
        <v>369</v>
      </c>
      <c r="L254">
        <f t="shared" si="12"/>
        <v>0</v>
      </c>
      <c r="M254">
        <f t="shared" si="13"/>
        <v>-369</v>
      </c>
    </row>
    <row r="255" spans="8:13">
      <c r="H255" s="87">
        <f>IF($S$5="Station 1 - 2014",'Station 1 - 2014'!A260,IF('Week 10 Studio'!$S$5="Station 1 - 2015",'Station 1 - 2015'!A260,IF('Week 10 Studio'!$S$5="Station 2 - 2015",'Station 2 - 2015'!A260,IF('Week 10 Studio'!$S$5="Station 3 - 2013",'Station 3 - 2013'!A260,"N/A"))))</f>
        <v>41523</v>
      </c>
      <c r="I255" s="88">
        <f>IF($S$5="Station 1 - 2014",'Station 1 - 2014'!B260,IF('Week 10 Studio'!$S$5="Station 1 - 2015",'Station 1 - 2015'!B260,IF('Week 10 Studio'!$S$5="Station 2 - 2015",'Station 2 - 2015'!B260,IF('Week 10 Studio'!$S$5="Station 3 - 2013",'Station 3 - 2013'!B260,"N/A"))))</f>
        <v>0</v>
      </c>
      <c r="J255">
        <f t="shared" si="14"/>
        <v>0</v>
      </c>
      <c r="K255">
        <f t="shared" si="15"/>
        <v>369</v>
      </c>
      <c r="L255">
        <f t="shared" si="12"/>
        <v>0</v>
      </c>
      <c r="M255">
        <f t="shared" si="13"/>
        <v>-369</v>
      </c>
    </row>
    <row r="256" spans="8:13">
      <c r="H256" s="87">
        <f>IF($S$5="Station 1 - 2014",'Station 1 - 2014'!A261,IF('Week 10 Studio'!$S$5="Station 1 - 2015",'Station 1 - 2015'!A261,IF('Week 10 Studio'!$S$5="Station 2 - 2015",'Station 2 - 2015'!A261,IF('Week 10 Studio'!$S$5="Station 3 - 2013",'Station 3 - 2013'!A261,"N/A"))))</f>
        <v>41524</v>
      </c>
      <c r="I256" s="88">
        <f>IF($S$5="Station 1 - 2014",'Station 1 - 2014'!B261,IF('Week 10 Studio'!$S$5="Station 1 - 2015",'Station 1 - 2015'!B261,IF('Week 10 Studio'!$S$5="Station 2 - 2015",'Station 2 - 2015'!B261,IF('Week 10 Studio'!$S$5="Station 3 - 2013",'Station 3 - 2013'!B261,"N/A"))))</f>
        <v>0</v>
      </c>
      <c r="J256">
        <f t="shared" si="14"/>
        <v>0</v>
      </c>
      <c r="K256">
        <f t="shared" si="15"/>
        <v>369</v>
      </c>
      <c r="L256">
        <f t="shared" si="12"/>
        <v>0</v>
      </c>
      <c r="M256">
        <f t="shared" si="13"/>
        <v>-369</v>
      </c>
    </row>
    <row r="257" spans="8:13">
      <c r="H257" s="87">
        <f>IF($S$5="Station 1 - 2014",'Station 1 - 2014'!A262,IF('Week 10 Studio'!$S$5="Station 1 - 2015",'Station 1 - 2015'!A262,IF('Week 10 Studio'!$S$5="Station 2 - 2015",'Station 2 - 2015'!A262,IF('Week 10 Studio'!$S$5="Station 3 - 2013",'Station 3 - 2013'!A262,"N/A"))))</f>
        <v>41525</v>
      </c>
      <c r="I257" s="88">
        <f>IF($S$5="Station 1 - 2014",'Station 1 - 2014'!B262,IF('Week 10 Studio'!$S$5="Station 1 - 2015",'Station 1 - 2015'!B262,IF('Week 10 Studio'!$S$5="Station 2 - 2015",'Station 2 - 2015'!B262,IF('Week 10 Studio'!$S$5="Station 3 - 2013",'Station 3 - 2013'!B262,"N/A"))))</f>
        <v>0</v>
      </c>
      <c r="J257">
        <f t="shared" si="14"/>
        <v>0</v>
      </c>
      <c r="K257">
        <f t="shared" si="15"/>
        <v>369</v>
      </c>
      <c r="L257">
        <f t="shared" si="12"/>
        <v>0</v>
      </c>
      <c r="M257">
        <f t="shared" si="13"/>
        <v>-369</v>
      </c>
    </row>
    <row r="258" spans="8:13">
      <c r="H258" s="87">
        <f>IF($S$5="Station 1 - 2014",'Station 1 - 2014'!A263,IF('Week 10 Studio'!$S$5="Station 1 - 2015",'Station 1 - 2015'!A263,IF('Week 10 Studio'!$S$5="Station 2 - 2015",'Station 2 - 2015'!A263,IF('Week 10 Studio'!$S$5="Station 3 - 2013",'Station 3 - 2013'!A263,"N/A"))))</f>
        <v>41526</v>
      </c>
      <c r="I258" s="88">
        <f>IF($S$5="Station 1 - 2014",'Station 1 - 2014'!B263,IF('Week 10 Studio'!$S$5="Station 1 - 2015",'Station 1 - 2015'!B263,IF('Week 10 Studio'!$S$5="Station 2 - 2015",'Station 2 - 2015'!B263,IF('Week 10 Studio'!$S$5="Station 3 - 2013",'Station 3 - 2013'!B263,"N/A"))))</f>
        <v>0</v>
      </c>
      <c r="J258">
        <f t="shared" si="14"/>
        <v>0</v>
      </c>
      <c r="K258">
        <f t="shared" si="15"/>
        <v>369</v>
      </c>
      <c r="L258">
        <f t="shared" si="12"/>
        <v>0</v>
      </c>
      <c r="M258">
        <f t="shared" si="13"/>
        <v>-369</v>
      </c>
    </row>
    <row r="259" spans="8:13">
      <c r="H259" s="87">
        <f>IF($S$5="Station 1 - 2014",'Station 1 - 2014'!A264,IF('Week 10 Studio'!$S$5="Station 1 - 2015",'Station 1 - 2015'!A264,IF('Week 10 Studio'!$S$5="Station 2 - 2015",'Station 2 - 2015'!A264,IF('Week 10 Studio'!$S$5="Station 3 - 2013",'Station 3 - 2013'!A264,"N/A"))))</f>
        <v>41527</v>
      </c>
      <c r="I259" s="88">
        <f>IF($S$5="Station 1 - 2014",'Station 1 - 2014'!B264,IF('Week 10 Studio'!$S$5="Station 1 - 2015",'Station 1 - 2015'!B264,IF('Week 10 Studio'!$S$5="Station 2 - 2015",'Station 2 - 2015'!B264,IF('Week 10 Studio'!$S$5="Station 3 - 2013",'Station 3 - 2013'!B264,"N/A"))))</f>
        <v>0</v>
      </c>
      <c r="J259">
        <f t="shared" si="14"/>
        <v>0</v>
      </c>
      <c r="K259">
        <f t="shared" si="15"/>
        <v>369</v>
      </c>
      <c r="L259">
        <f t="shared" si="12"/>
        <v>0</v>
      </c>
      <c r="M259">
        <f t="shared" si="13"/>
        <v>-369</v>
      </c>
    </row>
    <row r="260" spans="8:13">
      <c r="H260" s="87">
        <f>IF($S$5="Station 1 - 2014",'Station 1 - 2014'!A265,IF('Week 10 Studio'!$S$5="Station 1 - 2015",'Station 1 - 2015'!A265,IF('Week 10 Studio'!$S$5="Station 2 - 2015",'Station 2 - 2015'!A265,IF('Week 10 Studio'!$S$5="Station 3 - 2013",'Station 3 - 2013'!A265,"N/A"))))</f>
        <v>41528</v>
      </c>
      <c r="I260" s="88">
        <f>IF($S$5="Station 1 - 2014",'Station 1 - 2014'!B265,IF('Week 10 Studio'!$S$5="Station 1 - 2015",'Station 1 - 2015'!B265,IF('Week 10 Studio'!$S$5="Station 2 - 2015",'Station 2 - 2015'!B265,IF('Week 10 Studio'!$S$5="Station 3 - 2013",'Station 3 - 2013'!B265,"N/A"))))</f>
        <v>0</v>
      </c>
      <c r="J260">
        <f t="shared" si="14"/>
        <v>0</v>
      </c>
      <c r="K260">
        <f t="shared" si="15"/>
        <v>369</v>
      </c>
      <c r="L260">
        <f t="shared" si="12"/>
        <v>0</v>
      </c>
      <c r="M260">
        <f t="shared" si="13"/>
        <v>-369</v>
      </c>
    </row>
    <row r="261" spans="8:13">
      <c r="H261" s="87">
        <f>IF($S$5="Station 1 - 2014",'Station 1 - 2014'!A266,IF('Week 10 Studio'!$S$5="Station 1 - 2015",'Station 1 - 2015'!A266,IF('Week 10 Studio'!$S$5="Station 2 - 2015",'Station 2 - 2015'!A266,IF('Week 10 Studio'!$S$5="Station 3 - 2013",'Station 3 - 2013'!A266,"N/A"))))</f>
        <v>41529</v>
      </c>
      <c r="I261" s="88">
        <f>IF($S$5="Station 1 - 2014",'Station 1 - 2014'!B266,IF('Week 10 Studio'!$S$5="Station 1 - 2015",'Station 1 - 2015'!B266,IF('Week 10 Studio'!$S$5="Station 2 - 2015",'Station 2 - 2015'!B266,IF('Week 10 Studio'!$S$5="Station 3 - 2013",'Station 3 - 2013'!B266,"N/A"))))</f>
        <v>0</v>
      </c>
      <c r="J261">
        <f t="shared" si="14"/>
        <v>0</v>
      </c>
      <c r="K261">
        <f t="shared" si="15"/>
        <v>369</v>
      </c>
      <c r="L261">
        <f t="shared" si="12"/>
        <v>0</v>
      </c>
      <c r="M261">
        <f t="shared" si="13"/>
        <v>-369</v>
      </c>
    </row>
    <row r="262" spans="8:13">
      <c r="H262" s="87">
        <f>IF($S$5="Station 1 - 2014",'Station 1 - 2014'!A267,IF('Week 10 Studio'!$S$5="Station 1 - 2015",'Station 1 - 2015'!A267,IF('Week 10 Studio'!$S$5="Station 2 - 2015",'Station 2 - 2015'!A267,IF('Week 10 Studio'!$S$5="Station 3 - 2013",'Station 3 - 2013'!A267,"N/A"))))</f>
        <v>41530</v>
      </c>
      <c r="I262" s="88">
        <f>IF($S$5="Station 1 - 2014",'Station 1 - 2014'!B267,IF('Week 10 Studio'!$S$5="Station 1 - 2015",'Station 1 - 2015'!B267,IF('Week 10 Studio'!$S$5="Station 2 - 2015",'Station 2 - 2015'!B267,IF('Week 10 Studio'!$S$5="Station 3 - 2013",'Station 3 - 2013'!B267,"N/A"))))</f>
        <v>0</v>
      </c>
      <c r="J262">
        <f t="shared" si="14"/>
        <v>0</v>
      </c>
      <c r="K262">
        <f t="shared" si="15"/>
        <v>369</v>
      </c>
      <c r="L262">
        <f t="shared" ref="L262:L325" si="16">($C$14*(I263/1000))*1000</f>
        <v>0</v>
      </c>
      <c r="M262">
        <f t="shared" ref="M262:M325" si="17">L262-K263</f>
        <v>-369</v>
      </c>
    </row>
    <row r="263" spans="8:13">
      <c r="H263" s="87">
        <f>IF($S$5="Station 1 - 2014",'Station 1 - 2014'!A268,IF('Week 10 Studio'!$S$5="Station 1 - 2015",'Station 1 - 2015'!A268,IF('Week 10 Studio'!$S$5="Station 2 - 2015",'Station 2 - 2015'!A268,IF('Week 10 Studio'!$S$5="Station 3 - 2013",'Station 3 - 2013'!A268,"N/A"))))</f>
        <v>41531</v>
      </c>
      <c r="I263" s="88">
        <f>IF($S$5="Station 1 - 2014",'Station 1 - 2014'!B268,IF('Week 10 Studio'!$S$5="Station 1 - 2015",'Station 1 - 2015'!B268,IF('Week 10 Studio'!$S$5="Station 2 - 2015",'Station 2 - 2015'!B268,IF('Week 10 Studio'!$S$5="Station 3 - 2013",'Station 3 - 2013'!B268,"N/A"))))</f>
        <v>0</v>
      </c>
      <c r="J263">
        <f t="shared" ref="J263:J326" si="18">IF(IF(J262+M$6&lt;$C$13,J262+M262,$C$13)&gt;0,IF(J262+M262&lt;$C$13,J262+M262,$C$13),0)</f>
        <v>0</v>
      </c>
      <c r="K263">
        <f t="shared" ref="K263:K326" si="19">IF(MONTH(H263)=1,0,$C$18)</f>
        <v>369</v>
      </c>
      <c r="L263">
        <f t="shared" si="16"/>
        <v>75</v>
      </c>
      <c r="M263">
        <f t="shared" si="17"/>
        <v>-294</v>
      </c>
    </row>
    <row r="264" spans="8:13">
      <c r="H264" s="87">
        <f>IF($S$5="Station 1 - 2014",'Station 1 - 2014'!A269,IF('Week 10 Studio'!$S$5="Station 1 - 2015",'Station 1 - 2015'!A269,IF('Week 10 Studio'!$S$5="Station 2 - 2015",'Station 2 - 2015'!A269,IF('Week 10 Studio'!$S$5="Station 3 - 2013",'Station 3 - 2013'!A269,"N/A"))))</f>
        <v>41532</v>
      </c>
      <c r="I264" s="88">
        <f>IF($S$5="Station 1 - 2014",'Station 1 - 2014'!B269,IF('Week 10 Studio'!$S$5="Station 1 - 2015",'Station 1 - 2015'!B269,IF('Week 10 Studio'!$S$5="Station 2 - 2015",'Station 2 - 2015'!B269,IF('Week 10 Studio'!$S$5="Station 3 - 2013",'Station 3 - 2013'!B269,"N/A"))))</f>
        <v>0.6</v>
      </c>
      <c r="J264">
        <f t="shared" si="18"/>
        <v>0</v>
      </c>
      <c r="K264">
        <f t="shared" si="19"/>
        <v>369</v>
      </c>
      <c r="L264">
        <f t="shared" si="16"/>
        <v>0</v>
      </c>
      <c r="M264">
        <f t="shared" si="17"/>
        <v>-369</v>
      </c>
    </row>
    <row r="265" spans="8:13">
      <c r="H265" s="87">
        <f>IF($S$5="Station 1 - 2014",'Station 1 - 2014'!A270,IF('Week 10 Studio'!$S$5="Station 1 - 2015",'Station 1 - 2015'!A270,IF('Week 10 Studio'!$S$5="Station 2 - 2015",'Station 2 - 2015'!A270,IF('Week 10 Studio'!$S$5="Station 3 - 2013",'Station 3 - 2013'!A270,"N/A"))))</f>
        <v>41533</v>
      </c>
      <c r="I265" s="88">
        <f>IF($S$5="Station 1 - 2014",'Station 1 - 2014'!B270,IF('Week 10 Studio'!$S$5="Station 1 - 2015",'Station 1 - 2015'!B270,IF('Week 10 Studio'!$S$5="Station 2 - 2015",'Station 2 - 2015'!B270,IF('Week 10 Studio'!$S$5="Station 3 - 2013",'Station 3 - 2013'!B270,"N/A"))))</f>
        <v>0</v>
      </c>
      <c r="J265">
        <f t="shared" si="18"/>
        <v>0</v>
      </c>
      <c r="K265">
        <f t="shared" si="19"/>
        <v>369</v>
      </c>
      <c r="L265">
        <f t="shared" si="16"/>
        <v>100</v>
      </c>
      <c r="M265">
        <f t="shared" si="17"/>
        <v>-269</v>
      </c>
    </row>
    <row r="266" spans="8:13">
      <c r="H266" s="87">
        <f>IF($S$5="Station 1 - 2014",'Station 1 - 2014'!A271,IF('Week 10 Studio'!$S$5="Station 1 - 2015",'Station 1 - 2015'!A271,IF('Week 10 Studio'!$S$5="Station 2 - 2015",'Station 2 - 2015'!A271,IF('Week 10 Studio'!$S$5="Station 3 - 2013",'Station 3 - 2013'!A271,"N/A"))))</f>
        <v>41534</v>
      </c>
      <c r="I266" s="88">
        <f>IF($S$5="Station 1 - 2014",'Station 1 - 2014'!B271,IF('Week 10 Studio'!$S$5="Station 1 - 2015",'Station 1 - 2015'!B271,IF('Week 10 Studio'!$S$5="Station 2 - 2015",'Station 2 - 2015'!B271,IF('Week 10 Studio'!$S$5="Station 3 - 2013",'Station 3 - 2013'!B271,"N/A"))))</f>
        <v>0.8</v>
      </c>
      <c r="J266">
        <f t="shared" si="18"/>
        <v>0</v>
      </c>
      <c r="K266">
        <f t="shared" si="19"/>
        <v>369</v>
      </c>
      <c r="L266">
        <f t="shared" si="16"/>
        <v>150</v>
      </c>
      <c r="M266">
        <f t="shared" si="17"/>
        <v>-219</v>
      </c>
    </row>
    <row r="267" spans="8:13">
      <c r="H267" s="87">
        <f>IF($S$5="Station 1 - 2014",'Station 1 - 2014'!A272,IF('Week 10 Studio'!$S$5="Station 1 - 2015",'Station 1 - 2015'!A272,IF('Week 10 Studio'!$S$5="Station 2 - 2015",'Station 2 - 2015'!A272,IF('Week 10 Studio'!$S$5="Station 3 - 2013",'Station 3 - 2013'!A272,"N/A"))))</f>
        <v>41535</v>
      </c>
      <c r="I267" s="88">
        <f>IF($S$5="Station 1 - 2014",'Station 1 - 2014'!B272,IF('Week 10 Studio'!$S$5="Station 1 - 2015",'Station 1 - 2015'!B272,IF('Week 10 Studio'!$S$5="Station 2 - 2015",'Station 2 - 2015'!B272,IF('Week 10 Studio'!$S$5="Station 3 - 2013",'Station 3 - 2013'!B272,"N/A"))))</f>
        <v>1.2</v>
      </c>
      <c r="J267">
        <f t="shared" si="18"/>
        <v>0</v>
      </c>
      <c r="K267">
        <f t="shared" si="19"/>
        <v>369</v>
      </c>
      <c r="L267">
        <f t="shared" si="16"/>
        <v>100</v>
      </c>
      <c r="M267">
        <f t="shared" si="17"/>
        <v>-269</v>
      </c>
    </row>
    <row r="268" spans="8:13">
      <c r="H268" s="87">
        <f>IF($S$5="Station 1 - 2014",'Station 1 - 2014'!A273,IF('Week 10 Studio'!$S$5="Station 1 - 2015",'Station 1 - 2015'!A273,IF('Week 10 Studio'!$S$5="Station 2 - 2015",'Station 2 - 2015'!A273,IF('Week 10 Studio'!$S$5="Station 3 - 2013",'Station 3 - 2013'!A273,"N/A"))))</f>
        <v>41536</v>
      </c>
      <c r="I268" s="88">
        <f>IF($S$5="Station 1 - 2014",'Station 1 - 2014'!B273,IF('Week 10 Studio'!$S$5="Station 1 - 2015",'Station 1 - 2015'!B273,IF('Week 10 Studio'!$S$5="Station 2 - 2015",'Station 2 - 2015'!B273,IF('Week 10 Studio'!$S$5="Station 3 - 2013",'Station 3 - 2013'!B273,"N/A"))))</f>
        <v>0.8</v>
      </c>
      <c r="J268">
        <f t="shared" si="18"/>
        <v>0</v>
      </c>
      <c r="K268">
        <f t="shared" si="19"/>
        <v>369</v>
      </c>
      <c r="L268">
        <f t="shared" si="16"/>
        <v>175</v>
      </c>
      <c r="M268">
        <f t="shared" si="17"/>
        <v>-194</v>
      </c>
    </row>
    <row r="269" spans="8:13">
      <c r="H269" s="87">
        <f>IF($S$5="Station 1 - 2014",'Station 1 - 2014'!A274,IF('Week 10 Studio'!$S$5="Station 1 - 2015",'Station 1 - 2015'!A274,IF('Week 10 Studio'!$S$5="Station 2 - 2015",'Station 2 - 2015'!A274,IF('Week 10 Studio'!$S$5="Station 3 - 2013",'Station 3 - 2013'!A274,"N/A"))))</f>
        <v>41537</v>
      </c>
      <c r="I269" s="88">
        <f>IF($S$5="Station 1 - 2014",'Station 1 - 2014'!B274,IF('Week 10 Studio'!$S$5="Station 1 - 2015",'Station 1 - 2015'!B274,IF('Week 10 Studio'!$S$5="Station 2 - 2015",'Station 2 - 2015'!B274,IF('Week 10 Studio'!$S$5="Station 3 - 2013",'Station 3 - 2013'!B274,"N/A"))))</f>
        <v>1.4</v>
      </c>
      <c r="J269">
        <f t="shared" si="18"/>
        <v>0</v>
      </c>
      <c r="K269">
        <f t="shared" si="19"/>
        <v>369</v>
      </c>
      <c r="L269">
        <f t="shared" si="16"/>
        <v>175</v>
      </c>
      <c r="M269">
        <f t="shared" si="17"/>
        <v>-194</v>
      </c>
    </row>
    <row r="270" spans="8:13">
      <c r="H270" s="87">
        <f>IF($S$5="Station 1 - 2014",'Station 1 - 2014'!A275,IF('Week 10 Studio'!$S$5="Station 1 - 2015",'Station 1 - 2015'!A275,IF('Week 10 Studio'!$S$5="Station 2 - 2015",'Station 2 - 2015'!A275,IF('Week 10 Studio'!$S$5="Station 3 - 2013",'Station 3 - 2013'!A275,"N/A"))))</f>
        <v>41538</v>
      </c>
      <c r="I270" s="88">
        <f>IF($S$5="Station 1 - 2014",'Station 1 - 2014'!B275,IF('Week 10 Studio'!$S$5="Station 1 - 2015",'Station 1 - 2015'!B275,IF('Week 10 Studio'!$S$5="Station 2 - 2015",'Station 2 - 2015'!B275,IF('Week 10 Studio'!$S$5="Station 3 - 2013",'Station 3 - 2013'!B275,"N/A"))))</f>
        <v>1.4</v>
      </c>
      <c r="J270">
        <f t="shared" si="18"/>
        <v>0</v>
      </c>
      <c r="K270">
        <f t="shared" si="19"/>
        <v>369</v>
      </c>
      <c r="L270">
        <f t="shared" si="16"/>
        <v>625</v>
      </c>
      <c r="M270">
        <f t="shared" si="17"/>
        <v>256</v>
      </c>
    </row>
    <row r="271" spans="8:13">
      <c r="H271" s="87">
        <f>IF($S$5="Station 1 - 2014",'Station 1 - 2014'!A276,IF('Week 10 Studio'!$S$5="Station 1 - 2015",'Station 1 - 2015'!A276,IF('Week 10 Studio'!$S$5="Station 2 - 2015",'Station 2 - 2015'!A276,IF('Week 10 Studio'!$S$5="Station 3 - 2013",'Station 3 - 2013'!A276,"N/A"))))</f>
        <v>41539</v>
      </c>
      <c r="I271" s="88">
        <f>IF($S$5="Station 1 - 2014",'Station 1 - 2014'!B276,IF('Week 10 Studio'!$S$5="Station 1 - 2015",'Station 1 - 2015'!B276,IF('Week 10 Studio'!$S$5="Station 2 - 2015",'Station 2 - 2015'!B276,IF('Week 10 Studio'!$S$5="Station 3 - 2013",'Station 3 - 2013'!B276,"N/A"))))</f>
        <v>5</v>
      </c>
      <c r="J271">
        <f t="shared" si="18"/>
        <v>256</v>
      </c>
      <c r="K271">
        <f t="shared" si="19"/>
        <v>369</v>
      </c>
      <c r="L271">
        <f t="shared" si="16"/>
        <v>150</v>
      </c>
      <c r="M271">
        <f t="shared" si="17"/>
        <v>-219</v>
      </c>
    </row>
    <row r="272" spans="8:13">
      <c r="H272" s="87">
        <f>IF($S$5="Station 1 - 2014",'Station 1 - 2014'!A277,IF('Week 10 Studio'!$S$5="Station 1 - 2015",'Station 1 - 2015'!A277,IF('Week 10 Studio'!$S$5="Station 2 - 2015",'Station 2 - 2015'!A277,IF('Week 10 Studio'!$S$5="Station 3 - 2013",'Station 3 - 2013'!A277,"N/A"))))</f>
        <v>41540</v>
      </c>
      <c r="I272" s="88">
        <f>IF($S$5="Station 1 - 2014",'Station 1 - 2014'!B277,IF('Week 10 Studio'!$S$5="Station 1 - 2015",'Station 1 - 2015'!B277,IF('Week 10 Studio'!$S$5="Station 2 - 2015",'Station 2 - 2015'!B277,IF('Week 10 Studio'!$S$5="Station 3 - 2013",'Station 3 - 2013'!B277,"N/A"))))</f>
        <v>1.2</v>
      </c>
      <c r="J272">
        <f t="shared" si="18"/>
        <v>37</v>
      </c>
      <c r="K272">
        <f t="shared" si="19"/>
        <v>369</v>
      </c>
      <c r="L272">
        <f t="shared" si="16"/>
        <v>200</v>
      </c>
      <c r="M272">
        <f t="shared" si="17"/>
        <v>-169</v>
      </c>
    </row>
    <row r="273" spans="8:13">
      <c r="H273" s="87">
        <f>IF($S$5="Station 1 - 2014",'Station 1 - 2014'!A278,IF('Week 10 Studio'!$S$5="Station 1 - 2015",'Station 1 - 2015'!A278,IF('Week 10 Studio'!$S$5="Station 2 - 2015",'Station 2 - 2015'!A278,IF('Week 10 Studio'!$S$5="Station 3 - 2013",'Station 3 - 2013'!A278,"N/A"))))</f>
        <v>41541</v>
      </c>
      <c r="I273" s="88">
        <f>IF($S$5="Station 1 - 2014",'Station 1 - 2014'!B278,IF('Week 10 Studio'!$S$5="Station 1 - 2015",'Station 1 - 2015'!B278,IF('Week 10 Studio'!$S$5="Station 2 - 2015",'Station 2 - 2015'!B278,IF('Week 10 Studio'!$S$5="Station 3 - 2013",'Station 3 - 2013'!B278,"N/A"))))</f>
        <v>1.6</v>
      </c>
      <c r="J273">
        <f t="shared" si="18"/>
        <v>0</v>
      </c>
      <c r="K273">
        <f t="shared" si="19"/>
        <v>369</v>
      </c>
      <c r="L273">
        <f t="shared" si="16"/>
        <v>0</v>
      </c>
      <c r="M273">
        <f t="shared" si="17"/>
        <v>-369</v>
      </c>
    </row>
    <row r="274" spans="8:13">
      <c r="H274" s="87">
        <f>IF($S$5="Station 1 - 2014",'Station 1 - 2014'!A279,IF('Week 10 Studio'!$S$5="Station 1 - 2015",'Station 1 - 2015'!A279,IF('Week 10 Studio'!$S$5="Station 2 - 2015",'Station 2 - 2015'!A279,IF('Week 10 Studio'!$S$5="Station 3 - 2013",'Station 3 - 2013'!A279,"N/A"))))</f>
        <v>41542</v>
      </c>
      <c r="I274" s="88">
        <f>IF($S$5="Station 1 - 2014",'Station 1 - 2014'!B279,IF('Week 10 Studio'!$S$5="Station 1 - 2015",'Station 1 - 2015'!B279,IF('Week 10 Studio'!$S$5="Station 2 - 2015",'Station 2 - 2015'!B279,IF('Week 10 Studio'!$S$5="Station 3 - 2013",'Station 3 - 2013'!B279,"N/A"))))</f>
        <v>0</v>
      </c>
      <c r="J274">
        <f t="shared" si="18"/>
        <v>0</v>
      </c>
      <c r="K274">
        <f t="shared" si="19"/>
        <v>369</v>
      </c>
      <c r="L274">
        <f t="shared" si="16"/>
        <v>500</v>
      </c>
      <c r="M274">
        <f t="shared" si="17"/>
        <v>131</v>
      </c>
    </row>
    <row r="275" spans="8:13">
      <c r="H275" s="87">
        <f>IF($S$5="Station 1 - 2014",'Station 1 - 2014'!A280,IF('Week 10 Studio'!$S$5="Station 1 - 2015",'Station 1 - 2015'!A280,IF('Week 10 Studio'!$S$5="Station 2 - 2015",'Station 2 - 2015'!A280,IF('Week 10 Studio'!$S$5="Station 3 - 2013",'Station 3 - 2013'!A280,"N/A"))))</f>
        <v>41543</v>
      </c>
      <c r="I275" s="88">
        <f>IF($S$5="Station 1 - 2014",'Station 1 - 2014'!B280,IF('Week 10 Studio'!$S$5="Station 1 - 2015",'Station 1 - 2015'!B280,IF('Week 10 Studio'!$S$5="Station 2 - 2015",'Station 2 - 2015'!B280,IF('Week 10 Studio'!$S$5="Station 3 - 2013",'Station 3 - 2013'!B280,"N/A"))))</f>
        <v>4</v>
      </c>
      <c r="J275">
        <f t="shared" si="18"/>
        <v>131</v>
      </c>
      <c r="K275">
        <f t="shared" si="19"/>
        <v>369</v>
      </c>
      <c r="L275">
        <f t="shared" si="16"/>
        <v>200</v>
      </c>
      <c r="M275">
        <f t="shared" si="17"/>
        <v>-169</v>
      </c>
    </row>
    <row r="276" spans="8:13">
      <c r="H276" s="87">
        <f>IF($S$5="Station 1 - 2014",'Station 1 - 2014'!A281,IF('Week 10 Studio'!$S$5="Station 1 - 2015",'Station 1 - 2015'!A281,IF('Week 10 Studio'!$S$5="Station 2 - 2015",'Station 2 - 2015'!A281,IF('Week 10 Studio'!$S$5="Station 3 - 2013",'Station 3 - 2013'!A281,"N/A"))))</f>
        <v>41544</v>
      </c>
      <c r="I276" s="88">
        <f>IF($S$5="Station 1 - 2014",'Station 1 - 2014'!B281,IF('Week 10 Studio'!$S$5="Station 1 - 2015",'Station 1 - 2015'!B281,IF('Week 10 Studio'!$S$5="Station 2 - 2015",'Station 2 - 2015'!B281,IF('Week 10 Studio'!$S$5="Station 3 - 2013",'Station 3 - 2013'!B281,"N/A"))))</f>
        <v>1.6</v>
      </c>
      <c r="J276">
        <f t="shared" si="18"/>
        <v>0</v>
      </c>
      <c r="K276">
        <f t="shared" si="19"/>
        <v>369</v>
      </c>
      <c r="L276">
        <f t="shared" si="16"/>
        <v>1375</v>
      </c>
      <c r="M276">
        <f t="shared" si="17"/>
        <v>1006</v>
      </c>
    </row>
    <row r="277" spans="8:13">
      <c r="H277" s="87">
        <f>IF($S$5="Station 1 - 2014",'Station 1 - 2014'!A282,IF('Week 10 Studio'!$S$5="Station 1 - 2015",'Station 1 - 2015'!A282,IF('Week 10 Studio'!$S$5="Station 2 - 2015",'Station 2 - 2015'!A282,IF('Week 10 Studio'!$S$5="Station 3 - 2013",'Station 3 - 2013'!A282,"N/A"))))</f>
        <v>41545</v>
      </c>
      <c r="I277" s="88">
        <f>IF($S$5="Station 1 - 2014",'Station 1 - 2014'!B282,IF('Week 10 Studio'!$S$5="Station 1 - 2015",'Station 1 - 2015'!B282,IF('Week 10 Studio'!$S$5="Station 2 - 2015",'Station 2 - 2015'!B282,IF('Week 10 Studio'!$S$5="Station 3 - 2013",'Station 3 - 2013'!B282,"N/A"))))</f>
        <v>11</v>
      </c>
      <c r="J277">
        <f t="shared" si="18"/>
        <v>1006</v>
      </c>
      <c r="K277">
        <f t="shared" si="19"/>
        <v>369</v>
      </c>
      <c r="L277">
        <f t="shared" si="16"/>
        <v>625</v>
      </c>
      <c r="M277">
        <f t="shared" si="17"/>
        <v>256</v>
      </c>
    </row>
    <row r="278" spans="8:13">
      <c r="H278" s="87">
        <f>IF($S$5="Station 1 - 2014",'Station 1 - 2014'!A283,IF('Week 10 Studio'!$S$5="Station 1 - 2015",'Station 1 - 2015'!A283,IF('Week 10 Studio'!$S$5="Station 2 - 2015",'Station 2 - 2015'!A283,IF('Week 10 Studio'!$S$5="Station 3 - 2013",'Station 3 - 2013'!A283,"N/A"))))</f>
        <v>41546</v>
      </c>
      <c r="I278" s="88">
        <f>IF($S$5="Station 1 - 2014",'Station 1 - 2014'!B283,IF('Week 10 Studio'!$S$5="Station 1 - 2015",'Station 1 - 2015'!B283,IF('Week 10 Studio'!$S$5="Station 2 - 2015",'Station 2 - 2015'!B283,IF('Week 10 Studio'!$S$5="Station 3 - 2013",'Station 3 - 2013'!B283,"N/A"))))</f>
        <v>5</v>
      </c>
      <c r="J278">
        <f t="shared" si="18"/>
        <v>1262</v>
      </c>
      <c r="K278">
        <f t="shared" si="19"/>
        <v>369</v>
      </c>
      <c r="L278">
        <f t="shared" si="16"/>
        <v>275</v>
      </c>
      <c r="M278">
        <f t="shared" si="17"/>
        <v>-94</v>
      </c>
    </row>
    <row r="279" spans="8:13">
      <c r="H279" s="87">
        <f>IF($S$5="Station 1 - 2014",'Station 1 - 2014'!A284,IF('Week 10 Studio'!$S$5="Station 1 - 2015",'Station 1 - 2015'!A284,IF('Week 10 Studio'!$S$5="Station 2 - 2015",'Station 2 - 2015'!A284,IF('Week 10 Studio'!$S$5="Station 3 - 2013",'Station 3 - 2013'!A284,"N/A"))))</f>
        <v>41547</v>
      </c>
      <c r="I279" s="88">
        <f>IF($S$5="Station 1 - 2014",'Station 1 - 2014'!B284,IF('Week 10 Studio'!$S$5="Station 1 - 2015",'Station 1 - 2015'!B284,IF('Week 10 Studio'!$S$5="Station 2 - 2015",'Station 2 - 2015'!B284,IF('Week 10 Studio'!$S$5="Station 3 - 2013",'Station 3 - 2013'!B284,"N/A"))))</f>
        <v>2.2000000000000002</v>
      </c>
      <c r="J279">
        <f t="shared" si="18"/>
        <v>1168</v>
      </c>
      <c r="K279">
        <f t="shared" si="19"/>
        <v>369</v>
      </c>
      <c r="L279">
        <f t="shared" si="16"/>
        <v>0</v>
      </c>
      <c r="M279">
        <f t="shared" si="17"/>
        <v>-369</v>
      </c>
    </row>
    <row r="280" spans="8:13">
      <c r="H280" s="87">
        <f>IF($S$5="Station 1 - 2014",'Station 1 - 2014'!A285,IF('Week 10 Studio'!$S$5="Station 1 - 2015",'Station 1 - 2015'!A285,IF('Week 10 Studio'!$S$5="Station 2 - 2015",'Station 2 - 2015'!A285,IF('Week 10 Studio'!$S$5="Station 3 - 2013",'Station 3 - 2013'!A285,"N/A"))))</f>
        <v>41548</v>
      </c>
      <c r="I280" s="88">
        <f>IF($S$5="Station 1 - 2014",'Station 1 - 2014'!B285,IF('Week 10 Studio'!$S$5="Station 1 - 2015",'Station 1 - 2015'!B285,IF('Week 10 Studio'!$S$5="Station 2 - 2015",'Station 2 - 2015'!B285,IF('Week 10 Studio'!$S$5="Station 3 - 2013",'Station 3 - 2013'!B285,"N/A"))))</f>
        <v>0</v>
      </c>
      <c r="J280">
        <f t="shared" si="18"/>
        <v>799</v>
      </c>
      <c r="K280">
        <f t="shared" si="19"/>
        <v>369</v>
      </c>
      <c r="L280">
        <f t="shared" si="16"/>
        <v>0</v>
      </c>
      <c r="M280">
        <f t="shared" si="17"/>
        <v>-369</v>
      </c>
    </row>
    <row r="281" spans="8:13">
      <c r="H281" s="87">
        <f>IF($S$5="Station 1 - 2014",'Station 1 - 2014'!A286,IF('Week 10 Studio'!$S$5="Station 1 - 2015",'Station 1 - 2015'!A286,IF('Week 10 Studio'!$S$5="Station 2 - 2015",'Station 2 - 2015'!A286,IF('Week 10 Studio'!$S$5="Station 3 - 2013",'Station 3 - 2013'!A286,"N/A"))))</f>
        <v>41549</v>
      </c>
      <c r="I281" s="88">
        <f>IF($S$5="Station 1 - 2014",'Station 1 - 2014'!B286,IF('Week 10 Studio'!$S$5="Station 1 - 2015",'Station 1 - 2015'!B286,IF('Week 10 Studio'!$S$5="Station 2 - 2015",'Station 2 - 2015'!B286,IF('Week 10 Studio'!$S$5="Station 3 - 2013",'Station 3 - 2013'!B286,"N/A"))))</f>
        <v>0</v>
      </c>
      <c r="J281">
        <f t="shared" si="18"/>
        <v>430</v>
      </c>
      <c r="K281">
        <f t="shared" si="19"/>
        <v>369</v>
      </c>
      <c r="L281">
        <f t="shared" si="16"/>
        <v>150</v>
      </c>
      <c r="M281">
        <f t="shared" si="17"/>
        <v>-219</v>
      </c>
    </row>
    <row r="282" spans="8:13">
      <c r="H282" s="87">
        <f>IF($S$5="Station 1 - 2014",'Station 1 - 2014'!A287,IF('Week 10 Studio'!$S$5="Station 1 - 2015",'Station 1 - 2015'!A287,IF('Week 10 Studio'!$S$5="Station 2 - 2015",'Station 2 - 2015'!A287,IF('Week 10 Studio'!$S$5="Station 3 - 2013",'Station 3 - 2013'!A287,"N/A"))))</f>
        <v>41550</v>
      </c>
      <c r="I282" s="88">
        <f>IF($S$5="Station 1 - 2014",'Station 1 - 2014'!B287,IF('Week 10 Studio'!$S$5="Station 1 - 2015",'Station 1 - 2015'!B287,IF('Week 10 Studio'!$S$5="Station 2 - 2015",'Station 2 - 2015'!B287,IF('Week 10 Studio'!$S$5="Station 3 - 2013",'Station 3 - 2013'!B287,"N/A"))))</f>
        <v>1.2</v>
      </c>
      <c r="J282">
        <f t="shared" si="18"/>
        <v>211</v>
      </c>
      <c r="K282">
        <f t="shared" si="19"/>
        <v>369</v>
      </c>
      <c r="L282">
        <f t="shared" si="16"/>
        <v>3550</v>
      </c>
      <c r="M282">
        <f t="shared" si="17"/>
        <v>3181</v>
      </c>
    </row>
    <row r="283" spans="8:13">
      <c r="H283" s="87">
        <f>IF($S$5="Station 1 - 2014",'Station 1 - 2014'!A288,IF('Week 10 Studio'!$S$5="Station 1 - 2015",'Station 1 - 2015'!A288,IF('Week 10 Studio'!$S$5="Station 2 - 2015",'Station 2 - 2015'!A288,IF('Week 10 Studio'!$S$5="Station 3 - 2013",'Station 3 - 2013'!A288,"N/A"))))</f>
        <v>41551</v>
      </c>
      <c r="I283" s="88">
        <f>IF($S$5="Station 1 - 2014",'Station 1 - 2014'!B288,IF('Week 10 Studio'!$S$5="Station 1 - 2015",'Station 1 - 2015'!B288,IF('Week 10 Studio'!$S$5="Station 2 - 2015",'Station 2 - 2015'!B288,IF('Week 10 Studio'!$S$5="Station 3 - 2013",'Station 3 - 2013'!B288,"N/A"))))</f>
        <v>28.4</v>
      </c>
      <c r="J283">
        <f t="shared" si="18"/>
        <v>3392</v>
      </c>
      <c r="K283">
        <f t="shared" si="19"/>
        <v>369</v>
      </c>
      <c r="L283">
        <f t="shared" si="16"/>
        <v>3250</v>
      </c>
      <c r="M283">
        <f t="shared" si="17"/>
        <v>2881</v>
      </c>
    </row>
    <row r="284" spans="8:13">
      <c r="H284" s="87">
        <f>IF($S$5="Station 1 - 2014",'Station 1 - 2014'!A289,IF('Week 10 Studio'!$S$5="Station 1 - 2015",'Station 1 - 2015'!A289,IF('Week 10 Studio'!$S$5="Station 2 - 2015",'Station 2 - 2015'!A289,IF('Week 10 Studio'!$S$5="Station 3 - 2013",'Station 3 - 2013'!A289,"N/A"))))</f>
        <v>41552</v>
      </c>
      <c r="I284" s="88">
        <f>IF($S$5="Station 1 - 2014",'Station 1 - 2014'!B289,IF('Week 10 Studio'!$S$5="Station 1 - 2015",'Station 1 - 2015'!B289,IF('Week 10 Studio'!$S$5="Station 2 - 2015",'Station 2 - 2015'!B289,IF('Week 10 Studio'!$S$5="Station 3 - 2013",'Station 3 - 2013'!B289,"N/A"))))</f>
        <v>26</v>
      </c>
      <c r="J284">
        <f t="shared" si="18"/>
        <v>5000</v>
      </c>
      <c r="K284">
        <f t="shared" si="19"/>
        <v>369</v>
      </c>
      <c r="L284">
        <f t="shared" si="16"/>
        <v>1100</v>
      </c>
      <c r="M284">
        <f t="shared" si="17"/>
        <v>731</v>
      </c>
    </row>
    <row r="285" spans="8:13">
      <c r="H285" s="87">
        <f>IF($S$5="Station 1 - 2014",'Station 1 - 2014'!A290,IF('Week 10 Studio'!$S$5="Station 1 - 2015",'Station 1 - 2015'!A290,IF('Week 10 Studio'!$S$5="Station 2 - 2015",'Station 2 - 2015'!A290,IF('Week 10 Studio'!$S$5="Station 3 - 2013",'Station 3 - 2013'!A290,"N/A"))))</f>
        <v>41553</v>
      </c>
      <c r="I285" s="88">
        <f>IF($S$5="Station 1 - 2014",'Station 1 - 2014'!B290,IF('Week 10 Studio'!$S$5="Station 1 - 2015",'Station 1 - 2015'!B290,IF('Week 10 Studio'!$S$5="Station 2 - 2015",'Station 2 - 2015'!B290,IF('Week 10 Studio'!$S$5="Station 3 - 2013",'Station 3 - 2013'!B290,"N/A"))))</f>
        <v>8.8000000000000007</v>
      </c>
      <c r="J285">
        <f t="shared" si="18"/>
        <v>5000</v>
      </c>
      <c r="K285">
        <f t="shared" si="19"/>
        <v>369</v>
      </c>
      <c r="L285">
        <f t="shared" si="16"/>
        <v>1325</v>
      </c>
      <c r="M285">
        <f t="shared" si="17"/>
        <v>956</v>
      </c>
    </row>
    <row r="286" spans="8:13">
      <c r="H286" s="87">
        <f>IF($S$5="Station 1 - 2014",'Station 1 - 2014'!A291,IF('Week 10 Studio'!$S$5="Station 1 - 2015",'Station 1 - 2015'!A291,IF('Week 10 Studio'!$S$5="Station 2 - 2015",'Station 2 - 2015'!A291,IF('Week 10 Studio'!$S$5="Station 3 - 2013",'Station 3 - 2013'!A291,"N/A"))))</f>
        <v>41554</v>
      </c>
      <c r="I286" s="88">
        <f>IF($S$5="Station 1 - 2014",'Station 1 - 2014'!B291,IF('Week 10 Studio'!$S$5="Station 1 - 2015",'Station 1 - 2015'!B291,IF('Week 10 Studio'!$S$5="Station 2 - 2015",'Station 2 - 2015'!B291,IF('Week 10 Studio'!$S$5="Station 3 - 2013",'Station 3 - 2013'!B291,"N/A"))))</f>
        <v>10.6</v>
      </c>
      <c r="J286">
        <f t="shared" si="18"/>
        <v>5000</v>
      </c>
      <c r="K286">
        <f t="shared" si="19"/>
        <v>369</v>
      </c>
      <c r="L286">
        <f t="shared" si="16"/>
        <v>0</v>
      </c>
      <c r="M286">
        <f t="shared" si="17"/>
        <v>-369</v>
      </c>
    </row>
    <row r="287" spans="8:13">
      <c r="H287" s="87">
        <f>IF($S$5="Station 1 - 2014",'Station 1 - 2014'!A292,IF('Week 10 Studio'!$S$5="Station 1 - 2015",'Station 1 - 2015'!A292,IF('Week 10 Studio'!$S$5="Station 2 - 2015",'Station 2 - 2015'!A292,IF('Week 10 Studio'!$S$5="Station 3 - 2013",'Station 3 - 2013'!A292,"N/A"))))</f>
        <v>41555</v>
      </c>
      <c r="I287" s="88">
        <f>IF($S$5="Station 1 - 2014",'Station 1 - 2014'!B292,IF('Week 10 Studio'!$S$5="Station 1 - 2015",'Station 1 - 2015'!B292,IF('Week 10 Studio'!$S$5="Station 2 - 2015",'Station 2 - 2015'!B292,IF('Week 10 Studio'!$S$5="Station 3 - 2013",'Station 3 - 2013'!B292,"N/A"))))</f>
        <v>0</v>
      </c>
      <c r="J287">
        <f t="shared" si="18"/>
        <v>4631</v>
      </c>
      <c r="K287">
        <f t="shared" si="19"/>
        <v>369</v>
      </c>
      <c r="L287">
        <f t="shared" si="16"/>
        <v>150</v>
      </c>
      <c r="M287">
        <f t="shared" si="17"/>
        <v>-219</v>
      </c>
    </row>
    <row r="288" spans="8:13">
      <c r="H288" s="87">
        <f>IF($S$5="Station 1 - 2014",'Station 1 - 2014'!A293,IF('Week 10 Studio'!$S$5="Station 1 - 2015",'Station 1 - 2015'!A293,IF('Week 10 Studio'!$S$5="Station 2 - 2015",'Station 2 - 2015'!A293,IF('Week 10 Studio'!$S$5="Station 3 - 2013",'Station 3 - 2013'!A293,"N/A"))))</f>
        <v>41556</v>
      </c>
      <c r="I288" s="88">
        <f>IF($S$5="Station 1 - 2014",'Station 1 - 2014'!B293,IF('Week 10 Studio'!$S$5="Station 1 - 2015",'Station 1 - 2015'!B293,IF('Week 10 Studio'!$S$5="Station 2 - 2015",'Station 2 - 2015'!B293,IF('Week 10 Studio'!$S$5="Station 3 - 2013",'Station 3 - 2013'!B293,"N/A"))))</f>
        <v>1.2</v>
      </c>
      <c r="J288">
        <f t="shared" si="18"/>
        <v>4412</v>
      </c>
      <c r="K288">
        <f t="shared" si="19"/>
        <v>369</v>
      </c>
      <c r="L288">
        <f t="shared" si="16"/>
        <v>0</v>
      </c>
      <c r="M288">
        <f t="shared" si="17"/>
        <v>-369</v>
      </c>
    </row>
    <row r="289" spans="8:13">
      <c r="H289" s="87">
        <f>IF($S$5="Station 1 - 2014",'Station 1 - 2014'!A294,IF('Week 10 Studio'!$S$5="Station 1 - 2015",'Station 1 - 2015'!A294,IF('Week 10 Studio'!$S$5="Station 2 - 2015",'Station 2 - 2015'!A294,IF('Week 10 Studio'!$S$5="Station 3 - 2013",'Station 3 - 2013'!A294,"N/A"))))</f>
        <v>41557</v>
      </c>
      <c r="I289" s="88">
        <f>IF($S$5="Station 1 - 2014",'Station 1 - 2014'!B294,IF('Week 10 Studio'!$S$5="Station 1 - 2015",'Station 1 - 2015'!B294,IF('Week 10 Studio'!$S$5="Station 2 - 2015",'Station 2 - 2015'!B294,IF('Week 10 Studio'!$S$5="Station 3 - 2013",'Station 3 - 2013'!B294,"N/A"))))</f>
        <v>0</v>
      </c>
      <c r="J289">
        <f t="shared" si="18"/>
        <v>4043</v>
      </c>
      <c r="K289">
        <f t="shared" si="19"/>
        <v>369</v>
      </c>
      <c r="L289">
        <f t="shared" si="16"/>
        <v>0</v>
      </c>
      <c r="M289">
        <f t="shared" si="17"/>
        <v>-369</v>
      </c>
    </row>
    <row r="290" spans="8:13">
      <c r="H290" s="87">
        <f>IF($S$5="Station 1 - 2014",'Station 1 - 2014'!A295,IF('Week 10 Studio'!$S$5="Station 1 - 2015",'Station 1 - 2015'!A295,IF('Week 10 Studio'!$S$5="Station 2 - 2015",'Station 2 - 2015'!A295,IF('Week 10 Studio'!$S$5="Station 3 - 2013",'Station 3 - 2013'!A295,"N/A"))))</f>
        <v>41558</v>
      </c>
      <c r="I290" s="88">
        <f>IF($S$5="Station 1 - 2014",'Station 1 - 2014'!B295,IF('Week 10 Studio'!$S$5="Station 1 - 2015",'Station 1 - 2015'!B295,IF('Week 10 Studio'!$S$5="Station 2 - 2015",'Station 2 - 2015'!B295,IF('Week 10 Studio'!$S$5="Station 3 - 2013",'Station 3 - 2013'!B295,"N/A"))))</f>
        <v>0</v>
      </c>
      <c r="J290">
        <f t="shared" si="18"/>
        <v>3674</v>
      </c>
      <c r="K290">
        <f t="shared" si="19"/>
        <v>369</v>
      </c>
      <c r="L290">
        <f t="shared" si="16"/>
        <v>0</v>
      </c>
      <c r="M290">
        <f t="shared" si="17"/>
        <v>-369</v>
      </c>
    </row>
    <row r="291" spans="8:13">
      <c r="H291" s="87">
        <f>IF($S$5="Station 1 - 2014",'Station 1 - 2014'!A296,IF('Week 10 Studio'!$S$5="Station 1 - 2015",'Station 1 - 2015'!A296,IF('Week 10 Studio'!$S$5="Station 2 - 2015",'Station 2 - 2015'!A296,IF('Week 10 Studio'!$S$5="Station 3 - 2013",'Station 3 - 2013'!A296,"N/A"))))</f>
        <v>41559</v>
      </c>
      <c r="I291" s="88">
        <f>IF($S$5="Station 1 - 2014",'Station 1 - 2014'!B296,IF('Week 10 Studio'!$S$5="Station 1 - 2015",'Station 1 - 2015'!B296,IF('Week 10 Studio'!$S$5="Station 2 - 2015",'Station 2 - 2015'!B296,IF('Week 10 Studio'!$S$5="Station 3 - 2013",'Station 3 - 2013'!B296,"N/A"))))</f>
        <v>0</v>
      </c>
      <c r="J291">
        <f t="shared" si="18"/>
        <v>3305</v>
      </c>
      <c r="K291">
        <f t="shared" si="19"/>
        <v>369</v>
      </c>
      <c r="L291">
        <f t="shared" si="16"/>
        <v>0</v>
      </c>
      <c r="M291">
        <f t="shared" si="17"/>
        <v>-369</v>
      </c>
    </row>
    <row r="292" spans="8:13">
      <c r="H292" s="87">
        <f>IF($S$5="Station 1 - 2014",'Station 1 - 2014'!A297,IF('Week 10 Studio'!$S$5="Station 1 - 2015",'Station 1 - 2015'!A297,IF('Week 10 Studio'!$S$5="Station 2 - 2015",'Station 2 - 2015'!A297,IF('Week 10 Studio'!$S$5="Station 3 - 2013",'Station 3 - 2013'!A297,"N/A"))))</f>
        <v>41560</v>
      </c>
      <c r="I292" s="88">
        <f>IF($S$5="Station 1 - 2014",'Station 1 - 2014'!B297,IF('Week 10 Studio'!$S$5="Station 1 - 2015",'Station 1 - 2015'!B297,IF('Week 10 Studio'!$S$5="Station 2 - 2015",'Station 2 - 2015'!B297,IF('Week 10 Studio'!$S$5="Station 3 - 2013",'Station 3 - 2013'!B297,"N/A"))))</f>
        <v>0</v>
      </c>
      <c r="J292">
        <f t="shared" si="18"/>
        <v>2936</v>
      </c>
      <c r="K292">
        <f t="shared" si="19"/>
        <v>369</v>
      </c>
      <c r="L292">
        <f t="shared" si="16"/>
        <v>0</v>
      </c>
      <c r="M292">
        <f t="shared" si="17"/>
        <v>-369</v>
      </c>
    </row>
    <row r="293" spans="8:13">
      <c r="H293" s="87">
        <f>IF($S$5="Station 1 - 2014",'Station 1 - 2014'!A298,IF('Week 10 Studio'!$S$5="Station 1 - 2015",'Station 1 - 2015'!A298,IF('Week 10 Studio'!$S$5="Station 2 - 2015",'Station 2 - 2015'!A298,IF('Week 10 Studio'!$S$5="Station 3 - 2013",'Station 3 - 2013'!A298,"N/A"))))</f>
        <v>41561</v>
      </c>
      <c r="I293" s="88">
        <f>IF($S$5="Station 1 - 2014",'Station 1 - 2014'!B298,IF('Week 10 Studio'!$S$5="Station 1 - 2015",'Station 1 - 2015'!B298,IF('Week 10 Studio'!$S$5="Station 2 - 2015",'Station 2 - 2015'!B298,IF('Week 10 Studio'!$S$5="Station 3 - 2013",'Station 3 - 2013'!B298,"N/A"))))</f>
        <v>0</v>
      </c>
      <c r="J293">
        <f t="shared" si="18"/>
        <v>2567</v>
      </c>
      <c r="K293">
        <f t="shared" si="19"/>
        <v>369</v>
      </c>
      <c r="L293">
        <f t="shared" si="16"/>
        <v>125</v>
      </c>
      <c r="M293">
        <f t="shared" si="17"/>
        <v>-244</v>
      </c>
    </row>
    <row r="294" spans="8:13">
      <c r="H294" s="87">
        <f>IF($S$5="Station 1 - 2014",'Station 1 - 2014'!A299,IF('Week 10 Studio'!$S$5="Station 1 - 2015",'Station 1 - 2015'!A299,IF('Week 10 Studio'!$S$5="Station 2 - 2015",'Station 2 - 2015'!A299,IF('Week 10 Studio'!$S$5="Station 3 - 2013",'Station 3 - 2013'!A299,"N/A"))))</f>
        <v>41562</v>
      </c>
      <c r="I294" s="88">
        <f>IF($S$5="Station 1 - 2014",'Station 1 - 2014'!B299,IF('Week 10 Studio'!$S$5="Station 1 - 2015",'Station 1 - 2015'!B299,IF('Week 10 Studio'!$S$5="Station 2 - 2015",'Station 2 - 2015'!B299,IF('Week 10 Studio'!$S$5="Station 3 - 2013",'Station 3 - 2013'!B299,"N/A"))))</f>
        <v>1</v>
      </c>
      <c r="J294">
        <f t="shared" si="18"/>
        <v>2323</v>
      </c>
      <c r="K294">
        <f t="shared" si="19"/>
        <v>369</v>
      </c>
      <c r="L294">
        <f t="shared" si="16"/>
        <v>0</v>
      </c>
      <c r="M294">
        <f t="shared" si="17"/>
        <v>-369</v>
      </c>
    </row>
    <row r="295" spans="8:13">
      <c r="H295" s="87">
        <f>IF($S$5="Station 1 - 2014",'Station 1 - 2014'!A300,IF('Week 10 Studio'!$S$5="Station 1 - 2015",'Station 1 - 2015'!A300,IF('Week 10 Studio'!$S$5="Station 2 - 2015",'Station 2 - 2015'!A300,IF('Week 10 Studio'!$S$5="Station 3 - 2013",'Station 3 - 2013'!A300,"N/A"))))</f>
        <v>41563</v>
      </c>
      <c r="I295" s="88">
        <f>IF($S$5="Station 1 - 2014",'Station 1 - 2014'!B300,IF('Week 10 Studio'!$S$5="Station 1 - 2015",'Station 1 - 2015'!B300,IF('Week 10 Studio'!$S$5="Station 2 - 2015",'Station 2 - 2015'!B300,IF('Week 10 Studio'!$S$5="Station 3 - 2013",'Station 3 - 2013'!B300,"N/A"))))</f>
        <v>0</v>
      </c>
      <c r="J295">
        <f t="shared" si="18"/>
        <v>1954</v>
      </c>
      <c r="K295">
        <f t="shared" si="19"/>
        <v>369</v>
      </c>
      <c r="L295">
        <f t="shared" si="16"/>
        <v>0</v>
      </c>
      <c r="M295">
        <f t="shared" si="17"/>
        <v>-369</v>
      </c>
    </row>
    <row r="296" spans="8:13">
      <c r="H296" s="87">
        <f>IF($S$5="Station 1 - 2014",'Station 1 - 2014'!A301,IF('Week 10 Studio'!$S$5="Station 1 - 2015",'Station 1 - 2015'!A301,IF('Week 10 Studio'!$S$5="Station 2 - 2015",'Station 2 - 2015'!A301,IF('Week 10 Studio'!$S$5="Station 3 - 2013",'Station 3 - 2013'!A301,"N/A"))))</f>
        <v>41564</v>
      </c>
      <c r="I296" s="88">
        <f>IF($S$5="Station 1 - 2014",'Station 1 - 2014'!B301,IF('Week 10 Studio'!$S$5="Station 1 - 2015",'Station 1 - 2015'!B301,IF('Week 10 Studio'!$S$5="Station 2 - 2015",'Station 2 - 2015'!B301,IF('Week 10 Studio'!$S$5="Station 3 - 2013",'Station 3 - 2013'!B301,"N/A"))))</f>
        <v>0</v>
      </c>
      <c r="J296">
        <f t="shared" si="18"/>
        <v>1585</v>
      </c>
      <c r="K296">
        <f t="shared" si="19"/>
        <v>369</v>
      </c>
      <c r="L296">
        <f t="shared" si="16"/>
        <v>0</v>
      </c>
      <c r="M296">
        <f t="shared" si="17"/>
        <v>-369</v>
      </c>
    </row>
    <row r="297" spans="8:13">
      <c r="H297" s="87">
        <f>IF($S$5="Station 1 - 2014",'Station 1 - 2014'!A302,IF('Week 10 Studio'!$S$5="Station 1 - 2015",'Station 1 - 2015'!A302,IF('Week 10 Studio'!$S$5="Station 2 - 2015",'Station 2 - 2015'!A302,IF('Week 10 Studio'!$S$5="Station 3 - 2013",'Station 3 - 2013'!A302,"N/A"))))</f>
        <v>41565</v>
      </c>
      <c r="I297" s="88">
        <f>IF($S$5="Station 1 - 2014",'Station 1 - 2014'!B302,IF('Week 10 Studio'!$S$5="Station 1 - 2015",'Station 1 - 2015'!B302,IF('Week 10 Studio'!$S$5="Station 2 - 2015",'Station 2 - 2015'!B302,IF('Week 10 Studio'!$S$5="Station 3 - 2013",'Station 3 - 2013'!B302,"N/A"))))</f>
        <v>0</v>
      </c>
      <c r="J297">
        <f t="shared" si="18"/>
        <v>1216</v>
      </c>
      <c r="K297">
        <f t="shared" si="19"/>
        <v>369</v>
      </c>
      <c r="L297">
        <f t="shared" si="16"/>
        <v>0</v>
      </c>
      <c r="M297">
        <f t="shared" si="17"/>
        <v>-369</v>
      </c>
    </row>
    <row r="298" spans="8:13">
      <c r="H298" s="87">
        <f>IF($S$5="Station 1 - 2014",'Station 1 - 2014'!A303,IF('Week 10 Studio'!$S$5="Station 1 - 2015",'Station 1 - 2015'!A303,IF('Week 10 Studio'!$S$5="Station 2 - 2015",'Station 2 - 2015'!A303,IF('Week 10 Studio'!$S$5="Station 3 - 2013",'Station 3 - 2013'!A303,"N/A"))))</f>
        <v>41566</v>
      </c>
      <c r="I298" s="88">
        <f>IF($S$5="Station 1 - 2014",'Station 1 - 2014'!B303,IF('Week 10 Studio'!$S$5="Station 1 - 2015",'Station 1 - 2015'!B303,IF('Week 10 Studio'!$S$5="Station 2 - 2015",'Station 2 - 2015'!B303,IF('Week 10 Studio'!$S$5="Station 3 - 2013",'Station 3 - 2013'!B303,"N/A"))))</f>
        <v>0</v>
      </c>
      <c r="J298">
        <f t="shared" si="18"/>
        <v>847</v>
      </c>
      <c r="K298">
        <f t="shared" si="19"/>
        <v>369</v>
      </c>
      <c r="L298">
        <f t="shared" si="16"/>
        <v>0</v>
      </c>
      <c r="M298">
        <f t="shared" si="17"/>
        <v>-369</v>
      </c>
    </row>
    <row r="299" spans="8:13">
      <c r="H299" s="87">
        <f>IF($S$5="Station 1 - 2014",'Station 1 - 2014'!A304,IF('Week 10 Studio'!$S$5="Station 1 - 2015",'Station 1 - 2015'!A304,IF('Week 10 Studio'!$S$5="Station 2 - 2015",'Station 2 - 2015'!A304,IF('Week 10 Studio'!$S$5="Station 3 - 2013",'Station 3 - 2013'!A304,"N/A"))))</f>
        <v>41567</v>
      </c>
      <c r="I299" s="88">
        <f>IF($S$5="Station 1 - 2014",'Station 1 - 2014'!B304,IF('Week 10 Studio'!$S$5="Station 1 - 2015",'Station 1 - 2015'!B304,IF('Week 10 Studio'!$S$5="Station 2 - 2015",'Station 2 - 2015'!B304,IF('Week 10 Studio'!$S$5="Station 3 - 2013",'Station 3 - 2013'!B304,"N/A"))))</f>
        <v>0</v>
      </c>
      <c r="J299">
        <f t="shared" si="18"/>
        <v>478</v>
      </c>
      <c r="K299">
        <f t="shared" si="19"/>
        <v>369</v>
      </c>
      <c r="L299">
        <f t="shared" si="16"/>
        <v>0</v>
      </c>
      <c r="M299">
        <f t="shared" si="17"/>
        <v>-369</v>
      </c>
    </row>
    <row r="300" spans="8:13">
      <c r="H300" s="87">
        <f>IF($S$5="Station 1 - 2014",'Station 1 - 2014'!A305,IF('Week 10 Studio'!$S$5="Station 1 - 2015",'Station 1 - 2015'!A305,IF('Week 10 Studio'!$S$5="Station 2 - 2015",'Station 2 - 2015'!A305,IF('Week 10 Studio'!$S$5="Station 3 - 2013",'Station 3 - 2013'!A305,"N/A"))))</f>
        <v>41568</v>
      </c>
      <c r="I300" s="88">
        <f>IF($S$5="Station 1 - 2014",'Station 1 - 2014'!B305,IF('Week 10 Studio'!$S$5="Station 1 - 2015",'Station 1 - 2015'!B305,IF('Week 10 Studio'!$S$5="Station 2 - 2015",'Station 2 - 2015'!B305,IF('Week 10 Studio'!$S$5="Station 3 - 2013",'Station 3 - 2013'!B305,"N/A"))))</f>
        <v>0</v>
      </c>
      <c r="J300">
        <f t="shared" si="18"/>
        <v>109</v>
      </c>
      <c r="K300">
        <f t="shared" si="19"/>
        <v>369</v>
      </c>
      <c r="L300">
        <f t="shared" si="16"/>
        <v>0</v>
      </c>
      <c r="M300">
        <f t="shared" si="17"/>
        <v>-369</v>
      </c>
    </row>
    <row r="301" spans="8:13">
      <c r="H301" s="87">
        <f>IF($S$5="Station 1 - 2014",'Station 1 - 2014'!A306,IF('Week 10 Studio'!$S$5="Station 1 - 2015",'Station 1 - 2015'!A306,IF('Week 10 Studio'!$S$5="Station 2 - 2015",'Station 2 - 2015'!A306,IF('Week 10 Studio'!$S$5="Station 3 - 2013",'Station 3 - 2013'!A306,"N/A"))))</f>
        <v>41569</v>
      </c>
      <c r="I301" s="88">
        <f>IF($S$5="Station 1 - 2014",'Station 1 - 2014'!B306,IF('Week 10 Studio'!$S$5="Station 1 - 2015",'Station 1 - 2015'!B306,IF('Week 10 Studio'!$S$5="Station 2 - 2015",'Station 2 - 2015'!B306,IF('Week 10 Studio'!$S$5="Station 3 - 2013",'Station 3 - 2013'!B306,"N/A"))))</f>
        <v>0</v>
      </c>
      <c r="J301">
        <f t="shared" si="18"/>
        <v>0</v>
      </c>
      <c r="K301">
        <f t="shared" si="19"/>
        <v>369</v>
      </c>
      <c r="L301">
        <f t="shared" si="16"/>
        <v>0</v>
      </c>
      <c r="M301">
        <f t="shared" si="17"/>
        <v>-369</v>
      </c>
    </row>
    <row r="302" spans="8:13">
      <c r="H302" s="87">
        <f>IF($S$5="Station 1 - 2014",'Station 1 - 2014'!A307,IF('Week 10 Studio'!$S$5="Station 1 - 2015",'Station 1 - 2015'!A307,IF('Week 10 Studio'!$S$5="Station 2 - 2015",'Station 2 - 2015'!A307,IF('Week 10 Studio'!$S$5="Station 3 - 2013",'Station 3 - 2013'!A307,"N/A"))))</f>
        <v>41570</v>
      </c>
      <c r="I302" s="88">
        <f>IF($S$5="Station 1 - 2014",'Station 1 - 2014'!B307,IF('Week 10 Studio'!$S$5="Station 1 - 2015",'Station 1 - 2015'!B307,IF('Week 10 Studio'!$S$5="Station 2 - 2015",'Station 2 - 2015'!B307,IF('Week 10 Studio'!$S$5="Station 3 - 2013",'Station 3 - 2013'!B307,"N/A"))))</f>
        <v>0</v>
      </c>
      <c r="J302">
        <f t="shared" si="18"/>
        <v>0</v>
      </c>
      <c r="K302">
        <f t="shared" si="19"/>
        <v>369</v>
      </c>
      <c r="L302">
        <f t="shared" si="16"/>
        <v>0</v>
      </c>
      <c r="M302">
        <f t="shared" si="17"/>
        <v>-369</v>
      </c>
    </row>
    <row r="303" spans="8:13">
      <c r="H303" s="87">
        <f>IF($S$5="Station 1 - 2014",'Station 1 - 2014'!A308,IF('Week 10 Studio'!$S$5="Station 1 - 2015",'Station 1 - 2015'!A308,IF('Week 10 Studio'!$S$5="Station 2 - 2015",'Station 2 - 2015'!A308,IF('Week 10 Studio'!$S$5="Station 3 - 2013",'Station 3 - 2013'!A308,"N/A"))))</f>
        <v>41571</v>
      </c>
      <c r="I303" s="88">
        <f>IF($S$5="Station 1 - 2014",'Station 1 - 2014'!B308,IF('Week 10 Studio'!$S$5="Station 1 - 2015",'Station 1 - 2015'!B308,IF('Week 10 Studio'!$S$5="Station 2 - 2015",'Station 2 - 2015'!B308,IF('Week 10 Studio'!$S$5="Station 3 - 2013",'Station 3 - 2013'!B308,"N/A"))))</f>
        <v>0</v>
      </c>
      <c r="J303">
        <f t="shared" si="18"/>
        <v>0</v>
      </c>
      <c r="K303">
        <f t="shared" si="19"/>
        <v>369</v>
      </c>
      <c r="L303">
        <f t="shared" si="16"/>
        <v>0</v>
      </c>
      <c r="M303">
        <f t="shared" si="17"/>
        <v>-369</v>
      </c>
    </row>
    <row r="304" spans="8:13">
      <c r="H304" s="87">
        <f>IF($S$5="Station 1 - 2014",'Station 1 - 2014'!A309,IF('Week 10 Studio'!$S$5="Station 1 - 2015",'Station 1 - 2015'!A309,IF('Week 10 Studio'!$S$5="Station 2 - 2015",'Station 2 - 2015'!A309,IF('Week 10 Studio'!$S$5="Station 3 - 2013",'Station 3 - 2013'!A309,"N/A"))))</f>
        <v>41572</v>
      </c>
      <c r="I304" s="88">
        <f>IF($S$5="Station 1 - 2014",'Station 1 - 2014'!B309,IF('Week 10 Studio'!$S$5="Station 1 - 2015",'Station 1 - 2015'!B309,IF('Week 10 Studio'!$S$5="Station 2 - 2015",'Station 2 - 2015'!B309,IF('Week 10 Studio'!$S$5="Station 3 - 2013",'Station 3 - 2013'!B309,"N/A"))))</f>
        <v>0</v>
      </c>
      <c r="J304">
        <f t="shared" si="18"/>
        <v>0</v>
      </c>
      <c r="K304">
        <f t="shared" si="19"/>
        <v>369</v>
      </c>
      <c r="L304">
        <f t="shared" si="16"/>
        <v>1200</v>
      </c>
      <c r="M304">
        <f t="shared" si="17"/>
        <v>831</v>
      </c>
    </row>
    <row r="305" spans="8:13">
      <c r="H305" s="87">
        <f>IF($S$5="Station 1 - 2014",'Station 1 - 2014'!A310,IF('Week 10 Studio'!$S$5="Station 1 - 2015",'Station 1 - 2015'!A310,IF('Week 10 Studio'!$S$5="Station 2 - 2015",'Station 2 - 2015'!A310,IF('Week 10 Studio'!$S$5="Station 3 - 2013",'Station 3 - 2013'!A310,"N/A"))))</f>
        <v>41573</v>
      </c>
      <c r="I305" s="88">
        <f>IF($S$5="Station 1 - 2014",'Station 1 - 2014'!B310,IF('Week 10 Studio'!$S$5="Station 1 - 2015",'Station 1 - 2015'!B310,IF('Week 10 Studio'!$S$5="Station 2 - 2015",'Station 2 - 2015'!B310,IF('Week 10 Studio'!$S$5="Station 3 - 2013",'Station 3 - 2013'!B310,"N/A"))))</f>
        <v>9.6</v>
      </c>
      <c r="J305">
        <f t="shared" si="18"/>
        <v>831</v>
      </c>
      <c r="K305">
        <f t="shared" si="19"/>
        <v>369</v>
      </c>
      <c r="L305">
        <f t="shared" si="16"/>
        <v>0</v>
      </c>
      <c r="M305">
        <f t="shared" si="17"/>
        <v>-369</v>
      </c>
    </row>
    <row r="306" spans="8:13">
      <c r="H306" s="87">
        <f>IF($S$5="Station 1 - 2014",'Station 1 - 2014'!A311,IF('Week 10 Studio'!$S$5="Station 1 - 2015",'Station 1 - 2015'!A311,IF('Week 10 Studio'!$S$5="Station 2 - 2015",'Station 2 - 2015'!A311,IF('Week 10 Studio'!$S$5="Station 3 - 2013",'Station 3 - 2013'!A311,"N/A"))))</f>
        <v>41574</v>
      </c>
      <c r="I306" s="88">
        <f>IF($S$5="Station 1 - 2014",'Station 1 - 2014'!B311,IF('Week 10 Studio'!$S$5="Station 1 - 2015",'Station 1 - 2015'!B311,IF('Week 10 Studio'!$S$5="Station 2 - 2015",'Station 2 - 2015'!B311,IF('Week 10 Studio'!$S$5="Station 3 - 2013",'Station 3 - 2013'!B311,"N/A"))))</f>
        <v>0</v>
      </c>
      <c r="J306">
        <f t="shared" si="18"/>
        <v>462</v>
      </c>
      <c r="K306">
        <f t="shared" si="19"/>
        <v>369</v>
      </c>
      <c r="L306">
        <f t="shared" si="16"/>
        <v>0</v>
      </c>
      <c r="M306">
        <f t="shared" si="17"/>
        <v>-369</v>
      </c>
    </row>
    <row r="307" spans="8:13">
      <c r="H307" s="87">
        <f>IF($S$5="Station 1 - 2014",'Station 1 - 2014'!A312,IF('Week 10 Studio'!$S$5="Station 1 - 2015",'Station 1 - 2015'!A312,IF('Week 10 Studio'!$S$5="Station 2 - 2015",'Station 2 - 2015'!A312,IF('Week 10 Studio'!$S$5="Station 3 - 2013",'Station 3 - 2013'!A312,"N/A"))))</f>
        <v>41575</v>
      </c>
      <c r="I307" s="88">
        <f>IF($S$5="Station 1 - 2014",'Station 1 - 2014'!B312,IF('Week 10 Studio'!$S$5="Station 1 - 2015",'Station 1 - 2015'!B312,IF('Week 10 Studio'!$S$5="Station 2 - 2015",'Station 2 - 2015'!B312,IF('Week 10 Studio'!$S$5="Station 3 - 2013",'Station 3 - 2013'!B312,"N/A"))))</f>
        <v>0</v>
      </c>
      <c r="J307">
        <f t="shared" si="18"/>
        <v>93</v>
      </c>
      <c r="K307">
        <f t="shared" si="19"/>
        <v>369</v>
      </c>
      <c r="L307">
        <f t="shared" si="16"/>
        <v>0</v>
      </c>
      <c r="M307">
        <f t="shared" si="17"/>
        <v>-369</v>
      </c>
    </row>
    <row r="308" spans="8:13">
      <c r="H308" s="87">
        <f>IF($S$5="Station 1 - 2014",'Station 1 - 2014'!A313,IF('Week 10 Studio'!$S$5="Station 1 - 2015",'Station 1 - 2015'!A313,IF('Week 10 Studio'!$S$5="Station 2 - 2015",'Station 2 - 2015'!A313,IF('Week 10 Studio'!$S$5="Station 3 - 2013",'Station 3 - 2013'!A313,"N/A"))))</f>
        <v>41576</v>
      </c>
      <c r="I308" s="88">
        <f>IF($S$5="Station 1 - 2014",'Station 1 - 2014'!B313,IF('Week 10 Studio'!$S$5="Station 1 - 2015",'Station 1 - 2015'!B313,IF('Week 10 Studio'!$S$5="Station 2 - 2015",'Station 2 - 2015'!B313,IF('Week 10 Studio'!$S$5="Station 3 - 2013",'Station 3 - 2013'!B313,"N/A"))))</f>
        <v>0</v>
      </c>
      <c r="J308">
        <f t="shared" si="18"/>
        <v>0</v>
      </c>
      <c r="K308">
        <f t="shared" si="19"/>
        <v>369</v>
      </c>
      <c r="L308">
        <f t="shared" si="16"/>
        <v>1762.5</v>
      </c>
      <c r="M308">
        <f t="shared" si="17"/>
        <v>1393.5</v>
      </c>
    </row>
    <row r="309" spans="8:13">
      <c r="H309" s="87">
        <f>IF($S$5="Station 1 - 2014",'Station 1 - 2014'!A314,IF('Week 10 Studio'!$S$5="Station 1 - 2015",'Station 1 - 2015'!A314,IF('Week 10 Studio'!$S$5="Station 2 - 2015",'Station 2 - 2015'!A314,IF('Week 10 Studio'!$S$5="Station 3 - 2013",'Station 3 - 2013'!A314,"N/A"))))</f>
        <v>41577</v>
      </c>
      <c r="I309" s="88">
        <f>IF($S$5="Station 1 - 2014",'Station 1 - 2014'!B314,IF('Week 10 Studio'!$S$5="Station 1 - 2015",'Station 1 - 2015'!B314,IF('Week 10 Studio'!$S$5="Station 2 - 2015",'Station 2 - 2015'!B314,IF('Week 10 Studio'!$S$5="Station 3 - 2013",'Station 3 - 2013'!B314,"N/A"))))</f>
        <v>14.1</v>
      </c>
      <c r="J309">
        <f t="shared" si="18"/>
        <v>1393.5</v>
      </c>
      <c r="K309">
        <f t="shared" si="19"/>
        <v>369</v>
      </c>
      <c r="L309">
        <f t="shared" si="16"/>
        <v>250</v>
      </c>
      <c r="M309">
        <f t="shared" si="17"/>
        <v>-119</v>
      </c>
    </row>
    <row r="310" spans="8:13">
      <c r="H310" s="87">
        <f>IF($S$5="Station 1 - 2014",'Station 1 - 2014'!A315,IF('Week 10 Studio'!$S$5="Station 1 - 2015",'Station 1 - 2015'!A315,IF('Week 10 Studio'!$S$5="Station 2 - 2015",'Station 2 - 2015'!A315,IF('Week 10 Studio'!$S$5="Station 3 - 2013",'Station 3 - 2013'!A315,"N/A"))))</f>
        <v>41578</v>
      </c>
      <c r="I310" s="88">
        <f>IF($S$5="Station 1 - 2014",'Station 1 - 2014'!B315,IF('Week 10 Studio'!$S$5="Station 1 - 2015",'Station 1 - 2015'!B315,IF('Week 10 Studio'!$S$5="Station 2 - 2015",'Station 2 - 2015'!B315,IF('Week 10 Studio'!$S$5="Station 3 - 2013",'Station 3 - 2013'!B315,"N/A"))))</f>
        <v>2</v>
      </c>
      <c r="J310">
        <f t="shared" si="18"/>
        <v>1274.5</v>
      </c>
      <c r="K310">
        <f t="shared" si="19"/>
        <v>369</v>
      </c>
      <c r="L310">
        <f t="shared" si="16"/>
        <v>100</v>
      </c>
      <c r="M310">
        <f t="shared" si="17"/>
        <v>-269</v>
      </c>
    </row>
    <row r="311" spans="8:13">
      <c r="H311" s="87">
        <f>IF($S$5="Station 1 - 2014",'Station 1 - 2014'!A316,IF('Week 10 Studio'!$S$5="Station 1 - 2015",'Station 1 - 2015'!A316,IF('Week 10 Studio'!$S$5="Station 2 - 2015",'Station 2 - 2015'!A316,IF('Week 10 Studio'!$S$5="Station 3 - 2013",'Station 3 - 2013'!A316,"N/A"))))</f>
        <v>41579</v>
      </c>
      <c r="I311" s="88">
        <f>IF($S$5="Station 1 - 2014",'Station 1 - 2014'!B316,IF('Week 10 Studio'!$S$5="Station 1 - 2015",'Station 1 - 2015'!B316,IF('Week 10 Studio'!$S$5="Station 2 - 2015",'Station 2 - 2015'!B316,IF('Week 10 Studio'!$S$5="Station 3 - 2013",'Station 3 - 2013'!B316,"N/A"))))</f>
        <v>0.8</v>
      </c>
      <c r="J311">
        <f t="shared" si="18"/>
        <v>1005.5</v>
      </c>
      <c r="K311">
        <f t="shared" si="19"/>
        <v>369</v>
      </c>
      <c r="L311">
        <f t="shared" si="16"/>
        <v>0</v>
      </c>
      <c r="M311">
        <f t="shared" si="17"/>
        <v>-369</v>
      </c>
    </row>
    <row r="312" spans="8:13">
      <c r="H312" s="87">
        <f>IF($S$5="Station 1 - 2014",'Station 1 - 2014'!A317,IF('Week 10 Studio'!$S$5="Station 1 - 2015",'Station 1 - 2015'!A317,IF('Week 10 Studio'!$S$5="Station 2 - 2015",'Station 2 - 2015'!A317,IF('Week 10 Studio'!$S$5="Station 3 - 2013",'Station 3 - 2013'!A317,"N/A"))))</f>
        <v>41580</v>
      </c>
      <c r="I312" s="88">
        <f>IF($S$5="Station 1 - 2014",'Station 1 - 2014'!B317,IF('Week 10 Studio'!$S$5="Station 1 - 2015",'Station 1 - 2015'!B317,IF('Week 10 Studio'!$S$5="Station 2 - 2015",'Station 2 - 2015'!B317,IF('Week 10 Studio'!$S$5="Station 3 - 2013",'Station 3 - 2013'!B317,"N/A"))))</f>
        <v>0</v>
      </c>
      <c r="J312">
        <f t="shared" si="18"/>
        <v>636.5</v>
      </c>
      <c r="K312">
        <f t="shared" si="19"/>
        <v>369</v>
      </c>
      <c r="L312">
        <f t="shared" si="16"/>
        <v>0</v>
      </c>
      <c r="M312">
        <f t="shared" si="17"/>
        <v>-369</v>
      </c>
    </row>
    <row r="313" spans="8:13">
      <c r="H313" s="87">
        <f>IF($S$5="Station 1 - 2014",'Station 1 - 2014'!A318,IF('Week 10 Studio'!$S$5="Station 1 - 2015",'Station 1 - 2015'!A318,IF('Week 10 Studio'!$S$5="Station 2 - 2015",'Station 2 - 2015'!A318,IF('Week 10 Studio'!$S$5="Station 3 - 2013",'Station 3 - 2013'!A318,"N/A"))))</f>
        <v>41581</v>
      </c>
      <c r="I313" s="88">
        <f>IF($S$5="Station 1 - 2014",'Station 1 - 2014'!B318,IF('Week 10 Studio'!$S$5="Station 1 - 2015",'Station 1 - 2015'!B318,IF('Week 10 Studio'!$S$5="Station 2 - 2015",'Station 2 - 2015'!B318,IF('Week 10 Studio'!$S$5="Station 3 - 2013",'Station 3 - 2013'!B318,"N/A"))))</f>
        <v>0</v>
      </c>
      <c r="J313">
        <f t="shared" si="18"/>
        <v>267.5</v>
      </c>
      <c r="K313">
        <f t="shared" si="19"/>
        <v>369</v>
      </c>
      <c r="L313">
        <f t="shared" si="16"/>
        <v>150</v>
      </c>
      <c r="M313">
        <f t="shared" si="17"/>
        <v>-219</v>
      </c>
    </row>
    <row r="314" spans="8:13">
      <c r="H314" s="87">
        <f>IF($S$5="Station 1 - 2014",'Station 1 - 2014'!A319,IF('Week 10 Studio'!$S$5="Station 1 - 2015",'Station 1 - 2015'!A319,IF('Week 10 Studio'!$S$5="Station 2 - 2015",'Station 2 - 2015'!A319,IF('Week 10 Studio'!$S$5="Station 3 - 2013",'Station 3 - 2013'!A319,"N/A"))))</f>
        <v>41582</v>
      </c>
      <c r="I314" s="88">
        <f>IF($S$5="Station 1 - 2014",'Station 1 - 2014'!B319,IF('Week 10 Studio'!$S$5="Station 1 - 2015",'Station 1 - 2015'!B319,IF('Week 10 Studio'!$S$5="Station 2 - 2015",'Station 2 - 2015'!B319,IF('Week 10 Studio'!$S$5="Station 3 - 2013",'Station 3 - 2013'!B319,"N/A"))))</f>
        <v>1.2</v>
      </c>
      <c r="J314">
        <f t="shared" si="18"/>
        <v>48.5</v>
      </c>
      <c r="K314">
        <f t="shared" si="19"/>
        <v>369</v>
      </c>
      <c r="L314">
        <f t="shared" si="16"/>
        <v>375</v>
      </c>
      <c r="M314">
        <f t="shared" si="17"/>
        <v>6</v>
      </c>
    </row>
    <row r="315" spans="8:13">
      <c r="H315" s="87">
        <f>IF($S$5="Station 1 - 2014",'Station 1 - 2014'!A320,IF('Week 10 Studio'!$S$5="Station 1 - 2015",'Station 1 - 2015'!A320,IF('Week 10 Studio'!$S$5="Station 2 - 2015",'Station 2 - 2015'!A320,IF('Week 10 Studio'!$S$5="Station 3 - 2013",'Station 3 - 2013'!A320,"N/A"))))</f>
        <v>41583</v>
      </c>
      <c r="I315" s="88">
        <f>IF($S$5="Station 1 - 2014",'Station 1 - 2014'!B320,IF('Week 10 Studio'!$S$5="Station 1 - 2015",'Station 1 - 2015'!B320,IF('Week 10 Studio'!$S$5="Station 2 - 2015",'Station 2 - 2015'!B320,IF('Week 10 Studio'!$S$5="Station 3 - 2013",'Station 3 - 2013'!B320,"N/A"))))</f>
        <v>3</v>
      </c>
      <c r="J315">
        <f t="shared" si="18"/>
        <v>54.5</v>
      </c>
      <c r="K315">
        <f t="shared" si="19"/>
        <v>369</v>
      </c>
      <c r="L315">
        <f t="shared" si="16"/>
        <v>400</v>
      </c>
      <c r="M315">
        <f t="shared" si="17"/>
        <v>31</v>
      </c>
    </row>
    <row r="316" spans="8:13">
      <c r="H316" s="87">
        <f>IF($S$5="Station 1 - 2014",'Station 1 - 2014'!A321,IF('Week 10 Studio'!$S$5="Station 1 - 2015",'Station 1 - 2015'!A321,IF('Week 10 Studio'!$S$5="Station 2 - 2015",'Station 2 - 2015'!A321,IF('Week 10 Studio'!$S$5="Station 3 - 2013",'Station 3 - 2013'!A321,"N/A"))))</f>
        <v>41584</v>
      </c>
      <c r="I316" s="88">
        <f>IF($S$5="Station 1 - 2014",'Station 1 - 2014'!B321,IF('Week 10 Studio'!$S$5="Station 1 - 2015",'Station 1 - 2015'!B321,IF('Week 10 Studio'!$S$5="Station 2 - 2015",'Station 2 - 2015'!B321,IF('Week 10 Studio'!$S$5="Station 3 - 2013",'Station 3 - 2013'!B321,"N/A"))))</f>
        <v>3.2</v>
      </c>
      <c r="J316">
        <f t="shared" si="18"/>
        <v>85.5</v>
      </c>
      <c r="K316">
        <f t="shared" si="19"/>
        <v>369</v>
      </c>
      <c r="L316">
        <f t="shared" si="16"/>
        <v>400</v>
      </c>
      <c r="M316">
        <f t="shared" si="17"/>
        <v>31</v>
      </c>
    </row>
    <row r="317" spans="8:13">
      <c r="H317" s="87">
        <f>IF($S$5="Station 1 - 2014",'Station 1 - 2014'!A322,IF('Week 10 Studio'!$S$5="Station 1 - 2015",'Station 1 - 2015'!A322,IF('Week 10 Studio'!$S$5="Station 2 - 2015",'Station 2 - 2015'!A322,IF('Week 10 Studio'!$S$5="Station 3 - 2013",'Station 3 - 2013'!A322,"N/A"))))</f>
        <v>41585</v>
      </c>
      <c r="I317" s="88">
        <f>IF($S$5="Station 1 - 2014",'Station 1 - 2014'!B322,IF('Week 10 Studio'!$S$5="Station 1 - 2015",'Station 1 - 2015'!B322,IF('Week 10 Studio'!$S$5="Station 2 - 2015",'Station 2 - 2015'!B322,IF('Week 10 Studio'!$S$5="Station 3 - 2013",'Station 3 - 2013'!B322,"N/A"))))</f>
        <v>3.2</v>
      </c>
      <c r="J317">
        <f t="shared" si="18"/>
        <v>116.5</v>
      </c>
      <c r="K317">
        <f t="shared" si="19"/>
        <v>369</v>
      </c>
      <c r="L317">
        <f t="shared" si="16"/>
        <v>700</v>
      </c>
      <c r="M317">
        <f t="shared" si="17"/>
        <v>331</v>
      </c>
    </row>
    <row r="318" spans="8:13">
      <c r="H318" s="87">
        <f>IF($S$5="Station 1 - 2014",'Station 1 - 2014'!A323,IF('Week 10 Studio'!$S$5="Station 1 - 2015",'Station 1 - 2015'!A323,IF('Week 10 Studio'!$S$5="Station 2 - 2015",'Station 2 - 2015'!A323,IF('Week 10 Studio'!$S$5="Station 3 - 2013",'Station 3 - 2013'!A323,"N/A"))))</f>
        <v>41586</v>
      </c>
      <c r="I318" s="88">
        <f>IF($S$5="Station 1 - 2014",'Station 1 - 2014'!B323,IF('Week 10 Studio'!$S$5="Station 1 - 2015",'Station 1 - 2015'!B323,IF('Week 10 Studio'!$S$5="Station 2 - 2015",'Station 2 - 2015'!B323,IF('Week 10 Studio'!$S$5="Station 3 - 2013",'Station 3 - 2013'!B323,"N/A"))))</f>
        <v>5.6</v>
      </c>
      <c r="J318">
        <f t="shared" si="18"/>
        <v>447.5</v>
      </c>
      <c r="K318">
        <f t="shared" si="19"/>
        <v>369</v>
      </c>
      <c r="L318">
        <f t="shared" si="16"/>
        <v>0</v>
      </c>
      <c r="M318">
        <f t="shared" si="17"/>
        <v>-369</v>
      </c>
    </row>
    <row r="319" spans="8:13">
      <c r="H319" s="87">
        <f>IF($S$5="Station 1 - 2014",'Station 1 - 2014'!A324,IF('Week 10 Studio'!$S$5="Station 1 - 2015",'Station 1 - 2015'!A324,IF('Week 10 Studio'!$S$5="Station 2 - 2015",'Station 2 - 2015'!A324,IF('Week 10 Studio'!$S$5="Station 3 - 2013",'Station 3 - 2013'!A324,"N/A"))))</f>
        <v>41587</v>
      </c>
      <c r="I319" s="88">
        <f>IF($S$5="Station 1 - 2014",'Station 1 - 2014'!B324,IF('Week 10 Studio'!$S$5="Station 1 - 2015",'Station 1 - 2015'!B324,IF('Week 10 Studio'!$S$5="Station 2 - 2015",'Station 2 - 2015'!B324,IF('Week 10 Studio'!$S$5="Station 3 - 2013",'Station 3 - 2013'!B324,"N/A"))))</f>
        <v>0</v>
      </c>
      <c r="J319">
        <f t="shared" si="18"/>
        <v>78.5</v>
      </c>
      <c r="K319">
        <f t="shared" si="19"/>
        <v>369</v>
      </c>
      <c r="L319">
        <f t="shared" si="16"/>
        <v>0</v>
      </c>
      <c r="M319">
        <f t="shared" si="17"/>
        <v>-369</v>
      </c>
    </row>
    <row r="320" spans="8:13">
      <c r="H320" s="87">
        <f>IF($S$5="Station 1 - 2014",'Station 1 - 2014'!A325,IF('Week 10 Studio'!$S$5="Station 1 - 2015",'Station 1 - 2015'!A325,IF('Week 10 Studio'!$S$5="Station 2 - 2015",'Station 2 - 2015'!A325,IF('Week 10 Studio'!$S$5="Station 3 - 2013",'Station 3 - 2013'!A325,"N/A"))))</f>
        <v>41588</v>
      </c>
      <c r="I320" s="88">
        <f>IF($S$5="Station 1 - 2014",'Station 1 - 2014'!B325,IF('Week 10 Studio'!$S$5="Station 1 - 2015",'Station 1 - 2015'!B325,IF('Week 10 Studio'!$S$5="Station 2 - 2015",'Station 2 - 2015'!B325,IF('Week 10 Studio'!$S$5="Station 3 - 2013",'Station 3 - 2013'!B325,"N/A"))))</f>
        <v>0</v>
      </c>
      <c r="J320">
        <f t="shared" si="18"/>
        <v>0</v>
      </c>
      <c r="K320">
        <f t="shared" si="19"/>
        <v>369</v>
      </c>
      <c r="L320">
        <f t="shared" si="16"/>
        <v>225</v>
      </c>
      <c r="M320">
        <f t="shared" si="17"/>
        <v>-144</v>
      </c>
    </row>
    <row r="321" spans="8:13">
      <c r="H321" s="87">
        <f>IF($S$5="Station 1 - 2014",'Station 1 - 2014'!A326,IF('Week 10 Studio'!$S$5="Station 1 - 2015",'Station 1 - 2015'!A326,IF('Week 10 Studio'!$S$5="Station 2 - 2015",'Station 2 - 2015'!A326,IF('Week 10 Studio'!$S$5="Station 3 - 2013",'Station 3 - 2013'!A326,"N/A"))))</f>
        <v>41589</v>
      </c>
      <c r="I321" s="88">
        <f>IF($S$5="Station 1 - 2014",'Station 1 - 2014'!B326,IF('Week 10 Studio'!$S$5="Station 1 - 2015",'Station 1 - 2015'!B326,IF('Week 10 Studio'!$S$5="Station 2 - 2015",'Station 2 - 2015'!B326,IF('Week 10 Studio'!$S$5="Station 3 - 2013",'Station 3 - 2013'!B326,"N/A"))))</f>
        <v>1.8</v>
      </c>
      <c r="J321">
        <f t="shared" si="18"/>
        <v>0</v>
      </c>
      <c r="K321">
        <f t="shared" si="19"/>
        <v>369</v>
      </c>
      <c r="L321">
        <f t="shared" si="16"/>
        <v>1200</v>
      </c>
      <c r="M321">
        <f t="shared" si="17"/>
        <v>831</v>
      </c>
    </row>
    <row r="322" spans="8:13">
      <c r="H322" s="87">
        <f>IF($S$5="Station 1 - 2014",'Station 1 - 2014'!A327,IF('Week 10 Studio'!$S$5="Station 1 - 2015",'Station 1 - 2015'!A327,IF('Week 10 Studio'!$S$5="Station 2 - 2015",'Station 2 - 2015'!A327,IF('Week 10 Studio'!$S$5="Station 3 - 2013",'Station 3 - 2013'!A327,"N/A"))))</f>
        <v>41590</v>
      </c>
      <c r="I322" s="88">
        <f>IF($S$5="Station 1 - 2014",'Station 1 - 2014'!B327,IF('Week 10 Studio'!$S$5="Station 1 - 2015",'Station 1 - 2015'!B327,IF('Week 10 Studio'!$S$5="Station 2 - 2015",'Station 2 - 2015'!B327,IF('Week 10 Studio'!$S$5="Station 3 - 2013",'Station 3 - 2013'!B327,"N/A"))))</f>
        <v>9.6</v>
      </c>
      <c r="J322">
        <f t="shared" si="18"/>
        <v>831</v>
      </c>
      <c r="K322">
        <f t="shared" si="19"/>
        <v>369</v>
      </c>
      <c r="L322">
        <f t="shared" si="16"/>
        <v>1100</v>
      </c>
      <c r="M322">
        <f t="shared" si="17"/>
        <v>731</v>
      </c>
    </row>
    <row r="323" spans="8:13">
      <c r="H323" s="87">
        <f>IF($S$5="Station 1 - 2014",'Station 1 - 2014'!A328,IF('Week 10 Studio'!$S$5="Station 1 - 2015",'Station 1 - 2015'!A328,IF('Week 10 Studio'!$S$5="Station 2 - 2015",'Station 2 - 2015'!A328,IF('Week 10 Studio'!$S$5="Station 3 - 2013",'Station 3 - 2013'!A328,"N/A"))))</f>
        <v>41591</v>
      </c>
      <c r="I323" s="88">
        <f>IF($S$5="Station 1 - 2014",'Station 1 - 2014'!B328,IF('Week 10 Studio'!$S$5="Station 1 - 2015",'Station 1 - 2015'!B328,IF('Week 10 Studio'!$S$5="Station 2 - 2015",'Station 2 - 2015'!B328,IF('Week 10 Studio'!$S$5="Station 3 - 2013",'Station 3 - 2013'!B328,"N/A"))))</f>
        <v>8.8000000000000007</v>
      </c>
      <c r="J323">
        <f t="shared" si="18"/>
        <v>1562</v>
      </c>
      <c r="K323">
        <f t="shared" si="19"/>
        <v>369</v>
      </c>
      <c r="L323">
        <f t="shared" si="16"/>
        <v>175</v>
      </c>
      <c r="M323">
        <f t="shared" si="17"/>
        <v>-194</v>
      </c>
    </row>
    <row r="324" spans="8:13">
      <c r="H324" s="87">
        <f>IF($S$5="Station 1 - 2014",'Station 1 - 2014'!A329,IF('Week 10 Studio'!$S$5="Station 1 - 2015",'Station 1 - 2015'!A329,IF('Week 10 Studio'!$S$5="Station 2 - 2015",'Station 2 - 2015'!A329,IF('Week 10 Studio'!$S$5="Station 3 - 2013",'Station 3 - 2013'!A329,"N/A"))))</f>
        <v>41592</v>
      </c>
      <c r="I324" s="88">
        <f>IF($S$5="Station 1 - 2014",'Station 1 - 2014'!B329,IF('Week 10 Studio'!$S$5="Station 1 - 2015",'Station 1 - 2015'!B329,IF('Week 10 Studio'!$S$5="Station 2 - 2015",'Station 2 - 2015'!B329,IF('Week 10 Studio'!$S$5="Station 3 - 2013",'Station 3 - 2013'!B329,"N/A"))))</f>
        <v>1.4</v>
      </c>
      <c r="J324">
        <f t="shared" si="18"/>
        <v>1368</v>
      </c>
      <c r="K324">
        <f t="shared" si="19"/>
        <v>369</v>
      </c>
      <c r="L324">
        <f t="shared" si="16"/>
        <v>1475</v>
      </c>
      <c r="M324">
        <f t="shared" si="17"/>
        <v>1106</v>
      </c>
    </row>
    <row r="325" spans="8:13">
      <c r="H325" s="87">
        <f>IF($S$5="Station 1 - 2014",'Station 1 - 2014'!A330,IF('Week 10 Studio'!$S$5="Station 1 - 2015",'Station 1 - 2015'!A330,IF('Week 10 Studio'!$S$5="Station 2 - 2015",'Station 2 - 2015'!A330,IF('Week 10 Studio'!$S$5="Station 3 - 2013",'Station 3 - 2013'!A330,"N/A"))))</f>
        <v>41593</v>
      </c>
      <c r="I325" s="88">
        <f>IF($S$5="Station 1 - 2014",'Station 1 - 2014'!B330,IF('Week 10 Studio'!$S$5="Station 1 - 2015",'Station 1 - 2015'!B330,IF('Week 10 Studio'!$S$5="Station 2 - 2015",'Station 2 - 2015'!B330,IF('Week 10 Studio'!$S$5="Station 3 - 2013",'Station 3 - 2013'!B330,"N/A"))))</f>
        <v>11.8</v>
      </c>
      <c r="J325">
        <f t="shared" si="18"/>
        <v>2474</v>
      </c>
      <c r="K325">
        <f t="shared" si="19"/>
        <v>369</v>
      </c>
      <c r="L325">
        <f t="shared" si="16"/>
        <v>0</v>
      </c>
      <c r="M325">
        <f t="shared" si="17"/>
        <v>-369</v>
      </c>
    </row>
    <row r="326" spans="8:13">
      <c r="H326" s="87">
        <f>IF($S$5="Station 1 - 2014",'Station 1 - 2014'!A331,IF('Week 10 Studio'!$S$5="Station 1 - 2015",'Station 1 - 2015'!A331,IF('Week 10 Studio'!$S$5="Station 2 - 2015",'Station 2 - 2015'!A331,IF('Week 10 Studio'!$S$5="Station 3 - 2013",'Station 3 - 2013'!A331,"N/A"))))</f>
        <v>41594</v>
      </c>
      <c r="I326" s="88">
        <f>IF($S$5="Station 1 - 2014",'Station 1 - 2014'!B331,IF('Week 10 Studio'!$S$5="Station 1 - 2015",'Station 1 - 2015'!B331,IF('Week 10 Studio'!$S$5="Station 2 - 2015",'Station 2 - 2015'!B331,IF('Week 10 Studio'!$S$5="Station 3 - 2013",'Station 3 - 2013'!B331,"N/A"))))</f>
        <v>0</v>
      </c>
      <c r="J326">
        <f t="shared" si="18"/>
        <v>2105</v>
      </c>
      <c r="K326">
        <f t="shared" si="19"/>
        <v>369</v>
      </c>
      <c r="L326">
        <f t="shared" ref="L326:L371" si="20">($C$14*(I327/1000))*1000</f>
        <v>575</v>
      </c>
      <c r="M326">
        <f t="shared" ref="M326:M371" si="21">L326-K327</f>
        <v>206</v>
      </c>
    </row>
    <row r="327" spans="8:13">
      <c r="H327" s="87">
        <f>IF($S$5="Station 1 - 2014",'Station 1 - 2014'!A332,IF('Week 10 Studio'!$S$5="Station 1 - 2015",'Station 1 - 2015'!A332,IF('Week 10 Studio'!$S$5="Station 2 - 2015",'Station 2 - 2015'!A332,IF('Week 10 Studio'!$S$5="Station 3 - 2013",'Station 3 - 2013'!A332,"N/A"))))</f>
        <v>41595</v>
      </c>
      <c r="I327" s="88">
        <f>IF($S$5="Station 1 - 2014",'Station 1 - 2014'!B332,IF('Week 10 Studio'!$S$5="Station 1 - 2015",'Station 1 - 2015'!B332,IF('Week 10 Studio'!$S$5="Station 2 - 2015",'Station 2 - 2015'!B332,IF('Week 10 Studio'!$S$5="Station 3 - 2013",'Station 3 - 2013'!B332,"N/A"))))</f>
        <v>4.5999999999999996</v>
      </c>
      <c r="J327">
        <f t="shared" ref="J327:J371" si="22">IF(IF(J326+M$6&lt;$C$13,J326+M326,$C$13)&gt;0,IF(J326+M326&lt;$C$13,J326+M326,$C$13),0)</f>
        <v>2311</v>
      </c>
      <c r="K327">
        <f t="shared" ref="K327:K371" si="23">IF(MONTH(H327)=1,0,$C$18)</f>
        <v>369</v>
      </c>
      <c r="L327">
        <f t="shared" si="20"/>
        <v>0</v>
      </c>
      <c r="M327">
        <f t="shared" si="21"/>
        <v>-369</v>
      </c>
    </row>
    <row r="328" spans="8:13">
      <c r="H328" s="87">
        <f>IF($S$5="Station 1 - 2014",'Station 1 - 2014'!A333,IF('Week 10 Studio'!$S$5="Station 1 - 2015",'Station 1 - 2015'!A333,IF('Week 10 Studio'!$S$5="Station 2 - 2015",'Station 2 - 2015'!A333,IF('Week 10 Studio'!$S$5="Station 3 - 2013",'Station 3 - 2013'!A333,"N/A"))))</f>
        <v>41596</v>
      </c>
      <c r="I328" s="88">
        <f>IF($S$5="Station 1 - 2014",'Station 1 - 2014'!B333,IF('Week 10 Studio'!$S$5="Station 1 - 2015",'Station 1 - 2015'!B333,IF('Week 10 Studio'!$S$5="Station 2 - 2015",'Station 2 - 2015'!B333,IF('Week 10 Studio'!$S$5="Station 3 - 2013",'Station 3 - 2013'!B333,"N/A"))))</f>
        <v>0</v>
      </c>
      <c r="J328">
        <f t="shared" si="22"/>
        <v>1942</v>
      </c>
      <c r="K328">
        <f t="shared" si="23"/>
        <v>369</v>
      </c>
      <c r="L328">
        <f t="shared" si="20"/>
        <v>0</v>
      </c>
      <c r="M328">
        <f t="shared" si="21"/>
        <v>-369</v>
      </c>
    </row>
    <row r="329" spans="8:13">
      <c r="H329" s="87">
        <f>IF($S$5="Station 1 - 2014",'Station 1 - 2014'!A334,IF('Week 10 Studio'!$S$5="Station 1 - 2015",'Station 1 - 2015'!A334,IF('Week 10 Studio'!$S$5="Station 2 - 2015",'Station 2 - 2015'!A334,IF('Week 10 Studio'!$S$5="Station 3 - 2013",'Station 3 - 2013'!A334,"N/A"))))</f>
        <v>41597</v>
      </c>
      <c r="I329" s="88">
        <f>IF($S$5="Station 1 - 2014",'Station 1 - 2014'!B334,IF('Week 10 Studio'!$S$5="Station 1 - 2015",'Station 1 - 2015'!B334,IF('Week 10 Studio'!$S$5="Station 2 - 2015",'Station 2 - 2015'!B334,IF('Week 10 Studio'!$S$5="Station 3 - 2013",'Station 3 - 2013'!B334,"N/A"))))</f>
        <v>0</v>
      </c>
      <c r="J329">
        <f t="shared" si="22"/>
        <v>1573</v>
      </c>
      <c r="K329">
        <f t="shared" si="23"/>
        <v>369</v>
      </c>
      <c r="L329">
        <f t="shared" si="20"/>
        <v>0</v>
      </c>
      <c r="M329">
        <f t="shared" si="21"/>
        <v>-369</v>
      </c>
    </row>
    <row r="330" spans="8:13">
      <c r="H330" s="87">
        <f>IF($S$5="Station 1 - 2014",'Station 1 - 2014'!A335,IF('Week 10 Studio'!$S$5="Station 1 - 2015",'Station 1 - 2015'!A335,IF('Week 10 Studio'!$S$5="Station 2 - 2015",'Station 2 - 2015'!A335,IF('Week 10 Studio'!$S$5="Station 3 - 2013",'Station 3 - 2013'!A335,"N/A"))))</f>
        <v>41598</v>
      </c>
      <c r="I330" s="88">
        <f>IF($S$5="Station 1 - 2014",'Station 1 - 2014'!B335,IF('Week 10 Studio'!$S$5="Station 1 - 2015",'Station 1 - 2015'!B335,IF('Week 10 Studio'!$S$5="Station 2 - 2015",'Station 2 - 2015'!B335,IF('Week 10 Studio'!$S$5="Station 3 - 2013",'Station 3 - 2013'!B335,"N/A"))))</f>
        <v>0</v>
      </c>
      <c r="J330">
        <f t="shared" si="22"/>
        <v>1204</v>
      </c>
      <c r="K330">
        <f t="shared" si="23"/>
        <v>369</v>
      </c>
      <c r="L330">
        <f t="shared" si="20"/>
        <v>75</v>
      </c>
      <c r="M330">
        <f t="shared" si="21"/>
        <v>-294</v>
      </c>
    </row>
    <row r="331" spans="8:13">
      <c r="H331" s="87">
        <f>IF($S$5="Station 1 - 2014",'Station 1 - 2014'!A336,IF('Week 10 Studio'!$S$5="Station 1 - 2015",'Station 1 - 2015'!A336,IF('Week 10 Studio'!$S$5="Station 2 - 2015",'Station 2 - 2015'!A336,IF('Week 10 Studio'!$S$5="Station 3 - 2013",'Station 3 - 2013'!A336,"N/A"))))</f>
        <v>41599</v>
      </c>
      <c r="I331" s="88">
        <f>IF($S$5="Station 1 - 2014",'Station 1 - 2014'!B336,IF('Week 10 Studio'!$S$5="Station 1 - 2015",'Station 1 - 2015'!B336,IF('Week 10 Studio'!$S$5="Station 2 - 2015",'Station 2 - 2015'!B336,IF('Week 10 Studio'!$S$5="Station 3 - 2013",'Station 3 - 2013'!B336,"N/A"))))</f>
        <v>0.6</v>
      </c>
      <c r="J331">
        <f t="shared" si="22"/>
        <v>910</v>
      </c>
      <c r="K331">
        <f t="shared" si="23"/>
        <v>369</v>
      </c>
      <c r="L331">
        <f t="shared" si="20"/>
        <v>0</v>
      </c>
      <c r="M331">
        <f t="shared" si="21"/>
        <v>-369</v>
      </c>
    </row>
    <row r="332" spans="8:13">
      <c r="H332" s="87">
        <f>IF($S$5="Station 1 - 2014",'Station 1 - 2014'!A337,IF('Week 10 Studio'!$S$5="Station 1 - 2015",'Station 1 - 2015'!A337,IF('Week 10 Studio'!$S$5="Station 2 - 2015",'Station 2 - 2015'!A337,IF('Week 10 Studio'!$S$5="Station 3 - 2013",'Station 3 - 2013'!A337,"N/A"))))</f>
        <v>41600</v>
      </c>
      <c r="I332" s="88">
        <f>IF($S$5="Station 1 - 2014",'Station 1 - 2014'!B337,IF('Week 10 Studio'!$S$5="Station 1 - 2015",'Station 1 - 2015'!B337,IF('Week 10 Studio'!$S$5="Station 2 - 2015",'Station 2 - 2015'!B337,IF('Week 10 Studio'!$S$5="Station 3 - 2013",'Station 3 - 2013'!B337,"N/A"))))</f>
        <v>0</v>
      </c>
      <c r="J332">
        <f t="shared" si="22"/>
        <v>541</v>
      </c>
      <c r="K332">
        <f t="shared" si="23"/>
        <v>369</v>
      </c>
      <c r="L332">
        <f t="shared" si="20"/>
        <v>625</v>
      </c>
      <c r="M332">
        <f t="shared" si="21"/>
        <v>256</v>
      </c>
    </row>
    <row r="333" spans="8:13">
      <c r="H333" s="87">
        <f>IF($S$5="Station 1 - 2014",'Station 1 - 2014'!A338,IF('Week 10 Studio'!$S$5="Station 1 - 2015",'Station 1 - 2015'!A338,IF('Week 10 Studio'!$S$5="Station 2 - 2015",'Station 2 - 2015'!A338,IF('Week 10 Studio'!$S$5="Station 3 - 2013",'Station 3 - 2013'!A338,"N/A"))))</f>
        <v>41601</v>
      </c>
      <c r="I333" s="88">
        <f>IF($S$5="Station 1 - 2014",'Station 1 - 2014'!B338,IF('Week 10 Studio'!$S$5="Station 1 - 2015",'Station 1 - 2015'!B338,IF('Week 10 Studio'!$S$5="Station 2 - 2015",'Station 2 - 2015'!B338,IF('Week 10 Studio'!$S$5="Station 3 - 2013",'Station 3 - 2013'!B338,"N/A"))))</f>
        <v>5</v>
      </c>
      <c r="J333">
        <f t="shared" si="22"/>
        <v>797</v>
      </c>
      <c r="K333">
        <f t="shared" si="23"/>
        <v>369</v>
      </c>
      <c r="L333">
        <f t="shared" si="20"/>
        <v>550</v>
      </c>
      <c r="M333">
        <f t="shared" si="21"/>
        <v>181</v>
      </c>
    </row>
    <row r="334" spans="8:13">
      <c r="H334" s="87">
        <f>IF($S$5="Station 1 - 2014",'Station 1 - 2014'!A339,IF('Week 10 Studio'!$S$5="Station 1 - 2015",'Station 1 - 2015'!A339,IF('Week 10 Studio'!$S$5="Station 2 - 2015",'Station 2 - 2015'!A339,IF('Week 10 Studio'!$S$5="Station 3 - 2013",'Station 3 - 2013'!A339,"N/A"))))</f>
        <v>41602</v>
      </c>
      <c r="I334" s="88">
        <f>IF($S$5="Station 1 - 2014",'Station 1 - 2014'!B339,IF('Week 10 Studio'!$S$5="Station 1 - 2015",'Station 1 - 2015'!B339,IF('Week 10 Studio'!$S$5="Station 2 - 2015",'Station 2 - 2015'!B339,IF('Week 10 Studio'!$S$5="Station 3 - 2013",'Station 3 - 2013'!B339,"N/A"))))</f>
        <v>4.4000000000000004</v>
      </c>
      <c r="J334">
        <f t="shared" si="22"/>
        <v>978</v>
      </c>
      <c r="K334">
        <f t="shared" si="23"/>
        <v>369</v>
      </c>
      <c r="L334">
        <f t="shared" si="20"/>
        <v>0</v>
      </c>
      <c r="M334">
        <f t="shared" si="21"/>
        <v>-369</v>
      </c>
    </row>
    <row r="335" spans="8:13">
      <c r="H335" s="87">
        <f>IF($S$5="Station 1 - 2014",'Station 1 - 2014'!A340,IF('Week 10 Studio'!$S$5="Station 1 - 2015",'Station 1 - 2015'!A340,IF('Week 10 Studio'!$S$5="Station 2 - 2015",'Station 2 - 2015'!A340,IF('Week 10 Studio'!$S$5="Station 3 - 2013",'Station 3 - 2013'!A340,"N/A"))))</f>
        <v>41603</v>
      </c>
      <c r="I335" s="88">
        <f>IF($S$5="Station 1 - 2014",'Station 1 - 2014'!B340,IF('Week 10 Studio'!$S$5="Station 1 - 2015",'Station 1 - 2015'!B340,IF('Week 10 Studio'!$S$5="Station 2 - 2015",'Station 2 - 2015'!B340,IF('Week 10 Studio'!$S$5="Station 3 - 2013",'Station 3 - 2013'!B340,"N/A"))))</f>
        <v>0</v>
      </c>
      <c r="J335">
        <f t="shared" si="22"/>
        <v>609</v>
      </c>
      <c r="K335">
        <f t="shared" si="23"/>
        <v>369</v>
      </c>
      <c r="L335">
        <f t="shared" si="20"/>
        <v>25</v>
      </c>
      <c r="M335">
        <f t="shared" si="21"/>
        <v>-344</v>
      </c>
    </row>
    <row r="336" spans="8:13">
      <c r="H336" s="87">
        <f>IF($S$5="Station 1 - 2014",'Station 1 - 2014'!A341,IF('Week 10 Studio'!$S$5="Station 1 - 2015",'Station 1 - 2015'!A341,IF('Week 10 Studio'!$S$5="Station 2 - 2015",'Station 2 - 2015'!A341,IF('Week 10 Studio'!$S$5="Station 3 - 2013",'Station 3 - 2013'!A341,"N/A"))))</f>
        <v>41604</v>
      </c>
      <c r="I336" s="88">
        <f>IF($S$5="Station 1 - 2014",'Station 1 - 2014'!B341,IF('Week 10 Studio'!$S$5="Station 1 - 2015",'Station 1 - 2015'!B341,IF('Week 10 Studio'!$S$5="Station 2 - 2015",'Station 2 - 2015'!B341,IF('Week 10 Studio'!$S$5="Station 3 - 2013",'Station 3 - 2013'!B341,"N/A"))))</f>
        <v>0.2</v>
      </c>
      <c r="J336">
        <f t="shared" si="22"/>
        <v>265</v>
      </c>
      <c r="K336">
        <f t="shared" si="23"/>
        <v>369</v>
      </c>
      <c r="L336">
        <f t="shared" si="20"/>
        <v>450</v>
      </c>
      <c r="M336">
        <f t="shared" si="21"/>
        <v>81</v>
      </c>
    </row>
    <row r="337" spans="8:13">
      <c r="H337" s="87">
        <f>IF($S$5="Station 1 - 2014",'Station 1 - 2014'!A342,IF('Week 10 Studio'!$S$5="Station 1 - 2015",'Station 1 - 2015'!A342,IF('Week 10 Studio'!$S$5="Station 2 - 2015",'Station 2 - 2015'!A342,IF('Week 10 Studio'!$S$5="Station 3 - 2013",'Station 3 - 2013'!A342,"N/A"))))</f>
        <v>41605</v>
      </c>
      <c r="I337" s="88">
        <f>IF($S$5="Station 1 - 2014",'Station 1 - 2014'!B342,IF('Week 10 Studio'!$S$5="Station 1 - 2015",'Station 1 - 2015'!B342,IF('Week 10 Studio'!$S$5="Station 2 - 2015",'Station 2 - 2015'!B342,IF('Week 10 Studio'!$S$5="Station 3 - 2013",'Station 3 - 2013'!B342,"N/A"))))</f>
        <v>3.6</v>
      </c>
      <c r="J337">
        <f t="shared" si="22"/>
        <v>346</v>
      </c>
      <c r="K337">
        <f t="shared" si="23"/>
        <v>369</v>
      </c>
      <c r="L337">
        <f t="shared" si="20"/>
        <v>300</v>
      </c>
      <c r="M337">
        <f t="shared" si="21"/>
        <v>-69</v>
      </c>
    </row>
    <row r="338" spans="8:13">
      <c r="H338" s="87">
        <f>IF($S$5="Station 1 - 2014",'Station 1 - 2014'!A343,IF('Week 10 Studio'!$S$5="Station 1 - 2015",'Station 1 - 2015'!A343,IF('Week 10 Studio'!$S$5="Station 2 - 2015",'Station 2 - 2015'!A343,IF('Week 10 Studio'!$S$5="Station 3 - 2013",'Station 3 - 2013'!A343,"N/A"))))</f>
        <v>41606</v>
      </c>
      <c r="I338" s="88">
        <f>IF($S$5="Station 1 - 2014",'Station 1 - 2014'!B343,IF('Week 10 Studio'!$S$5="Station 1 - 2015",'Station 1 - 2015'!B343,IF('Week 10 Studio'!$S$5="Station 2 - 2015",'Station 2 - 2015'!B343,IF('Week 10 Studio'!$S$5="Station 3 - 2013",'Station 3 - 2013'!B343,"N/A"))))</f>
        <v>2.4</v>
      </c>
      <c r="J338">
        <f t="shared" si="22"/>
        <v>277</v>
      </c>
      <c r="K338">
        <f t="shared" si="23"/>
        <v>369</v>
      </c>
      <c r="L338">
        <f t="shared" si="20"/>
        <v>1275</v>
      </c>
      <c r="M338">
        <f t="shared" si="21"/>
        <v>906</v>
      </c>
    </row>
    <row r="339" spans="8:13">
      <c r="H339" s="87">
        <f>IF($S$5="Station 1 - 2014",'Station 1 - 2014'!A344,IF('Week 10 Studio'!$S$5="Station 1 - 2015",'Station 1 - 2015'!A344,IF('Week 10 Studio'!$S$5="Station 2 - 2015",'Station 2 - 2015'!A344,IF('Week 10 Studio'!$S$5="Station 3 - 2013",'Station 3 - 2013'!A344,"N/A"))))</f>
        <v>41607</v>
      </c>
      <c r="I339" s="88">
        <f>IF($S$5="Station 1 - 2014",'Station 1 - 2014'!B344,IF('Week 10 Studio'!$S$5="Station 1 - 2015",'Station 1 - 2015'!B344,IF('Week 10 Studio'!$S$5="Station 2 - 2015",'Station 2 - 2015'!B344,IF('Week 10 Studio'!$S$5="Station 3 - 2013",'Station 3 - 2013'!B344,"N/A"))))</f>
        <v>10.199999999999999</v>
      </c>
      <c r="J339">
        <f t="shared" si="22"/>
        <v>1183</v>
      </c>
      <c r="K339">
        <f t="shared" si="23"/>
        <v>369</v>
      </c>
      <c r="L339">
        <f t="shared" si="20"/>
        <v>3325</v>
      </c>
      <c r="M339">
        <f t="shared" si="21"/>
        <v>2956</v>
      </c>
    </row>
    <row r="340" spans="8:13">
      <c r="H340" s="87">
        <f>IF($S$5="Station 1 - 2014",'Station 1 - 2014'!A345,IF('Week 10 Studio'!$S$5="Station 1 - 2015",'Station 1 - 2015'!A345,IF('Week 10 Studio'!$S$5="Station 2 - 2015",'Station 2 - 2015'!A345,IF('Week 10 Studio'!$S$5="Station 3 - 2013",'Station 3 - 2013'!A345,"N/A"))))</f>
        <v>41608</v>
      </c>
      <c r="I340" s="88">
        <f>IF($S$5="Station 1 - 2014",'Station 1 - 2014'!B345,IF('Week 10 Studio'!$S$5="Station 1 - 2015",'Station 1 - 2015'!B345,IF('Week 10 Studio'!$S$5="Station 2 - 2015",'Station 2 - 2015'!B345,IF('Week 10 Studio'!$S$5="Station 3 - 2013",'Station 3 - 2013'!B345,"N/A"))))</f>
        <v>26.6</v>
      </c>
      <c r="J340">
        <f t="shared" si="22"/>
        <v>4139</v>
      </c>
      <c r="K340">
        <f t="shared" si="23"/>
        <v>369</v>
      </c>
      <c r="L340">
        <f t="shared" si="20"/>
        <v>675</v>
      </c>
      <c r="M340">
        <f t="shared" si="21"/>
        <v>306</v>
      </c>
    </row>
    <row r="341" spans="8:13">
      <c r="H341" s="87">
        <f>IF($S$5="Station 1 - 2014",'Station 1 - 2014'!A346,IF('Week 10 Studio'!$S$5="Station 1 - 2015",'Station 1 - 2015'!A346,IF('Week 10 Studio'!$S$5="Station 2 - 2015",'Station 2 - 2015'!A346,IF('Week 10 Studio'!$S$5="Station 3 - 2013",'Station 3 - 2013'!A346,"N/A"))))</f>
        <v>41609</v>
      </c>
      <c r="I341" s="88">
        <f>IF($S$5="Station 1 - 2014",'Station 1 - 2014'!B346,IF('Week 10 Studio'!$S$5="Station 1 - 2015",'Station 1 - 2015'!B346,IF('Week 10 Studio'!$S$5="Station 2 - 2015",'Station 2 - 2015'!B346,IF('Week 10 Studio'!$S$5="Station 3 - 2013",'Station 3 - 2013'!B346,"N/A"))))</f>
        <v>5.4</v>
      </c>
      <c r="J341">
        <f t="shared" si="22"/>
        <v>4445</v>
      </c>
      <c r="K341">
        <f t="shared" si="23"/>
        <v>369</v>
      </c>
      <c r="L341">
        <f t="shared" si="20"/>
        <v>0</v>
      </c>
      <c r="M341">
        <f t="shared" si="21"/>
        <v>-369</v>
      </c>
    </row>
    <row r="342" spans="8:13">
      <c r="H342" s="87">
        <f>IF($S$5="Station 1 - 2014",'Station 1 - 2014'!A347,IF('Week 10 Studio'!$S$5="Station 1 - 2015",'Station 1 - 2015'!A347,IF('Week 10 Studio'!$S$5="Station 2 - 2015",'Station 2 - 2015'!A347,IF('Week 10 Studio'!$S$5="Station 3 - 2013",'Station 3 - 2013'!A347,"N/A"))))</f>
        <v>41610</v>
      </c>
      <c r="I342" s="88">
        <f>IF($S$5="Station 1 - 2014",'Station 1 - 2014'!B347,IF('Week 10 Studio'!$S$5="Station 1 - 2015",'Station 1 - 2015'!B347,IF('Week 10 Studio'!$S$5="Station 2 - 2015",'Station 2 - 2015'!B347,IF('Week 10 Studio'!$S$5="Station 3 - 2013",'Station 3 - 2013'!B347,"N/A"))))</f>
        <v>0</v>
      </c>
      <c r="J342">
        <f t="shared" si="22"/>
        <v>4076</v>
      </c>
      <c r="K342">
        <f t="shared" si="23"/>
        <v>369</v>
      </c>
      <c r="L342">
        <f t="shared" si="20"/>
        <v>0</v>
      </c>
      <c r="M342">
        <f t="shared" si="21"/>
        <v>-369</v>
      </c>
    </row>
    <row r="343" spans="8:13">
      <c r="H343" s="87">
        <f>IF($S$5="Station 1 - 2014",'Station 1 - 2014'!A348,IF('Week 10 Studio'!$S$5="Station 1 - 2015",'Station 1 - 2015'!A348,IF('Week 10 Studio'!$S$5="Station 2 - 2015",'Station 2 - 2015'!A348,IF('Week 10 Studio'!$S$5="Station 3 - 2013",'Station 3 - 2013'!A348,"N/A"))))</f>
        <v>41611</v>
      </c>
      <c r="I343" s="88">
        <f>IF($S$5="Station 1 - 2014",'Station 1 - 2014'!B348,IF('Week 10 Studio'!$S$5="Station 1 - 2015",'Station 1 - 2015'!B348,IF('Week 10 Studio'!$S$5="Station 2 - 2015",'Station 2 - 2015'!B348,IF('Week 10 Studio'!$S$5="Station 3 - 2013",'Station 3 - 2013'!B348,"N/A"))))</f>
        <v>0</v>
      </c>
      <c r="J343">
        <f t="shared" si="22"/>
        <v>3707</v>
      </c>
      <c r="K343">
        <f t="shared" si="23"/>
        <v>369</v>
      </c>
      <c r="L343">
        <f t="shared" si="20"/>
        <v>0</v>
      </c>
      <c r="M343">
        <f t="shared" si="21"/>
        <v>-369</v>
      </c>
    </row>
    <row r="344" spans="8:13">
      <c r="H344" s="87">
        <f>IF($S$5="Station 1 - 2014",'Station 1 - 2014'!A349,IF('Week 10 Studio'!$S$5="Station 1 - 2015",'Station 1 - 2015'!A349,IF('Week 10 Studio'!$S$5="Station 2 - 2015",'Station 2 - 2015'!A349,IF('Week 10 Studio'!$S$5="Station 3 - 2013",'Station 3 - 2013'!A349,"N/A"))))</f>
        <v>41612</v>
      </c>
      <c r="I344" s="88">
        <f>IF($S$5="Station 1 - 2014",'Station 1 - 2014'!B349,IF('Week 10 Studio'!$S$5="Station 1 - 2015",'Station 1 - 2015'!B349,IF('Week 10 Studio'!$S$5="Station 2 - 2015",'Station 2 - 2015'!B349,IF('Week 10 Studio'!$S$5="Station 3 - 2013",'Station 3 - 2013'!B349,"N/A"))))</f>
        <v>0</v>
      </c>
      <c r="J344">
        <f t="shared" si="22"/>
        <v>3338</v>
      </c>
      <c r="K344">
        <f t="shared" si="23"/>
        <v>369</v>
      </c>
      <c r="L344">
        <f t="shared" si="20"/>
        <v>0</v>
      </c>
      <c r="M344">
        <f t="shared" si="21"/>
        <v>-369</v>
      </c>
    </row>
    <row r="345" spans="8:13">
      <c r="H345" s="87">
        <f>IF($S$5="Station 1 - 2014",'Station 1 - 2014'!A350,IF('Week 10 Studio'!$S$5="Station 1 - 2015",'Station 1 - 2015'!A350,IF('Week 10 Studio'!$S$5="Station 2 - 2015",'Station 2 - 2015'!A350,IF('Week 10 Studio'!$S$5="Station 3 - 2013",'Station 3 - 2013'!A350,"N/A"))))</f>
        <v>41613</v>
      </c>
      <c r="I345" s="88">
        <f>IF($S$5="Station 1 - 2014",'Station 1 - 2014'!B350,IF('Week 10 Studio'!$S$5="Station 1 - 2015",'Station 1 - 2015'!B350,IF('Week 10 Studio'!$S$5="Station 2 - 2015",'Station 2 - 2015'!B350,IF('Week 10 Studio'!$S$5="Station 3 - 2013",'Station 3 - 2013'!B350,"N/A"))))</f>
        <v>0</v>
      </c>
      <c r="J345">
        <f t="shared" si="22"/>
        <v>2969</v>
      </c>
      <c r="K345">
        <f t="shared" si="23"/>
        <v>369</v>
      </c>
      <c r="L345">
        <f t="shared" si="20"/>
        <v>0</v>
      </c>
      <c r="M345">
        <f t="shared" si="21"/>
        <v>-369</v>
      </c>
    </row>
    <row r="346" spans="8:13">
      <c r="H346" s="87">
        <f>IF($S$5="Station 1 - 2014",'Station 1 - 2014'!A351,IF('Week 10 Studio'!$S$5="Station 1 - 2015",'Station 1 - 2015'!A351,IF('Week 10 Studio'!$S$5="Station 2 - 2015",'Station 2 - 2015'!A351,IF('Week 10 Studio'!$S$5="Station 3 - 2013",'Station 3 - 2013'!A351,"N/A"))))</f>
        <v>41614</v>
      </c>
      <c r="I346" s="88">
        <f>IF($S$5="Station 1 - 2014",'Station 1 - 2014'!B351,IF('Week 10 Studio'!$S$5="Station 1 - 2015",'Station 1 - 2015'!B351,IF('Week 10 Studio'!$S$5="Station 2 - 2015",'Station 2 - 2015'!B351,IF('Week 10 Studio'!$S$5="Station 3 - 2013",'Station 3 - 2013'!B351,"N/A"))))</f>
        <v>0</v>
      </c>
      <c r="J346">
        <f t="shared" si="22"/>
        <v>2600</v>
      </c>
      <c r="K346">
        <f t="shared" si="23"/>
        <v>369</v>
      </c>
      <c r="L346">
        <f t="shared" si="20"/>
        <v>0</v>
      </c>
      <c r="M346">
        <f t="shared" si="21"/>
        <v>-369</v>
      </c>
    </row>
    <row r="347" spans="8:13">
      <c r="H347" s="87">
        <f>IF($S$5="Station 1 - 2014",'Station 1 - 2014'!A352,IF('Week 10 Studio'!$S$5="Station 1 - 2015",'Station 1 - 2015'!A352,IF('Week 10 Studio'!$S$5="Station 2 - 2015",'Station 2 - 2015'!A352,IF('Week 10 Studio'!$S$5="Station 3 - 2013",'Station 3 - 2013'!A352,"N/A"))))</f>
        <v>41615</v>
      </c>
      <c r="I347" s="88">
        <f>IF($S$5="Station 1 - 2014",'Station 1 - 2014'!B352,IF('Week 10 Studio'!$S$5="Station 1 - 2015",'Station 1 - 2015'!B352,IF('Week 10 Studio'!$S$5="Station 2 - 2015",'Station 2 - 2015'!B352,IF('Week 10 Studio'!$S$5="Station 3 - 2013",'Station 3 - 2013'!B352,"N/A"))))</f>
        <v>0</v>
      </c>
      <c r="J347">
        <f t="shared" si="22"/>
        <v>2231</v>
      </c>
      <c r="K347">
        <f t="shared" si="23"/>
        <v>369</v>
      </c>
      <c r="L347">
        <f t="shared" si="20"/>
        <v>0</v>
      </c>
      <c r="M347">
        <f t="shared" si="21"/>
        <v>-369</v>
      </c>
    </row>
    <row r="348" spans="8:13">
      <c r="H348" s="87">
        <f>IF($S$5="Station 1 - 2014",'Station 1 - 2014'!A353,IF('Week 10 Studio'!$S$5="Station 1 - 2015",'Station 1 - 2015'!A353,IF('Week 10 Studio'!$S$5="Station 2 - 2015",'Station 2 - 2015'!A353,IF('Week 10 Studio'!$S$5="Station 3 - 2013",'Station 3 - 2013'!A353,"N/A"))))</f>
        <v>41616</v>
      </c>
      <c r="I348" s="88">
        <f>IF($S$5="Station 1 - 2014",'Station 1 - 2014'!B353,IF('Week 10 Studio'!$S$5="Station 1 - 2015",'Station 1 - 2015'!B353,IF('Week 10 Studio'!$S$5="Station 2 - 2015",'Station 2 - 2015'!B353,IF('Week 10 Studio'!$S$5="Station 3 - 2013",'Station 3 - 2013'!B353,"N/A"))))</f>
        <v>0</v>
      </c>
      <c r="J348">
        <f t="shared" si="22"/>
        <v>1862</v>
      </c>
      <c r="K348">
        <f t="shared" si="23"/>
        <v>369</v>
      </c>
      <c r="L348">
        <f t="shared" si="20"/>
        <v>0</v>
      </c>
      <c r="M348">
        <f t="shared" si="21"/>
        <v>-369</v>
      </c>
    </row>
    <row r="349" spans="8:13">
      <c r="H349" s="87">
        <f>IF($S$5="Station 1 - 2014",'Station 1 - 2014'!A354,IF('Week 10 Studio'!$S$5="Station 1 - 2015",'Station 1 - 2015'!A354,IF('Week 10 Studio'!$S$5="Station 2 - 2015",'Station 2 - 2015'!A354,IF('Week 10 Studio'!$S$5="Station 3 - 2013",'Station 3 - 2013'!A354,"N/A"))))</f>
        <v>41617</v>
      </c>
      <c r="I349" s="88">
        <f>IF($S$5="Station 1 - 2014",'Station 1 - 2014'!B354,IF('Week 10 Studio'!$S$5="Station 1 - 2015",'Station 1 - 2015'!B354,IF('Week 10 Studio'!$S$5="Station 2 - 2015",'Station 2 - 2015'!B354,IF('Week 10 Studio'!$S$5="Station 3 - 2013",'Station 3 - 2013'!B354,"N/A"))))</f>
        <v>0</v>
      </c>
      <c r="J349">
        <f t="shared" si="22"/>
        <v>1493</v>
      </c>
      <c r="K349">
        <f t="shared" si="23"/>
        <v>369</v>
      </c>
      <c r="L349">
        <f t="shared" si="20"/>
        <v>0</v>
      </c>
      <c r="M349">
        <f t="shared" si="21"/>
        <v>-369</v>
      </c>
    </row>
    <row r="350" spans="8:13">
      <c r="H350" s="87">
        <f>IF($S$5="Station 1 - 2014",'Station 1 - 2014'!A355,IF('Week 10 Studio'!$S$5="Station 1 - 2015",'Station 1 - 2015'!A355,IF('Week 10 Studio'!$S$5="Station 2 - 2015",'Station 2 - 2015'!A355,IF('Week 10 Studio'!$S$5="Station 3 - 2013",'Station 3 - 2013'!A355,"N/A"))))</f>
        <v>41618</v>
      </c>
      <c r="I350" s="88">
        <f>IF($S$5="Station 1 - 2014",'Station 1 - 2014'!B355,IF('Week 10 Studio'!$S$5="Station 1 - 2015",'Station 1 - 2015'!B355,IF('Week 10 Studio'!$S$5="Station 2 - 2015",'Station 2 - 2015'!B355,IF('Week 10 Studio'!$S$5="Station 3 - 2013",'Station 3 - 2013'!B355,"N/A"))))</f>
        <v>0</v>
      </c>
      <c r="J350">
        <f t="shared" si="22"/>
        <v>1124</v>
      </c>
      <c r="K350">
        <f t="shared" si="23"/>
        <v>369</v>
      </c>
      <c r="L350">
        <f t="shared" si="20"/>
        <v>400</v>
      </c>
      <c r="M350">
        <f t="shared" si="21"/>
        <v>31</v>
      </c>
    </row>
    <row r="351" spans="8:13">
      <c r="H351" s="87">
        <f>IF($S$5="Station 1 - 2014",'Station 1 - 2014'!A356,IF('Week 10 Studio'!$S$5="Station 1 - 2015",'Station 1 - 2015'!A356,IF('Week 10 Studio'!$S$5="Station 2 - 2015",'Station 2 - 2015'!A356,IF('Week 10 Studio'!$S$5="Station 3 - 2013",'Station 3 - 2013'!A356,"N/A"))))</f>
        <v>41619</v>
      </c>
      <c r="I351" s="88">
        <f>IF($S$5="Station 1 - 2014",'Station 1 - 2014'!B356,IF('Week 10 Studio'!$S$5="Station 1 - 2015",'Station 1 - 2015'!B356,IF('Week 10 Studio'!$S$5="Station 2 - 2015",'Station 2 - 2015'!B356,IF('Week 10 Studio'!$S$5="Station 3 - 2013",'Station 3 - 2013'!B356,"N/A"))))</f>
        <v>3.2</v>
      </c>
      <c r="J351">
        <f t="shared" si="22"/>
        <v>1155</v>
      </c>
      <c r="K351">
        <f t="shared" si="23"/>
        <v>369</v>
      </c>
      <c r="L351">
        <f t="shared" si="20"/>
        <v>225</v>
      </c>
      <c r="M351">
        <f t="shared" si="21"/>
        <v>-144</v>
      </c>
    </row>
    <row r="352" spans="8:13">
      <c r="H352" s="87">
        <f>IF($S$5="Station 1 - 2014",'Station 1 - 2014'!A357,IF('Week 10 Studio'!$S$5="Station 1 - 2015",'Station 1 - 2015'!A357,IF('Week 10 Studio'!$S$5="Station 2 - 2015",'Station 2 - 2015'!A357,IF('Week 10 Studio'!$S$5="Station 3 - 2013",'Station 3 - 2013'!A357,"N/A"))))</f>
        <v>41620</v>
      </c>
      <c r="I352" s="88">
        <f>IF($S$5="Station 1 - 2014",'Station 1 - 2014'!B357,IF('Week 10 Studio'!$S$5="Station 1 - 2015",'Station 1 - 2015'!B357,IF('Week 10 Studio'!$S$5="Station 2 - 2015",'Station 2 - 2015'!B357,IF('Week 10 Studio'!$S$5="Station 3 - 2013",'Station 3 - 2013'!B357,"N/A"))))</f>
        <v>1.8</v>
      </c>
      <c r="J352">
        <f t="shared" si="22"/>
        <v>1011</v>
      </c>
      <c r="K352">
        <f t="shared" si="23"/>
        <v>369</v>
      </c>
      <c r="L352">
        <f t="shared" si="20"/>
        <v>1300</v>
      </c>
      <c r="M352">
        <f t="shared" si="21"/>
        <v>931</v>
      </c>
    </row>
    <row r="353" spans="8:13">
      <c r="H353" s="87">
        <f>IF($S$5="Station 1 - 2014",'Station 1 - 2014'!A358,IF('Week 10 Studio'!$S$5="Station 1 - 2015",'Station 1 - 2015'!A358,IF('Week 10 Studio'!$S$5="Station 2 - 2015",'Station 2 - 2015'!A358,IF('Week 10 Studio'!$S$5="Station 3 - 2013",'Station 3 - 2013'!A358,"N/A"))))</f>
        <v>41621</v>
      </c>
      <c r="I353" s="88">
        <f>IF($S$5="Station 1 - 2014",'Station 1 - 2014'!B358,IF('Week 10 Studio'!$S$5="Station 1 - 2015",'Station 1 - 2015'!B358,IF('Week 10 Studio'!$S$5="Station 2 - 2015",'Station 2 - 2015'!B358,IF('Week 10 Studio'!$S$5="Station 3 - 2013",'Station 3 - 2013'!B358,"N/A"))))</f>
        <v>10.4</v>
      </c>
      <c r="J353">
        <f t="shared" si="22"/>
        <v>1942</v>
      </c>
      <c r="K353">
        <f t="shared" si="23"/>
        <v>369</v>
      </c>
      <c r="L353">
        <f t="shared" si="20"/>
        <v>3250</v>
      </c>
      <c r="M353">
        <f t="shared" si="21"/>
        <v>2881</v>
      </c>
    </row>
    <row r="354" spans="8:13">
      <c r="H354" s="87">
        <f>IF($S$5="Station 1 - 2014",'Station 1 - 2014'!A359,IF('Week 10 Studio'!$S$5="Station 1 - 2015",'Station 1 - 2015'!A359,IF('Week 10 Studio'!$S$5="Station 2 - 2015",'Station 2 - 2015'!A359,IF('Week 10 Studio'!$S$5="Station 3 - 2013",'Station 3 - 2013'!A359,"N/A"))))</f>
        <v>41622</v>
      </c>
      <c r="I354" s="88">
        <f>IF($S$5="Station 1 - 2014",'Station 1 - 2014'!B359,IF('Week 10 Studio'!$S$5="Station 1 - 2015",'Station 1 - 2015'!B359,IF('Week 10 Studio'!$S$5="Station 2 - 2015",'Station 2 - 2015'!B359,IF('Week 10 Studio'!$S$5="Station 3 - 2013",'Station 3 - 2013'!B359,"N/A"))))</f>
        <v>26</v>
      </c>
      <c r="J354">
        <f t="shared" si="22"/>
        <v>4823</v>
      </c>
      <c r="K354">
        <f t="shared" si="23"/>
        <v>369</v>
      </c>
      <c r="L354">
        <f t="shared" si="20"/>
        <v>100</v>
      </c>
      <c r="M354">
        <f t="shared" si="21"/>
        <v>-269</v>
      </c>
    </row>
    <row r="355" spans="8:13">
      <c r="H355" s="87">
        <f>IF($S$5="Station 1 - 2014",'Station 1 - 2014'!A360,IF('Week 10 Studio'!$S$5="Station 1 - 2015",'Station 1 - 2015'!A360,IF('Week 10 Studio'!$S$5="Station 2 - 2015",'Station 2 - 2015'!A360,IF('Week 10 Studio'!$S$5="Station 3 - 2013",'Station 3 - 2013'!A360,"N/A"))))</f>
        <v>41623</v>
      </c>
      <c r="I355" s="88">
        <f>IF($S$5="Station 1 - 2014",'Station 1 - 2014'!B360,IF('Week 10 Studio'!$S$5="Station 1 - 2015",'Station 1 - 2015'!B360,IF('Week 10 Studio'!$S$5="Station 2 - 2015",'Station 2 - 2015'!B360,IF('Week 10 Studio'!$S$5="Station 3 - 2013",'Station 3 - 2013'!B360,"N/A"))))</f>
        <v>0.8</v>
      </c>
      <c r="J355">
        <f t="shared" si="22"/>
        <v>4554</v>
      </c>
      <c r="K355">
        <f t="shared" si="23"/>
        <v>369</v>
      </c>
      <c r="L355">
        <f t="shared" si="20"/>
        <v>1475</v>
      </c>
      <c r="M355">
        <f t="shared" si="21"/>
        <v>1106</v>
      </c>
    </row>
    <row r="356" spans="8:13">
      <c r="H356" s="87">
        <f>IF($S$5="Station 1 - 2014",'Station 1 - 2014'!A361,IF('Week 10 Studio'!$S$5="Station 1 - 2015",'Station 1 - 2015'!A361,IF('Week 10 Studio'!$S$5="Station 2 - 2015",'Station 2 - 2015'!A361,IF('Week 10 Studio'!$S$5="Station 3 - 2013",'Station 3 - 2013'!A361,"N/A"))))</f>
        <v>41624</v>
      </c>
      <c r="I356" s="88">
        <f>IF($S$5="Station 1 - 2014",'Station 1 - 2014'!B361,IF('Week 10 Studio'!$S$5="Station 1 - 2015",'Station 1 - 2015'!B361,IF('Week 10 Studio'!$S$5="Station 2 - 2015",'Station 2 - 2015'!B361,IF('Week 10 Studio'!$S$5="Station 3 - 2013",'Station 3 - 2013'!B361,"N/A"))))</f>
        <v>11.8</v>
      </c>
      <c r="J356">
        <f t="shared" si="22"/>
        <v>5000</v>
      </c>
      <c r="K356">
        <f t="shared" si="23"/>
        <v>369</v>
      </c>
      <c r="L356">
        <f t="shared" si="20"/>
        <v>575</v>
      </c>
      <c r="M356">
        <f t="shared" si="21"/>
        <v>206</v>
      </c>
    </row>
    <row r="357" spans="8:13">
      <c r="H357" s="87">
        <f>IF($S$5="Station 1 - 2014",'Station 1 - 2014'!A362,IF('Week 10 Studio'!$S$5="Station 1 - 2015",'Station 1 - 2015'!A362,IF('Week 10 Studio'!$S$5="Station 2 - 2015",'Station 2 - 2015'!A362,IF('Week 10 Studio'!$S$5="Station 3 - 2013",'Station 3 - 2013'!A362,"N/A"))))</f>
        <v>41625</v>
      </c>
      <c r="I357" s="88">
        <f>IF($S$5="Station 1 - 2014",'Station 1 - 2014'!B362,IF('Week 10 Studio'!$S$5="Station 1 - 2015",'Station 1 - 2015'!B362,IF('Week 10 Studio'!$S$5="Station 2 - 2015",'Station 2 - 2015'!B362,IF('Week 10 Studio'!$S$5="Station 3 - 2013",'Station 3 - 2013'!B362,"N/A"))))</f>
        <v>4.5999999999999996</v>
      </c>
      <c r="J357">
        <f t="shared" si="22"/>
        <v>5000</v>
      </c>
      <c r="K357">
        <f t="shared" si="23"/>
        <v>369</v>
      </c>
      <c r="L357">
        <f t="shared" si="20"/>
        <v>0</v>
      </c>
      <c r="M357">
        <f t="shared" si="21"/>
        <v>-369</v>
      </c>
    </row>
    <row r="358" spans="8:13">
      <c r="H358" s="87">
        <f>IF($S$5="Station 1 - 2014",'Station 1 - 2014'!A363,IF('Week 10 Studio'!$S$5="Station 1 - 2015",'Station 1 - 2015'!A363,IF('Week 10 Studio'!$S$5="Station 2 - 2015",'Station 2 - 2015'!A363,IF('Week 10 Studio'!$S$5="Station 3 - 2013",'Station 3 - 2013'!A363,"N/A"))))</f>
        <v>41626</v>
      </c>
      <c r="I358" s="88">
        <f>IF($S$5="Station 1 - 2014",'Station 1 - 2014'!B363,IF('Week 10 Studio'!$S$5="Station 1 - 2015",'Station 1 - 2015'!B363,IF('Week 10 Studio'!$S$5="Station 2 - 2015",'Station 2 - 2015'!B363,IF('Week 10 Studio'!$S$5="Station 3 - 2013",'Station 3 - 2013'!B363,"N/A"))))</f>
        <v>0</v>
      </c>
      <c r="J358">
        <f t="shared" si="22"/>
        <v>4631</v>
      </c>
      <c r="K358">
        <f t="shared" si="23"/>
        <v>369</v>
      </c>
      <c r="L358">
        <f t="shared" si="20"/>
        <v>0</v>
      </c>
      <c r="M358">
        <f t="shared" si="21"/>
        <v>-369</v>
      </c>
    </row>
    <row r="359" spans="8:13">
      <c r="H359" s="87">
        <f>IF($S$5="Station 1 - 2014",'Station 1 - 2014'!A364,IF('Week 10 Studio'!$S$5="Station 1 - 2015",'Station 1 - 2015'!A364,IF('Week 10 Studio'!$S$5="Station 2 - 2015",'Station 2 - 2015'!A364,IF('Week 10 Studio'!$S$5="Station 3 - 2013",'Station 3 - 2013'!A364,"N/A"))))</f>
        <v>41627</v>
      </c>
      <c r="I359" s="88">
        <f>IF($S$5="Station 1 - 2014",'Station 1 - 2014'!B364,IF('Week 10 Studio'!$S$5="Station 1 - 2015",'Station 1 - 2015'!B364,IF('Week 10 Studio'!$S$5="Station 2 - 2015",'Station 2 - 2015'!B364,IF('Week 10 Studio'!$S$5="Station 3 - 2013",'Station 3 - 2013'!B364,"N/A"))))</f>
        <v>0</v>
      </c>
      <c r="J359">
        <f t="shared" si="22"/>
        <v>4262</v>
      </c>
      <c r="K359">
        <f t="shared" si="23"/>
        <v>369</v>
      </c>
      <c r="L359">
        <f t="shared" si="20"/>
        <v>475</v>
      </c>
      <c r="M359">
        <f t="shared" si="21"/>
        <v>106</v>
      </c>
    </row>
    <row r="360" spans="8:13">
      <c r="H360" s="87">
        <f>IF($S$5="Station 1 - 2014",'Station 1 - 2014'!A365,IF('Week 10 Studio'!$S$5="Station 1 - 2015",'Station 1 - 2015'!A365,IF('Week 10 Studio'!$S$5="Station 2 - 2015",'Station 2 - 2015'!A365,IF('Week 10 Studio'!$S$5="Station 3 - 2013",'Station 3 - 2013'!A365,"N/A"))))</f>
        <v>41628</v>
      </c>
      <c r="I360" s="88">
        <f>IF($S$5="Station 1 - 2014",'Station 1 - 2014'!B365,IF('Week 10 Studio'!$S$5="Station 1 - 2015",'Station 1 - 2015'!B365,IF('Week 10 Studio'!$S$5="Station 2 - 2015",'Station 2 - 2015'!B365,IF('Week 10 Studio'!$S$5="Station 3 - 2013",'Station 3 - 2013'!B365,"N/A"))))</f>
        <v>3.8</v>
      </c>
      <c r="J360">
        <f t="shared" si="22"/>
        <v>4368</v>
      </c>
      <c r="K360">
        <f t="shared" si="23"/>
        <v>369</v>
      </c>
      <c r="L360">
        <f t="shared" si="20"/>
        <v>950</v>
      </c>
      <c r="M360">
        <f t="shared" si="21"/>
        <v>581</v>
      </c>
    </row>
    <row r="361" spans="8:13">
      <c r="H361" s="87">
        <f>IF($S$5="Station 1 - 2014",'Station 1 - 2014'!A366,IF('Week 10 Studio'!$S$5="Station 1 - 2015",'Station 1 - 2015'!A366,IF('Week 10 Studio'!$S$5="Station 2 - 2015",'Station 2 - 2015'!A366,IF('Week 10 Studio'!$S$5="Station 3 - 2013",'Station 3 - 2013'!A366,"N/A"))))</f>
        <v>41629</v>
      </c>
      <c r="I361" s="88">
        <f>IF($S$5="Station 1 - 2014",'Station 1 - 2014'!B366,IF('Week 10 Studio'!$S$5="Station 1 - 2015",'Station 1 - 2015'!B366,IF('Week 10 Studio'!$S$5="Station 2 - 2015",'Station 2 - 2015'!B366,IF('Week 10 Studio'!$S$5="Station 3 - 2013",'Station 3 - 2013'!B366,"N/A"))))</f>
        <v>7.6</v>
      </c>
      <c r="J361">
        <f t="shared" si="22"/>
        <v>4949</v>
      </c>
      <c r="K361">
        <f t="shared" si="23"/>
        <v>369</v>
      </c>
      <c r="L361">
        <f t="shared" si="20"/>
        <v>2575</v>
      </c>
      <c r="M361">
        <f t="shared" si="21"/>
        <v>2206</v>
      </c>
    </row>
    <row r="362" spans="8:13">
      <c r="H362" s="87">
        <f>IF($S$5="Station 1 - 2014",'Station 1 - 2014'!A367,IF('Week 10 Studio'!$S$5="Station 1 - 2015",'Station 1 - 2015'!A367,IF('Week 10 Studio'!$S$5="Station 2 - 2015",'Station 2 - 2015'!A367,IF('Week 10 Studio'!$S$5="Station 3 - 2013",'Station 3 - 2013'!A367,"N/A"))))</f>
        <v>41630</v>
      </c>
      <c r="I362" s="88">
        <f>IF($S$5="Station 1 - 2014",'Station 1 - 2014'!B367,IF('Week 10 Studio'!$S$5="Station 1 - 2015",'Station 1 - 2015'!B367,IF('Week 10 Studio'!$S$5="Station 2 - 2015",'Station 2 - 2015'!B367,IF('Week 10 Studio'!$S$5="Station 3 - 2013",'Station 3 - 2013'!B367,"N/A"))))</f>
        <v>20.6</v>
      </c>
      <c r="J362">
        <f t="shared" si="22"/>
        <v>5000</v>
      </c>
      <c r="K362">
        <f t="shared" si="23"/>
        <v>369</v>
      </c>
      <c r="L362">
        <f t="shared" si="20"/>
        <v>175</v>
      </c>
      <c r="M362">
        <f t="shared" si="21"/>
        <v>-194</v>
      </c>
    </row>
    <row r="363" spans="8:13">
      <c r="H363" s="87">
        <f>IF($S$5="Station 1 - 2014",'Station 1 - 2014'!A368,IF('Week 10 Studio'!$S$5="Station 1 - 2015",'Station 1 - 2015'!A368,IF('Week 10 Studio'!$S$5="Station 2 - 2015",'Station 2 - 2015'!A368,IF('Week 10 Studio'!$S$5="Station 3 - 2013",'Station 3 - 2013'!A368,"N/A"))))</f>
        <v>41631</v>
      </c>
      <c r="I363" s="88">
        <f>IF($S$5="Station 1 - 2014",'Station 1 - 2014'!B368,IF('Week 10 Studio'!$S$5="Station 1 - 2015",'Station 1 - 2015'!B368,IF('Week 10 Studio'!$S$5="Station 2 - 2015",'Station 2 - 2015'!B368,IF('Week 10 Studio'!$S$5="Station 3 - 2013",'Station 3 - 2013'!B368,"N/A"))))</f>
        <v>1.4</v>
      </c>
      <c r="J363">
        <f t="shared" si="22"/>
        <v>4806</v>
      </c>
      <c r="K363">
        <f t="shared" si="23"/>
        <v>369</v>
      </c>
      <c r="L363">
        <f t="shared" si="20"/>
        <v>475</v>
      </c>
      <c r="M363">
        <f t="shared" si="21"/>
        <v>106</v>
      </c>
    </row>
    <row r="364" spans="8:13">
      <c r="H364" s="87">
        <f>IF($S$5="Station 1 - 2014",'Station 1 - 2014'!A369,IF('Week 10 Studio'!$S$5="Station 1 - 2015",'Station 1 - 2015'!A369,IF('Week 10 Studio'!$S$5="Station 2 - 2015",'Station 2 - 2015'!A369,IF('Week 10 Studio'!$S$5="Station 3 - 2013",'Station 3 - 2013'!A369,"N/A"))))</f>
        <v>41632</v>
      </c>
      <c r="I364" s="88">
        <f>IF($S$5="Station 1 - 2014",'Station 1 - 2014'!B369,IF('Week 10 Studio'!$S$5="Station 1 - 2015",'Station 1 - 2015'!B369,IF('Week 10 Studio'!$S$5="Station 2 - 2015",'Station 2 - 2015'!B369,IF('Week 10 Studio'!$S$5="Station 3 - 2013",'Station 3 - 2013'!B369,"N/A"))))</f>
        <v>3.8</v>
      </c>
      <c r="J364">
        <f t="shared" si="22"/>
        <v>4912</v>
      </c>
      <c r="K364">
        <f t="shared" si="23"/>
        <v>369</v>
      </c>
      <c r="L364">
        <f t="shared" si="20"/>
        <v>3200</v>
      </c>
      <c r="M364">
        <f t="shared" si="21"/>
        <v>2831</v>
      </c>
    </row>
    <row r="365" spans="8:13">
      <c r="H365" s="87">
        <f>IF($S$5="Station 1 - 2014",'Station 1 - 2014'!A370,IF('Week 10 Studio'!$S$5="Station 1 - 2015",'Station 1 - 2015'!A370,IF('Week 10 Studio'!$S$5="Station 2 - 2015",'Station 2 - 2015'!A370,IF('Week 10 Studio'!$S$5="Station 3 - 2013",'Station 3 - 2013'!A370,"N/A"))))</f>
        <v>41633</v>
      </c>
      <c r="I365" s="88">
        <f>IF($S$5="Station 1 - 2014",'Station 1 - 2014'!B370,IF('Week 10 Studio'!$S$5="Station 1 - 2015",'Station 1 - 2015'!B370,IF('Week 10 Studio'!$S$5="Station 2 - 2015",'Station 2 - 2015'!B370,IF('Week 10 Studio'!$S$5="Station 3 - 2013",'Station 3 - 2013'!B370,"N/A"))))</f>
        <v>25.6</v>
      </c>
      <c r="J365">
        <f t="shared" si="22"/>
        <v>5000</v>
      </c>
      <c r="K365">
        <f t="shared" si="23"/>
        <v>369</v>
      </c>
      <c r="L365">
        <f t="shared" si="20"/>
        <v>3100</v>
      </c>
      <c r="M365">
        <f t="shared" si="21"/>
        <v>2731</v>
      </c>
    </row>
    <row r="366" spans="8:13">
      <c r="H366" s="87">
        <f>IF($S$5="Station 1 - 2014",'Station 1 - 2014'!A371,IF('Week 10 Studio'!$S$5="Station 1 - 2015",'Station 1 - 2015'!A371,IF('Week 10 Studio'!$S$5="Station 2 - 2015",'Station 2 - 2015'!A371,IF('Week 10 Studio'!$S$5="Station 3 - 2013",'Station 3 - 2013'!A371,"N/A"))))</f>
        <v>41634</v>
      </c>
      <c r="I366" s="88">
        <f>IF($S$5="Station 1 - 2014",'Station 1 - 2014'!B371,IF('Week 10 Studio'!$S$5="Station 1 - 2015",'Station 1 - 2015'!B371,IF('Week 10 Studio'!$S$5="Station 2 - 2015",'Station 2 - 2015'!B371,IF('Week 10 Studio'!$S$5="Station 3 - 2013",'Station 3 - 2013'!B371,"N/A"))))</f>
        <v>24.8</v>
      </c>
      <c r="J366">
        <f t="shared" si="22"/>
        <v>5000</v>
      </c>
      <c r="K366">
        <f t="shared" si="23"/>
        <v>369</v>
      </c>
      <c r="L366">
        <f t="shared" si="20"/>
        <v>275</v>
      </c>
      <c r="M366">
        <f t="shared" si="21"/>
        <v>-94</v>
      </c>
    </row>
    <row r="367" spans="8:13">
      <c r="H367" s="87">
        <f>IF($S$5="Station 1 - 2014",'Station 1 - 2014'!A372,IF('Week 10 Studio'!$S$5="Station 1 - 2015",'Station 1 - 2015'!A372,IF('Week 10 Studio'!$S$5="Station 2 - 2015",'Station 2 - 2015'!A372,IF('Week 10 Studio'!$S$5="Station 3 - 2013",'Station 3 - 2013'!A372,"N/A"))))</f>
        <v>41635</v>
      </c>
      <c r="I367" s="88">
        <f>IF($S$5="Station 1 - 2014",'Station 1 - 2014'!B372,IF('Week 10 Studio'!$S$5="Station 1 - 2015",'Station 1 - 2015'!B372,IF('Week 10 Studio'!$S$5="Station 2 - 2015",'Station 2 - 2015'!B372,IF('Week 10 Studio'!$S$5="Station 3 - 2013",'Station 3 - 2013'!B372,"N/A"))))</f>
        <v>2.2000000000000002</v>
      </c>
      <c r="J367">
        <f t="shared" si="22"/>
        <v>4906</v>
      </c>
      <c r="K367">
        <f t="shared" si="23"/>
        <v>369</v>
      </c>
      <c r="L367">
        <f t="shared" si="20"/>
        <v>2725</v>
      </c>
      <c r="M367">
        <f t="shared" si="21"/>
        <v>2356</v>
      </c>
    </row>
    <row r="368" spans="8:13">
      <c r="H368" s="87">
        <f>IF($S$5="Station 1 - 2014",'Station 1 - 2014'!A373,IF('Week 10 Studio'!$S$5="Station 1 - 2015",'Station 1 - 2015'!A373,IF('Week 10 Studio'!$S$5="Station 2 - 2015",'Station 2 - 2015'!A373,IF('Week 10 Studio'!$S$5="Station 3 - 2013",'Station 3 - 2013'!A373,"N/A"))))</f>
        <v>41636</v>
      </c>
      <c r="I368" s="88">
        <f>IF($S$5="Station 1 - 2014",'Station 1 - 2014'!B373,IF('Week 10 Studio'!$S$5="Station 1 - 2015",'Station 1 - 2015'!B373,IF('Week 10 Studio'!$S$5="Station 2 - 2015",'Station 2 - 2015'!B373,IF('Week 10 Studio'!$S$5="Station 3 - 2013",'Station 3 - 2013'!B373,"N/A"))))</f>
        <v>21.8</v>
      </c>
      <c r="J368">
        <f t="shared" si="22"/>
        <v>5000</v>
      </c>
      <c r="K368">
        <f t="shared" si="23"/>
        <v>369</v>
      </c>
      <c r="L368">
        <f t="shared" si="20"/>
        <v>300</v>
      </c>
      <c r="M368">
        <f t="shared" si="21"/>
        <v>-69</v>
      </c>
    </row>
    <row r="369" spans="8:13">
      <c r="H369" s="87">
        <f>IF($S$5="Station 1 - 2014",'Station 1 - 2014'!A374,IF('Week 10 Studio'!$S$5="Station 1 - 2015",'Station 1 - 2015'!A374,IF('Week 10 Studio'!$S$5="Station 2 - 2015",'Station 2 - 2015'!A374,IF('Week 10 Studio'!$S$5="Station 3 - 2013",'Station 3 - 2013'!A374,"N/A"))))</f>
        <v>41637</v>
      </c>
      <c r="I369" s="88">
        <f>IF($S$5="Station 1 - 2014",'Station 1 - 2014'!B374,IF('Week 10 Studio'!$S$5="Station 1 - 2015",'Station 1 - 2015'!B374,IF('Week 10 Studio'!$S$5="Station 2 - 2015",'Station 2 - 2015'!B374,IF('Week 10 Studio'!$S$5="Station 3 - 2013",'Station 3 - 2013'!B374,"N/A"))))</f>
        <v>2.4</v>
      </c>
      <c r="J369">
        <f t="shared" si="22"/>
        <v>4931</v>
      </c>
      <c r="K369">
        <f t="shared" si="23"/>
        <v>369</v>
      </c>
      <c r="L369">
        <f t="shared" si="20"/>
        <v>350</v>
      </c>
      <c r="M369">
        <f t="shared" si="21"/>
        <v>-19</v>
      </c>
    </row>
    <row r="370" spans="8:13">
      <c r="H370" s="87">
        <f>IF($S$5="Station 1 - 2014",'Station 1 - 2014'!A375,IF('Week 10 Studio'!$S$5="Station 1 - 2015",'Station 1 - 2015'!A375,IF('Week 10 Studio'!$S$5="Station 2 - 2015",'Station 2 - 2015'!A375,IF('Week 10 Studio'!$S$5="Station 3 - 2013",'Station 3 - 2013'!A375,"N/A"))))</f>
        <v>41638</v>
      </c>
      <c r="I370" s="88">
        <f>IF($S$5="Station 1 - 2014",'Station 1 - 2014'!B375,IF('Week 10 Studio'!$S$5="Station 1 - 2015",'Station 1 - 2015'!B375,IF('Week 10 Studio'!$S$5="Station 2 - 2015",'Station 2 - 2015'!B375,IF('Week 10 Studio'!$S$5="Station 3 - 2013",'Station 3 - 2013'!B375,"N/A"))))</f>
        <v>2.8</v>
      </c>
      <c r="J370">
        <f t="shared" si="22"/>
        <v>4912</v>
      </c>
      <c r="K370">
        <f t="shared" si="23"/>
        <v>369</v>
      </c>
      <c r="L370">
        <f t="shared" si="20"/>
        <v>25</v>
      </c>
      <c r="M370">
        <f t="shared" si="21"/>
        <v>-344</v>
      </c>
    </row>
    <row r="371" spans="8:13">
      <c r="H371" s="87">
        <f>IF($S$5="Station 1 - 2014",'Station 1 - 2014'!A376,IF('Week 10 Studio'!$S$5="Station 1 - 2015",'Station 1 - 2015'!A376,IF('Week 10 Studio'!$S$5="Station 2 - 2015",'Station 2 - 2015'!A376,IF('Week 10 Studio'!$S$5="Station 3 - 2013",'Station 3 - 2013'!A376,"N/A"))))</f>
        <v>41639</v>
      </c>
      <c r="I371" s="88">
        <f>IF($S$5="Station 1 - 2014",'Station 1 - 2014'!B376,IF('Week 10 Studio'!$S$5="Station 1 - 2015",'Station 1 - 2015'!B376,IF('Week 10 Studio'!$S$5="Station 2 - 2015",'Station 2 - 2015'!B376,IF('Week 10 Studio'!$S$5="Station 3 - 2013",'Station 3 - 2013'!B376,"N/A"))))</f>
        <v>0.2</v>
      </c>
      <c r="J371">
        <f t="shared" si="22"/>
        <v>4568</v>
      </c>
      <c r="K371">
        <f t="shared" si="23"/>
        <v>369</v>
      </c>
      <c r="L371">
        <f t="shared" si="20"/>
        <v>0</v>
      </c>
      <c r="M371">
        <f t="shared" si="21"/>
        <v>0</v>
      </c>
    </row>
    <row r="372" spans="8:13">
      <c r="H372" s="87"/>
    </row>
    <row r="373" spans="8:13">
      <c r="H373" s="87"/>
    </row>
    <row r="374" spans="8:13">
      <c r="H374" s="87"/>
    </row>
    <row r="375" spans="8:13">
      <c r="H375" s="87"/>
    </row>
    <row r="376" spans="8:13">
      <c r="H376" s="87"/>
    </row>
    <row r="377" spans="8:13">
      <c r="H377" s="87"/>
    </row>
    <row r="378" spans="8:13">
      <c r="H378" s="87"/>
    </row>
    <row r="379" spans="8:13">
      <c r="H379" s="87"/>
    </row>
    <row r="380" spans="8:13">
      <c r="H380" s="87"/>
    </row>
    <row r="381" spans="8:13">
      <c r="H381" s="87"/>
    </row>
    <row r="382" spans="8:13">
      <c r="H382" s="87"/>
    </row>
  </sheetData>
  <dataValidations count="1">
    <dataValidation type="list" allowBlank="1" showInputMessage="1" showErrorMessage="1" sqref="S5" xr:uid="{00000000-0002-0000-0D00-000000000000}">
      <formula1>$V$5:$V$8</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2"/>
  <sheetViews>
    <sheetView topLeftCell="A7" workbookViewId="0">
      <selection activeCell="B37" sqref="B37"/>
    </sheetView>
  </sheetViews>
  <sheetFormatPr defaultRowHeight="14.4"/>
  <cols>
    <col min="11" max="11" width="23.6640625" style="195" bestFit="1" customWidth="1"/>
  </cols>
  <sheetData>
    <row r="1" spans="1:17" ht="15.6" customHeight="1">
      <c r="A1" s="1" t="s">
        <v>506</v>
      </c>
      <c r="B1" s="2"/>
      <c r="C1" s="2"/>
      <c r="D1" s="3"/>
      <c r="E1" s="4"/>
      <c r="F1" s="5" t="s">
        <v>370</v>
      </c>
      <c r="G1" s="6"/>
      <c r="H1" s="7"/>
      <c r="I1" s="8" t="s">
        <v>507</v>
      </c>
      <c r="J1" s="9"/>
      <c r="K1" s="10"/>
      <c r="L1" s="11" t="s">
        <v>508</v>
      </c>
      <c r="M1" s="12"/>
      <c r="N1" s="13"/>
      <c r="O1" s="14" t="s">
        <v>509</v>
      </c>
      <c r="P1" s="15"/>
      <c r="Q1" s="16"/>
    </row>
    <row r="2" spans="1:17">
      <c r="A2" s="17" t="s">
        <v>510</v>
      </c>
      <c r="B2" s="18">
        <v>125</v>
      </c>
      <c r="C2" s="19" t="s">
        <v>511</v>
      </c>
      <c r="D2" s="20"/>
      <c r="E2" s="21"/>
      <c r="F2" s="22" t="s">
        <v>377</v>
      </c>
      <c r="G2" s="23">
        <v>0.72</v>
      </c>
      <c r="H2" s="24" t="s">
        <v>512</v>
      </c>
      <c r="I2" s="25" t="s">
        <v>298</v>
      </c>
      <c r="J2" s="25">
        <v>10</v>
      </c>
      <c r="K2" s="26" t="s">
        <v>513</v>
      </c>
      <c r="L2" s="27" t="s">
        <v>514</v>
      </c>
      <c r="M2" s="27"/>
      <c r="N2" s="28" t="s">
        <v>515</v>
      </c>
      <c r="O2" s="29" t="s">
        <v>516</v>
      </c>
      <c r="P2" s="29"/>
      <c r="Q2" s="30" t="s">
        <v>517</v>
      </c>
    </row>
    <row r="3" spans="1:17">
      <c r="A3" s="17" t="s">
        <v>518</v>
      </c>
      <c r="B3" s="18">
        <v>5</v>
      </c>
      <c r="C3" s="19" t="s">
        <v>519</v>
      </c>
      <c r="D3" s="20"/>
      <c r="E3" s="20"/>
      <c r="F3" s="20"/>
      <c r="G3" s="20"/>
      <c r="H3" s="21"/>
      <c r="I3" s="25" t="s">
        <v>520</v>
      </c>
      <c r="J3" s="25">
        <v>50</v>
      </c>
      <c r="K3" s="26" t="s">
        <v>521</v>
      </c>
      <c r="L3" s="20"/>
      <c r="M3" s="20"/>
      <c r="N3" s="21"/>
      <c r="O3" s="29" t="s">
        <v>522</v>
      </c>
      <c r="P3" s="29"/>
      <c r="Q3" s="30" t="s">
        <v>512</v>
      </c>
    </row>
    <row r="4" spans="1:17">
      <c r="A4" s="17" t="s">
        <v>51</v>
      </c>
      <c r="B4" s="18">
        <v>500</v>
      </c>
      <c r="C4" s="31" t="s">
        <v>523</v>
      </c>
      <c r="D4" s="20"/>
      <c r="E4" s="20"/>
      <c r="F4" s="20"/>
      <c r="G4" s="20"/>
      <c r="H4" s="21"/>
      <c r="I4" s="25" t="s">
        <v>524</v>
      </c>
      <c r="J4" s="25">
        <v>2</v>
      </c>
      <c r="K4" s="26" t="s">
        <v>525</v>
      </c>
      <c r="L4" s="20"/>
      <c r="M4" s="20"/>
      <c r="N4" s="20"/>
      <c r="O4" s="20"/>
      <c r="P4" s="20"/>
      <c r="Q4" s="21"/>
    </row>
    <row r="5" spans="1:17">
      <c r="A5" s="17" t="s">
        <v>479</v>
      </c>
      <c r="B5" s="18">
        <v>0</v>
      </c>
      <c r="C5" s="31" t="s">
        <v>526</v>
      </c>
      <c r="D5" s="20"/>
      <c r="E5" s="20"/>
      <c r="F5" s="20"/>
      <c r="G5" s="20"/>
      <c r="H5" s="20"/>
      <c r="I5" s="20"/>
      <c r="J5" s="20"/>
      <c r="K5" s="20"/>
      <c r="L5" s="20"/>
      <c r="M5" s="20"/>
      <c r="N5" s="20"/>
      <c r="O5" s="20"/>
      <c r="P5" s="20"/>
      <c r="Q5" s="21"/>
    </row>
    <row r="6" spans="1:17">
      <c r="A6" s="32"/>
      <c r="B6" s="20"/>
      <c r="C6" s="20"/>
      <c r="D6" s="20"/>
      <c r="E6" s="20"/>
      <c r="F6" s="20"/>
      <c r="G6" s="20"/>
      <c r="H6" s="20"/>
      <c r="I6" s="20"/>
      <c r="J6" s="20"/>
      <c r="K6" s="20"/>
      <c r="L6" s="20"/>
      <c r="M6" s="20"/>
      <c r="N6" s="20"/>
      <c r="O6" s="20"/>
      <c r="P6" s="20"/>
      <c r="Q6" s="21"/>
    </row>
    <row r="7" spans="1:17">
      <c r="A7" s="33" t="s">
        <v>527</v>
      </c>
      <c r="B7" s="34" t="s">
        <v>528</v>
      </c>
      <c r="C7" s="34" t="s">
        <v>440</v>
      </c>
      <c r="D7" s="34" t="s">
        <v>51</v>
      </c>
      <c r="E7" s="34" t="s">
        <v>529</v>
      </c>
      <c r="F7" s="34" t="s">
        <v>530</v>
      </c>
      <c r="G7" s="34" t="s">
        <v>531</v>
      </c>
      <c r="H7" s="34" t="s">
        <v>531</v>
      </c>
      <c r="I7" s="34" t="s">
        <v>532</v>
      </c>
      <c r="J7" s="34" t="s">
        <v>532</v>
      </c>
      <c r="K7" s="34" t="s">
        <v>533</v>
      </c>
      <c r="L7" s="34" t="s">
        <v>534</v>
      </c>
      <c r="M7" s="34"/>
      <c r="N7" s="34"/>
      <c r="O7" s="20"/>
      <c r="P7" s="20"/>
      <c r="Q7" s="21"/>
    </row>
    <row r="8" spans="1:17" ht="15" customHeight="1" thickBot="1">
      <c r="A8" s="35" t="s">
        <v>535</v>
      </c>
      <c r="B8" s="36" t="s">
        <v>536</v>
      </c>
      <c r="C8" s="37" t="s">
        <v>519</v>
      </c>
      <c r="D8" s="37" t="s">
        <v>519</v>
      </c>
      <c r="E8" s="37" t="s">
        <v>519</v>
      </c>
      <c r="F8" s="36" t="s">
        <v>537</v>
      </c>
      <c r="G8" s="36" t="s">
        <v>538</v>
      </c>
      <c r="H8" s="36" t="s">
        <v>539</v>
      </c>
      <c r="I8" s="36" t="s">
        <v>540</v>
      </c>
      <c r="J8" s="36" t="s">
        <v>541</v>
      </c>
      <c r="K8" s="36" t="s">
        <v>542</v>
      </c>
      <c r="L8" s="36" t="s">
        <v>542</v>
      </c>
      <c r="M8" s="36"/>
      <c r="N8" s="36"/>
      <c r="O8" s="38"/>
      <c r="P8" s="38"/>
      <c r="Q8" s="39"/>
    </row>
    <row r="9" spans="1:17" ht="15" customHeight="1" thickTop="1">
      <c r="A9" s="32" t="s">
        <v>543</v>
      </c>
      <c r="B9" s="20">
        <v>18.8</v>
      </c>
      <c r="C9" s="20">
        <v>2.35</v>
      </c>
      <c r="D9" s="20">
        <v>0.5</v>
      </c>
      <c r="E9" s="20">
        <v>1.85</v>
      </c>
      <c r="F9" s="40">
        <v>200000</v>
      </c>
      <c r="G9" s="40">
        <v>653000</v>
      </c>
      <c r="H9" s="20">
        <v>181.33</v>
      </c>
      <c r="I9" s="20">
        <f t="shared" ref="I9:I18" si="0">(J$3/$J$2)*E9*1000</f>
        <v>9250</v>
      </c>
      <c r="J9" s="20">
        <f t="shared" ref="J9:J18" si="1">I9/1000</f>
        <v>9.25</v>
      </c>
      <c r="K9" s="20">
        <f t="shared" ref="K9:K18" si="2">J9*J$4</f>
        <v>18.5</v>
      </c>
      <c r="L9" s="20"/>
      <c r="M9" s="20"/>
      <c r="N9" s="20"/>
      <c r="O9" s="20"/>
      <c r="P9" s="20"/>
      <c r="Q9" s="21"/>
    </row>
    <row r="10" spans="1:17">
      <c r="A10" s="32" t="s">
        <v>544</v>
      </c>
      <c r="B10" s="20">
        <v>19.8</v>
      </c>
      <c r="C10" s="20">
        <v>2.4750000000000001</v>
      </c>
      <c r="D10" s="20">
        <v>0.5</v>
      </c>
      <c r="E10" s="20">
        <v>3.8250000000000002</v>
      </c>
      <c r="F10" s="40">
        <v>200000</v>
      </c>
      <c r="G10" s="40">
        <v>688000</v>
      </c>
      <c r="H10" s="20">
        <v>190.97</v>
      </c>
      <c r="I10" s="20">
        <f t="shared" si="0"/>
        <v>19125</v>
      </c>
      <c r="J10" s="20">
        <f t="shared" si="1"/>
        <v>19.125</v>
      </c>
      <c r="K10" s="20">
        <f t="shared" si="2"/>
        <v>38.25</v>
      </c>
      <c r="L10" s="20"/>
      <c r="M10" s="20"/>
      <c r="N10" s="20"/>
      <c r="O10" s="20"/>
      <c r="P10" s="20"/>
      <c r="Q10" s="21"/>
    </row>
    <row r="11" spans="1:17">
      <c r="A11" s="32" t="s">
        <v>545</v>
      </c>
      <c r="B11" s="20">
        <v>0</v>
      </c>
      <c r="C11" s="20">
        <v>0</v>
      </c>
      <c r="D11" s="20">
        <v>0.5</v>
      </c>
      <c r="E11" s="20">
        <v>3.3250000000000002</v>
      </c>
      <c r="F11" s="40">
        <v>200000</v>
      </c>
      <c r="G11" s="40">
        <v>0</v>
      </c>
      <c r="H11" s="20">
        <v>0</v>
      </c>
      <c r="I11" s="20">
        <f t="shared" si="0"/>
        <v>16625</v>
      </c>
      <c r="J11" s="20">
        <f t="shared" si="1"/>
        <v>16.625</v>
      </c>
      <c r="K11" s="20">
        <f t="shared" si="2"/>
        <v>33.25</v>
      </c>
      <c r="L11" s="20"/>
      <c r="M11" s="20"/>
      <c r="N11" s="20"/>
      <c r="O11" s="20"/>
      <c r="P11" s="20"/>
      <c r="Q11" s="21"/>
    </row>
    <row r="12" spans="1:17">
      <c r="A12" s="32" t="s">
        <v>546</v>
      </c>
      <c r="B12" s="20">
        <v>0</v>
      </c>
      <c r="C12" s="20">
        <v>0</v>
      </c>
      <c r="D12" s="20">
        <v>0.5</v>
      </c>
      <c r="E12" s="20">
        <v>2.8250000000000002</v>
      </c>
      <c r="F12" s="40">
        <v>200000</v>
      </c>
      <c r="G12" s="40">
        <v>0</v>
      </c>
      <c r="H12" s="20">
        <v>0</v>
      </c>
      <c r="I12" s="20">
        <f t="shared" si="0"/>
        <v>14125</v>
      </c>
      <c r="J12" s="20">
        <f t="shared" si="1"/>
        <v>14.125</v>
      </c>
      <c r="K12" s="20">
        <f t="shared" si="2"/>
        <v>28.25</v>
      </c>
      <c r="L12" s="20"/>
      <c r="M12" s="20"/>
      <c r="N12" s="20"/>
      <c r="O12" s="20"/>
      <c r="P12" s="20"/>
      <c r="Q12" s="21"/>
    </row>
    <row r="13" spans="1:17">
      <c r="A13" s="32" t="s">
        <v>547</v>
      </c>
      <c r="B13" s="20">
        <v>0</v>
      </c>
      <c r="C13" s="20">
        <v>0</v>
      </c>
      <c r="D13" s="20">
        <v>0.5</v>
      </c>
      <c r="E13" s="20">
        <v>2.3250000000000002</v>
      </c>
      <c r="F13" s="40">
        <v>200000</v>
      </c>
      <c r="G13" s="40">
        <v>0</v>
      </c>
      <c r="H13" s="20">
        <v>0</v>
      </c>
      <c r="I13" s="20">
        <f t="shared" si="0"/>
        <v>11625</v>
      </c>
      <c r="J13" s="20">
        <f t="shared" si="1"/>
        <v>11.625</v>
      </c>
      <c r="K13" s="20">
        <f t="shared" si="2"/>
        <v>23.25</v>
      </c>
      <c r="L13" s="20"/>
      <c r="M13" s="20"/>
      <c r="N13" s="20"/>
      <c r="O13" s="20"/>
      <c r="P13" s="20"/>
      <c r="Q13" s="21"/>
    </row>
    <row r="14" spans="1:17">
      <c r="A14" s="32" t="s">
        <v>548</v>
      </c>
      <c r="B14" s="20">
        <v>5</v>
      </c>
      <c r="C14" s="20">
        <v>0.625</v>
      </c>
      <c r="D14" s="20">
        <v>0.5</v>
      </c>
      <c r="E14" s="20">
        <v>2.4500000000000002</v>
      </c>
      <c r="F14" s="40">
        <v>200000</v>
      </c>
      <c r="G14" s="40">
        <v>174000</v>
      </c>
      <c r="H14" s="20">
        <v>48.23</v>
      </c>
      <c r="I14" s="20">
        <f t="shared" si="0"/>
        <v>12250</v>
      </c>
      <c r="J14" s="20">
        <f t="shared" si="1"/>
        <v>12.25</v>
      </c>
      <c r="K14" s="20">
        <f t="shared" si="2"/>
        <v>24.5</v>
      </c>
      <c r="L14" s="20"/>
      <c r="M14" s="20"/>
      <c r="N14" s="20"/>
      <c r="O14" s="20"/>
      <c r="P14" s="20"/>
      <c r="Q14" s="21"/>
    </row>
    <row r="15" spans="1:17">
      <c r="A15" s="32" t="s">
        <v>549</v>
      </c>
      <c r="B15" s="20">
        <v>20.399999999999999</v>
      </c>
      <c r="C15" s="20">
        <v>2.5499999999999998</v>
      </c>
      <c r="D15" s="20">
        <v>0.5</v>
      </c>
      <c r="E15" s="20">
        <v>4.5</v>
      </c>
      <c r="F15" s="40">
        <v>200000</v>
      </c>
      <c r="G15" s="40">
        <v>708000</v>
      </c>
      <c r="H15" s="20">
        <v>196.76</v>
      </c>
      <c r="I15" s="20">
        <f t="shared" si="0"/>
        <v>22500</v>
      </c>
      <c r="J15" s="20">
        <f t="shared" si="1"/>
        <v>22.5</v>
      </c>
      <c r="K15" s="20">
        <f t="shared" si="2"/>
        <v>45</v>
      </c>
      <c r="L15" s="20"/>
      <c r="M15" s="20"/>
      <c r="N15" s="20"/>
      <c r="O15" s="20"/>
      <c r="P15" s="20"/>
      <c r="Q15" s="21"/>
    </row>
    <row r="16" spans="1:17">
      <c r="A16" s="32" t="s">
        <v>550</v>
      </c>
      <c r="B16" s="20">
        <v>24.8</v>
      </c>
      <c r="C16" s="20">
        <v>3.1</v>
      </c>
      <c r="D16" s="20">
        <v>0.5</v>
      </c>
      <c r="E16" s="20">
        <v>7.1</v>
      </c>
      <c r="F16" s="40">
        <v>200000</v>
      </c>
      <c r="G16" s="40">
        <v>861000</v>
      </c>
      <c r="H16" s="20">
        <v>239.2</v>
      </c>
      <c r="I16" s="20">
        <f t="shared" si="0"/>
        <v>35500</v>
      </c>
      <c r="J16" s="20">
        <f t="shared" si="1"/>
        <v>35.5</v>
      </c>
      <c r="K16" s="20">
        <f t="shared" si="2"/>
        <v>71</v>
      </c>
      <c r="L16" s="20"/>
      <c r="M16" s="20"/>
      <c r="N16" s="20"/>
      <c r="O16" s="20"/>
      <c r="P16" s="20"/>
      <c r="Q16" s="21"/>
    </row>
    <row r="17" spans="1:17">
      <c r="A17" s="32" t="s">
        <v>551</v>
      </c>
      <c r="B17" s="20">
        <v>34</v>
      </c>
      <c r="C17" s="20">
        <v>4.25</v>
      </c>
      <c r="D17" s="20">
        <v>0.5</v>
      </c>
      <c r="E17" s="20">
        <v>10.85</v>
      </c>
      <c r="F17" s="40">
        <v>200000</v>
      </c>
      <c r="G17" s="40">
        <v>1180000</v>
      </c>
      <c r="H17" s="20">
        <v>327.93</v>
      </c>
      <c r="I17" s="20">
        <f t="shared" si="0"/>
        <v>54250</v>
      </c>
      <c r="J17" s="20">
        <f t="shared" si="1"/>
        <v>54.25</v>
      </c>
      <c r="K17" s="20">
        <f t="shared" si="2"/>
        <v>108.5</v>
      </c>
      <c r="L17" s="20"/>
      <c r="M17" s="20"/>
      <c r="N17" s="20"/>
      <c r="O17" s="20"/>
      <c r="P17" s="20"/>
      <c r="Q17" s="21"/>
    </row>
    <row r="18" spans="1:17">
      <c r="A18" s="17" t="s">
        <v>552</v>
      </c>
      <c r="B18" s="41">
        <v>44.6</v>
      </c>
      <c r="C18" s="41">
        <v>5</v>
      </c>
      <c r="D18" s="41">
        <v>0.5</v>
      </c>
      <c r="E18" s="41">
        <v>15.35</v>
      </c>
      <c r="F18" s="42">
        <v>200000</v>
      </c>
      <c r="G18" s="42">
        <v>1390000</v>
      </c>
      <c r="H18" s="41">
        <v>385.8</v>
      </c>
      <c r="I18" s="20">
        <f t="shared" si="0"/>
        <v>76750</v>
      </c>
      <c r="J18" s="20">
        <f t="shared" si="1"/>
        <v>76.75</v>
      </c>
      <c r="K18" s="20">
        <f t="shared" si="2"/>
        <v>153.5</v>
      </c>
      <c r="L18" s="41"/>
      <c r="M18" s="41"/>
      <c r="N18" s="41"/>
      <c r="O18" s="41"/>
      <c r="P18" s="41"/>
      <c r="Q18" s="31"/>
    </row>
    <row r="22" spans="1:17">
      <c r="E22" s="186" t="s">
        <v>553</v>
      </c>
    </row>
    <row r="23" spans="1:17">
      <c r="E23" t="s">
        <v>554</v>
      </c>
      <c r="F23">
        <v>6527.5</v>
      </c>
      <c r="G23" t="s">
        <v>225</v>
      </c>
    </row>
    <row r="24" spans="1:17">
      <c r="E24" t="s">
        <v>555</v>
      </c>
      <c r="F24">
        <v>1200</v>
      </c>
      <c r="G24" t="s">
        <v>556</v>
      </c>
    </row>
    <row r="25" spans="1:17">
      <c r="E25" t="s">
        <v>557</v>
      </c>
      <c r="F25">
        <v>2.0299999999999998</v>
      </c>
      <c r="G25" t="s">
        <v>259</v>
      </c>
    </row>
    <row r="27" spans="1:17">
      <c r="A27" t="s">
        <v>558</v>
      </c>
    </row>
    <row r="28" spans="1:17">
      <c r="B28" t="s">
        <v>308</v>
      </c>
      <c r="C28" t="s">
        <v>559</v>
      </c>
    </row>
    <row r="29" spans="1:17">
      <c r="A29" t="s">
        <v>423</v>
      </c>
      <c r="B29">
        <v>2</v>
      </c>
      <c r="C29">
        <v>3</v>
      </c>
    </row>
    <row r="30" spans="1:17">
      <c r="A30" t="s">
        <v>60</v>
      </c>
      <c r="B30">
        <v>4</v>
      </c>
      <c r="C30">
        <v>3</v>
      </c>
    </row>
    <row r="32" spans="1:17">
      <c r="A32" t="s">
        <v>560</v>
      </c>
    </row>
    <row r="33" spans="1:3">
      <c r="A33" t="s">
        <v>423</v>
      </c>
      <c r="B33" t="s">
        <v>561</v>
      </c>
      <c r="C33">
        <f>4-0.5*LN(200)</f>
        <v>1.3508413167259818</v>
      </c>
    </row>
    <row r="34" spans="1:3">
      <c r="A34" t="s">
        <v>60</v>
      </c>
      <c r="B34" t="s">
        <v>562</v>
      </c>
      <c r="C34">
        <f>4-0.5*LN(25)</f>
        <v>2.3905620875658995</v>
      </c>
    </row>
    <row r="36" spans="1:3">
      <c r="A36" t="s">
        <v>563</v>
      </c>
      <c r="B36">
        <f>B37+B38</f>
        <v>23.488141196591204</v>
      </c>
    </row>
    <row r="37" spans="1:3">
      <c r="A37" t="s">
        <v>308</v>
      </c>
      <c r="B37">
        <f>B29*C33+B30*C34</f>
        <v>12.263930983715561</v>
      </c>
    </row>
    <row r="38" spans="1:3">
      <c r="A38" t="s">
        <v>311</v>
      </c>
      <c r="B38">
        <f>C29*C33+C30*C34</f>
        <v>11.224210212875644</v>
      </c>
    </row>
    <row r="39" spans="1:3">
      <c r="A39" t="s">
        <v>564</v>
      </c>
      <c r="B39">
        <f>B30*C34+C30*C34</f>
        <v>16.733934612961296</v>
      </c>
    </row>
    <row r="40" spans="1:3">
      <c r="A40" t="s">
        <v>565</v>
      </c>
      <c r="B40">
        <f>B29*C33+C29*C33</f>
        <v>6.7542065836299097</v>
      </c>
    </row>
    <row r="42" spans="1:3">
      <c r="A42" t="s">
        <v>566</v>
      </c>
      <c r="B42" s="99">
        <f>(1/2)*(1+COS((B36-0)*PI()/(32-0)))</f>
        <v>0.16465207077279886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4"/>
  <sheetViews>
    <sheetView workbookViewId="0">
      <selection activeCell="A14" sqref="A14"/>
    </sheetView>
  </sheetViews>
  <sheetFormatPr defaultRowHeight="14.4"/>
  <sheetData>
    <row r="1" spans="1:11" ht="21" customHeight="1">
      <c r="A1" s="43" t="s">
        <v>567</v>
      </c>
      <c r="B1" s="3"/>
      <c r="C1" s="3"/>
      <c r="D1" s="3"/>
      <c r="E1" s="3"/>
      <c r="F1" s="3"/>
      <c r="G1" s="3"/>
      <c r="H1" s="3"/>
      <c r="I1" s="3"/>
      <c r="J1" s="3"/>
      <c r="K1" s="4"/>
    </row>
    <row r="2" spans="1:11" ht="15" customHeight="1" thickBot="1">
      <c r="A2" s="44"/>
      <c r="B2" s="38"/>
      <c r="C2" s="38"/>
      <c r="D2" s="20"/>
      <c r="E2" s="38"/>
      <c r="F2" s="38"/>
      <c r="G2" s="38"/>
      <c r="H2" s="38"/>
      <c r="I2" s="38"/>
      <c r="J2" s="38"/>
      <c r="K2" s="21"/>
    </row>
    <row r="3" spans="1:11" ht="15" customHeight="1" thickTop="1">
      <c r="A3" s="32" t="s">
        <v>568</v>
      </c>
      <c r="B3" s="20">
        <v>1.1000000000000001</v>
      </c>
      <c r="C3" s="45" t="s">
        <v>121</v>
      </c>
      <c r="D3" s="45"/>
      <c r="E3" s="46" t="s">
        <v>569</v>
      </c>
      <c r="F3" s="47"/>
      <c r="G3" s="47"/>
      <c r="H3" s="47"/>
      <c r="I3" s="47"/>
      <c r="J3" s="48"/>
      <c r="K3" s="21"/>
    </row>
    <row r="4" spans="1:11">
      <c r="A4" s="32" t="s">
        <v>570</v>
      </c>
      <c r="B4" s="49">
        <v>0.70833333333333337</v>
      </c>
      <c r="C4" s="45"/>
      <c r="D4" s="45"/>
      <c r="E4" s="47" t="s">
        <v>571</v>
      </c>
      <c r="F4" s="47"/>
      <c r="G4" s="47"/>
      <c r="H4" s="47"/>
      <c r="I4" s="47"/>
      <c r="J4" s="48"/>
      <c r="K4" s="21"/>
    </row>
    <row r="5" spans="1:11">
      <c r="A5" s="32" t="s">
        <v>572</v>
      </c>
      <c r="B5" s="20">
        <v>200</v>
      </c>
      <c r="C5" s="45" t="s">
        <v>297</v>
      </c>
      <c r="D5" s="45"/>
      <c r="E5" s="47" t="s">
        <v>573</v>
      </c>
      <c r="F5" s="47"/>
      <c r="G5" s="47"/>
      <c r="H5" s="47"/>
      <c r="I5" s="47"/>
      <c r="J5" s="48"/>
      <c r="K5" s="21"/>
    </row>
    <row r="6" spans="1:11" ht="15" customHeight="1" thickBot="1">
      <c r="A6" s="32" t="s">
        <v>574</v>
      </c>
      <c r="B6" s="20">
        <v>0</v>
      </c>
      <c r="C6" s="45" t="s">
        <v>556</v>
      </c>
      <c r="D6" s="45"/>
      <c r="E6" s="50" t="s">
        <v>575</v>
      </c>
      <c r="F6" s="50"/>
      <c r="G6" s="50"/>
      <c r="H6" s="50"/>
      <c r="I6" s="50"/>
      <c r="J6" s="51"/>
      <c r="K6" s="21"/>
    </row>
    <row r="7" spans="1:11" ht="15.6" customHeight="1" thickTop="1" thickBot="1">
      <c r="A7" s="44" t="s">
        <v>576</v>
      </c>
      <c r="B7" s="38">
        <v>800</v>
      </c>
      <c r="C7" s="52" t="s">
        <v>231</v>
      </c>
      <c r="D7" s="20"/>
      <c r="E7" s="20"/>
      <c r="F7" s="20"/>
      <c r="G7" s="20"/>
      <c r="H7" s="20"/>
      <c r="I7" s="20"/>
      <c r="J7" s="20"/>
      <c r="K7" s="21"/>
    </row>
    <row r="8" spans="1:11" ht="15" customHeight="1" thickTop="1">
      <c r="A8" s="32"/>
      <c r="B8" s="20"/>
      <c r="C8" s="20"/>
      <c r="D8" s="20"/>
      <c r="E8" s="20"/>
      <c r="F8" s="20"/>
      <c r="G8" s="20"/>
      <c r="H8" s="20"/>
      <c r="I8" s="20"/>
      <c r="J8" s="20"/>
      <c r="K8" s="21"/>
    </row>
    <row r="9" spans="1:11" ht="31.2" customHeight="1">
      <c r="A9" s="53" t="s">
        <v>577</v>
      </c>
      <c r="B9" s="54" t="s">
        <v>576</v>
      </c>
      <c r="C9" s="54" t="s">
        <v>578</v>
      </c>
      <c r="D9" s="54" t="s">
        <v>579</v>
      </c>
      <c r="E9" s="54" t="s">
        <v>580</v>
      </c>
      <c r="F9" s="20"/>
      <c r="G9" s="20"/>
      <c r="H9" s="20"/>
      <c r="I9" s="20"/>
      <c r="J9" s="20"/>
      <c r="K9" s="21"/>
    </row>
    <row r="10" spans="1:11">
      <c r="A10" s="33" t="s">
        <v>581</v>
      </c>
      <c r="B10" s="34" t="s">
        <v>582</v>
      </c>
      <c r="C10" s="34" t="s">
        <v>515</v>
      </c>
      <c r="D10" s="34" t="s">
        <v>515</v>
      </c>
      <c r="E10" s="34" t="s">
        <v>539</v>
      </c>
      <c r="F10" s="20"/>
      <c r="G10" s="20"/>
      <c r="H10" s="20"/>
      <c r="I10" s="20"/>
      <c r="J10" s="20"/>
      <c r="K10" s="21"/>
    </row>
    <row r="11" spans="1:11">
      <c r="A11" s="55">
        <v>0.5</v>
      </c>
      <c r="B11" s="20">
        <v>800</v>
      </c>
      <c r="C11" s="20">
        <v>880</v>
      </c>
      <c r="D11" s="20">
        <v>0</v>
      </c>
      <c r="E11" s="20">
        <v>0</v>
      </c>
      <c r="F11" s="20"/>
      <c r="G11" s="20"/>
      <c r="H11" s="20"/>
      <c r="I11" s="20"/>
      <c r="J11" s="20"/>
      <c r="K11" s="21"/>
    </row>
    <row r="12" spans="1:11">
      <c r="A12" s="55">
        <v>0.54166666666666663</v>
      </c>
      <c r="B12" s="20">
        <v>800</v>
      </c>
      <c r="C12" s="20">
        <v>880</v>
      </c>
      <c r="D12" s="20">
        <v>0</v>
      </c>
      <c r="E12" s="20">
        <v>880</v>
      </c>
      <c r="F12" s="20"/>
      <c r="G12" s="20"/>
      <c r="H12" s="20"/>
      <c r="I12" s="20"/>
      <c r="J12" s="20"/>
      <c r="K12" s="21"/>
    </row>
    <row r="13" spans="1:11">
      <c r="A13" s="55">
        <v>0.58333333333333337</v>
      </c>
      <c r="B13" s="20">
        <v>800</v>
      </c>
      <c r="C13" s="20">
        <v>880</v>
      </c>
      <c r="D13" s="20">
        <v>0</v>
      </c>
      <c r="E13" s="20">
        <v>1760</v>
      </c>
      <c r="F13" s="20"/>
      <c r="G13" s="20"/>
      <c r="H13" s="20"/>
      <c r="I13" s="20"/>
      <c r="J13" s="20"/>
      <c r="K13" s="21"/>
    </row>
    <row r="14" spans="1:11">
      <c r="A14" s="55">
        <v>0.625</v>
      </c>
      <c r="B14" s="20">
        <v>800</v>
      </c>
      <c r="C14" s="20">
        <v>880</v>
      </c>
      <c r="D14" s="20">
        <v>0</v>
      </c>
      <c r="E14" s="20">
        <v>2640</v>
      </c>
      <c r="F14" s="20"/>
      <c r="G14" s="20"/>
      <c r="H14" s="20"/>
      <c r="I14" s="20"/>
      <c r="J14" s="20"/>
      <c r="K14" s="21"/>
    </row>
    <row r="15" spans="1:11">
      <c r="A15" s="55">
        <v>0.66666666666666663</v>
      </c>
      <c r="B15" s="20">
        <v>800</v>
      </c>
      <c r="C15" s="20">
        <v>880</v>
      </c>
      <c r="D15" s="20">
        <v>0</v>
      </c>
      <c r="E15" s="20">
        <v>3520</v>
      </c>
      <c r="F15" s="20"/>
      <c r="G15" s="20"/>
      <c r="H15" s="20"/>
      <c r="I15" s="20"/>
      <c r="J15" s="20"/>
      <c r="K15" s="21"/>
    </row>
    <row r="16" spans="1:11">
      <c r="A16" s="55">
        <v>0.70833333333333337</v>
      </c>
      <c r="B16" s="20">
        <v>0</v>
      </c>
      <c r="C16" s="20">
        <v>0</v>
      </c>
      <c r="D16" s="20">
        <v>200</v>
      </c>
      <c r="E16" s="20">
        <v>4400</v>
      </c>
      <c r="F16" s="20"/>
      <c r="G16" s="20"/>
      <c r="H16" s="20"/>
      <c r="I16" s="20"/>
      <c r="J16" s="20"/>
      <c r="K16" s="21"/>
    </row>
    <row r="17" spans="1:11">
      <c r="A17" s="55">
        <v>0.75</v>
      </c>
      <c r="B17" s="20">
        <v>0</v>
      </c>
      <c r="C17" s="20">
        <v>0</v>
      </c>
      <c r="D17" s="20">
        <v>200</v>
      </c>
      <c r="E17" s="20">
        <v>4200</v>
      </c>
      <c r="F17" s="20"/>
      <c r="G17" s="20"/>
      <c r="H17" s="20"/>
      <c r="I17" s="20"/>
      <c r="J17" s="20"/>
      <c r="K17" s="21"/>
    </row>
    <row r="18" spans="1:11">
      <c r="A18" s="55">
        <v>0.79166666666666663</v>
      </c>
      <c r="B18" s="20">
        <v>0</v>
      </c>
      <c r="C18" s="20">
        <v>0</v>
      </c>
      <c r="D18" s="20">
        <v>200</v>
      </c>
      <c r="E18" s="20">
        <v>4000</v>
      </c>
      <c r="F18" s="20"/>
      <c r="G18" s="20"/>
      <c r="H18" s="20"/>
      <c r="I18" s="20"/>
      <c r="J18" s="20"/>
      <c r="K18" s="21"/>
    </row>
    <row r="19" spans="1:11">
      <c r="A19" s="55">
        <v>0.83333333333333337</v>
      </c>
      <c r="B19" s="20">
        <v>0</v>
      </c>
      <c r="C19" s="20">
        <v>0</v>
      </c>
      <c r="D19" s="20">
        <v>200</v>
      </c>
      <c r="E19" s="20">
        <v>3800</v>
      </c>
      <c r="F19" s="20"/>
      <c r="G19" s="20"/>
      <c r="H19" s="20"/>
      <c r="I19" s="20"/>
      <c r="J19" s="20"/>
      <c r="K19" s="21"/>
    </row>
    <row r="20" spans="1:11">
      <c r="A20" s="55">
        <v>0.875</v>
      </c>
      <c r="B20" s="20">
        <v>0</v>
      </c>
      <c r="C20" s="20">
        <v>0</v>
      </c>
      <c r="D20" s="20">
        <v>200</v>
      </c>
      <c r="E20" s="20">
        <v>3600</v>
      </c>
      <c r="F20" s="20"/>
      <c r="G20" s="20"/>
      <c r="H20" s="20"/>
      <c r="I20" s="20"/>
      <c r="J20" s="20"/>
      <c r="K20" s="21"/>
    </row>
    <row r="21" spans="1:11">
      <c r="A21" s="55">
        <v>0.91666666666666663</v>
      </c>
      <c r="B21" s="20">
        <v>0</v>
      </c>
      <c r="C21" s="20">
        <v>0</v>
      </c>
      <c r="D21" s="20">
        <v>200</v>
      </c>
      <c r="E21" s="20">
        <v>3400</v>
      </c>
      <c r="F21" s="20"/>
      <c r="G21" s="20"/>
      <c r="H21" s="20"/>
      <c r="I21" s="20"/>
      <c r="J21" s="20"/>
      <c r="K21" s="21"/>
    </row>
    <row r="22" spans="1:11">
      <c r="A22" s="55">
        <v>0.95833333333333337</v>
      </c>
      <c r="B22" s="20">
        <v>0</v>
      </c>
      <c r="C22" s="20">
        <v>0</v>
      </c>
      <c r="D22" s="20">
        <v>200</v>
      </c>
      <c r="E22" s="20">
        <v>3200</v>
      </c>
      <c r="F22" s="20"/>
      <c r="G22" s="20"/>
      <c r="H22" s="20"/>
      <c r="I22" s="20"/>
      <c r="J22" s="20"/>
      <c r="K22" s="21"/>
    </row>
    <row r="23" spans="1:11">
      <c r="A23" s="55">
        <v>0</v>
      </c>
      <c r="B23" s="20">
        <v>0</v>
      </c>
      <c r="C23" s="20">
        <v>0</v>
      </c>
      <c r="D23" s="20">
        <v>200</v>
      </c>
      <c r="E23" s="20">
        <v>3000</v>
      </c>
      <c r="F23" s="20"/>
      <c r="G23" s="20"/>
      <c r="H23" s="20"/>
      <c r="I23" s="20"/>
      <c r="J23" s="20"/>
      <c r="K23" s="21"/>
    </row>
    <row r="24" spans="1:11">
      <c r="A24" s="17"/>
      <c r="B24" s="41"/>
      <c r="C24" s="41"/>
      <c r="D24" s="41"/>
      <c r="E24" s="41"/>
      <c r="F24" s="41"/>
      <c r="G24" s="41"/>
      <c r="H24" s="41"/>
      <c r="I24" s="41"/>
      <c r="J24" s="41"/>
      <c r="K24"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5"/>
  <sheetViews>
    <sheetView workbookViewId="0">
      <selection activeCell="B14" sqref="B14"/>
    </sheetView>
  </sheetViews>
  <sheetFormatPr defaultRowHeight="14.4"/>
  <cols>
    <col min="1" max="1" width="17" style="195" customWidth="1"/>
  </cols>
  <sheetData>
    <row r="1" spans="1:9" ht="28.8" customHeight="1">
      <c r="A1" s="118" t="s">
        <v>583</v>
      </c>
      <c r="B1" s="118">
        <v>9.81</v>
      </c>
      <c r="C1" s="118"/>
      <c r="D1" s="118"/>
      <c r="E1" s="118"/>
      <c r="F1" s="118"/>
      <c r="G1" s="118"/>
      <c r="H1" s="118"/>
      <c r="I1" s="118"/>
    </row>
    <row r="2" spans="1:9">
      <c r="A2" s="118" t="s">
        <v>584</v>
      </c>
      <c r="B2" s="118">
        <v>1000</v>
      </c>
      <c r="C2" s="118"/>
      <c r="D2" s="118"/>
      <c r="E2" s="118"/>
      <c r="F2" s="118"/>
      <c r="G2" s="118"/>
      <c r="H2" s="118"/>
      <c r="I2" s="118"/>
    </row>
    <row r="3" spans="1:9">
      <c r="A3" s="118"/>
      <c r="B3" s="118"/>
      <c r="C3" s="118"/>
      <c r="D3" s="118"/>
      <c r="E3" s="118"/>
      <c r="F3" s="118"/>
      <c r="G3" s="118"/>
      <c r="H3" s="118"/>
      <c r="I3" s="118"/>
    </row>
    <row r="4" spans="1:9">
      <c r="A4" s="118"/>
      <c r="B4" s="118"/>
      <c r="C4" s="118"/>
      <c r="D4" s="118"/>
      <c r="E4" s="118"/>
      <c r="F4" s="118"/>
      <c r="G4" s="118"/>
      <c r="H4" s="118"/>
      <c r="I4" s="118"/>
    </row>
    <row r="5" spans="1:9" ht="43.2" customHeight="1">
      <c r="A5" s="118" t="s">
        <v>354</v>
      </c>
      <c r="B5" s="118" t="s">
        <v>585</v>
      </c>
      <c r="C5" s="118" t="s">
        <v>586</v>
      </c>
      <c r="D5" s="118" t="s">
        <v>587</v>
      </c>
      <c r="E5" s="118" t="s">
        <v>588</v>
      </c>
      <c r="F5" s="118" t="s">
        <v>589</v>
      </c>
      <c r="G5" s="118" t="s">
        <v>590</v>
      </c>
      <c r="H5" s="118" t="s">
        <v>591</v>
      </c>
      <c r="I5" s="118" t="s">
        <v>592</v>
      </c>
    </row>
    <row r="6" spans="1:9">
      <c r="A6" s="118"/>
      <c r="B6" s="118" t="s">
        <v>146</v>
      </c>
      <c r="C6" s="118" t="s">
        <v>146</v>
      </c>
      <c r="D6" s="118" t="s">
        <v>146</v>
      </c>
      <c r="E6" s="118" t="s">
        <v>593</v>
      </c>
      <c r="F6" s="118" t="s">
        <v>594</v>
      </c>
      <c r="G6" s="118" t="s">
        <v>595</v>
      </c>
      <c r="H6" s="118" t="s">
        <v>596</v>
      </c>
      <c r="I6" s="118" t="s">
        <v>140</v>
      </c>
    </row>
    <row r="7" spans="1:9">
      <c r="A7" s="118">
        <v>0</v>
      </c>
      <c r="B7" s="118">
        <v>0</v>
      </c>
      <c r="C7" s="118">
        <v>0</v>
      </c>
      <c r="D7" s="118">
        <f t="shared" ref="D7:D12" si="0">C7-B7</f>
        <v>0</v>
      </c>
      <c r="E7" s="118">
        <v>0</v>
      </c>
      <c r="F7" s="118">
        <v>0</v>
      </c>
      <c r="G7" s="118">
        <v>0</v>
      </c>
      <c r="H7" s="118">
        <v>0</v>
      </c>
      <c r="I7" s="118">
        <v>0</v>
      </c>
    </row>
    <row r="8" spans="1:9">
      <c r="A8" s="118">
        <v>1</v>
      </c>
      <c r="B8" s="118">
        <v>0.02</v>
      </c>
      <c r="C8" s="118">
        <v>0.26</v>
      </c>
      <c r="D8" s="118">
        <f t="shared" si="0"/>
        <v>0.24000000000000002</v>
      </c>
      <c r="E8" s="118">
        <f>$B$2*$B$1*D8</f>
        <v>2354.4</v>
      </c>
      <c r="F8" s="118">
        <v>250</v>
      </c>
      <c r="G8" s="118">
        <v>43.38</v>
      </c>
      <c r="H8" s="118">
        <f>F8/(G8*1000*1000)</f>
        <v>5.7630244352236052E-6</v>
      </c>
      <c r="I8" s="118">
        <f>(H8)/(PI()*(0.01/2)^2)</f>
        <v>7.337710608201721E-2</v>
      </c>
    </row>
    <row r="9" spans="1:9">
      <c r="A9" s="118">
        <v>2</v>
      </c>
      <c r="B9" s="118">
        <v>0.02</v>
      </c>
      <c r="C9" s="118">
        <v>0.41</v>
      </c>
      <c r="D9" s="118">
        <f t="shared" si="0"/>
        <v>0.38999999999999996</v>
      </c>
      <c r="E9" s="118">
        <f>$B$2*$B$1*D9</f>
        <v>3825.8999999999996</v>
      </c>
      <c r="F9" s="118">
        <v>250</v>
      </c>
      <c r="G9" s="118">
        <v>31.45</v>
      </c>
      <c r="H9" s="118">
        <f>F9/(G9*1000*1000)</f>
        <v>7.9491255961844193E-6</v>
      </c>
      <c r="I9" s="118">
        <f>(H9)/(PI()*(0.01/2)^2)</f>
        <v>0.1012114105512848</v>
      </c>
    </row>
    <row r="10" spans="1:9">
      <c r="A10" s="118">
        <v>3</v>
      </c>
      <c r="B10" s="118">
        <v>2.5000000000000001E-2</v>
      </c>
      <c r="C10" s="118">
        <v>0.56499999999999995</v>
      </c>
      <c r="D10" s="118">
        <f t="shared" si="0"/>
        <v>0.53999999999999992</v>
      </c>
      <c r="E10" s="118">
        <f>$B$2*$B$1*D10</f>
        <v>5297.4</v>
      </c>
      <c r="F10" s="118">
        <v>250</v>
      </c>
      <c r="G10" s="118">
        <v>26.25</v>
      </c>
      <c r="H10" s="118">
        <f>F10/(G10*1000*1000)</f>
        <v>9.5238095238095231E-6</v>
      </c>
      <c r="I10" s="118">
        <f>(H10)/(PI()*(0.01/2)^2)</f>
        <v>0.12126090902239645</v>
      </c>
    </row>
    <row r="11" spans="1:9">
      <c r="A11" s="118">
        <v>4</v>
      </c>
      <c r="B11" s="118">
        <v>0.03</v>
      </c>
      <c r="C11" s="118">
        <v>0.72</v>
      </c>
      <c r="D11" s="118">
        <f t="shared" si="0"/>
        <v>0.69</v>
      </c>
      <c r="E11" s="118">
        <f>$B$2*$B$1*D11</f>
        <v>6768.9</v>
      </c>
      <c r="F11" s="118">
        <v>250</v>
      </c>
      <c r="G11" s="118">
        <v>23.19</v>
      </c>
      <c r="H11" s="118">
        <f>F11/(G11*1000*1000)</f>
        <v>1.0780508840017249E-5</v>
      </c>
      <c r="I11" s="118">
        <f>(H11)/(PI()*(0.01/2)^2)</f>
        <v>0.13726170167476959</v>
      </c>
    </row>
    <row r="12" spans="1:9">
      <c r="A12" s="118">
        <v>5</v>
      </c>
      <c r="B12" s="118">
        <v>3.5000000000000003E-2</v>
      </c>
      <c r="C12" s="118">
        <v>0.875</v>
      </c>
      <c r="D12" s="118">
        <f t="shared" si="0"/>
        <v>0.84</v>
      </c>
      <c r="E12" s="118">
        <f>$B$2*$B$1*D12</f>
        <v>8240.4</v>
      </c>
      <c r="F12" s="118">
        <v>250</v>
      </c>
      <c r="G12" s="118">
        <v>20.04</v>
      </c>
      <c r="H12" s="118">
        <f>F12/(G12*1000*1000)</f>
        <v>1.24750499001996E-5</v>
      </c>
      <c r="I12" s="118">
        <f>(H12)/(PI()*(0.01/2)^2)</f>
        <v>0.15883726855478578</v>
      </c>
    </row>
    <row r="14" spans="1:9">
      <c r="A14" s="131" t="s">
        <v>70</v>
      </c>
      <c r="B14" s="118">
        <v>14624</v>
      </c>
    </row>
    <row r="15" spans="1:9" ht="28.8" customHeight="1">
      <c r="A15" s="131" t="s">
        <v>597</v>
      </c>
      <c r="B15" s="118">
        <v>239822</v>
      </c>
    </row>
  </sheetData>
  <pageMargins left="0.7" right="0.7" top="0.75" bottom="0.75" header="0.3" footer="0.3"/>
  <pageSetup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C36"/>
  <sheetViews>
    <sheetView topLeftCell="A16" workbookViewId="0">
      <selection activeCell="D24" sqref="D24"/>
    </sheetView>
  </sheetViews>
  <sheetFormatPr defaultRowHeight="14.4"/>
  <cols>
    <col min="1" max="1" width="21.109375" style="195" bestFit="1" customWidth="1"/>
    <col min="2" max="2" width="20" style="195" customWidth="1"/>
    <col min="3" max="3" width="19.44140625" style="195" customWidth="1"/>
    <col min="4" max="4" width="34.77734375" style="195" customWidth="1"/>
    <col min="16384" max="16384" width="9.109375" style="195" bestFit="1" customWidth="1"/>
  </cols>
  <sheetData>
    <row r="1" spans="1:4">
      <c r="A1" s="190" t="s">
        <v>598</v>
      </c>
      <c r="B1" s="190" t="s">
        <v>599</v>
      </c>
      <c r="C1" s="190" t="s">
        <v>600</v>
      </c>
      <c r="D1" s="190" t="s">
        <v>601</v>
      </c>
    </row>
    <row r="2" spans="1:4" ht="28.8" customHeight="1">
      <c r="A2" s="255" t="s">
        <v>8</v>
      </c>
      <c r="B2" s="118" t="s">
        <v>602</v>
      </c>
      <c r="C2" s="118"/>
      <c r="D2" s="118" t="s">
        <v>603</v>
      </c>
    </row>
    <row r="3" spans="1:4" ht="72" customHeight="1">
      <c r="A3" s="212"/>
      <c r="B3" s="118" t="s">
        <v>604</v>
      </c>
      <c r="C3" s="118"/>
      <c r="D3" s="254" t="s">
        <v>605</v>
      </c>
    </row>
    <row r="4" spans="1:4">
      <c r="A4" s="212"/>
      <c r="B4" s="118" t="s">
        <v>606</v>
      </c>
      <c r="C4" s="118"/>
      <c r="D4" s="212"/>
    </row>
    <row r="5" spans="1:4">
      <c r="A5" s="118" t="s">
        <v>10</v>
      </c>
      <c r="B5" s="118" t="s">
        <v>607</v>
      </c>
      <c r="C5" s="118"/>
      <c r="D5" s="254" t="s">
        <v>608</v>
      </c>
    </row>
    <row r="6" spans="1:4">
      <c r="A6" s="118"/>
      <c r="B6" s="118" t="s">
        <v>609</v>
      </c>
      <c r="C6" s="118"/>
      <c r="D6" s="212"/>
    </row>
    <row r="7" spans="1:4">
      <c r="A7" s="118" t="s">
        <v>11</v>
      </c>
      <c r="B7" s="118" t="s">
        <v>602</v>
      </c>
      <c r="C7" s="118"/>
      <c r="D7" s="118" t="s">
        <v>610</v>
      </c>
    </row>
    <row r="8" spans="1:4" ht="100.8" customHeight="1">
      <c r="A8" s="118"/>
      <c r="B8" s="118" t="s">
        <v>611</v>
      </c>
      <c r="C8" s="118"/>
      <c r="D8" s="254" t="s">
        <v>612</v>
      </c>
    </row>
    <row r="9" spans="1:4">
      <c r="A9" s="118"/>
      <c r="B9" s="118" t="s">
        <v>613</v>
      </c>
      <c r="C9" s="118"/>
      <c r="D9" s="212"/>
    </row>
    <row r="10" spans="1:4">
      <c r="A10" s="118"/>
      <c r="B10" s="118" t="s">
        <v>614</v>
      </c>
      <c r="C10" s="118"/>
      <c r="D10" s="212"/>
    </row>
    <row r="11" spans="1:4">
      <c r="A11" s="118"/>
      <c r="B11" s="118" t="s">
        <v>615</v>
      </c>
      <c r="C11" s="118"/>
      <c r="D11" s="212"/>
    </row>
    <row r="12" spans="1:4" ht="57.6" customHeight="1">
      <c r="A12" s="118" t="s">
        <v>616</v>
      </c>
      <c r="B12" s="118" t="s">
        <v>617</v>
      </c>
      <c r="C12" s="118" t="s">
        <v>395</v>
      </c>
      <c r="D12" s="118" t="s">
        <v>618</v>
      </c>
    </row>
    <row r="13" spans="1:4" ht="158.4" customHeight="1">
      <c r="A13" s="118" t="s">
        <v>619</v>
      </c>
      <c r="B13" s="118"/>
      <c r="C13" s="118"/>
      <c r="D13" s="118" t="s">
        <v>620</v>
      </c>
    </row>
    <row r="14" spans="1:4">
      <c r="A14" s="118" t="s">
        <v>621</v>
      </c>
      <c r="B14" s="118" t="s">
        <v>622</v>
      </c>
      <c r="C14" s="118"/>
      <c r="D14" s="254" t="s">
        <v>623</v>
      </c>
    </row>
    <row r="15" spans="1:4">
      <c r="A15" s="118"/>
      <c r="B15" s="118" t="s">
        <v>624</v>
      </c>
      <c r="C15" s="118"/>
      <c r="D15" s="212"/>
    </row>
    <row r="16" spans="1:4">
      <c r="A16" s="118" t="s">
        <v>21</v>
      </c>
      <c r="B16" s="118" t="s">
        <v>625</v>
      </c>
      <c r="C16" s="118"/>
      <c r="D16" s="254" t="s">
        <v>626</v>
      </c>
    </row>
    <row r="17" spans="1:4">
      <c r="A17" s="118"/>
      <c r="B17" s="118" t="s">
        <v>627</v>
      </c>
      <c r="C17" s="118"/>
      <c r="D17" s="212"/>
    </row>
    <row r="18" spans="1:4">
      <c r="A18" s="118" t="s">
        <v>628</v>
      </c>
      <c r="B18" s="118" t="s">
        <v>629</v>
      </c>
      <c r="C18" s="118"/>
      <c r="D18" s="254" t="s">
        <v>630</v>
      </c>
    </row>
    <row r="19" spans="1:4">
      <c r="A19" s="118"/>
      <c r="B19" s="118" t="s">
        <v>631</v>
      </c>
      <c r="C19" s="118"/>
      <c r="D19" s="212"/>
    </row>
    <row r="20" spans="1:4">
      <c r="A20" s="118"/>
      <c r="B20" s="118" t="s">
        <v>632</v>
      </c>
      <c r="C20" s="118"/>
      <c r="D20" s="212"/>
    </row>
    <row r="21" spans="1:4">
      <c r="A21" s="118"/>
      <c r="B21" s="118" t="s">
        <v>633</v>
      </c>
      <c r="C21" s="118"/>
      <c r="D21" s="212"/>
    </row>
    <row r="22" spans="1:4">
      <c r="A22" s="118" t="s">
        <v>634</v>
      </c>
      <c r="B22" s="118" t="s">
        <v>28</v>
      </c>
      <c r="C22" s="118"/>
      <c r="D22" s="118"/>
    </row>
    <row r="23" spans="1:4">
      <c r="A23" s="118"/>
      <c r="B23" s="118" t="s">
        <v>635</v>
      </c>
      <c r="C23" s="118"/>
      <c r="D23" s="118"/>
    </row>
    <row r="24" spans="1:4">
      <c r="A24" s="118" t="s">
        <v>636</v>
      </c>
      <c r="B24" s="118" t="s">
        <v>60</v>
      </c>
      <c r="C24" s="118"/>
      <c r="D24" s="118"/>
    </row>
    <row r="25" spans="1:4">
      <c r="A25" s="118"/>
      <c r="B25" s="118" t="s">
        <v>30</v>
      </c>
      <c r="C25" s="118"/>
      <c r="D25" s="118"/>
    </row>
    <row r="26" spans="1:4" ht="115.2" customHeight="1">
      <c r="A26" s="118" t="s">
        <v>32</v>
      </c>
      <c r="B26" s="118" t="s">
        <v>61</v>
      </c>
      <c r="C26" s="118"/>
      <c r="D26" s="118" t="s">
        <v>637</v>
      </c>
    </row>
    <row r="27" spans="1:4" ht="144" customHeight="1">
      <c r="A27" s="118"/>
      <c r="B27" s="118" t="s">
        <v>41</v>
      </c>
      <c r="C27" s="118"/>
      <c r="D27" s="118" t="s">
        <v>638</v>
      </c>
    </row>
    <row r="28" spans="1:4">
      <c r="A28" s="118" t="s">
        <v>34</v>
      </c>
      <c r="B28" s="118"/>
      <c r="C28" s="118"/>
      <c r="D28" s="118"/>
    </row>
    <row r="29" spans="1:4" ht="72" customHeight="1">
      <c r="A29" s="118" t="s">
        <v>36</v>
      </c>
      <c r="B29" s="118" t="s">
        <v>62</v>
      </c>
      <c r="C29" s="118"/>
      <c r="D29" s="118" t="s">
        <v>639</v>
      </c>
    </row>
    <row r="30" spans="1:4">
      <c r="A30" s="118"/>
      <c r="B30" s="118" t="s">
        <v>169</v>
      </c>
      <c r="C30" s="118"/>
      <c r="D30" s="118"/>
    </row>
    <row r="31" spans="1:4">
      <c r="A31" s="118"/>
      <c r="B31" s="118" t="s">
        <v>640</v>
      </c>
      <c r="C31" s="118"/>
      <c r="D31" s="118"/>
    </row>
    <row r="32" spans="1:4">
      <c r="A32" s="118" t="s">
        <v>38</v>
      </c>
      <c r="B32" s="118"/>
      <c r="C32" s="118"/>
      <c r="D32" s="118"/>
    </row>
    <row r="33" spans="1:4">
      <c r="A33" t="s">
        <v>39</v>
      </c>
      <c r="B33" t="s">
        <v>641</v>
      </c>
    </row>
    <row r="34" spans="1:4">
      <c r="A34" t="s">
        <v>642</v>
      </c>
      <c r="B34" t="s">
        <v>643</v>
      </c>
    </row>
    <row r="35" spans="1:4">
      <c r="A35" s="118" t="s">
        <v>644</v>
      </c>
      <c r="B35" t="s">
        <v>58</v>
      </c>
      <c r="D35" t="s">
        <v>645</v>
      </c>
    </row>
    <row r="36" spans="1:4">
      <c r="B36" t="s">
        <v>19</v>
      </c>
    </row>
  </sheetData>
  <mergeCells count="7">
    <mergeCell ref="D18:D21"/>
    <mergeCell ref="A2:A4"/>
    <mergeCell ref="D3:D4"/>
    <mergeCell ref="D5:D6"/>
    <mergeCell ref="D8:D11"/>
    <mergeCell ref="D14:D15"/>
    <mergeCell ref="D16:D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76"/>
  <sheetViews>
    <sheetView workbookViewId="0">
      <selection activeCell="B12" sqref="B12"/>
    </sheetView>
  </sheetViews>
  <sheetFormatPr defaultRowHeight="14.4"/>
  <cols>
    <col min="1" max="1" width="10.5546875" style="195" bestFit="1" customWidth="1"/>
    <col min="2" max="2" width="17" style="195" bestFit="1" customWidth="1"/>
  </cols>
  <sheetData>
    <row r="1" spans="1:4">
      <c r="A1" s="56"/>
      <c r="B1" s="56"/>
    </row>
    <row r="2" spans="1:4">
      <c r="A2" s="56"/>
      <c r="B2" s="56"/>
    </row>
    <row r="3" spans="1:4">
      <c r="A3" s="56"/>
      <c r="B3" s="56"/>
    </row>
    <row r="4" spans="1:4">
      <c r="A4" s="56"/>
      <c r="B4" s="56"/>
    </row>
    <row r="5" spans="1:4">
      <c r="A5" s="56"/>
      <c r="B5" s="56"/>
    </row>
    <row r="6" spans="1:4">
      <c r="A6" s="56"/>
      <c r="B6" s="56"/>
    </row>
    <row r="7" spans="1:4">
      <c r="A7" s="56"/>
      <c r="B7" s="56"/>
    </row>
    <row r="8" spans="1:4">
      <c r="A8" s="56"/>
      <c r="B8" s="56"/>
    </row>
    <row r="9" spans="1:4">
      <c r="A9" s="56"/>
      <c r="B9" s="56"/>
    </row>
    <row r="10" spans="1:4">
      <c r="A10" s="56"/>
      <c r="B10" s="56"/>
    </row>
    <row r="11" spans="1:4">
      <c r="A11" s="57" t="s">
        <v>360</v>
      </c>
      <c r="B11" s="57" t="s">
        <v>646</v>
      </c>
      <c r="D11" t="s">
        <v>647</v>
      </c>
    </row>
    <row r="12" spans="1:4">
      <c r="A12" s="58">
        <v>41640</v>
      </c>
      <c r="B12" s="56">
        <v>18.8</v>
      </c>
      <c r="D12">
        <f t="shared" ref="D12:D75" ca="1" si="0">B12+((RAND()-0.5)*0.4)*B12</f>
        <v>17.954526829570248</v>
      </c>
    </row>
    <row r="13" spans="1:4">
      <c r="A13" s="58">
        <v>41641</v>
      </c>
      <c r="B13" s="56">
        <v>19.8</v>
      </c>
      <c r="D13">
        <f t="shared" ca="1" si="0"/>
        <v>18.916875122345338</v>
      </c>
    </row>
    <row r="14" spans="1:4">
      <c r="A14" s="58">
        <v>41642</v>
      </c>
      <c r="B14" s="56">
        <v>0</v>
      </c>
      <c r="D14">
        <f t="shared" ca="1" si="0"/>
        <v>0</v>
      </c>
    </row>
    <row r="15" spans="1:4">
      <c r="A15" s="58">
        <v>41643</v>
      </c>
      <c r="B15" s="56">
        <v>0</v>
      </c>
      <c r="D15">
        <f t="shared" ca="1" si="0"/>
        <v>0</v>
      </c>
    </row>
    <row r="16" spans="1:4">
      <c r="A16" s="58">
        <v>41644</v>
      </c>
      <c r="B16" s="56">
        <v>0</v>
      </c>
      <c r="D16">
        <f t="shared" ca="1" si="0"/>
        <v>0</v>
      </c>
    </row>
    <row r="17" spans="1:4">
      <c r="A17" s="58">
        <v>41645</v>
      </c>
      <c r="B17" s="56">
        <v>5</v>
      </c>
      <c r="D17">
        <f t="shared" ca="1" si="0"/>
        <v>4.1682794040559692</v>
      </c>
    </row>
    <row r="18" spans="1:4">
      <c r="A18" s="58">
        <v>41646</v>
      </c>
      <c r="B18" s="56">
        <v>20.399999999999999</v>
      </c>
      <c r="D18">
        <f t="shared" ca="1" si="0"/>
        <v>20.803993434995114</v>
      </c>
    </row>
    <row r="19" spans="1:4">
      <c r="A19" s="58">
        <v>41647</v>
      </c>
      <c r="B19" s="56">
        <v>24.8</v>
      </c>
      <c r="D19">
        <f t="shared" ca="1" si="0"/>
        <v>25.483514776019803</v>
      </c>
    </row>
    <row r="20" spans="1:4">
      <c r="A20" s="58">
        <v>41648</v>
      </c>
      <c r="B20" s="56">
        <v>34</v>
      </c>
      <c r="D20">
        <f t="shared" ca="1" si="0"/>
        <v>39.811974685913782</v>
      </c>
    </row>
    <row r="21" spans="1:4">
      <c r="A21" s="58">
        <v>41649</v>
      </c>
      <c r="B21" s="56">
        <v>44.6</v>
      </c>
      <c r="D21">
        <f t="shared" ca="1" si="0"/>
        <v>41.942572965748418</v>
      </c>
    </row>
    <row r="22" spans="1:4">
      <c r="A22" s="58">
        <v>41650</v>
      </c>
      <c r="B22" s="56">
        <v>14.4</v>
      </c>
      <c r="D22">
        <f t="shared" ca="1" si="0"/>
        <v>12.824961720864806</v>
      </c>
    </row>
    <row r="23" spans="1:4">
      <c r="A23" s="58">
        <v>41651</v>
      </c>
      <c r="B23" s="56">
        <v>50.2</v>
      </c>
      <c r="D23">
        <f t="shared" ca="1" si="0"/>
        <v>53.784758456973194</v>
      </c>
    </row>
    <row r="24" spans="1:4">
      <c r="A24" s="58">
        <v>41652</v>
      </c>
      <c r="B24" s="56">
        <v>9.6</v>
      </c>
      <c r="D24">
        <f t="shared" ca="1" si="0"/>
        <v>8.1675826762651571</v>
      </c>
    </row>
    <row r="25" spans="1:4">
      <c r="A25" s="58">
        <v>41653</v>
      </c>
      <c r="B25" s="56">
        <v>5.8</v>
      </c>
      <c r="D25">
        <f t="shared" ca="1" si="0"/>
        <v>5.6211745012356014</v>
      </c>
    </row>
    <row r="26" spans="1:4">
      <c r="A26" s="58">
        <v>41654</v>
      </c>
      <c r="B26" s="56">
        <v>1.6</v>
      </c>
      <c r="D26">
        <f t="shared" ca="1" si="0"/>
        <v>1.3689253732164282</v>
      </c>
    </row>
    <row r="27" spans="1:4">
      <c r="A27" s="58">
        <v>41655</v>
      </c>
      <c r="B27" s="56">
        <v>0.8</v>
      </c>
      <c r="D27">
        <f t="shared" ca="1" si="0"/>
        <v>0.95356159577509059</v>
      </c>
    </row>
    <row r="28" spans="1:4">
      <c r="A28" s="58">
        <v>41656</v>
      </c>
      <c r="B28" s="56">
        <v>0</v>
      </c>
      <c r="D28">
        <f t="shared" ca="1" si="0"/>
        <v>0</v>
      </c>
    </row>
    <row r="29" spans="1:4">
      <c r="A29" s="58">
        <v>41657</v>
      </c>
      <c r="B29" s="56">
        <v>2.6</v>
      </c>
      <c r="D29">
        <f t="shared" ca="1" si="0"/>
        <v>2.5207244430472127</v>
      </c>
    </row>
    <row r="30" spans="1:4">
      <c r="A30" s="58">
        <v>41658</v>
      </c>
      <c r="B30" s="56">
        <v>1</v>
      </c>
      <c r="D30">
        <f t="shared" ca="1" si="0"/>
        <v>0.92492148787049</v>
      </c>
    </row>
    <row r="31" spans="1:4">
      <c r="A31" s="58">
        <v>41659</v>
      </c>
      <c r="B31" s="56">
        <v>0.6</v>
      </c>
      <c r="D31">
        <f t="shared" ca="1" si="0"/>
        <v>0.58955245637803966</v>
      </c>
    </row>
    <row r="32" spans="1:4">
      <c r="A32" s="58">
        <v>41660</v>
      </c>
      <c r="B32" s="56">
        <v>0.8</v>
      </c>
      <c r="D32">
        <f t="shared" ca="1" si="0"/>
        <v>0.81100660741760267</v>
      </c>
    </row>
    <row r="33" spans="1:4">
      <c r="A33" s="58">
        <v>41661</v>
      </c>
      <c r="B33" s="56">
        <v>0.6</v>
      </c>
      <c r="D33">
        <f t="shared" ca="1" si="0"/>
        <v>0.59307308209241261</v>
      </c>
    </row>
    <row r="34" spans="1:4">
      <c r="A34" s="58">
        <v>41662</v>
      </c>
      <c r="B34" s="56">
        <v>0</v>
      </c>
      <c r="D34">
        <f t="shared" ca="1" si="0"/>
        <v>0</v>
      </c>
    </row>
    <row r="35" spans="1:4">
      <c r="A35" s="58">
        <v>41663</v>
      </c>
      <c r="B35" s="56">
        <v>0</v>
      </c>
      <c r="D35">
        <f t="shared" ca="1" si="0"/>
        <v>0</v>
      </c>
    </row>
    <row r="36" spans="1:4">
      <c r="A36" s="58">
        <v>41664</v>
      </c>
      <c r="B36" s="56">
        <v>0</v>
      </c>
      <c r="D36">
        <f t="shared" ca="1" si="0"/>
        <v>0</v>
      </c>
    </row>
    <row r="37" spans="1:4">
      <c r="A37" s="58">
        <v>41665</v>
      </c>
      <c r="B37" s="56">
        <v>0</v>
      </c>
      <c r="D37">
        <f t="shared" ca="1" si="0"/>
        <v>0</v>
      </c>
    </row>
    <row r="38" spans="1:4">
      <c r="A38" s="58">
        <v>41666</v>
      </c>
      <c r="B38" s="56">
        <v>17.600000000000001</v>
      </c>
      <c r="D38">
        <f t="shared" ca="1" si="0"/>
        <v>14.591659539164755</v>
      </c>
    </row>
    <row r="39" spans="1:4">
      <c r="A39" s="58">
        <v>41667</v>
      </c>
      <c r="B39" s="56">
        <v>0</v>
      </c>
      <c r="D39">
        <f t="shared" ca="1" si="0"/>
        <v>0</v>
      </c>
    </row>
    <row r="40" spans="1:4">
      <c r="A40" s="58">
        <v>41668</v>
      </c>
      <c r="B40" s="56">
        <v>0</v>
      </c>
      <c r="D40">
        <f t="shared" ca="1" si="0"/>
        <v>0</v>
      </c>
    </row>
    <row r="41" spans="1:4">
      <c r="A41" s="58">
        <v>41669</v>
      </c>
      <c r="B41" s="56">
        <v>0</v>
      </c>
      <c r="D41">
        <f t="shared" ca="1" si="0"/>
        <v>0</v>
      </c>
    </row>
    <row r="42" spans="1:4">
      <c r="A42" s="58">
        <v>41670</v>
      </c>
      <c r="B42" s="56">
        <v>2.6</v>
      </c>
      <c r="D42">
        <f t="shared" ca="1" si="0"/>
        <v>2.1105452656491135</v>
      </c>
    </row>
    <row r="43" spans="1:4">
      <c r="A43" s="58">
        <v>41671</v>
      </c>
      <c r="B43" s="56">
        <v>2.6</v>
      </c>
      <c r="D43">
        <f t="shared" ca="1" si="0"/>
        <v>2.7311805384377976</v>
      </c>
    </row>
    <row r="44" spans="1:4">
      <c r="A44" s="58">
        <v>41672</v>
      </c>
      <c r="B44" s="56">
        <v>0</v>
      </c>
      <c r="D44">
        <f t="shared" ca="1" si="0"/>
        <v>0</v>
      </c>
    </row>
    <row r="45" spans="1:4">
      <c r="A45" s="58">
        <v>41673</v>
      </c>
      <c r="B45" s="56">
        <v>0</v>
      </c>
      <c r="D45">
        <f t="shared" ca="1" si="0"/>
        <v>0</v>
      </c>
    </row>
    <row r="46" spans="1:4">
      <c r="A46" s="58">
        <v>41674</v>
      </c>
      <c r="B46" s="56">
        <v>0</v>
      </c>
      <c r="D46">
        <f t="shared" ca="1" si="0"/>
        <v>0</v>
      </c>
    </row>
    <row r="47" spans="1:4">
      <c r="A47" s="58">
        <v>41675</v>
      </c>
      <c r="B47" s="56">
        <v>0</v>
      </c>
      <c r="D47">
        <f t="shared" ca="1" si="0"/>
        <v>0</v>
      </c>
    </row>
    <row r="48" spans="1:4">
      <c r="A48" s="58">
        <v>41676</v>
      </c>
      <c r="B48" s="56">
        <v>0</v>
      </c>
      <c r="D48">
        <f t="shared" ca="1" si="0"/>
        <v>0</v>
      </c>
    </row>
    <row r="49" spans="1:4">
      <c r="A49" s="58">
        <v>41677</v>
      </c>
      <c r="B49" s="56">
        <v>0</v>
      </c>
      <c r="D49">
        <f t="shared" ca="1" si="0"/>
        <v>0</v>
      </c>
    </row>
    <row r="50" spans="1:4">
      <c r="A50" s="58">
        <v>41678</v>
      </c>
      <c r="B50" s="56">
        <v>0</v>
      </c>
      <c r="D50">
        <f t="shared" ca="1" si="0"/>
        <v>0</v>
      </c>
    </row>
    <row r="51" spans="1:4">
      <c r="A51" s="58">
        <v>41679</v>
      </c>
      <c r="B51" s="56">
        <v>12.2</v>
      </c>
      <c r="D51">
        <f t="shared" ca="1" si="0"/>
        <v>14.161542312581819</v>
      </c>
    </row>
    <row r="52" spans="1:4">
      <c r="A52" s="58">
        <v>41680</v>
      </c>
      <c r="B52" s="56">
        <v>13.4</v>
      </c>
      <c r="D52">
        <f t="shared" ca="1" si="0"/>
        <v>12.872226899750014</v>
      </c>
    </row>
    <row r="53" spans="1:4">
      <c r="A53" s="58">
        <v>41681</v>
      </c>
      <c r="B53" s="56">
        <v>46.6</v>
      </c>
      <c r="D53">
        <f t="shared" ca="1" si="0"/>
        <v>47.026484514233964</v>
      </c>
    </row>
    <row r="54" spans="1:4">
      <c r="A54" s="58">
        <v>41682</v>
      </c>
      <c r="B54" s="56">
        <v>16.8</v>
      </c>
      <c r="D54">
        <f t="shared" ca="1" si="0"/>
        <v>18.238138023764513</v>
      </c>
    </row>
    <row r="55" spans="1:4">
      <c r="A55" s="58">
        <v>41683</v>
      </c>
      <c r="B55" s="56">
        <v>15.6</v>
      </c>
      <c r="D55">
        <f t="shared" ca="1" si="0"/>
        <v>18.544783395574367</v>
      </c>
    </row>
    <row r="56" spans="1:4">
      <c r="A56" s="58">
        <v>41684</v>
      </c>
      <c r="B56" s="56">
        <v>3</v>
      </c>
      <c r="D56">
        <f t="shared" ca="1" si="0"/>
        <v>2.4932516097239983</v>
      </c>
    </row>
    <row r="57" spans="1:4">
      <c r="A57" s="58">
        <v>41685</v>
      </c>
      <c r="B57" s="56">
        <v>11.6</v>
      </c>
      <c r="D57">
        <f t="shared" ca="1" si="0"/>
        <v>12.773324197907646</v>
      </c>
    </row>
    <row r="58" spans="1:4">
      <c r="A58" s="58">
        <v>41686</v>
      </c>
      <c r="B58" s="56">
        <v>19</v>
      </c>
      <c r="D58">
        <f t="shared" ca="1" si="0"/>
        <v>15.688543542719879</v>
      </c>
    </row>
    <row r="59" spans="1:4">
      <c r="A59" s="58">
        <v>41687</v>
      </c>
      <c r="B59" s="56">
        <v>9.1999999999999993</v>
      </c>
      <c r="D59">
        <f t="shared" ca="1" si="0"/>
        <v>9.0905849219695529</v>
      </c>
    </row>
    <row r="60" spans="1:4">
      <c r="A60" s="58">
        <v>41688</v>
      </c>
      <c r="B60" s="56">
        <v>12.6</v>
      </c>
      <c r="D60">
        <f t="shared" ca="1" si="0"/>
        <v>10.393361740253622</v>
      </c>
    </row>
    <row r="61" spans="1:4">
      <c r="A61" s="58">
        <v>41689</v>
      </c>
      <c r="B61" s="56">
        <v>21.8</v>
      </c>
      <c r="D61">
        <f t="shared" ca="1" si="0"/>
        <v>24.265237977299005</v>
      </c>
    </row>
    <row r="62" spans="1:4">
      <c r="A62" s="58">
        <v>41690</v>
      </c>
      <c r="B62" s="56">
        <v>2.4</v>
      </c>
      <c r="D62">
        <f t="shared" ca="1" si="0"/>
        <v>2.2780926432504942</v>
      </c>
    </row>
    <row r="63" spans="1:4">
      <c r="A63" s="58">
        <v>41691</v>
      </c>
      <c r="B63" s="56">
        <v>0.8</v>
      </c>
      <c r="D63">
        <f t="shared" ca="1" si="0"/>
        <v>0.93285215827007795</v>
      </c>
    </row>
    <row r="64" spans="1:4">
      <c r="A64" s="58">
        <v>41692</v>
      </c>
      <c r="B64" s="56">
        <v>4.8</v>
      </c>
      <c r="D64">
        <f t="shared" ca="1" si="0"/>
        <v>5.3709231469103047</v>
      </c>
    </row>
    <row r="65" spans="1:4">
      <c r="A65" s="58">
        <v>41693</v>
      </c>
      <c r="B65" s="56">
        <v>14.6</v>
      </c>
      <c r="D65">
        <f t="shared" ca="1" si="0"/>
        <v>16.487105712143094</v>
      </c>
    </row>
    <row r="66" spans="1:4">
      <c r="A66" s="58">
        <v>41694</v>
      </c>
      <c r="B66" s="56">
        <v>6.8</v>
      </c>
      <c r="D66">
        <f t="shared" ca="1" si="0"/>
        <v>6.7121536802128041</v>
      </c>
    </row>
    <row r="67" spans="1:4">
      <c r="A67" s="58">
        <v>41695</v>
      </c>
      <c r="B67" s="56">
        <v>0</v>
      </c>
      <c r="D67">
        <f t="shared" ca="1" si="0"/>
        <v>0</v>
      </c>
    </row>
    <row r="68" spans="1:4">
      <c r="A68" s="58">
        <v>41696</v>
      </c>
      <c r="B68" s="56">
        <v>0.8</v>
      </c>
      <c r="D68">
        <f t="shared" ca="1" si="0"/>
        <v>0.67198331374954168</v>
      </c>
    </row>
    <row r="69" spans="1:4">
      <c r="A69" s="58">
        <v>41697</v>
      </c>
      <c r="B69" s="56">
        <v>0</v>
      </c>
      <c r="D69">
        <f t="shared" ca="1" si="0"/>
        <v>0</v>
      </c>
    </row>
    <row r="70" spans="1:4">
      <c r="A70" s="58">
        <v>41698</v>
      </c>
      <c r="B70" s="56">
        <v>0.4</v>
      </c>
      <c r="D70">
        <f t="shared" ca="1" si="0"/>
        <v>0.47442550087723934</v>
      </c>
    </row>
    <row r="71" spans="1:4">
      <c r="A71" s="58">
        <v>41699</v>
      </c>
      <c r="B71" s="56">
        <v>2</v>
      </c>
      <c r="D71">
        <f t="shared" ca="1" si="0"/>
        <v>2.1035471830652197</v>
      </c>
    </row>
    <row r="72" spans="1:4">
      <c r="A72" s="58">
        <v>41700</v>
      </c>
      <c r="B72" s="56">
        <v>19</v>
      </c>
      <c r="D72">
        <f t="shared" ca="1" si="0"/>
        <v>21.15354236584913</v>
      </c>
    </row>
    <row r="73" spans="1:4">
      <c r="A73" s="58">
        <v>41701</v>
      </c>
      <c r="B73" s="56">
        <v>1</v>
      </c>
      <c r="D73">
        <f t="shared" ca="1" si="0"/>
        <v>0.99876827228264486</v>
      </c>
    </row>
    <row r="74" spans="1:4">
      <c r="A74" s="58">
        <v>41702</v>
      </c>
      <c r="B74" s="56">
        <v>2.4</v>
      </c>
      <c r="D74">
        <f t="shared" ca="1" si="0"/>
        <v>2.3092744465052015</v>
      </c>
    </row>
    <row r="75" spans="1:4">
      <c r="A75" s="58">
        <v>41703</v>
      </c>
      <c r="B75" s="56">
        <v>23.8</v>
      </c>
      <c r="D75">
        <f t="shared" ca="1" si="0"/>
        <v>25.13819479898989</v>
      </c>
    </row>
    <row r="76" spans="1:4">
      <c r="A76" s="58">
        <v>41704</v>
      </c>
      <c r="B76" s="56">
        <v>8.6</v>
      </c>
      <c r="D76">
        <f t="shared" ref="D76:D139" ca="1" si="1">B76+((RAND()-0.5)*0.4)*B76</f>
        <v>6.9515335825998079</v>
      </c>
    </row>
    <row r="77" spans="1:4">
      <c r="A77" s="58">
        <v>41705</v>
      </c>
      <c r="B77" s="56">
        <v>34</v>
      </c>
      <c r="D77">
        <f t="shared" ca="1" si="1"/>
        <v>33.999869411713433</v>
      </c>
    </row>
    <row r="78" spans="1:4">
      <c r="A78" s="58">
        <v>41706</v>
      </c>
      <c r="B78" s="56">
        <v>52.4</v>
      </c>
      <c r="D78">
        <f t="shared" ca="1" si="1"/>
        <v>58.177060598972488</v>
      </c>
    </row>
    <row r="79" spans="1:4">
      <c r="A79" s="58">
        <v>41707</v>
      </c>
      <c r="B79" s="56">
        <v>10.6</v>
      </c>
      <c r="D79">
        <f t="shared" ca="1" si="1"/>
        <v>11.29079528280392</v>
      </c>
    </row>
    <row r="80" spans="1:4">
      <c r="A80" s="58">
        <v>41708</v>
      </c>
      <c r="B80" s="56">
        <v>2.4</v>
      </c>
      <c r="D80">
        <f t="shared" ca="1" si="1"/>
        <v>2.2890642917274611</v>
      </c>
    </row>
    <row r="81" spans="1:4">
      <c r="A81" s="58">
        <v>41709</v>
      </c>
      <c r="B81" s="56">
        <v>0</v>
      </c>
      <c r="D81">
        <f t="shared" ca="1" si="1"/>
        <v>0</v>
      </c>
    </row>
    <row r="82" spans="1:4">
      <c r="A82" s="58">
        <v>41710</v>
      </c>
      <c r="B82" s="56">
        <v>2.8</v>
      </c>
      <c r="D82">
        <f t="shared" ca="1" si="1"/>
        <v>3.3013053128145176</v>
      </c>
    </row>
    <row r="83" spans="1:4">
      <c r="A83" s="58">
        <v>41711</v>
      </c>
      <c r="B83" s="56">
        <v>20.2</v>
      </c>
      <c r="D83">
        <f t="shared" ca="1" si="1"/>
        <v>23.498062503098069</v>
      </c>
    </row>
    <row r="84" spans="1:4">
      <c r="A84" s="58">
        <v>41712</v>
      </c>
      <c r="B84" s="56">
        <v>13.8</v>
      </c>
      <c r="D84">
        <f t="shared" ca="1" si="1"/>
        <v>16.054932997477579</v>
      </c>
    </row>
    <row r="85" spans="1:4">
      <c r="A85" s="58">
        <v>41713</v>
      </c>
      <c r="B85" s="56">
        <v>22.8</v>
      </c>
      <c r="D85">
        <f t="shared" ca="1" si="1"/>
        <v>19.697449519679083</v>
      </c>
    </row>
    <row r="86" spans="1:4">
      <c r="A86" s="58">
        <v>41714</v>
      </c>
      <c r="B86" s="56">
        <v>5.4</v>
      </c>
      <c r="D86">
        <f t="shared" ca="1" si="1"/>
        <v>5.356647224909735</v>
      </c>
    </row>
    <row r="87" spans="1:4">
      <c r="A87" s="58">
        <v>41715</v>
      </c>
      <c r="B87" s="56">
        <v>0.4</v>
      </c>
      <c r="D87">
        <f t="shared" ca="1" si="1"/>
        <v>0.42019827743331745</v>
      </c>
    </row>
    <row r="88" spans="1:4">
      <c r="A88" s="58">
        <v>41716</v>
      </c>
      <c r="B88" s="56">
        <v>31</v>
      </c>
      <c r="D88">
        <f t="shared" ca="1" si="1"/>
        <v>32.352489874383984</v>
      </c>
    </row>
    <row r="89" spans="1:4">
      <c r="A89" s="58">
        <v>41717</v>
      </c>
      <c r="B89" s="56">
        <v>1.6</v>
      </c>
      <c r="D89">
        <f t="shared" ca="1" si="1"/>
        <v>1.8711586063425256</v>
      </c>
    </row>
    <row r="90" spans="1:4">
      <c r="A90" s="58">
        <v>41718</v>
      </c>
      <c r="B90" s="56">
        <v>1.6</v>
      </c>
      <c r="D90">
        <f t="shared" ca="1" si="1"/>
        <v>1.5034524719372615</v>
      </c>
    </row>
    <row r="91" spans="1:4">
      <c r="A91" s="58">
        <v>41719</v>
      </c>
      <c r="B91" s="56">
        <v>7.6</v>
      </c>
      <c r="D91">
        <f t="shared" ca="1" si="1"/>
        <v>8.754058631278836</v>
      </c>
    </row>
    <row r="92" spans="1:4">
      <c r="A92" s="58">
        <v>41720</v>
      </c>
      <c r="B92" s="56">
        <v>2.6</v>
      </c>
      <c r="D92">
        <f t="shared" ca="1" si="1"/>
        <v>2.7659354157305631</v>
      </c>
    </row>
    <row r="93" spans="1:4">
      <c r="A93" s="58">
        <v>41721</v>
      </c>
      <c r="B93" s="56">
        <v>0</v>
      </c>
      <c r="D93">
        <f t="shared" ca="1" si="1"/>
        <v>0</v>
      </c>
    </row>
    <row r="94" spans="1:4">
      <c r="A94" s="58">
        <v>41722</v>
      </c>
      <c r="B94" s="56">
        <v>4</v>
      </c>
      <c r="D94">
        <f t="shared" ca="1" si="1"/>
        <v>4.3319762261865229</v>
      </c>
    </row>
    <row r="95" spans="1:4">
      <c r="A95" s="58">
        <v>41723</v>
      </c>
      <c r="B95" s="56">
        <v>31</v>
      </c>
      <c r="D95">
        <f t="shared" ca="1" si="1"/>
        <v>35.700394077776458</v>
      </c>
    </row>
    <row r="96" spans="1:4">
      <c r="A96" s="58">
        <v>41724</v>
      </c>
      <c r="B96" s="56">
        <v>0.2</v>
      </c>
      <c r="D96">
        <f t="shared" ca="1" si="1"/>
        <v>0.1782448646006991</v>
      </c>
    </row>
    <row r="97" spans="1:4">
      <c r="A97" s="58">
        <v>41725</v>
      </c>
      <c r="B97" s="56">
        <v>4.4000000000000004</v>
      </c>
      <c r="D97">
        <f t="shared" ca="1" si="1"/>
        <v>4.0223497787606206</v>
      </c>
    </row>
    <row r="98" spans="1:4">
      <c r="A98" s="58">
        <v>41726</v>
      </c>
      <c r="B98" s="56">
        <v>23.6</v>
      </c>
      <c r="D98">
        <f t="shared" ca="1" si="1"/>
        <v>24.654672116457515</v>
      </c>
    </row>
    <row r="99" spans="1:4">
      <c r="A99" s="58">
        <v>41727</v>
      </c>
      <c r="B99" s="56">
        <v>41.6</v>
      </c>
      <c r="D99">
        <f t="shared" ca="1" si="1"/>
        <v>48.510531987332044</v>
      </c>
    </row>
    <row r="100" spans="1:4">
      <c r="A100" s="58">
        <v>41728</v>
      </c>
      <c r="B100" s="56">
        <v>3</v>
      </c>
      <c r="D100">
        <f t="shared" ca="1" si="1"/>
        <v>3.5375967614343731</v>
      </c>
    </row>
    <row r="101" spans="1:4">
      <c r="A101" s="58">
        <v>41729</v>
      </c>
      <c r="B101" s="56">
        <v>0</v>
      </c>
      <c r="D101">
        <f t="shared" ca="1" si="1"/>
        <v>0</v>
      </c>
    </row>
    <row r="102" spans="1:4">
      <c r="A102" s="58">
        <v>41730</v>
      </c>
      <c r="B102" s="56">
        <v>0</v>
      </c>
      <c r="D102">
        <f t="shared" ca="1" si="1"/>
        <v>0</v>
      </c>
    </row>
    <row r="103" spans="1:4">
      <c r="A103" s="58">
        <v>41731</v>
      </c>
      <c r="B103" s="56">
        <v>5.6</v>
      </c>
      <c r="D103">
        <f t="shared" ca="1" si="1"/>
        <v>5.3931309434647821</v>
      </c>
    </row>
    <row r="104" spans="1:4">
      <c r="A104" s="58">
        <v>41732</v>
      </c>
      <c r="B104" s="56">
        <v>20.399999999999999</v>
      </c>
      <c r="D104">
        <f t="shared" ca="1" si="1"/>
        <v>18.753217497851104</v>
      </c>
    </row>
    <row r="105" spans="1:4">
      <c r="A105" s="58">
        <v>41733</v>
      </c>
      <c r="B105" s="56">
        <v>2.6</v>
      </c>
      <c r="D105">
        <f t="shared" ca="1" si="1"/>
        <v>2.6722372024524055</v>
      </c>
    </row>
    <row r="106" spans="1:4">
      <c r="A106" s="58">
        <v>41734</v>
      </c>
      <c r="B106" s="56">
        <v>15.9</v>
      </c>
      <c r="D106">
        <f t="shared" ca="1" si="1"/>
        <v>16.565782173410859</v>
      </c>
    </row>
    <row r="107" spans="1:4">
      <c r="A107" s="58">
        <v>41735</v>
      </c>
      <c r="B107" s="56">
        <v>9.4</v>
      </c>
      <c r="D107">
        <f t="shared" ca="1" si="1"/>
        <v>9.7575214274227218</v>
      </c>
    </row>
    <row r="108" spans="1:4">
      <c r="A108" s="58">
        <v>41736</v>
      </c>
      <c r="B108" s="56">
        <v>13.6</v>
      </c>
      <c r="D108">
        <f t="shared" ca="1" si="1"/>
        <v>11.909729279745044</v>
      </c>
    </row>
    <row r="109" spans="1:4">
      <c r="A109" s="58">
        <v>41737</v>
      </c>
      <c r="B109" s="56">
        <v>5.6</v>
      </c>
      <c r="D109">
        <f t="shared" ca="1" si="1"/>
        <v>5.6899686456582437</v>
      </c>
    </row>
    <row r="110" spans="1:4">
      <c r="A110" s="58">
        <v>41738</v>
      </c>
      <c r="B110" s="56">
        <v>0</v>
      </c>
      <c r="D110">
        <f t="shared" ca="1" si="1"/>
        <v>0</v>
      </c>
    </row>
    <row r="111" spans="1:4">
      <c r="A111" s="58">
        <v>41739</v>
      </c>
      <c r="B111" s="56">
        <v>16.600000000000001</v>
      </c>
      <c r="D111">
        <f t="shared" ca="1" si="1"/>
        <v>16.16564226307521</v>
      </c>
    </row>
    <row r="112" spans="1:4">
      <c r="A112" s="58">
        <v>41740</v>
      </c>
      <c r="B112" s="56">
        <v>0</v>
      </c>
      <c r="D112">
        <f t="shared" ca="1" si="1"/>
        <v>0</v>
      </c>
    </row>
    <row r="113" spans="1:4">
      <c r="A113" s="58">
        <v>41741</v>
      </c>
      <c r="B113" s="56">
        <v>0</v>
      </c>
      <c r="D113">
        <f t="shared" ca="1" si="1"/>
        <v>0</v>
      </c>
    </row>
    <row r="114" spans="1:4">
      <c r="A114" s="58">
        <v>41742</v>
      </c>
      <c r="B114" s="56">
        <v>0</v>
      </c>
      <c r="D114">
        <f t="shared" ca="1" si="1"/>
        <v>0</v>
      </c>
    </row>
    <row r="115" spans="1:4">
      <c r="A115" s="58">
        <v>41743</v>
      </c>
      <c r="B115" s="56">
        <v>14.8</v>
      </c>
      <c r="D115">
        <f t="shared" ca="1" si="1"/>
        <v>13.292957941126001</v>
      </c>
    </row>
    <row r="116" spans="1:4">
      <c r="A116" s="58">
        <v>41744</v>
      </c>
      <c r="B116" s="56">
        <v>20.8</v>
      </c>
      <c r="D116">
        <f t="shared" ca="1" si="1"/>
        <v>17.841664546787626</v>
      </c>
    </row>
    <row r="117" spans="1:4">
      <c r="A117" s="58">
        <v>41745</v>
      </c>
      <c r="B117" s="56">
        <v>37.4</v>
      </c>
      <c r="D117">
        <f t="shared" ca="1" si="1"/>
        <v>44.674112616525861</v>
      </c>
    </row>
    <row r="118" spans="1:4">
      <c r="A118" s="58">
        <v>41746</v>
      </c>
      <c r="B118" s="56">
        <v>9.8000000000000007</v>
      </c>
      <c r="D118">
        <f t="shared" ca="1" si="1"/>
        <v>9.833219108025343</v>
      </c>
    </row>
    <row r="119" spans="1:4">
      <c r="A119" s="58">
        <v>41747</v>
      </c>
      <c r="B119" s="56">
        <v>1.9</v>
      </c>
      <c r="D119">
        <f t="shared" ca="1" si="1"/>
        <v>1.5523053720152205</v>
      </c>
    </row>
    <row r="120" spans="1:4">
      <c r="A120" s="58">
        <v>41748</v>
      </c>
      <c r="B120" s="56">
        <v>21</v>
      </c>
      <c r="D120">
        <f t="shared" ca="1" si="1"/>
        <v>19.678647347226345</v>
      </c>
    </row>
    <row r="121" spans="1:4">
      <c r="A121" s="58">
        <v>41749</v>
      </c>
      <c r="B121" s="56">
        <v>30</v>
      </c>
      <c r="D121">
        <f t="shared" ca="1" si="1"/>
        <v>28.691966702409161</v>
      </c>
    </row>
    <row r="122" spans="1:4">
      <c r="A122" s="58">
        <v>41750</v>
      </c>
      <c r="B122" s="56">
        <v>0</v>
      </c>
      <c r="D122">
        <f t="shared" ca="1" si="1"/>
        <v>0</v>
      </c>
    </row>
    <row r="123" spans="1:4">
      <c r="A123" s="58">
        <v>41751</v>
      </c>
      <c r="B123" s="56">
        <v>4.4000000000000004</v>
      </c>
      <c r="D123">
        <f t="shared" ca="1" si="1"/>
        <v>4.0181189436915972</v>
      </c>
    </row>
    <row r="124" spans="1:4">
      <c r="A124" s="58">
        <v>41752</v>
      </c>
      <c r="B124" s="56">
        <v>12.8</v>
      </c>
      <c r="D124">
        <f t="shared" ca="1" si="1"/>
        <v>11.073576616214982</v>
      </c>
    </row>
    <row r="125" spans="1:4">
      <c r="A125" s="58">
        <v>41753</v>
      </c>
      <c r="B125" s="56">
        <v>26</v>
      </c>
      <c r="D125">
        <f t="shared" ca="1" si="1"/>
        <v>23.94166781898166</v>
      </c>
    </row>
    <row r="126" spans="1:4">
      <c r="A126" s="58">
        <v>41754</v>
      </c>
      <c r="B126" s="56">
        <v>1.8</v>
      </c>
      <c r="D126">
        <f t="shared" ca="1" si="1"/>
        <v>1.9671791060631501</v>
      </c>
    </row>
    <row r="127" spans="1:4">
      <c r="A127" s="58">
        <v>41755</v>
      </c>
      <c r="B127" s="56">
        <v>35</v>
      </c>
      <c r="D127">
        <f t="shared" ca="1" si="1"/>
        <v>40.325908932794221</v>
      </c>
    </row>
    <row r="128" spans="1:4">
      <c r="A128" s="58">
        <v>41756</v>
      </c>
      <c r="B128" s="56">
        <v>7.2</v>
      </c>
      <c r="D128">
        <f t="shared" ca="1" si="1"/>
        <v>8.3369224882981516</v>
      </c>
    </row>
    <row r="129" spans="1:4">
      <c r="A129" s="58">
        <v>41757</v>
      </c>
      <c r="B129" s="56">
        <v>0.8</v>
      </c>
      <c r="D129">
        <f t="shared" ca="1" si="1"/>
        <v>0.71620321863452108</v>
      </c>
    </row>
    <row r="130" spans="1:4">
      <c r="A130" s="58">
        <v>41758</v>
      </c>
      <c r="B130" s="56">
        <v>0.1</v>
      </c>
      <c r="D130">
        <f t="shared" ca="1" si="1"/>
        <v>0.11348994416489891</v>
      </c>
    </row>
    <row r="131" spans="1:4">
      <c r="A131" s="58">
        <v>41759</v>
      </c>
      <c r="B131" s="56">
        <v>0</v>
      </c>
      <c r="D131">
        <f t="shared" ca="1" si="1"/>
        <v>0</v>
      </c>
    </row>
    <row r="132" spans="1:4">
      <c r="A132" s="58">
        <v>41760</v>
      </c>
      <c r="B132" s="56">
        <v>0</v>
      </c>
      <c r="D132">
        <f t="shared" ca="1" si="1"/>
        <v>0</v>
      </c>
    </row>
    <row r="133" spans="1:4">
      <c r="A133" s="58">
        <v>41761</v>
      </c>
      <c r="B133" s="56">
        <v>2</v>
      </c>
      <c r="D133">
        <f t="shared" ca="1" si="1"/>
        <v>1.7028591276578862</v>
      </c>
    </row>
    <row r="134" spans="1:4">
      <c r="A134" s="58">
        <v>41762</v>
      </c>
      <c r="B134" s="56">
        <v>4.5999999999999996</v>
      </c>
      <c r="D134">
        <f t="shared" ca="1" si="1"/>
        <v>4.2850996402269379</v>
      </c>
    </row>
    <row r="135" spans="1:4">
      <c r="A135" s="58">
        <v>41763</v>
      </c>
      <c r="B135" s="56">
        <v>3.8</v>
      </c>
      <c r="D135">
        <f t="shared" ca="1" si="1"/>
        <v>3.4342101198793804</v>
      </c>
    </row>
    <row r="136" spans="1:4">
      <c r="A136" s="58">
        <v>41764</v>
      </c>
      <c r="B136" s="56">
        <v>0</v>
      </c>
      <c r="D136">
        <f t="shared" ca="1" si="1"/>
        <v>0</v>
      </c>
    </row>
    <row r="137" spans="1:4">
      <c r="A137" s="58">
        <v>41765</v>
      </c>
      <c r="B137" s="56">
        <v>0</v>
      </c>
      <c r="D137">
        <f t="shared" ca="1" si="1"/>
        <v>0</v>
      </c>
    </row>
    <row r="138" spans="1:4">
      <c r="A138" s="58">
        <v>41766</v>
      </c>
      <c r="B138" s="56">
        <v>0</v>
      </c>
      <c r="D138">
        <f t="shared" ca="1" si="1"/>
        <v>0</v>
      </c>
    </row>
    <row r="139" spans="1:4">
      <c r="A139" s="58">
        <v>41767</v>
      </c>
      <c r="B139" s="56">
        <v>0</v>
      </c>
      <c r="D139">
        <f t="shared" ca="1" si="1"/>
        <v>0</v>
      </c>
    </row>
    <row r="140" spans="1:4">
      <c r="A140" s="58">
        <v>41768</v>
      </c>
      <c r="B140" s="56">
        <v>0</v>
      </c>
      <c r="D140">
        <f t="shared" ref="D140:D203" ca="1" si="2">B140+((RAND()-0.5)*0.4)*B140</f>
        <v>0</v>
      </c>
    </row>
    <row r="141" spans="1:4">
      <c r="A141" s="58">
        <v>41769</v>
      </c>
      <c r="B141" s="56">
        <v>0.2</v>
      </c>
      <c r="D141">
        <f t="shared" ca="1" si="2"/>
        <v>0.19501466311378907</v>
      </c>
    </row>
    <row r="142" spans="1:4">
      <c r="A142" s="58">
        <v>41770</v>
      </c>
      <c r="B142" s="56">
        <v>0</v>
      </c>
      <c r="D142">
        <f t="shared" ca="1" si="2"/>
        <v>0</v>
      </c>
    </row>
    <row r="143" spans="1:4">
      <c r="A143" s="58">
        <v>41771</v>
      </c>
      <c r="B143" s="56">
        <v>0.2</v>
      </c>
      <c r="D143">
        <f t="shared" ca="1" si="2"/>
        <v>0.22205369624985891</v>
      </c>
    </row>
    <row r="144" spans="1:4">
      <c r="A144" s="58">
        <v>41772</v>
      </c>
      <c r="B144" s="56">
        <v>0</v>
      </c>
      <c r="D144">
        <f t="shared" ca="1" si="2"/>
        <v>0</v>
      </c>
    </row>
    <row r="145" spans="1:4">
      <c r="A145" s="58">
        <v>41773</v>
      </c>
      <c r="B145" s="56">
        <v>0</v>
      </c>
      <c r="D145">
        <f t="shared" ca="1" si="2"/>
        <v>0</v>
      </c>
    </row>
    <row r="146" spans="1:4">
      <c r="A146" s="58">
        <v>41774</v>
      </c>
      <c r="B146" s="56">
        <v>0</v>
      </c>
      <c r="D146">
        <f t="shared" ca="1" si="2"/>
        <v>0</v>
      </c>
    </row>
    <row r="147" spans="1:4">
      <c r="A147" s="58">
        <v>41775</v>
      </c>
      <c r="B147" s="56">
        <v>2.8</v>
      </c>
      <c r="D147">
        <f t="shared" ca="1" si="2"/>
        <v>2.5462914368658498</v>
      </c>
    </row>
    <row r="148" spans="1:4">
      <c r="A148" s="58">
        <v>41776</v>
      </c>
      <c r="B148" s="56">
        <v>0</v>
      </c>
      <c r="D148">
        <f t="shared" ca="1" si="2"/>
        <v>0</v>
      </c>
    </row>
    <row r="149" spans="1:4">
      <c r="A149" s="58">
        <v>41777</v>
      </c>
      <c r="B149" s="56">
        <v>0</v>
      </c>
      <c r="D149">
        <f t="shared" ca="1" si="2"/>
        <v>0</v>
      </c>
    </row>
    <row r="150" spans="1:4">
      <c r="A150" s="58">
        <v>41778</v>
      </c>
      <c r="B150" s="56">
        <v>0</v>
      </c>
      <c r="D150">
        <f t="shared" ca="1" si="2"/>
        <v>0</v>
      </c>
    </row>
    <row r="151" spans="1:4">
      <c r="A151" s="58">
        <v>41779</v>
      </c>
      <c r="B151" s="56">
        <v>0</v>
      </c>
      <c r="D151">
        <f t="shared" ca="1" si="2"/>
        <v>0</v>
      </c>
    </row>
    <row r="152" spans="1:4">
      <c r="A152" s="58">
        <v>41780</v>
      </c>
      <c r="B152" s="56">
        <v>8.1999999999999993</v>
      </c>
      <c r="D152">
        <f t="shared" ca="1" si="2"/>
        <v>8.0796512059448382</v>
      </c>
    </row>
    <row r="153" spans="1:4">
      <c r="A153" s="58">
        <v>41781</v>
      </c>
      <c r="B153" s="56">
        <v>29.6</v>
      </c>
      <c r="D153">
        <f t="shared" ca="1" si="2"/>
        <v>31.94936573239498</v>
      </c>
    </row>
    <row r="154" spans="1:4">
      <c r="A154" s="58">
        <v>41782</v>
      </c>
      <c r="B154" s="56">
        <v>0.8</v>
      </c>
      <c r="D154">
        <f t="shared" ca="1" si="2"/>
        <v>0.65654129506169723</v>
      </c>
    </row>
    <row r="155" spans="1:4">
      <c r="A155" s="58">
        <v>41783</v>
      </c>
      <c r="B155" s="56">
        <v>5.2</v>
      </c>
      <c r="D155">
        <f t="shared" ca="1" si="2"/>
        <v>6.0352007250950548</v>
      </c>
    </row>
    <row r="156" spans="1:4">
      <c r="A156" s="58">
        <v>41784</v>
      </c>
      <c r="B156" s="56">
        <v>23.4</v>
      </c>
      <c r="D156">
        <f t="shared" ca="1" si="2"/>
        <v>22.027748930360286</v>
      </c>
    </row>
    <row r="157" spans="1:4">
      <c r="A157" s="58">
        <v>41785</v>
      </c>
      <c r="B157" s="56">
        <v>0</v>
      </c>
      <c r="D157">
        <f t="shared" ca="1" si="2"/>
        <v>0</v>
      </c>
    </row>
    <row r="158" spans="1:4">
      <c r="A158" s="58">
        <v>41786</v>
      </c>
      <c r="B158" s="56">
        <v>4.4000000000000004</v>
      </c>
      <c r="D158">
        <f t="shared" ca="1" si="2"/>
        <v>5.0879997725177111</v>
      </c>
    </row>
    <row r="159" spans="1:4">
      <c r="A159" s="58">
        <v>41787</v>
      </c>
      <c r="B159" s="56">
        <v>0</v>
      </c>
      <c r="D159">
        <f t="shared" ca="1" si="2"/>
        <v>0</v>
      </c>
    </row>
    <row r="160" spans="1:4">
      <c r="A160" s="58">
        <v>41788</v>
      </c>
      <c r="B160" s="56">
        <v>0</v>
      </c>
      <c r="D160">
        <f t="shared" ca="1" si="2"/>
        <v>0</v>
      </c>
    </row>
    <row r="161" spans="1:4">
      <c r="A161" s="58">
        <v>41789</v>
      </c>
      <c r="B161" s="56">
        <v>0</v>
      </c>
      <c r="D161">
        <f t="shared" ca="1" si="2"/>
        <v>0</v>
      </c>
    </row>
    <row r="162" spans="1:4">
      <c r="A162" s="58">
        <v>41790</v>
      </c>
      <c r="B162" s="56">
        <v>0</v>
      </c>
      <c r="D162">
        <f t="shared" ca="1" si="2"/>
        <v>0</v>
      </c>
    </row>
    <row r="163" spans="1:4">
      <c r="A163" s="58">
        <v>41791</v>
      </c>
      <c r="B163" s="56">
        <v>0</v>
      </c>
      <c r="D163">
        <f t="shared" ca="1" si="2"/>
        <v>0</v>
      </c>
    </row>
    <row r="164" spans="1:4">
      <c r="A164" s="58">
        <v>41792</v>
      </c>
      <c r="B164" s="56">
        <v>0</v>
      </c>
      <c r="D164">
        <f t="shared" ca="1" si="2"/>
        <v>0</v>
      </c>
    </row>
    <row r="165" spans="1:4">
      <c r="A165" s="58">
        <v>41793</v>
      </c>
      <c r="B165" s="56">
        <v>0</v>
      </c>
      <c r="D165">
        <f t="shared" ca="1" si="2"/>
        <v>0</v>
      </c>
    </row>
    <row r="166" spans="1:4">
      <c r="A166" s="58">
        <v>41794</v>
      </c>
      <c r="B166" s="56">
        <v>0</v>
      </c>
      <c r="D166">
        <f t="shared" ca="1" si="2"/>
        <v>0</v>
      </c>
    </row>
    <row r="167" spans="1:4">
      <c r="A167" s="58">
        <v>41795</v>
      </c>
      <c r="B167" s="56">
        <v>0</v>
      </c>
      <c r="D167">
        <f t="shared" ca="1" si="2"/>
        <v>0</v>
      </c>
    </row>
    <row r="168" spans="1:4">
      <c r="A168" s="58">
        <v>41796</v>
      </c>
      <c r="B168" s="56">
        <v>0</v>
      </c>
      <c r="D168">
        <f t="shared" ca="1" si="2"/>
        <v>0</v>
      </c>
    </row>
    <row r="169" spans="1:4">
      <c r="A169" s="58">
        <v>41797</v>
      </c>
      <c r="B169" s="56">
        <v>0</v>
      </c>
      <c r="D169">
        <f t="shared" ca="1" si="2"/>
        <v>0</v>
      </c>
    </row>
    <row r="170" spans="1:4">
      <c r="A170" s="58">
        <v>41798</v>
      </c>
      <c r="B170" s="56">
        <v>0.2</v>
      </c>
      <c r="D170">
        <f t="shared" ca="1" si="2"/>
        <v>0.23978180000118476</v>
      </c>
    </row>
    <row r="171" spans="1:4">
      <c r="A171" s="58">
        <v>41799</v>
      </c>
      <c r="B171" s="56">
        <v>0</v>
      </c>
      <c r="D171">
        <f t="shared" ca="1" si="2"/>
        <v>0</v>
      </c>
    </row>
    <row r="172" spans="1:4">
      <c r="A172" s="58">
        <v>41800</v>
      </c>
      <c r="B172" s="56">
        <v>0</v>
      </c>
      <c r="D172">
        <f t="shared" ca="1" si="2"/>
        <v>0</v>
      </c>
    </row>
    <row r="173" spans="1:4">
      <c r="A173" s="58">
        <v>41801</v>
      </c>
      <c r="B173" s="56">
        <v>0</v>
      </c>
      <c r="D173">
        <f t="shared" ca="1" si="2"/>
        <v>0</v>
      </c>
    </row>
    <row r="174" spans="1:4">
      <c r="A174" s="58">
        <v>41802</v>
      </c>
      <c r="B174" s="56">
        <v>0</v>
      </c>
      <c r="D174">
        <f t="shared" ca="1" si="2"/>
        <v>0</v>
      </c>
    </row>
    <row r="175" spans="1:4">
      <c r="A175" s="58">
        <v>41803</v>
      </c>
      <c r="B175" s="56">
        <v>0</v>
      </c>
      <c r="D175">
        <f t="shared" ca="1" si="2"/>
        <v>0</v>
      </c>
    </row>
    <row r="176" spans="1:4">
      <c r="A176" s="58">
        <v>41804</v>
      </c>
      <c r="B176" s="56">
        <v>3.6</v>
      </c>
      <c r="D176">
        <f t="shared" ca="1" si="2"/>
        <v>4.1526794419242705</v>
      </c>
    </row>
    <row r="177" spans="1:4">
      <c r="A177" s="58">
        <v>41805</v>
      </c>
      <c r="B177" s="56">
        <v>0</v>
      </c>
      <c r="D177">
        <f t="shared" ca="1" si="2"/>
        <v>0</v>
      </c>
    </row>
    <row r="178" spans="1:4">
      <c r="A178" s="58">
        <v>41806</v>
      </c>
      <c r="B178" s="56">
        <v>0</v>
      </c>
      <c r="D178">
        <f t="shared" ca="1" si="2"/>
        <v>0</v>
      </c>
    </row>
    <row r="179" spans="1:4">
      <c r="A179" s="58">
        <v>41807</v>
      </c>
      <c r="B179" s="56">
        <v>0</v>
      </c>
      <c r="D179">
        <f t="shared" ca="1" si="2"/>
        <v>0</v>
      </c>
    </row>
    <row r="180" spans="1:4">
      <c r="A180" s="58">
        <v>41808</v>
      </c>
      <c r="B180" s="56">
        <v>1.6</v>
      </c>
      <c r="D180">
        <f t="shared" ca="1" si="2"/>
        <v>1.768576310110473</v>
      </c>
    </row>
    <row r="181" spans="1:4">
      <c r="A181" s="58">
        <v>41809</v>
      </c>
      <c r="B181" s="56">
        <v>20.8</v>
      </c>
      <c r="D181">
        <f t="shared" ca="1" si="2"/>
        <v>24.096782828949046</v>
      </c>
    </row>
    <row r="182" spans="1:4">
      <c r="A182" s="58">
        <v>41810</v>
      </c>
      <c r="B182" s="56">
        <v>3.2</v>
      </c>
      <c r="D182">
        <f t="shared" ca="1" si="2"/>
        <v>3.6896801280722684</v>
      </c>
    </row>
    <row r="183" spans="1:4">
      <c r="A183" s="58">
        <v>41811</v>
      </c>
      <c r="B183" s="56">
        <v>1.2</v>
      </c>
      <c r="D183">
        <f t="shared" ca="1" si="2"/>
        <v>0.97321889763177782</v>
      </c>
    </row>
    <row r="184" spans="1:4">
      <c r="A184" s="58">
        <v>41812</v>
      </c>
      <c r="B184" s="56">
        <v>0</v>
      </c>
      <c r="D184">
        <f t="shared" ca="1" si="2"/>
        <v>0</v>
      </c>
    </row>
    <row r="185" spans="1:4">
      <c r="A185" s="58">
        <v>41813</v>
      </c>
      <c r="B185" s="56">
        <v>15.4</v>
      </c>
      <c r="D185">
        <f t="shared" ca="1" si="2"/>
        <v>15.025033287285986</v>
      </c>
    </row>
    <row r="186" spans="1:4">
      <c r="A186" s="58">
        <v>41814</v>
      </c>
      <c r="B186" s="56">
        <v>1.2</v>
      </c>
      <c r="D186">
        <f t="shared" ca="1" si="2"/>
        <v>1.2440809600828127</v>
      </c>
    </row>
    <row r="187" spans="1:4">
      <c r="A187" s="58">
        <v>41815</v>
      </c>
      <c r="B187" s="56">
        <v>0</v>
      </c>
      <c r="D187">
        <f t="shared" ca="1" si="2"/>
        <v>0</v>
      </c>
    </row>
    <row r="188" spans="1:4">
      <c r="A188" s="58">
        <v>41816</v>
      </c>
      <c r="B188" s="56">
        <v>5.8</v>
      </c>
      <c r="D188">
        <f t="shared" ca="1" si="2"/>
        <v>5.8237200277697063</v>
      </c>
    </row>
    <row r="189" spans="1:4">
      <c r="A189" s="58">
        <v>41817</v>
      </c>
      <c r="B189" s="56">
        <v>20.399999999999999</v>
      </c>
      <c r="D189">
        <f t="shared" ca="1" si="2"/>
        <v>16.644191379207093</v>
      </c>
    </row>
    <row r="190" spans="1:4">
      <c r="A190" s="58">
        <v>41818</v>
      </c>
      <c r="B190" s="56">
        <v>20.399999999999999</v>
      </c>
      <c r="D190">
        <f t="shared" ca="1" si="2"/>
        <v>20.960646992459239</v>
      </c>
    </row>
    <row r="191" spans="1:4">
      <c r="A191" s="58">
        <v>41819</v>
      </c>
      <c r="B191" s="56">
        <v>0.6</v>
      </c>
      <c r="D191">
        <f t="shared" ca="1" si="2"/>
        <v>0.71474433237588564</v>
      </c>
    </row>
    <row r="192" spans="1:4">
      <c r="A192" s="58">
        <v>41820</v>
      </c>
      <c r="B192" s="56">
        <v>0</v>
      </c>
      <c r="D192">
        <f t="shared" ca="1" si="2"/>
        <v>0</v>
      </c>
    </row>
    <row r="193" spans="1:4">
      <c r="A193" s="58">
        <v>41821</v>
      </c>
      <c r="B193" s="56">
        <v>0</v>
      </c>
      <c r="D193">
        <f t="shared" ca="1" si="2"/>
        <v>0</v>
      </c>
    </row>
    <row r="194" spans="1:4">
      <c r="A194" s="58">
        <v>41822</v>
      </c>
      <c r="B194" s="56">
        <v>1.8</v>
      </c>
      <c r="D194">
        <f t="shared" ca="1" si="2"/>
        <v>1.9412218681246403</v>
      </c>
    </row>
    <row r="195" spans="1:4">
      <c r="A195" s="58">
        <v>41823</v>
      </c>
      <c r="B195" s="56">
        <v>6.2</v>
      </c>
      <c r="D195">
        <f t="shared" ca="1" si="2"/>
        <v>5.4756264870169638</v>
      </c>
    </row>
    <row r="196" spans="1:4">
      <c r="A196" s="58">
        <v>41824</v>
      </c>
      <c r="B196" s="56">
        <v>9.4</v>
      </c>
      <c r="D196">
        <f t="shared" ca="1" si="2"/>
        <v>8.4660019517016316</v>
      </c>
    </row>
    <row r="197" spans="1:4">
      <c r="A197" s="58">
        <v>41825</v>
      </c>
      <c r="B197" s="56">
        <v>26.6</v>
      </c>
      <c r="D197">
        <f t="shared" ca="1" si="2"/>
        <v>25.778286142905962</v>
      </c>
    </row>
    <row r="198" spans="1:4">
      <c r="A198" s="58">
        <v>41826</v>
      </c>
      <c r="B198" s="56">
        <v>13.6</v>
      </c>
      <c r="D198">
        <f t="shared" ca="1" si="2"/>
        <v>13.232474002696982</v>
      </c>
    </row>
    <row r="199" spans="1:4">
      <c r="A199" s="58">
        <v>41827</v>
      </c>
      <c r="B199" s="56">
        <v>0</v>
      </c>
      <c r="D199">
        <f t="shared" ca="1" si="2"/>
        <v>0</v>
      </c>
    </row>
    <row r="200" spans="1:4">
      <c r="A200" s="58">
        <v>41828</v>
      </c>
      <c r="B200" s="56">
        <v>0</v>
      </c>
      <c r="D200">
        <f t="shared" ca="1" si="2"/>
        <v>0</v>
      </c>
    </row>
    <row r="201" spans="1:4">
      <c r="A201" s="58">
        <v>41829</v>
      </c>
      <c r="B201" s="56">
        <v>0</v>
      </c>
      <c r="D201">
        <f t="shared" ca="1" si="2"/>
        <v>0</v>
      </c>
    </row>
    <row r="202" spans="1:4">
      <c r="A202" s="58">
        <v>41830</v>
      </c>
      <c r="B202" s="56">
        <v>0</v>
      </c>
      <c r="D202">
        <f t="shared" ca="1" si="2"/>
        <v>0</v>
      </c>
    </row>
    <row r="203" spans="1:4">
      <c r="A203" s="58">
        <v>41831</v>
      </c>
      <c r="B203" s="56">
        <v>0</v>
      </c>
      <c r="D203">
        <f t="shared" ca="1" si="2"/>
        <v>0</v>
      </c>
    </row>
    <row r="204" spans="1:4">
      <c r="A204" s="58">
        <v>41832</v>
      </c>
      <c r="B204" s="56">
        <v>0</v>
      </c>
      <c r="D204">
        <f t="shared" ref="D204:D267" ca="1" si="3">B204+((RAND()-0.5)*0.4)*B204</f>
        <v>0</v>
      </c>
    </row>
    <row r="205" spans="1:4">
      <c r="A205" s="58">
        <v>41833</v>
      </c>
      <c r="B205" s="56">
        <v>0</v>
      </c>
      <c r="D205">
        <f t="shared" ca="1" si="3"/>
        <v>0</v>
      </c>
    </row>
    <row r="206" spans="1:4">
      <c r="A206" s="58">
        <v>41834</v>
      </c>
      <c r="B206" s="56">
        <v>0</v>
      </c>
      <c r="D206">
        <f t="shared" ca="1" si="3"/>
        <v>0</v>
      </c>
    </row>
    <row r="207" spans="1:4">
      <c r="A207" s="58">
        <v>41835</v>
      </c>
      <c r="B207" s="56">
        <v>0</v>
      </c>
      <c r="D207">
        <f t="shared" ca="1" si="3"/>
        <v>0</v>
      </c>
    </row>
    <row r="208" spans="1:4">
      <c r="A208" s="58">
        <v>41836</v>
      </c>
      <c r="B208" s="56">
        <v>0</v>
      </c>
      <c r="D208">
        <f t="shared" ca="1" si="3"/>
        <v>0</v>
      </c>
    </row>
    <row r="209" spans="1:4">
      <c r="A209" s="58">
        <v>41837</v>
      </c>
      <c r="B209" s="56">
        <v>0</v>
      </c>
      <c r="D209">
        <f t="shared" ca="1" si="3"/>
        <v>0</v>
      </c>
    </row>
    <row r="210" spans="1:4">
      <c r="A210" s="58">
        <v>41838</v>
      </c>
      <c r="B210" s="56">
        <v>37</v>
      </c>
      <c r="D210">
        <f t="shared" ca="1" si="3"/>
        <v>42.721828214069205</v>
      </c>
    </row>
    <row r="211" spans="1:4">
      <c r="A211" s="58">
        <v>41839</v>
      </c>
      <c r="B211" s="56">
        <v>1.8</v>
      </c>
      <c r="D211">
        <f t="shared" ca="1" si="3"/>
        <v>1.9985493655009643</v>
      </c>
    </row>
    <row r="212" spans="1:4">
      <c r="A212" s="58">
        <v>41840</v>
      </c>
      <c r="B212" s="56">
        <v>0</v>
      </c>
      <c r="D212">
        <f t="shared" ca="1" si="3"/>
        <v>0</v>
      </c>
    </row>
    <row r="213" spans="1:4">
      <c r="A213" s="58">
        <v>41841</v>
      </c>
      <c r="B213" s="56">
        <v>0</v>
      </c>
      <c r="D213">
        <f t="shared" ca="1" si="3"/>
        <v>0</v>
      </c>
    </row>
    <row r="214" spans="1:4">
      <c r="A214" s="58">
        <v>41842</v>
      </c>
      <c r="B214" s="56">
        <v>8</v>
      </c>
      <c r="D214">
        <f t="shared" ca="1" si="3"/>
        <v>7.0468559687834675</v>
      </c>
    </row>
    <row r="215" spans="1:4">
      <c r="A215" s="58">
        <v>41843</v>
      </c>
      <c r="B215" s="56">
        <v>18.2</v>
      </c>
      <c r="D215">
        <f t="shared" ca="1" si="3"/>
        <v>19.628982303769604</v>
      </c>
    </row>
    <row r="216" spans="1:4">
      <c r="A216" s="58">
        <v>41844</v>
      </c>
      <c r="B216" s="56">
        <v>0.6</v>
      </c>
      <c r="D216">
        <f t="shared" ca="1" si="3"/>
        <v>0.65458986293199806</v>
      </c>
    </row>
    <row r="217" spans="1:4">
      <c r="A217" s="58">
        <v>41845</v>
      </c>
      <c r="B217" s="56">
        <v>0</v>
      </c>
      <c r="D217">
        <f t="shared" ca="1" si="3"/>
        <v>0</v>
      </c>
    </row>
    <row r="218" spans="1:4">
      <c r="A218" s="58">
        <v>41846</v>
      </c>
      <c r="B218" s="56">
        <v>0</v>
      </c>
      <c r="D218">
        <f t="shared" ca="1" si="3"/>
        <v>0</v>
      </c>
    </row>
    <row r="219" spans="1:4">
      <c r="A219" s="58">
        <v>41847</v>
      </c>
      <c r="B219" s="56">
        <v>0</v>
      </c>
      <c r="D219">
        <f t="shared" ca="1" si="3"/>
        <v>0</v>
      </c>
    </row>
    <row r="220" spans="1:4">
      <c r="A220" s="58">
        <v>41848</v>
      </c>
      <c r="B220" s="56">
        <v>0</v>
      </c>
      <c r="D220">
        <f t="shared" ca="1" si="3"/>
        <v>0</v>
      </c>
    </row>
    <row r="221" spans="1:4">
      <c r="A221" s="58">
        <v>41849</v>
      </c>
      <c r="B221" s="56">
        <v>0</v>
      </c>
      <c r="D221">
        <f t="shared" ca="1" si="3"/>
        <v>0</v>
      </c>
    </row>
    <row r="222" spans="1:4">
      <c r="A222" s="58">
        <v>41850</v>
      </c>
      <c r="B222" s="56">
        <v>0</v>
      </c>
      <c r="D222">
        <f t="shared" ca="1" si="3"/>
        <v>0</v>
      </c>
    </row>
    <row r="223" spans="1:4">
      <c r="A223" s="58">
        <v>41851</v>
      </c>
      <c r="B223" s="56">
        <v>0</v>
      </c>
      <c r="D223">
        <f t="shared" ca="1" si="3"/>
        <v>0</v>
      </c>
    </row>
    <row r="224" spans="1:4">
      <c r="A224" s="58">
        <v>41852</v>
      </c>
      <c r="B224" s="56">
        <v>0</v>
      </c>
      <c r="D224">
        <f t="shared" ca="1" si="3"/>
        <v>0</v>
      </c>
    </row>
    <row r="225" spans="1:4">
      <c r="A225" s="58">
        <v>41853</v>
      </c>
      <c r="B225" s="56">
        <v>0</v>
      </c>
      <c r="D225">
        <f t="shared" ca="1" si="3"/>
        <v>0</v>
      </c>
    </row>
    <row r="226" spans="1:4">
      <c r="A226" s="58">
        <v>41854</v>
      </c>
      <c r="B226" s="56">
        <v>0</v>
      </c>
      <c r="D226">
        <f t="shared" ca="1" si="3"/>
        <v>0</v>
      </c>
    </row>
    <row r="227" spans="1:4">
      <c r="A227" s="58">
        <v>41855</v>
      </c>
      <c r="B227" s="56">
        <v>0</v>
      </c>
      <c r="D227">
        <f t="shared" ca="1" si="3"/>
        <v>0</v>
      </c>
    </row>
    <row r="228" spans="1:4">
      <c r="A228" s="58">
        <v>41856</v>
      </c>
      <c r="B228" s="56">
        <v>0</v>
      </c>
      <c r="D228">
        <f t="shared" ca="1" si="3"/>
        <v>0</v>
      </c>
    </row>
    <row r="229" spans="1:4">
      <c r="A229" s="58">
        <v>41857</v>
      </c>
      <c r="B229" s="56">
        <v>0</v>
      </c>
      <c r="D229">
        <f t="shared" ca="1" si="3"/>
        <v>0</v>
      </c>
    </row>
    <row r="230" spans="1:4">
      <c r="A230" s="58">
        <v>41858</v>
      </c>
      <c r="B230" s="56">
        <v>0</v>
      </c>
      <c r="D230">
        <f t="shared" ca="1" si="3"/>
        <v>0</v>
      </c>
    </row>
    <row r="231" spans="1:4">
      <c r="A231" s="58">
        <v>41859</v>
      </c>
      <c r="B231" s="56">
        <v>0</v>
      </c>
      <c r="D231">
        <f t="shared" ca="1" si="3"/>
        <v>0</v>
      </c>
    </row>
    <row r="232" spans="1:4">
      <c r="A232" s="58">
        <v>41860</v>
      </c>
      <c r="B232" s="56">
        <v>0</v>
      </c>
      <c r="D232">
        <f t="shared" ca="1" si="3"/>
        <v>0</v>
      </c>
    </row>
    <row r="233" spans="1:4">
      <c r="A233" s="58">
        <v>41861</v>
      </c>
      <c r="B233" s="56">
        <v>0</v>
      </c>
      <c r="D233">
        <f t="shared" ca="1" si="3"/>
        <v>0</v>
      </c>
    </row>
    <row r="234" spans="1:4">
      <c r="A234" s="58">
        <v>41862</v>
      </c>
      <c r="B234" s="56">
        <v>0</v>
      </c>
      <c r="D234">
        <f t="shared" ca="1" si="3"/>
        <v>0</v>
      </c>
    </row>
    <row r="235" spans="1:4">
      <c r="A235" s="58">
        <v>41863</v>
      </c>
      <c r="B235" s="56">
        <v>0</v>
      </c>
      <c r="D235">
        <f t="shared" ca="1" si="3"/>
        <v>0</v>
      </c>
    </row>
    <row r="236" spans="1:4">
      <c r="A236" s="58">
        <v>41864</v>
      </c>
      <c r="B236" s="56">
        <v>0</v>
      </c>
      <c r="D236">
        <f t="shared" ca="1" si="3"/>
        <v>0</v>
      </c>
    </row>
    <row r="237" spans="1:4">
      <c r="A237" s="58">
        <v>41865</v>
      </c>
      <c r="B237" s="56">
        <v>0</v>
      </c>
      <c r="D237">
        <f t="shared" ca="1" si="3"/>
        <v>0</v>
      </c>
    </row>
    <row r="238" spans="1:4">
      <c r="A238" s="58">
        <v>41866</v>
      </c>
      <c r="B238" s="56">
        <v>0</v>
      </c>
      <c r="D238">
        <f t="shared" ca="1" si="3"/>
        <v>0</v>
      </c>
    </row>
    <row r="239" spans="1:4">
      <c r="A239" s="58">
        <v>41867</v>
      </c>
      <c r="B239" s="56">
        <v>0</v>
      </c>
      <c r="D239">
        <f t="shared" ca="1" si="3"/>
        <v>0</v>
      </c>
    </row>
    <row r="240" spans="1:4">
      <c r="A240" s="58">
        <v>41868</v>
      </c>
      <c r="B240" s="56">
        <v>0</v>
      </c>
      <c r="D240">
        <f t="shared" ca="1" si="3"/>
        <v>0</v>
      </c>
    </row>
    <row r="241" spans="1:4">
      <c r="A241" s="58">
        <v>41869</v>
      </c>
      <c r="B241" s="56">
        <v>0</v>
      </c>
      <c r="D241">
        <f t="shared" ca="1" si="3"/>
        <v>0</v>
      </c>
    </row>
    <row r="242" spans="1:4">
      <c r="A242" s="58">
        <v>41870</v>
      </c>
      <c r="B242" s="56">
        <v>0</v>
      </c>
      <c r="D242">
        <f t="shared" ca="1" si="3"/>
        <v>0</v>
      </c>
    </row>
    <row r="243" spans="1:4">
      <c r="A243" s="58">
        <v>41871</v>
      </c>
      <c r="B243" s="56">
        <v>0</v>
      </c>
      <c r="D243">
        <f t="shared" ca="1" si="3"/>
        <v>0</v>
      </c>
    </row>
    <row r="244" spans="1:4">
      <c r="A244" s="58">
        <v>41872</v>
      </c>
      <c r="B244" s="56">
        <v>0</v>
      </c>
      <c r="D244">
        <f t="shared" ca="1" si="3"/>
        <v>0</v>
      </c>
    </row>
    <row r="245" spans="1:4">
      <c r="A245" s="58">
        <v>41873</v>
      </c>
      <c r="B245" s="56">
        <v>0</v>
      </c>
      <c r="D245">
        <f t="shared" ca="1" si="3"/>
        <v>0</v>
      </c>
    </row>
    <row r="246" spans="1:4">
      <c r="A246" s="58">
        <v>41874</v>
      </c>
      <c r="B246" s="56">
        <v>0</v>
      </c>
      <c r="D246">
        <f t="shared" ca="1" si="3"/>
        <v>0</v>
      </c>
    </row>
    <row r="247" spans="1:4">
      <c r="A247" s="58">
        <v>41875</v>
      </c>
      <c r="B247" s="56">
        <v>0</v>
      </c>
      <c r="D247">
        <f t="shared" ca="1" si="3"/>
        <v>0</v>
      </c>
    </row>
    <row r="248" spans="1:4">
      <c r="A248" s="58">
        <v>41876</v>
      </c>
      <c r="B248" s="56">
        <v>0</v>
      </c>
      <c r="D248">
        <f t="shared" ca="1" si="3"/>
        <v>0</v>
      </c>
    </row>
    <row r="249" spans="1:4">
      <c r="A249" s="58">
        <v>41877</v>
      </c>
      <c r="B249" s="56">
        <v>0</v>
      </c>
      <c r="D249">
        <f t="shared" ca="1" si="3"/>
        <v>0</v>
      </c>
    </row>
    <row r="250" spans="1:4">
      <c r="A250" s="58">
        <v>41878</v>
      </c>
      <c r="B250" s="56">
        <v>0</v>
      </c>
      <c r="D250">
        <f t="shared" ca="1" si="3"/>
        <v>0</v>
      </c>
    </row>
    <row r="251" spans="1:4">
      <c r="A251" s="58">
        <v>41879</v>
      </c>
      <c r="B251" s="56">
        <v>0.4</v>
      </c>
      <c r="D251">
        <f t="shared" ca="1" si="3"/>
        <v>0.33631012568677493</v>
      </c>
    </row>
    <row r="252" spans="1:4">
      <c r="A252" s="58">
        <v>41880</v>
      </c>
      <c r="B252" s="56">
        <v>7.8</v>
      </c>
      <c r="D252">
        <f t="shared" ca="1" si="3"/>
        <v>8.7916624824141483</v>
      </c>
    </row>
    <row r="253" spans="1:4">
      <c r="A253" s="58">
        <v>41881</v>
      </c>
      <c r="B253" s="56">
        <v>3.6</v>
      </c>
      <c r="D253">
        <f t="shared" ca="1" si="3"/>
        <v>3.6391159552227816</v>
      </c>
    </row>
    <row r="254" spans="1:4">
      <c r="A254" s="58">
        <v>41882</v>
      </c>
      <c r="B254" s="56">
        <v>10.6</v>
      </c>
      <c r="D254">
        <f t="shared" ca="1" si="3"/>
        <v>8.8774256110709722</v>
      </c>
    </row>
    <row r="255" spans="1:4">
      <c r="A255" s="58">
        <v>41883</v>
      </c>
      <c r="B255" s="56">
        <v>3.2</v>
      </c>
      <c r="D255">
        <f t="shared" ca="1" si="3"/>
        <v>3.7976907547275411</v>
      </c>
    </row>
    <row r="256" spans="1:4">
      <c r="A256" s="58">
        <v>41884</v>
      </c>
      <c r="B256" s="56">
        <v>6.2</v>
      </c>
      <c r="D256">
        <f t="shared" ca="1" si="3"/>
        <v>6.596246002211247</v>
      </c>
    </row>
    <row r="257" spans="1:4">
      <c r="A257" s="58">
        <v>41885</v>
      </c>
      <c r="B257" s="56">
        <v>0</v>
      </c>
      <c r="D257">
        <f t="shared" ca="1" si="3"/>
        <v>0</v>
      </c>
    </row>
    <row r="258" spans="1:4">
      <c r="A258" s="58">
        <v>41886</v>
      </c>
      <c r="B258" s="56">
        <v>0</v>
      </c>
      <c r="D258">
        <f t="shared" ca="1" si="3"/>
        <v>0</v>
      </c>
    </row>
    <row r="259" spans="1:4">
      <c r="A259" s="58">
        <v>41887</v>
      </c>
      <c r="B259" s="56">
        <v>0</v>
      </c>
      <c r="D259">
        <f t="shared" ca="1" si="3"/>
        <v>0</v>
      </c>
    </row>
    <row r="260" spans="1:4">
      <c r="A260" s="58">
        <v>41888</v>
      </c>
      <c r="B260" s="56">
        <v>0</v>
      </c>
      <c r="D260">
        <f t="shared" ca="1" si="3"/>
        <v>0</v>
      </c>
    </row>
    <row r="261" spans="1:4">
      <c r="A261" s="58">
        <v>41889</v>
      </c>
      <c r="B261" s="56">
        <v>0</v>
      </c>
      <c r="D261">
        <f t="shared" ca="1" si="3"/>
        <v>0</v>
      </c>
    </row>
    <row r="262" spans="1:4">
      <c r="A262" s="58">
        <v>41890</v>
      </c>
      <c r="B262" s="56">
        <v>0</v>
      </c>
      <c r="D262">
        <f t="shared" ca="1" si="3"/>
        <v>0</v>
      </c>
    </row>
    <row r="263" spans="1:4">
      <c r="A263" s="58">
        <v>41891</v>
      </c>
      <c r="B263" s="56">
        <v>0</v>
      </c>
      <c r="D263">
        <f t="shared" ca="1" si="3"/>
        <v>0</v>
      </c>
    </row>
    <row r="264" spans="1:4">
      <c r="A264" s="58">
        <v>41892</v>
      </c>
      <c r="B264" s="56">
        <v>0</v>
      </c>
      <c r="D264">
        <f t="shared" ca="1" si="3"/>
        <v>0</v>
      </c>
    </row>
    <row r="265" spans="1:4">
      <c r="A265" s="58">
        <v>41893</v>
      </c>
      <c r="B265" s="56">
        <v>0</v>
      </c>
      <c r="D265">
        <f t="shared" ca="1" si="3"/>
        <v>0</v>
      </c>
    </row>
    <row r="266" spans="1:4">
      <c r="A266" s="58">
        <v>41894</v>
      </c>
      <c r="B266" s="56">
        <v>0</v>
      </c>
      <c r="D266">
        <f t="shared" ca="1" si="3"/>
        <v>0</v>
      </c>
    </row>
    <row r="267" spans="1:4">
      <c r="A267" s="58">
        <v>41895</v>
      </c>
      <c r="B267" s="56">
        <v>0</v>
      </c>
      <c r="D267">
        <f t="shared" ca="1" si="3"/>
        <v>0</v>
      </c>
    </row>
    <row r="268" spans="1:4">
      <c r="A268" s="58">
        <v>41896</v>
      </c>
      <c r="B268" s="56">
        <v>0</v>
      </c>
      <c r="D268">
        <f t="shared" ref="D268:D331" ca="1" si="4">B268+((RAND()-0.5)*0.4)*B268</f>
        <v>0</v>
      </c>
    </row>
    <row r="269" spans="1:4">
      <c r="A269" s="58">
        <v>41897</v>
      </c>
      <c r="B269" s="56">
        <v>0</v>
      </c>
      <c r="D269">
        <f t="shared" ca="1" si="4"/>
        <v>0</v>
      </c>
    </row>
    <row r="270" spans="1:4">
      <c r="A270" s="58">
        <v>41898</v>
      </c>
      <c r="B270" s="56">
        <v>0</v>
      </c>
      <c r="D270">
        <f t="shared" ca="1" si="4"/>
        <v>0</v>
      </c>
    </row>
    <row r="271" spans="1:4">
      <c r="A271" s="58">
        <v>41899</v>
      </c>
      <c r="B271" s="56">
        <v>0</v>
      </c>
      <c r="D271">
        <f t="shared" ca="1" si="4"/>
        <v>0</v>
      </c>
    </row>
    <row r="272" spans="1:4">
      <c r="A272" s="58">
        <v>41900</v>
      </c>
      <c r="B272" s="56">
        <v>26.4</v>
      </c>
      <c r="D272">
        <f t="shared" ca="1" si="4"/>
        <v>30.80732861800638</v>
      </c>
    </row>
    <row r="273" spans="1:4">
      <c r="A273" s="58">
        <v>41901</v>
      </c>
      <c r="B273" s="56">
        <v>0.4</v>
      </c>
      <c r="D273">
        <f t="shared" ca="1" si="4"/>
        <v>0.44713268578811316</v>
      </c>
    </row>
    <row r="274" spans="1:4">
      <c r="A274" s="58">
        <v>41902</v>
      </c>
      <c r="B274" s="56">
        <v>0</v>
      </c>
      <c r="D274">
        <f t="shared" ca="1" si="4"/>
        <v>0</v>
      </c>
    </row>
    <row r="275" spans="1:4">
      <c r="A275" s="58">
        <v>41903</v>
      </c>
      <c r="B275" s="56">
        <v>2</v>
      </c>
      <c r="D275">
        <f t="shared" ca="1" si="4"/>
        <v>2.162054528775387</v>
      </c>
    </row>
    <row r="276" spans="1:4">
      <c r="A276" s="58">
        <v>41904</v>
      </c>
      <c r="B276" s="56">
        <v>12.4</v>
      </c>
      <c r="D276">
        <f t="shared" ca="1" si="4"/>
        <v>13.540540449162709</v>
      </c>
    </row>
    <row r="277" spans="1:4">
      <c r="A277" s="58">
        <v>41905</v>
      </c>
      <c r="B277" s="56">
        <v>29.4</v>
      </c>
      <c r="D277">
        <f t="shared" ca="1" si="4"/>
        <v>26.990981611689566</v>
      </c>
    </row>
    <row r="278" spans="1:4">
      <c r="A278" s="58">
        <v>41906</v>
      </c>
      <c r="B278" s="56">
        <v>1.6</v>
      </c>
      <c r="D278">
        <f t="shared" ca="1" si="4"/>
        <v>1.9083908844382205</v>
      </c>
    </row>
    <row r="279" spans="1:4">
      <c r="A279" s="58">
        <v>41907</v>
      </c>
      <c r="B279" s="56">
        <v>0.6</v>
      </c>
      <c r="D279">
        <f t="shared" ca="1" si="4"/>
        <v>0.62656356621080156</v>
      </c>
    </row>
    <row r="280" spans="1:4">
      <c r="A280" s="58">
        <v>41908</v>
      </c>
      <c r="B280" s="56">
        <v>8.1999999999999993</v>
      </c>
      <c r="D280">
        <f t="shared" ca="1" si="4"/>
        <v>6.6970887542361099</v>
      </c>
    </row>
    <row r="281" spans="1:4">
      <c r="A281" s="58">
        <v>41909</v>
      </c>
      <c r="B281" s="56">
        <v>0</v>
      </c>
      <c r="D281">
        <f t="shared" ca="1" si="4"/>
        <v>0</v>
      </c>
    </row>
    <row r="282" spans="1:4">
      <c r="A282" s="58">
        <v>41910</v>
      </c>
      <c r="B282" s="56">
        <v>12.4</v>
      </c>
      <c r="D282">
        <f t="shared" ca="1" si="4"/>
        <v>10.953534749004751</v>
      </c>
    </row>
    <row r="283" spans="1:4">
      <c r="A283" s="58">
        <v>41911</v>
      </c>
      <c r="B283" s="56">
        <v>5.6</v>
      </c>
      <c r="D283">
        <f t="shared" ca="1" si="4"/>
        <v>6.6091509328274789</v>
      </c>
    </row>
    <row r="284" spans="1:4">
      <c r="A284" s="58">
        <v>41912</v>
      </c>
      <c r="B284" s="56">
        <v>0</v>
      </c>
      <c r="D284">
        <f t="shared" ca="1" si="4"/>
        <v>0</v>
      </c>
    </row>
    <row r="285" spans="1:4">
      <c r="A285" s="58">
        <v>41913</v>
      </c>
      <c r="B285" s="56">
        <v>0</v>
      </c>
      <c r="D285">
        <f t="shared" ca="1" si="4"/>
        <v>0</v>
      </c>
    </row>
    <row r="286" spans="1:4">
      <c r="A286" s="58">
        <v>41914</v>
      </c>
      <c r="B286" s="56">
        <v>0</v>
      </c>
      <c r="D286">
        <f t="shared" ca="1" si="4"/>
        <v>0</v>
      </c>
    </row>
    <row r="287" spans="1:4">
      <c r="A287" s="58">
        <v>41915</v>
      </c>
      <c r="B287" s="56">
        <v>57.8</v>
      </c>
      <c r="D287">
        <f t="shared" ca="1" si="4"/>
        <v>63.12596461562719</v>
      </c>
    </row>
    <row r="288" spans="1:4">
      <c r="A288" s="58">
        <v>41916</v>
      </c>
      <c r="B288" s="56">
        <v>6</v>
      </c>
      <c r="D288">
        <f t="shared" ca="1" si="4"/>
        <v>5.0580990553729164</v>
      </c>
    </row>
    <row r="289" spans="1:4">
      <c r="A289" s="58">
        <v>41917</v>
      </c>
      <c r="B289" s="56">
        <v>9.1999999999999993</v>
      </c>
      <c r="D289">
        <f t="shared" ca="1" si="4"/>
        <v>10.790454989244907</v>
      </c>
    </row>
    <row r="290" spans="1:4">
      <c r="A290" s="58">
        <v>41918</v>
      </c>
      <c r="B290" s="56">
        <v>0.4</v>
      </c>
      <c r="D290">
        <f t="shared" ca="1" si="4"/>
        <v>0.42732400303290879</v>
      </c>
    </row>
    <row r="291" spans="1:4">
      <c r="A291" s="58">
        <v>41919</v>
      </c>
      <c r="B291" s="56">
        <v>0</v>
      </c>
      <c r="D291">
        <f t="shared" ca="1" si="4"/>
        <v>0</v>
      </c>
    </row>
    <row r="292" spans="1:4">
      <c r="A292" s="58">
        <v>41920</v>
      </c>
      <c r="B292" s="56">
        <v>1.4</v>
      </c>
      <c r="D292">
        <f t="shared" ca="1" si="4"/>
        <v>1.630109233579915</v>
      </c>
    </row>
    <row r="293" spans="1:4">
      <c r="A293" s="58">
        <v>41921</v>
      </c>
      <c r="B293" s="56">
        <v>1.8</v>
      </c>
      <c r="D293">
        <f t="shared" ca="1" si="4"/>
        <v>1.6507467138349383</v>
      </c>
    </row>
    <row r="294" spans="1:4">
      <c r="A294" s="58">
        <v>41922</v>
      </c>
      <c r="B294" s="56">
        <v>17.8</v>
      </c>
      <c r="D294">
        <f t="shared" ca="1" si="4"/>
        <v>15.046730541883392</v>
      </c>
    </row>
    <row r="295" spans="1:4">
      <c r="A295" s="58">
        <v>41923</v>
      </c>
      <c r="B295" s="56">
        <v>15.4</v>
      </c>
      <c r="D295">
        <f t="shared" ca="1" si="4"/>
        <v>12.673823758578267</v>
      </c>
    </row>
    <row r="296" spans="1:4">
      <c r="A296" s="58">
        <v>41924</v>
      </c>
      <c r="B296" s="56">
        <v>33</v>
      </c>
      <c r="D296">
        <f t="shared" ca="1" si="4"/>
        <v>28.366965481712285</v>
      </c>
    </row>
    <row r="297" spans="1:4">
      <c r="A297" s="58">
        <v>41925</v>
      </c>
      <c r="B297" s="56">
        <v>31.4</v>
      </c>
      <c r="D297">
        <f t="shared" ca="1" si="4"/>
        <v>34.547538190706604</v>
      </c>
    </row>
    <row r="298" spans="1:4">
      <c r="A298" s="58">
        <v>41926</v>
      </c>
      <c r="B298" s="56">
        <v>28.4</v>
      </c>
      <c r="D298">
        <f t="shared" ca="1" si="4"/>
        <v>26.974552797400396</v>
      </c>
    </row>
    <row r="299" spans="1:4">
      <c r="A299" s="58">
        <v>41927</v>
      </c>
      <c r="B299" s="56">
        <v>6.4</v>
      </c>
      <c r="D299">
        <f t="shared" ca="1" si="4"/>
        <v>5.1738266743896233</v>
      </c>
    </row>
    <row r="300" spans="1:4">
      <c r="A300" s="58">
        <v>41928</v>
      </c>
      <c r="B300" s="56">
        <v>17.2</v>
      </c>
      <c r="D300">
        <f t="shared" ca="1" si="4"/>
        <v>15.56024883563561</v>
      </c>
    </row>
    <row r="301" spans="1:4">
      <c r="A301" s="58">
        <v>41929</v>
      </c>
      <c r="B301" s="56">
        <v>27</v>
      </c>
      <c r="D301">
        <f t="shared" ca="1" si="4"/>
        <v>25.314689439159295</v>
      </c>
    </row>
    <row r="302" spans="1:4">
      <c r="A302" s="58">
        <v>41930</v>
      </c>
      <c r="B302" s="56">
        <v>16.8</v>
      </c>
      <c r="D302">
        <f t="shared" ca="1" si="4"/>
        <v>19.311905608591516</v>
      </c>
    </row>
    <row r="303" spans="1:4">
      <c r="A303" s="58">
        <v>41931</v>
      </c>
      <c r="B303" s="56">
        <v>46.2</v>
      </c>
      <c r="D303">
        <f t="shared" ca="1" si="4"/>
        <v>52.751307759081186</v>
      </c>
    </row>
    <row r="304" spans="1:4">
      <c r="A304" s="58">
        <v>41932</v>
      </c>
      <c r="B304" s="56">
        <v>10.8</v>
      </c>
      <c r="D304">
        <f t="shared" ca="1" si="4"/>
        <v>9.7790145812082461</v>
      </c>
    </row>
    <row r="305" spans="1:4">
      <c r="A305" s="58">
        <v>41933</v>
      </c>
      <c r="B305" s="56">
        <v>40.200000000000003</v>
      </c>
      <c r="D305">
        <f t="shared" ca="1" si="4"/>
        <v>33.052821947318506</v>
      </c>
    </row>
    <row r="306" spans="1:4">
      <c r="A306" s="58">
        <v>41934</v>
      </c>
      <c r="B306" s="56">
        <v>21.4</v>
      </c>
      <c r="D306">
        <f t="shared" ca="1" si="4"/>
        <v>18.129890197455364</v>
      </c>
    </row>
    <row r="307" spans="1:4">
      <c r="A307" s="58">
        <v>41935</v>
      </c>
      <c r="B307" s="56">
        <v>9.4</v>
      </c>
      <c r="D307">
        <f t="shared" ca="1" si="4"/>
        <v>8.2868737368618071</v>
      </c>
    </row>
    <row r="308" spans="1:4">
      <c r="A308" s="58">
        <v>41936</v>
      </c>
      <c r="B308" s="56">
        <v>1.6</v>
      </c>
      <c r="D308">
        <f t="shared" ca="1" si="4"/>
        <v>1.6000317835409374</v>
      </c>
    </row>
    <row r="309" spans="1:4">
      <c r="A309" s="58">
        <v>41937</v>
      </c>
      <c r="B309" s="56">
        <v>21.8</v>
      </c>
      <c r="D309">
        <f t="shared" ca="1" si="4"/>
        <v>25.115708346425023</v>
      </c>
    </row>
    <row r="310" spans="1:4">
      <c r="A310" s="58">
        <v>41938</v>
      </c>
      <c r="B310" s="56">
        <v>2.4</v>
      </c>
      <c r="D310">
        <f t="shared" ca="1" si="4"/>
        <v>2.151819484974399</v>
      </c>
    </row>
    <row r="311" spans="1:4">
      <c r="A311" s="58">
        <v>41939</v>
      </c>
      <c r="B311" s="56">
        <v>33.6</v>
      </c>
      <c r="D311">
        <f t="shared" ca="1" si="4"/>
        <v>28.339232321436359</v>
      </c>
    </row>
    <row r="312" spans="1:4">
      <c r="A312" s="58">
        <v>41940</v>
      </c>
      <c r="B312" s="56">
        <v>24.4</v>
      </c>
      <c r="D312">
        <f t="shared" ca="1" si="4"/>
        <v>20.273241292544469</v>
      </c>
    </row>
    <row r="313" spans="1:4">
      <c r="A313" s="58">
        <v>41941</v>
      </c>
      <c r="B313" s="56">
        <v>7</v>
      </c>
      <c r="D313">
        <f t="shared" ca="1" si="4"/>
        <v>8.0167877924292377</v>
      </c>
    </row>
    <row r="314" spans="1:4">
      <c r="A314" s="58">
        <v>41942</v>
      </c>
      <c r="B314" s="56">
        <v>9</v>
      </c>
      <c r="D314">
        <f t="shared" ca="1" si="4"/>
        <v>8.9376981777862046</v>
      </c>
    </row>
    <row r="315" spans="1:4">
      <c r="A315" s="58">
        <v>41943</v>
      </c>
      <c r="B315" s="56">
        <v>15</v>
      </c>
      <c r="D315">
        <f t="shared" ca="1" si="4"/>
        <v>16.491409694930685</v>
      </c>
    </row>
    <row r="316" spans="1:4">
      <c r="A316" s="58">
        <v>41944</v>
      </c>
      <c r="B316" s="56">
        <v>6.4</v>
      </c>
      <c r="D316">
        <f t="shared" ca="1" si="4"/>
        <v>6.7754066867499763</v>
      </c>
    </row>
    <row r="317" spans="1:4">
      <c r="A317" s="58">
        <v>41945</v>
      </c>
      <c r="B317" s="56">
        <v>37.6</v>
      </c>
      <c r="D317">
        <f t="shared" ca="1" si="4"/>
        <v>38.009665088902679</v>
      </c>
    </row>
    <row r="318" spans="1:4">
      <c r="A318" s="58">
        <v>41946</v>
      </c>
      <c r="B318" s="56">
        <v>35.200000000000003</v>
      </c>
      <c r="D318">
        <f t="shared" ca="1" si="4"/>
        <v>41.200607578289478</v>
      </c>
    </row>
    <row r="319" spans="1:4">
      <c r="A319" s="58">
        <v>41947</v>
      </c>
      <c r="B319" s="56">
        <v>9</v>
      </c>
      <c r="D319">
        <f t="shared" ca="1" si="4"/>
        <v>9.5498043475908307</v>
      </c>
    </row>
    <row r="320" spans="1:4">
      <c r="A320" s="58">
        <v>41948</v>
      </c>
      <c r="B320" s="56">
        <v>4.4000000000000004</v>
      </c>
      <c r="D320">
        <f t="shared" ca="1" si="4"/>
        <v>5.0144469762911363</v>
      </c>
    </row>
    <row r="321" spans="1:4">
      <c r="A321" s="58">
        <v>41949</v>
      </c>
      <c r="B321" s="56">
        <v>20.2</v>
      </c>
      <c r="D321">
        <f t="shared" ca="1" si="4"/>
        <v>17.14034473715261</v>
      </c>
    </row>
    <row r="322" spans="1:4">
      <c r="A322" s="58">
        <v>41950</v>
      </c>
      <c r="B322" s="56">
        <v>1.4</v>
      </c>
      <c r="D322">
        <f t="shared" ca="1" si="4"/>
        <v>1.319618312677924</v>
      </c>
    </row>
    <row r="323" spans="1:4">
      <c r="A323" s="58">
        <v>41951</v>
      </c>
      <c r="B323" s="56">
        <v>34</v>
      </c>
      <c r="D323">
        <f t="shared" ca="1" si="4"/>
        <v>39.462563835695036</v>
      </c>
    </row>
    <row r="324" spans="1:4">
      <c r="A324" s="58">
        <v>41952</v>
      </c>
      <c r="B324" s="56">
        <v>0</v>
      </c>
      <c r="D324">
        <f t="shared" ca="1" si="4"/>
        <v>0</v>
      </c>
    </row>
    <row r="325" spans="1:4">
      <c r="A325" s="58">
        <v>41953</v>
      </c>
      <c r="B325" s="56">
        <v>0</v>
      </c>
      <c r="D325">
        <f t="shared" ca="1" si="4"/>
        <v>0</v>
      </c>
    </row>
    <row r="326" spans="1:4">
      <c r="A326" s="58">
        <v>41954</v>
      </c>
      <c r="B326" s="56">
        <v>0</v>
      </c>
      <c r="D326">
        <f t="shared" ca="1" si="4"/>
        <v>0</v>
      </c>
    </row>
    <row r="327" spans="1:4">
      <c r="A327" s="58">
        <v>41955</v>
      </c>
      <c r="B327" s="56">
        <v>0</v>
      </c>
      <c r="D327">
        <f t="shared" ca="1" si="4"/>
        <v>0</v>
      </c>
    </row>
    <row r="328" spans="1:4">
      <c r="A328" s="58">
        <v>41956</v>
      </c>
      <c r="B328" s="56">
        <v>0</v>
      </c>
      <c r="D328">
        <f t="shared" ca="1" si="4"/>
        <v>0</v>
      </c>
    </row>
    <row r="329" spans="1:4">
      <c r="A329" s="58">
        <v>41957</v>
      </c>
      <c r="B329" s="56">
        <v>0</v>
      </c>
      <c r="D329">
        <f t="shared" ca="1" si="4"/>
        <v>0</v>
      </c>
    </row>
    <row r="330" spans="1:4">
      <c r="A330" s="58">
        <v>41958</v>
      </c>
      <c r="B330" s="56">
        <v>0</v>
      </c>
      <c r="D330">
        <f t="shared" ca="1" si="4"/>
        <v>0</v>
      </c>
    </row>
    <row r="331" spans="1:4">
      <c r="A331" s="58">
        <v>41959</v>
      </c>
      <c r="B331" s="56">
        <v>0</v>
      </c>
      <c r="D331">
        <f t="shared" ca="1" si="4"/>
        <v>0</v>
      </c>
    </row>
    <row r="332" spans="1:4">
      <c r="A332" s="58">
        <v>41960</v>
      </c>
      <c r="B332" s="56">
        <v>0</v>
      </c>
      <c r="D332">
        <f t="shared" ref="D332:D376" ca="1" si="5">B332+((RAND()-0.5)*0.4)*B332</f>
        <v>0</v>
      </c>
    </row>
    <row r="333" spans="1:4">
      <c r="A333" s="58">
        <v>41961</v>
      </c>
      <c r="B333" s="56">
        <v>0</v>
      </c>
      <c r="D333">
        <f t="shared" ca="1" si="5"/>
        <v>0</v>
      </c>
    </row>
    <row r="334" spans="1:4">
      <c r="A334" s="58">
        <v>41962</v>
      </c>
      <c r="B334" s="56">
        <v>3.4</v>
      </c>
      <c r="D334">
        <f t="shared" ca="1" si="5"/>
        <v>3.9562237725805405</v>
      </c>
    </row>
    <row r="335" spans="1:4">
      <c r="A335" s="58">
        <v>41963</v>
      </c>
      <c r="B335" s="56">
        <v>29.4</v>
      </c>
      <c r="D335">
        <f t="shared" ca="1" si="5"/>
        <v>25.158145308769253</v>
      </c>
    </row>
    <row r="336" spans="1:4">
      <c r="A336" s="58">
        <v>41964</v>
      </c>
      <c r="B336" s="56">
        <v>32.799999999999997</v>
      </c>
      <c r="D336">
        <f t="shared" ca="1" si="5"/>
        <v>27.972447028692791</v>
      </c>
    </row>
    <row r="337" spans="1:4">
      <c r="A337" s="58">
        <v>41965</v>
      </c>
      <c r="B337" s="56">
        <v>25.6</v>
      </c>
      <c r="D337">
        <f t="shared" ca="1" si="5"/>
        <v>29.001092294249911</v>
      </c>
    </row>
    <row r="338" spans="1:4">
      <c r="A338" s="58">
        <v>41966</v>
      </c>
      <c r="B338" s="56">
        <v>15.2</v>
      </c>
      <c r="D338">
        <f t="shared" ca="1" si="5"/>
        <v>14.984136853045969</v>
      </c>
    </row>
    <row r="339" spans="1:4">
      <c r="A339" s="58">
        <v>41967</v>
      </c>
      <c r="B339" s="56">
        <v>60.6</v>
      </c>
      <c r="D339">
        <f t="shared" ca="1" si="5"/>
        <v>65.407279028243309</v>
      </c>
    </row>
    <row r="340" spans="1:4">
      <c r="A340" s="58">
        <v>41968</v>
      </c>
      <c r="B340" s="56">
        <v>15</v>
      </c>
      <c r="D340">
        <f t="shared" ca="1" si="5"/>
        <v>12.52026810366533</v>
      </c>
    </row>
    <row r="341" spans="1:4">
      <c r="A341" s="58">
        <v>41969</v>
      </c>
      <c r="B341" s="56">
        <v>43</v>
      </c>
      <c r="D341">
        <f t="shared" ca="1" si="5"/>
        <v>36.399284806506508</v>
      </c>
    </row>
    <row r="342" spans="1:4">
      <c r="A342" s="58">
        <v>41970</v>
      </c>
      <c r="B342" s="56">
        <v>15</v>
      </c>
      <c r="D342">
        <f t="shared" ca="1" si="5"/>
        <v>16.683820180325473</v>
      </c>
    </row>
    <row r="343" spans="1:4">
      <c r="A343" s="58">
        <v>41971</v>
      </c>
      <c r="B343" s="56">
        <v>0</v>
      </c>
      <c r="D343">
        <f t="shared" ca="1" si="5"/>
        <v>0</v>
      </c>
    </row>
    <row r="344" spans="1:4">
      <c r="A344" s="58">
        <v>41972</v>
      </c>
      <c r="B344" s="56">
        <v>0</v>
      </c>
      <c r="D344">
        <f t="shared" ca="1" si="5"/>
        <v>0</v>
      </c>
    </row>
    <row r="345" spans="1:4">
      <c r="A345" s="58">
        <v>41973</v>
      </c>
      <c r="B345" s="56">
        <v>0</v>
      </c>
      <c r="D345">
        <f t="shared" ca="1" si="5"/>
        <v>0</v>
      </c>
    </row>
    <row r="346" spans="1:4">
      <c r="A346" s="58">
        <v>41974</v>
      </c>
      <c r="B346" s="56">
        <v>0</v>
      </c>
      <c r="D346">
        <f t="shared" ca="1" si="5"/>
        <v>0</v>
      </c>
    </row>
    <row r="347" spans="1:4">
      <c r="A347" s="58">
        <v>41975</v>
      </c>
      <c r="B347" s="56">
        <v>0</v>
      </c>
      <c r="D347">
        <f t="shared" ca="1" si="5"/>
        <v>0</v>
      </c>
    </row>
    <row r="348" spans="1:4">
      <c r="A348" s="58">
        <v>41976</v>
      </c>
      <c r="B348" s="56">
        <v>0</v>
      </c>
      <c r="D348">
        <f t="shared" ca="1" si="5"/>
        <v>0</v>
      </c>
    </row>
    <row r="349" spans="1:4">
      <c r="A349" s="58">
        <v>41977</v>
      </c>
      <c r="B349" s="56">
        <v>1.2</v>
      </c>
      <c r="D349">
        <f t="shared" ca="1" si="5"/>
        <v>1.0537227704843126</v>
      </c>
    </row>
    <row r="350" spans="1:4">
      <c r="A350" s="58">
        <v>41978</v>
      </c>
      <c r="B350" s="56">
        <v>45.4</v>
      </c>
      <c r="D350">
        <f t="shared" ca="1" si="5"/>
        <v>43.427366541670736</v>
      </c>
    </row>
    <row r="351" spans="1:4">
      <c r="A351" s="58">
        <v>41979</v>
      </c>
      <c r="B351" s="56">
        <v>0.8</v>
      </c>
      <c r="D351">
        <f t="shared" ca="1" si="5"/>
        <v>0.93670069144591528</v>
      </c>
    </row>
    <row r="352" spans="1:4">
      <c r="A352" s="58">
        <v>41980</v>
      </c>
      <c r="B352" s="56">
        <v>15.2</v>
      </c>
      <c r="D352">
        <f t="shared" ca="1" si="5"/>
        <v>16.466267533266468</v>
      </c>
    </row>
    <row r="353" spans="1:4">
      <c r="A353" s="58">
        <v>41981</v>
      </c>
      <c r="B353" s="56">
        <v>48.6</v>
      </c>
      <c r="D353">
        <f t="shared" ca="1" si="5"/>
        <v>50.374790590043446</v>
      </c>
    </row>
    <row r="354" spans="1:4">
      <c r="A354" s="58">
        <v>41982</v>
      </c>
      <c r="B354" s="56">
        <v>34.200000000000003</v>
      </c>
      <c r="D354">
        <f t="shared" ca="1" si="5"/>
        <v>29.056003166850829</v>
      </c>
    </row>
    <row r="355" spans="1:4">
      <c r="A355" s="58">
        <v>41983</v>
      </c>
      <c r="B355" s="56">
        <v>4.4000000000000004</v>
      </c>
      <c r="D355">
        <f t="shared" ca="1" si="5"/>
        <v>5.1010843505728571</v>
      </c>
    </row>
    <row r="356" spans="1:4">
      <c r="A356" s="58">
        <v>41984</v>
      </c>
      <c r="B356" s="56">
        <v>17.8</v>
      </c>
      <c r="D356">
        <f t="shared" ca="1" si="5"/>
        <v>16.930077021167818</v>
      </c>
    </row>
    <row r="357" spans="1:4">
      <c r="A357" s="58">
        <v>41985</v>
      </c>
      <c r="B357" s="56">
        <v>1.4</v>
      </c>
      <c r="D357">
        <f t="shared" ca="1" si="5"/>
        <v>1.2249980509900094</v>
      </c>
    </row>
    <row r="358" spans="1:4">
      <c r="A358" s="58">
        <v>41986</v>
      </c>
      <c r="B358" s="56">
        <v>1</v>
      </c>
      <c r="D358">
        <f t="shared" ca="1" si="5"/>
        <v>0.84867462528633397</v>
      </c>
    </row>
    <row r="359" spans="1:4">
      <c r="A359" s="58">
        <v>41987</v>
      </c>
      <c r="B359" s="56">
        <v>0</v>
      </c>
      <c r="D359">
        <f t="shared" ca="1" si="5"/>
        <v>0</v>
      </c>
    </row>
    <row r="360" spans="1:4">
      <c r="A360" s="58">
        <v>41988</v>
      </c>
      <c r="B360" s="56">
        <v>9</v>
      </c>
      <c r="D360">
        <f t="shared" ca="1" si="5"/>
        <v>8.5190941617694325</v>
      </c>
    </row>
    <row r="361" spans="1:4">
      <c r="A361" s="58">
        <v>41989</v>
      </c>
      <c r="B361" s="56">
        <v>20.2</v>
      </c>
      <c r="D361">
        <f t="shared" ca="1" si="5"/>
        <v>18.725882651019564</v>
      </c>
    </row>
    <row r="362" spans="1:4">
      <c r="A362" s="58">
        <v>41990</v>
      </c>
      <c r="B362" s="56">
        <v>0.8</v>
      </c>
      <c r="D362">
        <f t="shared" ca="1" si="5"/>
        <v>0.84478652293087619</v>
      </c>
    </row>
    <row r="363" spans="1:4">
      <c r="A363" s="58">
        <v>41991</v>
      </c>
      <c r="B363" s="56">
        <v>24.6</v>
      </c>
      <c r="D363">
        <f t="shared" ca="1" si="5"/>
        <v>23.597321975972225</v>
      </c>
    </row>
    <row r="364" spans="1:4">
      <c r="A364" s="58">
        <v>41992</v>
      </c>
      <c r="B364" s="56">
        <v>0</v>
      </c>
      <c r="D364">
        <f t="shared" ca="1" si="5"/>
        <v>0</v>
      </c>
    </row>
    <row r="365" spans="1:4">
      <c r="A365" s="58">
        <v>41993</v>
      </c>
      <c r="B365" s="56">
        <v>0</v>
      </c>
      <c r="D365">
        <f t="shared" ca="1" si="5"/>
        <v>0</v>
      </c>
    </row>
    <row r="366" spans="1:4">
      <c r="A366" s="58">
        <v>41994</v>
      </c>
      <c r="B366" s="56">
        <v>8.8000000000000007</v>
      </c>
      <c r="D366">
        <f t="shared" ca="1" si="5"/>
        <v>10.041549601637561</v>
      </c>
    </row>
    <row r="367" spans="1:4">
      <c r="A367" s="58">
        <v>41995</v>
      </c>
      <c r="B367" s="56">
        <v>11.6</v>
      </c>
      <c r="D367">
        <f t="shared" ca="1" si="5"/>
        <v>12.540337287844396</v>
      </c>
    </row>
    <row r="368" spans="1:4">
      <c r="A368" s="58">
        <v>41996</v>
      </c>
      <c r="B368" s="56">
        <v>10</v>
      </c>
      <c r="D368">
        <f t="shared" ca="1" si="5"/>
        <v>10.231858914591784</v>
      </c>
    </row>
    <row r="369" spans="1:4">
      <c r="A369" s="58">
        <v>41997</v>
      </c>
      <c r="B369" s="56">
        <v>2.2000000000000002</v>
      </c>
      <c r="D369">
        <f t="shared" ca="1" si="5"/>
        <v>2.3360036698898781</v>
      </c>
    </row>
    <row r="370" spans="1:4">
      <c r="A370" s="58">
        <v>41998</v>
      </c>
      <c r="B370" s="56">
        <v>0.6</v>
      </c>
      <c r="D370">
        <f t="shared" ca="1" si="5"/>
        <v>0.52322577439717566</v>
      </c>
    </row>
    <row r="371" spans="1:4">
      <c r="A371" s="58">
        <v>41999</v>
      </c>
      <c r="B371" s="56">
        <v>10.199999999999999</v>
      </c>
      <c r="D371">
        <f t="shared" ca="1" si="5"/>
        <v>9.3838589918749236</v>
      </c>
    </row>
    <row r="372" spans="1:4">
      <c r="A372" s="58">
        <v>42000</v>
      </c>
      <c r="B372" s="56">
        <v>5.4</v>
      </c>
      <c r="D372">
        <f t="shared" ca="1" si="5"/>
        <v>5.6275555208640311</v>
      </c>
    </row>
    <row r="373" spans="1:4">
      <c r="A373" s="58">
        <v>42001</v>
      </c>
      <c r="B373" s="56">
        <v>0</v>
      </c>
      <c r="D373">
        <f t="shared" ca="1" si="5"/>
        <v>0</v>
      </c>
    </row>
    <row r="374" spans="1:4">
      <c r="A374" s="58">
        <v>42002</v>
      </c>
      <c r="B374" s="56">
        <v>0</v>
      </c>
      <c r="D374">
        <f t="shared" ca="1" si="5"/>
        <v>0</v>
      </c>
    </row>
    <row r="375" spans="1:4">
      <c r="A375" s="58">
        <v>42003</v>
      </c>
      <c r="B375" s="56">
        <v>0</v>
      </c>
      <c r="D375">
        <f t="shared" ca="1" si="5"/>
        <v>0</v>
      </c>
    </row>
    <row r="376" spans="1:4">
      <c r="A376" s="58">
        <v>42004</v>
      </c>
      <c r="B376" s="56">
        <v>0</v>
      </c>
      <c r="D376">
        <f t="shared" ca="1" si="5"/>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1:B376"/>
  <sheetViews>
    <sheetView topLeftCell="A352" workbookViewId="0">
      <selection activeCell="B12" sqref="B12:B376"/>
    </sheetView>
  </sheetViews>
  <sheetFormatPr defaultRowHeight="14.4"/>
  <cols>
    <col min="1" max="1" width="10.5546875" style="195" bestFit="1" customWidth="1"/>
    <col min="2" max="2" width="17" style="195" bestFit="1" customWidth="1"/>
  </cols>
  <sheetData>
    <row r="11" spans="1:2">
      <c r="A11" s="57" t="s">
        <v>360</v>
      </c>
      <c r="B11" s="57" t="s">
        <v>646</v>
      </c>
    </row>
    <row r="12" spans="1:2">
      <c r="A12" s="58">
        <v>42005</v>
      </c>
      <c r="B12" s="56">
        <v>7.8</v>
      </c>
    </row>
    <row r="13" spans="1:2">
      <c r="A13" s="58">
        <v>42006</v>
      </c>
      <c r="B13" s="56">
        <v>1</v>
      </c>
    </row>
    <row r="14" spans="1:2">
      <c r="A14" s="58">
        <v>42007</v>
      </c>
      <c r="B14" s="56">
        <v>13.4</v>
      </c>
    </row>
    <row r="15" spans="1:2">
      <c r="A15" s="58">
        <v>42008</v>
      </c>
      <c r="B15" s="56">
        <v>64.2</v>
      </c>
    </row>
    <row r="16" spans="1:2">
      <c r="A16" s="58">
        <v>42009</v>
      </c>
      <c r="B16" s="56">
        <v>32.200000000000003</v>
      </c>
    </row>
    <row r="17" spans="1:2">
      <c r="A17" s="58">
        <v>42010</v>
      </c>
      <c r="B17" s="56">
        <v>2.8</v>
      </c>
    </row>
    <row r="18" spans="1:2">
      <c r="A18" s="58">
        <v>42011</v>
      </c>
      <c r="B18" s="56">
        <v>0</v>
      </c>
    </row>
    <row r="19" spans="1:2">
      <c r="A19" s="58">
        <v>42012</v>
      </c>
      <c r="B19" s="56">
        <v>0</v>
      </c>
    </row>
    <row r="20" spans="1:2">
      <c r="A20" s="58">
        <v>42013</v>
      </c>
      <c r="B20" s="56">
        <v>0.8</v>
      </c>
    </row>
    <row r="21" spans="1:2">
      <c r="A21" s="58">
        <v>42014</v>
      </c>
      <c r="B21" s="56">
        <v>0</v>
      </c>
    </row>
    <row r="22" spans="1:2">
      <c r="A22" s="58">
        <v>42015</v>
      </c>
      <c r="B22" s="56">
        <v>0</v>
      </c>
    </row>
    <row r="23" spans="1:2">
      <c r="A23" s="58">
        <v>42016</v>
      </c>
      <c r="B23" s="56">
        <v>0</v>
      </c>
    </row>
    <row r="24" spans="1:2">
      <c r="A24" s="58">
        <v>42017</v>
      </c>
      <c r="B24" s="56">
        <v>0</v>
      </c>
    </row>
    <row r="25" spans="1:2">
      <c r="A25" s="58">
        <v>42018</v>
      </c>
      <c r="B25" s="56">
        <v>0.4</v>
      </c>
    </row>
    <row r="26" spans="1:2">
      <c r="A26" s="58">
        <v>42019</v>
      </c>
      <c r="B26" s="56">
        <v>35.4</v>
      </c>
    </row>
    <row r="27" spans="1:2">
      <c r="A27" s="58">
        <v>42020</v>
      </c>
      <c r="B27" s="56">
        <v>6</v>
      </c>
    </row>
    <row r="28" spans="1:2">
      <c r="A28" s="58">
        <v>42021</v>
      </c>
      <c r="B28" s="56">
        <v>20.399999999999999</v>
      </c>
    </row>
    <row r="29" spans="1:2">
      <c r="A29" s="58">
        <v>42022</v>
      </c>
      <c r="B29" s="56">
        <v>16.600000000000001</v>
      </c>
    </row>
    <row r="30" spans="1:2">
      <c r="A30" s="58">
        <v>42023</v>
      </c>
      <c r="B30" s="56">
        <v>2.6</v>
      </c>
    </row>
    <row r="31" spans="1:2">
      <c r="A31" s="58">
        <v>42024</v>
      </c>
      <c r="B31" s="56">
        <v>0.4</v>
      </c>
    </row>
    <row r="32" spans="1:2">
      <c r="A32" s="58">
        <v>42025</v>
      </c>
      <c r="B32" s="56">
        <v>18.399999999999999</v>
      </c>
    </row>
    <row r="33" spans="1:2">
      <c r="A33" s="58">
        <v>42026</v>
      </c>
      <c r="B33" s="56">
        <v>14</v>
      </c>
    </row>
    <row r="34" spans="1:2">
      <c r="A34" s="58">
        <v>42027</v>
      </c>
      <c r="B34" s="56">
        <v>90.8</v>
      </c>
    </row>
    <row r="35" spans="1:2">
      <c r="A35" s="58">
        <v>42028</v>
      </c>
      <c r="B35" s="56">
        <v>40</v>
      </c>
    </row>
    <row r="36" spans="1:2">
      <c r="A36" s="58">
        <v>42029</v>
      </c>
      <c r="B36" s="56">
        <v>1.8</v>
      </c>
    </row>
    <row r="37" spans="1:2">
      <c r="A37" s="58">
        <v>42030</v>
      </c>
      <c r="B37" s="56">
        <v>2.8</v>
      </c>
    </row>
    <row r="38" spans="1:2">
      <c r="A38" s="58">
        <v>42031</v>
      </c>
      <c r="B38" s="56">
        <v>2.8</v>
      </c>
    </row>
    <row r="39" spans="1:2">
      <c r="A39" s="58">
        <v>42032</v>
      </c>
      <c r="B39" s="56">
        <v>0</v>
      </c>
    </row>
    <row r="40" spans="1:2">
      <c r="A40" s="58">
        <v>42033</v>
      </c>
      <c r="B40" s="56">
        <v>0</v>
      </c>
    </row>
    <row r="41" spans="1:2">
      <c r="A41" s="58">
        <v>42034</v>
      </c>
      <c r="B41" s="56">
        <v>0.6</v>
      </c>
    </row>
    <row r="42" spans="1:2">
      <c r="A42" s="58">
        <v>42035</v>
      </c>
      <c r="B42" s="56">
        <v>5.8</v>
      </c>
    </row>
    <row r="43" spans="1:2">
      <c r="A43" s="58">
        <v>42036</v>
      </c>
      <c r="B43" s="56">
        <v>8</v>
      </c>
    </row>
    <row r="44" spans="1:2">
      <c r="A44" s="58">
        <v>42037</v>
      </c>
      <c r="B44" s="56">
        <v>27</v>
      </c>
    </row>
    <row r="45" spans="1:2">
      <c r="A45" s="58">
        <v>42038</v>
      </c>
      <c r="B45" s="56">
        <v>0.6</v>
      </c>
    </row>
    <row r="46" spans="1:2">
      <c r="A46" s="58">
        <v>42039</v>
      </c>
      <c r="B46" s="56">
        <v>36</v>
      </c>
    </row>
    <row r="47" spans="1:2">
      <c r="A47" s="58">
        <v>42040</v>
      </c>
      <c r="B47" s="56">
        <v>27.2</v>
      </c>
    </row>
    <row r="48" spans="1:2">
      <c r="A48" s="58">
        <v>42041</v>
      </c>
      <c r="B48" s="56">
        <v>28.2</v>
      </c>
    </row>
    <row r="49" spans="1:2">
      <c r="A49" s="58">
        <v>42042</v>
      </c>
      <c r="B49" s="56">
        <v>39.200000000000003</v>
      </c>
    </row>
    <row r="50" spans="1:2">
      <c r="A50" s="58">
        <v>42043</v>
      </c>
      <c r="B50" s="56">
        <v>6.6</v>
      </c>
    </row>
    <row r="51" spans="1:2">
      <c r="A51" s="58">
        <v>42044</v>
      </c>
      <c r="B51" s="56">
        <v>3.2</v>
      </c>
    </row>
    <row r="52" spans="1:2">
      <c r="A52" s="58">
        <v>42045</v>
      </c>
      <c r="B52" s="56">
        <v>0.2</v>
      </c>
    </row>
    <row r="53" spans="1:2">
      <c r="A53" s="58">
        <v>42046</v>
      </c>
      <c r="B53" s="56">
        <v>19.600000000000001</v>
      </c>
    </row>
    <row r="54" spans="1:2">
      <c r="A54" s="58">
        <v>42047</v>
      </c>
      <c r="B54" s="56">
        <v>30.4</v>
      </c>
    </row>
    <row r="55" spans="1:2">
      <c r="A55" s="58">
        <v>42048</v>
      </c>
      <c r="B55" s="56">
        <v>19</v>
      </c>
    </row>
    <row r="56" spans="1:2">
      <c r="A56" s="58">
        <v>42049</v>
      </c>
      <c r="B56" s="56">
        <v>0.2</v>
      </c>
    </row>
    <row r="57" spans="1:2">
      <c r="A57" s="58">
        <v>42050</v>
      </c>
      <c r="B57" s="56">
        <v>0</v>
      </c>
    </row>
    <row r="58" spans="1:2">
      <c r="A58" s="58">
        <v>42051</v>
      </c>
      <c r="B58" s="56">
        <v>0</v>
      </c>
    </row>
    <row r="59" spans="1:2">
      <c r="A59" s="58">
        <v>42052</v>
      </c>
      <c r="B59" s="56">
        <v>0</v>
      </c>
    </row>
    <row r="60" spans="1:2">
      <c r="A60" s="58">
        <v>42053</v>
      </c>
      <c r="B60" s="56">
        <v>4</v>
      </c>
    </row>
    <row r="61" spans="1:2">
      <c r="A61" s="58">
        <v>42054</v>
      </c>
      <c r="B61" s="56">
        <v>11</v>
      </c>
    </row>
    <row r="62" spans="1:2">
      <c r="A62" s="58">
        <v>42055</v>
      </c>
      <c r="B62" s="56">
        <v>0.4</v>
      </c>
    </row>
    <row r="63" spans="1:2">
      <c r="A63" s="58">
        <v>42056</v>
      </c>
      <c r="B63" s="56">
        <v>0</v>
      </c>
    </row>
    <row r="64" spans="1:2">
      <c r="A64" s="58">
        <v>42057</v>
      </c>
      <c r="B64" s="56">
        <v>0</v>
      </c>
    </row>
    <row r="65" spans="1:2">
      <c r="A65" s="58">
        <v>42058</v>
      </c>
      <c r="B65" s="56">
        <v>0</v>
      </c>
    </row>
    <row r="66" spans="1:2">
      <c r="A66" s="58">
        <v>42059</v>
      </c>
      <c r="B66" s="56">
        <v>0.2</v>
      </c>
    </row>
    <row r="67" spans="1:2">
      <c r="A67" s="58">
        <v>42060</v>
      </c>
      <c r="B67" s="56">
        <v>4.5999999999999996</v>
      </c>
    </row>
    <row r="68" spans="1:2">
      <c r="A68" s="58">
        <v>42061</v>
      </c>
      <c r="B68" s="56">
        <v>8.8000000000000007</v>
      </c>
    </row>
    <row r="69" spans="1:2">
      <c r="A69" s="58">
        <v>42062</v>
      </c>
      <c r="B69" s="56">
        <v>0.4</v>
      </c>
    </row>
    <row r="70" spans="1:2">
      <c r="A70" s="58">
        <v>42063</v>
      </c>
      <c r="B70" s="56">
        <v>0</v>
      </c>
    </row>
    <row r="71" spans="1:2">
      <c r="A71" s="58">
        <v>42064</v>
      </c>
      <c r="B71" s="56">
        <v>1.2</v>
      </c>
    </row>
    <row r="72" spans="1:2">
      <c r="A72" s="58">
        <v>42065</v>
      </c>
      <c r="B72" s="56">
        <v>0</v>
      </c>
    </row>
    <row r="73" spans="1:2">
      <c r="A73" s="58">
        <v>42066</v>
      </c>
      <c r="B73" s="56">
        <v>0</v>
      </c>
    </row>
    <row r="74" spans="1:2">
      <c r="A74" s="58">
        <v>42067</v>
      </c>
      <c r="B74" s="56">
        <v>0.4</v>
      </c>
    </row>
    <row r="75" spans="1:2">
      <c r="A75" s="58">
        <v>42068</v>
      </c>
      <c r="B75" s="56">
        <v>1.8</v>
      </c>
    </row>
    <row r="76" spans="1:2">
      <c r="A76" s="58">
        <v>42069</v>
      </c>
      <c r="B76" s="56">
        <v>0.8</v>
      </c>
    </row>
    <row r="77" spans="1:2">
      <c r="A77" s="58">
        <v>42070</v>
      </c>
      <c r="B77" s="56">
        <v>0</v>
      </c>
    </row>
    <row r="78" spans="1:2">
      <c r="A78" s="58">
        <v>42071</v>
      </c>
      <c r="B78" s="56">
        <v>0.4</v>
      </c>
    </row>
    <row r="79" spans="1:2">
      <c r="A79" s="58">
        <v>42072</v>
      </c>
      <c r="B79" s="56">
        <v>0.4</v>
      </c>
    </row>
    <row r="80" spans="1:2">
      <c r="A80" s="58">
        <v>42073</v>
      </c>
      <c r="B80" s="56">
        <v>2.8</v>
      </c>
    </row>
    <row r="81" spans="1:2">
      <c r="A81" s="58">
        <v>42074</v>
      </c>
      <c r="B81" s="56">
        <v>13.6</v>
      </c>
    </row>
    <row r="82" spans="1:2">
      <c r="A82" s="58">
        <v>42075</v>
      </c>
      <c r="B82" s="56">
        <v>8.6</v>
      </c>
    </row>
    <row r="83" spans="1:2">
      <c r="A83" s="58">
        <v>42076</v>
      </c>
      <c r="B83" s="56">
        <v>17.399999999999999</v>
      </c>
    </row>
    <row r="84" spans="1:2">
      <c r="A84" s="58">
        <v>42077</v>
      </c>
      <c r="B84" s="56">
        <v>0.6</v>
      </c>
    </row>
    <row r="85" spans="1:2">
      <c r="A85" s="58">
        <v>42078</v>
      </c>
      <c r="B85" s="56">
        <v>0</v>
      </c>
    </row>
    <row r="86" spans="1:2">
      <c r="A86" s="58">
        <v>42079</v>
      </c>
      <c r="B86" s="56">
        <v>0</v>
      </c>
    </row>
    <row r="87" spans="1:2">
      <c r="A87" s="58">
        <v>42080</v>
      </c>
      <c r="B87" s="56">
        <v>0</v>
      </c>
    </row>
    <row r="88" spans="1:2">
      <c r="A88" s="58">
        <v>42081</v>
      </c>
      <c r="B88" s="56">
        <v>31</v>
      </c>
    </row>
    <row r="89" spans="1:2">
      <c r="A89" s="58">
        <v>42082</v>
      </c>
      <c r="B89" s="56">
        <v>35.4</v>
      </c>
    </row>
    <row r="90" spans="1:2">
      <c r="A90" s="58">
        <v>42083</v>
      </c>
      <c r="B90" s="56">
        <v>28.6</v>
      </c>
    </row>
    <row r="91" spans="1:2">
      <c r="A91" s="58">
        <v>42084</v>
      </c>
      <c r="B91" s="56">
        <v>0</v>
      </c>
    </row>
    <row r="92" spans="1:2">
      <c r="A92" s="58">
        <v>42085</v>
      </c>
      <c r="B92" s="56">
        <v>7</v>
      </c>
    </row>
    <row r="93" spans="1:2">
      <c r="A93" s="58">
        <v>42086</v>
      </c>
      <c r="B93" s="56">
        <v>9.6</v>
      </c>
    </row>
    <row r="94" spans="1:2">
      <c r="A94" s="58">
        <v>42087</v>
      </c>
      <c r="B94" s="56">
        <v>18.2</v>
      </c>
    </row>
    <row r="95" spans="1:2">
      <c r="A95" s="58">
        <v>42088</v>
      </c>
      <c r="B95" s="56">
        <v>104.4</v>
      </c>
    </row>
    <row r="96" spans="1:2">
      <c r="A96" s="58">
        <v>42089</v>
      </c>
      <c r="B96" s="56">
        <v>33.200000000000003</v>
      </c>
    </row>
    <row r="97" spans="1:2">
      <c r="A97" s="58">
        <v>42090</v>
      </c>
      <c r="B97" s="56">
        <v>26.2</v>
      </c>
    </row>
    <row r="98" spans="1:2">
      <c r="A98" s="58">
        <v>42091</v>
      </c>
      <c r="B98" s="56">
        <v>68.8</v>
      </c>
    </row>
    <row r="99" spans="1:2">
      <c r="A99" s="58">
        <v>42092</v>
      </c>
      <c r="B99" s="56">
        <v>10</v>
      </c>
    </row>
    <row r="100" spans="1:2">
      <c r="A100" s="58">
        <v>42093</v>
      </c>
      <c r="B100" s="56">
        <v>37.700000000000003</v>
      </c>
    </row>
    <row r="101" spans="1:2">
      <c r="A101" s="58">
        <v>42094</v>
      </c>
      <c r="B101" s="56">
        <v>11.6</v>
      </c>
    </row>
    <row r="102" spans="1:2">
      <c r="A102" s="58">
        <v>42095</v>
      </c>
      <c r="B102" s="56">
        <v>0</v>
      </c>
    </row>
    <row r="103" spans="1:2">
      <c r="A103" s="58">
        <v>42096</v>
      </c>
      <c r="B103" s="56">
        <v>33.700000000000003</v>
      </c>
    </row>
    <row r="104" spans="1:2">
      <c r="A104" s="58">
        <v>42097</v>
      </c>
      <c r="B104" s="56">
        <v>9</v>
      </c>
    </row>
    <row r="105" spans="1:2">
      <c r="A105" s="58">
        <v>42098</v>
      </c>
      <c r="B105" s="56">
        <v>8.4</v>
      </c>
    </row>
    <row r="106" spans="1:2">
      <c r="A106" s="58">
        <v>42099</v>
      </c>
      <c r="B106" s="56">
        <v>0.6</v>
      </c>
    </row>
    <row r="107" spans="1:2">
      <c r="A107" s="58">
        <v>42100</v>
      </c>
      <c r="B107" s="56">
        <v>0</v>
      </c>
    </row>
    <row r="108" spans="1:2">
      <c r="A108" s="58">
        <v>42101</v>
      </c>
      <c r="B108" s="56">
        <v>0</v>
      </c>
    </row>
    <row r="109" spans="1:2">
      <c r="A109" s="58">
        <v>42102</v>
      </c>
      <c r="B109" s="56">
        <v>0</v>
      </c>
    </row>
    <row r="110" spans="1:2">
      <c r="A110" s="58">
        <v>42103</v>
      </c>
      <c r="B110" s="56">
        <v>3.2</v>
      </c>
    </row>
    <row r="111" spans="1:2">
      <c r="A111" s="58">
        <v>42104</v>
      </c>
      <c r="B111" s="56">
        <v>40.200000000000003</v>
      </c>
    </row>
    <row r="112" spans="1:2">
      <c r="A112" s="58">
        <v>42105</v>
      </c>
      <c r="B112" s="56">
        <v>9.1999999999999993</v>
      </c>
    </row>
    <row r="113" spans="1:2">
      <c r="A113" s="58">
        <v>42106</v>
      </c>
      <c r="B113" s="56">
        <v>24.4</v>
      </c>
    </row>
    <row r="114" spans="1:2">
      <c r="A114" s="58">
        <v>42107</v>
      </c>
      <c r="B114" s="56">
        <v>16.2</v>
      </c>
    </row>
    <row r="115" spans="1:2">
      <c r="A115" s="58">
        <v>42108</v>
      </c>
      <c r="B115" s="56">
        <v>1.5</v>
      </c>
    </row>
    <row r="116" spans="1:2">
      <c r="A116" s="58">
        <v>42109</v>
      </c>
      <c r="B116" s="56">
        <v>37.200000000000003</v>
      </c>
    </row>
    <row r="117" spans="1:2">
      <c r="A117" s="58">
        <v>42110</v>
      </c>
      <c r="B117" s="56">
        <v>3</v>
      </c>
    </row>
    <row r="118" spans="1:2">
      <c r="A118" s="58">
        <v>42111</v>
      </c>
      <c r="B118" s="56">
        <v>0</v>
      </c>
    </row>
    <row r="119" spans="1:2">
      <c r="A119" s="58">
        <v>42112</v>
      </c>
      <c r="B119" s="56">
        <v>0</v>
      </c>
    </row>
    <row r="120" spans="1:2">
      <c r="A120" s="58">
        <v>42113</v>
      </c>
      <c r="B120" s="56">
        <v>0</v>
      </c>
    </row>
    <row r="121" spans="1:2">
      <c r="A121" s="58">
        <v>42114</v>
      </c>
      <c r="B121" s="56">
        <v>1.1000000000000001</v>
      </c>
    </row>
    <row r="122" spans="1:2">
      <c r="A122" s="58">
        <v>42115</v>
      </c>
      <c r="B122" s="56">
        <v>0.4</v>
      </c>
    </row>
    <row r="123" spans="1:2">
      <c r="A123" s="58">
        <v>42116</v>
      </c>
      <c r="B123" s="56">
        <v>8.1999999999999993</v>
      </c>
    </row>
    <row r="124" spans="1:2">
      <c r="A124" s="58">
        <v>42117</v>
      </c>
      <c r="B124" s="56">
        <v>8.4</v>
      </c>
    </row>
    <row r="125" spans="1:2">
      <c r="A125" s="58">
        <v>42118</v>
      </c>
      <c r="B125" s="56">
        <v>1.8</v>
      </c>
    </row>
    <row r="126" spans="1:2">
      <c r="A126" s="58">
        <v>42119</v>
      </c>
      <c r="B126" s="56">
        <v>0</v>
      </c>
    </row>
    <row r="127" spans="1:2">
      <c r="A127" s="58">
        <v>42120</v>
      </c>
      <c r="B127" s="56">
        <v>4.2</v>
      </c>
    </row>
    <row r="128" spans="1:2">
      <c r="A128" s="58">
        <v>42121</v>
      </c>
      <c r="B128" s="56">
        <v>22.4</v>
      </c>
    </row>
    <row r="129" spans="1:2">
      <c r="A129" s="58">
        <v>42122</v>
      </c>
      <c r="B129" s="56">
        <v>15.4</v>
      </c>
    </row>
    <row r="130" spans="1:2">
      <c r="A130" s="58">
        <v>42123</v>
      </c>
      <c r="B130" s="56">
        <v>27.6</v>
      </c>
    </row>
    <row r="131" spans="1:2">
      <c r="A131" s="58">
        <v>42124</v>
      </c>
      <c r="B131" s="56">
        <v>4.8</v>
      </c>
    </row>
    <row r="132" spans="1:2">
      <c r="A132" s="58">
        <v>42125</v>
      </c>
      <c r="B132" s="56">
        <v>0.8</v>
      </c>
    </row>
    <row r="133" spans="1:2">
      <c r="A133" s="58">
        <v>42126</v>
      </c>
      <c r="B133" s="56">
        <v>0</v>
      </c>
    </row>
    <row r="134" spans="1:2">
      <c r="A134" s="58">
        <v>42127</v>
      </c>
      <c r="B134" s="56">
        <v>0</v>
      </c>
    </row>
    <row r="135" spans="1:2">
      <c r="A135" s="58">
        <v>42128</v>
      </c>
      <c r="B135" s="56">
        <v>19.8</v>
      </c>
    </row>
    <row r="136" spans="1:2">
      <c r="A136" s="58">
        <v>42129</v>
      </c>
      <c r="B136" s="56">
        <v>0.4</v>
      </c>
    </row>
    <row r="137" spans="1:2">
      <c r="A137" s="58">
        <v>42130</v>
      </c>
      <c r="B137" s="56">
        <v>0</v>
      </c>
    </row>
    <row r="138" spans="1:2">
      <c r="A138" s="58">
        <v>42131</v>
      </c>
      <c r="B138" s="56">
        <v>0</v>
      </c>
    </row>
    <row r="139" spans="1:2">
      <c r="A139" s="58">
        <v>42132</v>
      </c>
      <c r="B139" s="56">
        <v>0</v>
      </c>
    </row>
    <row r="140" spans="1:2">
      <c r="A140" s="58">
        <v>42133</v>
      </c>
      <c r="B140" s="56">
        <v>0</v>
      </c>
    </row>
    <row r="141" spans="1:2">
      <c r="A141" s="58">
        <v>42134</v>
      </c>
      <c r="B141" s="56">
        <v>0.4</v>
      </c>
    </row>
    <row r="142" spans="1:2">
      <c r="A142" s="58">
        <v>42135</v>
      </c>
      <c r="B142" s="56">
        <v>0</v>
      </c>
    </row>
    <row r="143" spans="1:2">
      <c r="A143" s="58">
        <v>42136</v>
      </c>
      <c r="B143" s="56">
        <v>0</v>
      </c>
    </row>
    <row r="144" spans="1:2">
      <c r="A144" s="58">
        <v>42137</v>
      </c>
      <c r="B144" s="56">
        <v>0</v>
      </c>
    </row>
    <row r="145" spans="1:2">
      <c r="A145" s="58">
        <v>42138</v>
      </c>
      <c r="B145" s="56">
        <v>0</v>
      </c>
    </row>
    <row r="146" spans="1:2">
      <c r="A146" s="58">
        <v>42139</v>
      </c>
      <c r="B146" s="56">
        <v>0</v>
      </c>
    </row>
    <row r="147" spans="1:2">
      <c r="A147" s="58">
        <v>42140</v>
      </c>
      <c r="B147" s="56">
        <v>0.2</v>
      </c>
    </row>
    <row r="148" spans="1:2">
      <c r="A148" s="58">
        <v>42141</v>
      </c>
      <c r="B148" s="56">
        <v>0</v>
      </c>
    </row>
    <row r="149" spans="1:2">
      <c r="A149" s="58">
        <v>42142</v>
      </c>
      <c r="B149" s="56">
        <v>0</v>
      </c>
    </row>
    <row r="150" spans="1:2">
      <c r="A150" s="58">
        <v>42143</v>
      </c>
      <c r="B150" s="56">
        <v>0</v>
      </c>
    </row>
    <row r="151" spans="1:2">
      <c r="A151" s="58">
        <v>42144</v>
      </c>
      <c r="B151" s="56">
        <v>0</v>
      </c>
    </row>
    <row r="152" spans="1:2">
      <c r="A152" s="58">
        <v>42145</v>
      </c>
      <c r="B152" s="56">
        <v>0</v>
      </c>
    </row>
    <row r="153" spans="1:2">
      <c r="A153" s="58">
        <v>42146</v>
      </c>
      <c r="B153" s="56">
        <v>0.2</v>
      </c>
    </row>
    <row r="154" spans="1:2">
      <c r="A154" s="58">
        <v>42147</v>
      </c>
      <c r="B154" s="56">
        <v>0.2</v>
      </c>
    </row>
    <row r="155" spans="1:2">
      <c r="A155" s="58">
        <v>42148</v>
      </c>
      <c r="B155" s="56">
        <v>0</v>
      </c>
    </row>
    <row r="156" spans="1:2">
      <c r="A156" s="58">
        <v>42149</v>
      </c>
      <c r="B156" s="56">
        <v>0</v>
      </c>
    </row>
    <row r="157" spans="1:2">
      <c r="A157" s="58">
        <v>42150</v>
      </c>
      <c r="B157" s="56">
        <v>0</v>
      </c>
    </row>
    <row r="158" spans="1:2">
      <c r="A158" s="58">
        <v>42151</v>
      </c>
      <c r="B158" s="56">
        <v>0</v>
      </c>
    </row>
    <row r="159" spans="1:2">
      <c r="A159" s="58">
        <v>42152</v>
      </c>
      <c r="B159" s="56">
        <v>0</v>
      </c>
    </row>
    <row r="160" spans="1:2">
      <c r="A160" s="58">
        <v>42153</v>
      </c>
      <c r="B160" s="56">
        <v>0</v>
      </c>
    </row>
    <row r="161" spans="1:2">
      <c r="A161" s="58">
        <v>42154</v>
      </c>
      <c r="B161" s="56">
        <v>0</v>
      </c>
    </row>
    <row r="162" spans="1:2">
      <c r="A162" s="58">
        <v>42155</v>
      </c>
      <c r="B162" s="56">
        <v>0</v>
      </c>
    </row>
    <row r="163" spans="1:2">
      <c r="A163" s="58">
        <v>42156</v>
      </c>
      <c r="B163" s="56">
        <v>7.4</v>
      </c>
    </row>
    <row r="164" spans="1:2">
      <c r="A164" s="58">
        <v>42157</v>
      </c>
      <c r="B164" s="56">
        <v>2.8</v>
      </c>
    </row>
    <row r="165" spans="1:2">
      <c r="A165" s="58">
        <v>42158</v>
      </c>
      <c r="B165" s="56">
        <v>0</v>
      </c>
    </row>
    <row r="166" spans="1:2">
      <c r="A166" s="58">
        <v>42159</v>
      </c>
      <c r="B166" s="56">
        <v>0</v>
      </c>
    </row>
    <row r="167" spans="1:2">
      <c r="A167" s="58">
        <v>42160</v>
      </c>
      <c r="B167" s="56">
        <v>0</v>
      </c>
    </row>
    <row r="168" spans="1:2">
      <c r="A168" s="58">
        <v>42161</v>
      </c>
      <c r="B168" s="56">
        <v>0</v>
      </c>
    </row>
    <row r="169" spans="1:2">
      <c r="A169" s="58">
        <v>42162</v>
      </c>
      <c r="B169" s="56">
        <v>0</v>
      </c>
    </row>
    <row r="170" spans="1:2">
      <c r="A170" s="58">
        <v>42163</v>
      </c>
      <c r="B170" s="56">
        <v>0</v>
      </c>
    </row>
    <row r="171" spans="1:2">
      <c r="A171" s="58">
        <v>42164</v>
      </c>
      <c r="B171" s="56">
        <v>0</v>
      </c>
    </row>
    <row r="172" spans="1:2">
      <c r="A172" s="58">
        <v>42165</v>
      </c>
      <c r="B172" s="56">
        <v>0</v>
      </c>
    </row>
    <row r="173" spans="1:2">
      <c r="A173" s="58">
        <v>42166</v>
      </c>
      <c r="B173" s="56">
        <v>0</v>
      </c>
    </row>
    <row r="174" spans="1:2">
      <c r="A174" s="58">
        <v>42167</v>
      </c>
      <c r="B174" s="56">
        <v>0</v>
      </c>
    </row>
    <row r="175" spans="1:2">
      <c r="A175" s="58">
        <v>42168</v>
      </c>
      <c r="B175" s="56">
        <v>0</v>
      </c>
    </row>
    <row r="176" spans="1:2">
      <c r="A176" s="58">
        <v>42169</v>
      </c>
      <c r="B176" s="56">
        <v>0</v>
      </c>
    </row>
    <row r="177" spans="1:2">
      <c r="A177" s="58">
        <v>42170</v>
      </c>
      <c r="B177" s="56">
        <v>0</v>
      </c>
    </row>
    <row r="178" spans="1:2">
      <c r="A178" s="58">
        <v>42171</v>
      </c>
      <c r="B178" s="56">
        <v>0</v>
      </c>
    </row>
    <row r="179" spans="1:2">
      <c r="A179" s="58">
        <v>42172</v>
      </c>
      <c r="B179" s="56">
        <v>0</v>
      </c>
    </row>
    <row r="180" spans="1:2">
      <c r="A180" s="58">
        <v>42173</v>
      </c>
      <c r="B180" s="56">
        <v>7</v>
      </c>
    </row>
    <row r="181" spans="1:2">
      <c r="A181" s="58">
        <v>42174</v>
      </c>
      <c r="B181" s="56">
        <v>0</v>
      </c>
    </row>
    <row r="182" spans="1:2">
      <c r="A182" s="58">
        <v>42175</v>
      </c>
      <c r="B182" s="56">
        <v>0</v>
      </c>
    </row>
    <row r="183" spans="1:2">
      <c r="A183" s="58">
        <v>42176</v>
      </c>
      <c r="B183" s="56">
        <v>0</v>
      </c>
    </row>
    <row r="184" spans="1:2">
      <c r="A184" s="58">
        <v>42177</v>
      </c>
      <c r="B184" s="56">
        <v>0</v>
      </c>
    </row>
    <row r="185" spans="1:2">
      <c r="A185" s="58">
        <v>42178</v>
      </c>
      <c r="B185" s="56">
        <v>1.4</v>
      </c>
    </row>
    <row r="186" spans="1:2">
      <c r="A186" s="58">
        <v>42179</v>
      </c>
      <c r="B186" s="56">
        <v>13.4</v>
      </c>
    </row>
    <row r="187" spans="1:2">
      <c r="A187" s="58">
        <v>42180</v>
      </c>
      <c r="B187" s="56">
        <v>4</v>
      </c>
    </row>
    <row r="188" spans="1:2">
      <c r="A188" s="58">
        <v>42181</v>
      </c>
      <c r="B188" s="56">
        <v>0</v>
      </c>
    </row>
    <row r="189" spans="1:2">
      <c r="A189" s="58">
        <v>42182</v>
      </c>
      <c r="B189" s="56">
        <v>0</v>
      </c>
    </row>
    <row r="190" spans="1:2">
      <c r="A190" s="58">
        <v>42183</v>
      </c>
      <c r="B190" s="56">
        <v>0</v>
      </c>
    </row>
    <row r="191" spans="1:2">
      <c r="A191" s="58">
        <v>42184</v>
      </c>
      <c r="B191" s="56">
        <v>0</v>
      </c>
    </row>
    <row r="192" spans="1:2">
      <c r="A192" s="58">
        <v>42185</v>
      </c>
      <c r="B192" s="56">
        <v>0</v>
      </c>
    </row>
    <row r="193" spans="1:2">
      <c r="A193" s="58">
        <v>42186</v>
      </c>
      <c r="B193" s="56">
        <v>0</v>
      </c>
    </row>
    <row r="194" spans="1:2">
      <c r="A194" s="58">
        <v>42187</v>
      </c>
      <c r="B194" s="56">
        <v>0</v>
      </c>
    </row>
    <row r="195" spans="1:2">
      <c r="A195" s="58">
        <v>42188</v>
      </c>
      <c r="B195" s="56">
        <v>0</v>
      </c>
    </row>
    <row r="196" spans="1:2">
      <c r="A196" s="58">
        <v>42189</v>
      </c>
      <c r="B196" s="56">
        <v>0</v>
      </c>
    </row>
    <row r="197" spans="1:2">
      <c r="A197" s="58">
        <v>42190</v>
      </c>
      <c r="B197" s="56">
        <v>0</v>
      </c>
    </row>
    <row r="198" spans="1:2">
      <c r="A198" s="58">
        <v>42191</v>
      </c>
      <c r="B198" s="56">
        <v>0</v>
      </c>
    </row>
    <row r="199" spans="1:2">
      <c r="A199" s="58">
        <v>42192</v>
      </c>
      <c r="B199" s="56">
        <v>0.2</v>
      </c>
    </row>
    <row r="200" spans="1:2">
      <c r="A200" s="58">
        <v>42193</v>
      </c>
      <c r="B200" s="56">
        <v>0</v>
      </c>
    </row>
    <row r="201" spans="1:2">
      <c r="A201" s="58">
        <v>42194</v>
      </c>
      <c r="B201" s="56">
        <v>1</v>
      </c>
    </row>
    <row r="202" spans="1:2">
      <c r="A202" s="58">
        <v>42195</v>
      </c>
      <c r="B202" s="56">
        <v>1.2</v>
      </c>
    </row>
    <row r="203" spans="1:2">
      <c r="A203" s="58">
        <v>42196</v>
      </c>
      <c r="B203" s="56">
        <v>2.4</v>
      </c>
    </row>
    <row r="204" spans="1:2">
      <c r="A204" s="58">
        <v>42197</v>
      </c>
      <c r="B204" s="56">
        <v>4</v>
      </c>
    </row>
    <row r="205" spans="1:2">
      <c r="A205" s="58">
        <v>42198</v>
      </c>
      <c r="B205" s="56">
        <v>0</v>
      </c>
    </row>
    <row r="206" spans="1:2">
      <c r="A206" s="58">
        <v>42199</v>
      </c>
      <c r="B206" s="56">
        <v>0</v>
      </c>
    </row>
    <row r="207" spans="1:2">
      <c r="A207" s="58">
        <v>42200</v>
      </c>
      <c r="B207" s="56">
        <v>0</v>
      </c>
    </row>
    <row r="208" spans="1:2">
      <c r="A208" s="58">
        <v>42201</v>
      </c>
      <c r="B208" s="56">
        <v>0</v>
      </c>
    </row>
    <row r="209" spans="1:2">
      <c r="A209" s="58">
        <v>42202</v>
      </c>
      <c r="B209" s="56">
        <v>0</v>
      </c>
    </row>
    <row r="210" spans="1:2">
      <c r="A210" s="58">
        <v>42203</v>
      </c>
      <c r="B210" s="56">
        <v>0</v>
      </c>
    </row>
    <row r="211" spans="1:2">
      <c r="A211" s="58">
        <v>42204</v>
      </c>
      <c r="B211" s="56">
        <v>0</v>
      </c>
    </row>
    <row r="212" spans="1:2">
      <c r="A212" s="58">
        <v>42205</v>
      </c>
      <c r="B212" s="56">
        <v>0.6</v>
      </c>
    </row>
    <row r="213" spans="1:2">
      <c r="A213" s="58">
        <v>42206</v>
      </c>
      <c r="B213" s="56">
        <v>0</v>
      </c>
    </row>
    <row r="214" spans="1:2">
      <c r="A214" s="58">
        <v>42207</v>
      </c>
      <c r="B214" s="56">
        <v>0</v>
      </c>
    </row>
    <row r="215" spans="1:2">
      <c r="A215" s="58">
        <v>42208</v>
      </c>
      <c r="B215" s="56">
        <v>8.4</v>
      </c>
    </row>
    <row r="216" spans="1:2">
      <c r="A216" s="58">
        <v>42209</v>
      </c>
      <c r="B216" s="56">
        <v>4</v>
      </c>
    </row>
    <row r="217" spans="1:2">
      <c r="A217" s="58">
        <v>42210</v>
      </c>
      <c r="B217" s="56">
        <v>4.2</v>
      </c>
    </row>
    <row r="218" spans="1:2">
      <c r="A218" s="58">
        <v>42211</v>
      </c>
      <c r="B218" s="56">
        <v>0</v>
      </c>
    </row>
    <row r="219" spans="1:2">
      <c r="A219" s="58">
        <v>42212</v>
      </c>
      <c r="B219" s="56">
        <v>0</v>
      </c>
    </row>
    <row r="220" spans="1:2">
      <c r="A220" s="58">
        <v>42213</v>
      </c>
      <c r="B220" s="56">
        <v>0</v>
      </c>
    </row>
    <row r="221" spans="1:2">
      <c r="A221" s="58">
        <v>42214</v>
      </c>
      <c r="B221" s="56">
        <v>0</v>
      </c>
    </row>
    <row r="222" spans="1:2">
      <c r="A222" s="58">
        <v>42215</v>
      </c>
      <c r="B222" s="56">
        <v>0</v>
      </c>
    </row>
    <row r="223" spans="1:2">
      <c r="A223" s="58">
        <v>42216</v>
      </c>
      <c r="B223" s="56">
        <v>0</v>
      </c>
    </row>
    <row r="224" spans="1:2">
      <c r="A224" s="58">
        <v>42217</v>
      </c>
      <c r="B224" s="56">
        <v>0</v>
      </c>
    </row>
    <row r="225" spans="1:2">
      <c r="A225" s="58">
        <v>42218</v>
      </c>
      <c r="B225" s="56">
        <v>0</v>
      </c>
    </row>
    <row r="226" spans="1:2">
      <c r="A226" s="58">
        <v>42219</v>
      </c>
      <c r="B226" s="56">
        <v>0</v>
      </c>
    </row>
    <row r="227" spans="1:2">
      <c r="A227" s="58">
        <v>42220</v>
      </c>
      <c r="B227" s="56">
        <v>0</v>
      </c>
    </row>
    <row r="228" spans="1:2">
      <c r="A228" s="58">
        <v>42221</v>
      </c>
      <c r="B228" s="56">
        <v>0</v>
      </c>
    </row>
    <row r="229" spans="1:2">
      <c r="A229" s="58">
        <v>42222</v>
      </c>
      <c r="B229" s="56">
        <v>3.2</v>
      </c>
    </row>
    <row r="230" spans="1:2">
      <c r="A230" s="58">
        <v>42223</v>
      </c>
      <c r="B230" s="56">
        <v>14.6</v>
      </c>
    </row>
    <row r="231" spans="1:2">
      <c r="A231" s="58">
        <v>42224</v>
      </c>
      <c r="B231" s="56">
        <v>24.4</v>
      </c>
    </row>
    <row r="232" spans="1:2">
      <c r="A232" s="58">
        <v>42225</v>
      </c>
      <c r="B232" s="56">
        <v>1.8</v>
      </c>
    </row>
    <row r="233" spans="1:2">
      <c r="A233" s="58">
        <v>42226</v>
      </c>
      <c r="B233" s="56">
        <v>0</v>
      </c>
    </row>
    <row r="234" spans="1:2">
      <c r="A234" s="58">
        <v>42227</v>
      </c>
      <c r="B234" s="56">
        <v>0</v>
      </c>
    </row>
    <row r="235" spans="1:2">
      <c r="A235" s="58">
        <v>42228</v>
      </c>
      <c r="B235" s="56">
        <v>0</v>
      </c>
    </row>
    <row r="236" spans="1:2">
      <c r="A236" s="58">
        <v>42229</v>
      </c>
      <c r="B236" s="56">
        <v>0</v>
      </c>
    </row>
    <row r="237" spans="1:2">
      <c r="A237" s="58">
        <v>42230</v>
      </c>
      <c r="B237" s="56">
        <v>0</v>
      </c>
    </row>
    <row r="238" spans="1:2">
      <c r="A238" s="58">
        <v>42231</v>
      </c>
      <c r="B238" s="56">
        <v>0</v>
      </c>
    </row>
    <row r="239" spans="1:2">
      <c r="A239" s="58">
        <v>42232</v>
      </c>
      <c r="B239" s="56">
        <v>0</v>
      </c>
    </row>
    <row r="240" spans="1:2">
      <c r="A240" s="58">
        <v>42233</v>
      </c>
      <c r="B240" s="56">
        <v>0</v>
      </c>
    </row>
    <row r="241" spans="1:2">
      <c r="A241" s="58">
        <v>42234</v>
      </c>
      <c r="B241" s="56">
        <v>0</v>
      </c>
    </row>
    <row r="242" spans="1:2">
      <c r="A242" s="58">
        <v>42235</v>
      </c>
      <c r="B242" s="56">
        <v>0</v>
      </c>
    </row>
    <row r="243" spans="1:2">
      <c r="A243" s="58">
        <v>42236</v>
      </c>
      <c r="B243" s="56">
        <v>0</v>
      </c>
    </row>
    <row r="244" spans="1:2">
      <c r="A244" s="58">
        <v>42237</v>
      </c>
      <c r="B244" s="56">
        <v>0</v>
      </c>
    </row>
    <row r="245" spans="1:2">
      <c r="A245" s="58">
        <v>42238</v>
      </c>
      <c r="B245" s="56">
        <v>0</v>
      </c>
    </row>
    <row r="246" spans="1:2">
      <c r="A246" s="58">
        <v>42239</v>
      </c>
      <c r="B246" s="56">
        <v>0</v>
      </c>
    </row>
    <row r="247" spans="1:2">
      <c r="A247" s="58">
        <v>42240</v>
      </c>
      <c r="B247" s="56">
        <v>0</v>
      </c>
    </row>
    <row r="248" spans="1:2">
      <c r="A248" s="58">
        <v>42241</v>
      </c>
      <c r="B248" s="56">
        <v>0</v>
      </c>
    </row>
    <row r="249" spans="1:2">
      <c r="A249" s="58">
        <v>42242</v>
      </c>
      <c r="B249" s="56">
        <v>0</v>
      </c>
    </row>
    <row r="250" spans="1:2">
      <c r="A250" s="58">
        <v>42243</v>
      </c>
      <c r="B250" s="56">
        <v>2.8</v>
      </c>
    </row>
    <row r="251" spans="1:2">
      <c r="A251" s="58">
        <v>42244</v>
      </c>
      <c r="B251" s="56">
        <v>10.4</v>
      </c>
    </row>
    <row r="252" spans="1:2">
      <c r="A252" s="58">
        <v>42245</v>
      </c>
      <c r="B252" s="56">
        <v>33.4</v>
      </c>
    </row>
    <row r="253" spans="1:2">
      <c r="A253" s="58">
        <v>42246</v>
      </c>
      <c r="B253" s="56">
        <v>26</v>
      </c>
    </row>
    <row r="254" spans="1:2">
      <c r="A254" s="58">
        <v>42247</v>
      </c>
      <c r="B254" s="56">
        <v>6</v>
      </c>
    </row>
    <row r="255" spans="1:2">
      <c r="A255" s="58">
        <v>42248</v>
      </c>
      <c r="B255" s="56">
        <v>15.8</v>
      </c>
    </row>
    <row r="256" spans="1:2">
      <c r="A256" s="58">
        <v>42249</v>
      </c>
      <c r="B256" s="56">
        <v>0.8</v>
      </c>
    </row>
    <row r="257" spans="1:2">
      <c r="A257" s="58">
        <v>42250</v>
      </c>
      <c r="B257" s="56">
        <v>2.4</v>
      </c>
    </row>
    <row r="258" spans="1:2">
      <c r="A258" s="58">
        <v>42251</v>
      </c>
      <c r="B258" s="56">
        <v>0</v>
      </c>
    </row>
    <row r="259" spans="1:2">
      <c r="A259" s="58">
        <v>42252</v>
      </c>
      <c r="B259" s="56">
        <v>1.6</v>
      </c>
    </row>
    <row r="260" spans="1:2">
      <c r="A260" s="58">
        <v>42253</v>
      </c>
      <c r="B260" s="56">
        <v>0</v>
      </c>
    </row>
    <row r="261" spans="1:2">
      <c r="A261" s="58">
        <v>42254</v>
      </c>
      <c r="B261" s="56">
        <v>29.6</v>
      </c>
    </row>
    <row r="262" spans="1:2">
      <c r="A262" s="58">
        <v>42255</v>
      </c>
      <c r="B262" s="56">
        <v>13</v>
      </c>
    </row>
    <row r="263" spans="1:2">
      <c r="A263" s="58">
        <v>42256</v>
      </c>
      <c r="B263" s="56">
        <v>1.4</v>
      </c>
    </row>
    <row r="264" spans="1:2">
      <c r="A264" s="58">
        <v>42257</v>
      </c>
      <c r="B264" s="56">
        <v>0</v>
      </c>
    </row>
    <row r="265" spans="1:2">
      <c r="A265" s="58">
        <v>42258</v>
      </c>
      <c r="B265" s="56">
        <v>0</v>
      </c>
    </row>
    <row r="266" spans="1:2">
      <c r="A266" s="58">
        <v>42259</v>
      </c>
      <c r="B266" s="56">
        <v>0</v>
      </c>
    </row>
    <row r="267" spans="1:2">
      <c r="A267" s="58">
        <v>42260</v>
      </c>
      <c r="B267" s="56">
        <v>0</v>
      </c>
    </row>
    <row r="268" spans="1:2">
      <c r="A268" s="58">
        <v>42261</v>
      </c>
      <c r="B268" s="56">
        <v>0</v>
      </c>
    </row>
    <row r="269" spans="1:2">
      <c r="A269" s="58">
        <v>42262</v>
      </c>
      <c r="B269" s="56">
        <v>2</v>
      </c>
    </row>
    <row r="270" spans="1:2">
      <c r="A270" s="58">
        <v>42263</v>
      </c>
      <c r="B270" s="56">
        <v>4</v>
      </c>
    </row>
    <row r="271" spans="1:2">
      <c r="A271" s="58">
        <v>42264</v>
      </c>
      <c r="B271" s="56">
        <v>2.8</v>
      </c>
    </row>
    <row r="272" spans="1:2">
      <c r="A272" s="58">
        <v>42265</v>
      </c>
      <c r="B272" s="56">
        <v>46.4</v>
      </c>
    </row>
    <row r="273" spans="1:2">
      <c r="A273" s="58">
        <v>42266</v>
      </c>
      <c r="B273" s="56">
        <v>86.8</v>
      </c>
    </row>
    <row r="274" spans="1:2">
      <c r="A274" s="58">
        <v>42267</v>
      </c>
      <c r="B274" s="56">
        <v>1.4</v>
      </c>
    </row>
    <row r="275" spans="1:2">
      <c r="A275" s="58">
        <v>42268</v>
      </c>
      <c r="B275" s="56">
        <v>4.2</v>
      </c>
    </row>
    <row r="276" spans="1:2">
      <c r="A276" s="58">
        <v>42269</v>
      </c>
      <c r="B276" s="56">
        <v>39.799999999999997</v>
      </c>
    </row>
    <row r="277" spans="1:2">
      <c r="A277" s="58">
        <v>42270</v>
      </c>
      <c r="B277" s="56">
        <v>29.8</v>
      </c>
    </row>
    <row r="278" spans="1:2">
      <c r="A278" s="58">
        <v>42271</v>
      </c>
      <c r="B278" s="56">
        <v>11.8</v>
      </c>
    </row>
    <row r="279" spans="1:2">
      <c r="A279" s="58">
        <v>42272</v>
      </c>
      <c r="B279" s="56">
        <v>1.6</v>
      </c>
    </row>
    <row r="280" spans="1:2">
      <c r="A280" s="58">
        <v>42273</v>
      </c>
      <c r="B280" s="56">
        <v>0</v>
      </c>
    </row>
    <row r="281" spans="1:2">
      <c r="A281" s="58">
        <v>42274</v>
      </c>
      <c r="B281" s="56">
        <v>0</v>
      </c>
    </row>
    <row r="282" spans="1:2">
      <c r="A282" s="58">
        <v>42275</v>
      </c>
      <c r="B282" s="56">
        <v>0</v>
      </c>
    </row>
    <row r="283" spans="1:2">
      <c r="A283" s="58">
        <v>42276</v>
      </c>
      <c r="B283" s="56">
        <v>0</v>
      </c>
    </row>
    <row r="284" spans="1:2">
      <c r="A284" s="58">
        <v>42277</v>
      </c>
      <c r="B284" s="56">
        <v>0</v>
      </c>
    </row>
    <row r="285" spans="1:2">
      <c r="A285" s="58">
        <v>42278</v>
      </c>
      <c r="B285" s="56">
        <v>0</v>
      </c>
    </row>
    <row r="286" spans="1:2">
      <c r="A286" s="58">
        <v>42279</v>
      </c>
      <c r="B286" s="56">
        <v>0</v>
      </c>
    </row>
    <row r="287" spans="1:2">
      <c r="A287" s="58">
        <v>42280</v>
      </c>
      <c r="B287" s="56">
        <v>0</v>
      </c>
    </row>
    <row r="288" spans="1:2">
      <c r="A288" s="58">
        <v>42281</v>
      </c>
      <c r="B288" s="56">
        <v>0</v>
      </c>
    </row>
    <row r="289" spans="1:2">
      <c r="A289" s="58">
        <v>42282</v>
      </c>
      <c r="B289" s="56">
        <v>0</v>
      </c>
    </row>
    <row r="290" spans="1:2">
      <c r="A290" s="58">
        <v>42283</v>
      </c>
      <c r="B290" s="56">
        <v>4</v>
      </c>
    </row>
    <row r="291" spans="1:2">
      <c r="A291" s="58">
        <v>42284</v>
      </c>
      <c r="B291" s="56">
        <v>15.6</v>
      </c>
    </row>
    <row r="292" spans="1:2">
      <c r="A292" s="58">
        <v>42285</v>
      </c>
      <c r="B292" s="56">
        <v>9.1999999999999993</v>
      </c>
    </row>
    <row r="293" spans="1:2">
      <c r="A293" s="58">
        <v>42286</v>
      </c>
      <c r="B293" s="56">
        <v>26.4</v>
      </c>
    </row>
    <row r="294" spans="1:2">
      <c r="A294" s="58">
        <v>42287</v>
      </c>
      <c r="B294" s="56">
        <v>27</v>
      </c>
    </row>
    <row r="295" spans="1:2">
      <c r="A295" s="58">
        <v>42288</v>
      </c>
      <c r="B295" s="56">
        <v>37.6</v>
      </c>
    </row>
    <row r="296" spans="1:2">
      <c r="A296" s="58">
        <v>42289</v>
      </c>
      <c r="B296" s="56">
        <v>0.8</v>
      </c>
    </row>
    <row r="297" spans="1:2">
      <c r="A297" s="58">
        <v>42290</v>
      </c>
      <c r="B297" s="56">
        <v>0.6</v>
      </c>
    </row>
    <row r="298" spans="1:2">
      <c r="A298" s="58">
        <v>42291</v>
      </c>
      <c r="B298" s="56">
        <v>0</v>
      </c>
    </row>
    <row r="299" spans="1:2">
      <c r="A299" s="58">
        <v>42292</v>
      </c>
      <c r="B299" s="56">
        <v>0</v>
      </c>
    </row>
    <row r="300" spans="1:2">
      <c r="A300" s="58">
        <v>42293</v>
      </c>
      <c r="B300" s="56">
        <v>14.2</v>
      </c>
    </row>
    <row r="301" spans="1:2">
      <c r="A301" s="58">
        <v>42294</v>
      </c>
      <c r="B301" s="56">
        <v>6.4</v>
      </c>
    </row>
    <row r="302" spans="1:2">
      <c r="A302" s="58">
        <v>42295</v>
      </c>
      <c r="B302" s="56">
        <v>23.4</v>
      </c>
    </row>
    <row r="303" spans="1:2">
      <c r="A303" s="58">
        <v>42296</v>
      </c>
      <c r="B303" s="56">
        <v>0.6</v>
      </c>
    </row>
    <row r="304" spans="1:2">
      <c r="A304" s="58">
        <v>42297</v>
      </c>
      <c r="B304" s="56">
        <v>10.199999999999999</v>
      </c>
    </row>
    <row r="305" spans="1:2">
      <c r="A305" s="58">
        <v>42298</v>
      </c>
      <c r="B305" s="56">
        <v>4</v>
      </c>
    </row>
    <row r="306" spans="1:2">
      <c r="A306" s="58">
        <v>42299</v>
      </c>
      <c r="B306" s="56">
        <v>9.8000000000000007</v>
      </c>
    </row>
    <row r="307" spans="1:2">
      <c r="A307" s="58">
        <v>42300</v>
      </c>
      <c r="B307" s="56">
        <v>0</v>
      </c>
    </row>
    <row r="308" spans="1:2">
      <c r="A308" s="58">
        <v>42301</v>
      </c>
      <c r="B308" s="56">
        <v>5.8</v>
      </c>
    </row>
    <row r="309" spans="1:2">
      <c r="A309" s="58">
        <v>42302</v>
      </c>
      <c r="B309" s="56">
        <v>4</v>
      </c>
    </row>
    <row r="310" spans="1:2">
      <c r="A310" s="58">
        <v>42303</v>
      </c>
      <c r="B310" s="56">
        <v>0</v>
      </c>
    </row>
    <row r="311" spans="1:2">
      <c r="A311" s="58">
        <v>42304</v>
      </c>
      <c r="B311" s="56">
        <v>6.8</v>
      </c>
    </row>
    <row r="312" spans="1:2">
      <c r="A312" s="58">
        <v>42305</v>
      </c>
      <c r="B312" s="56">
        <v>39</v>
      </c>
    </row>
    <row r="313" spans="1:2">
      <c r="A313" s="58">
        <v>42306</v>
      </c>
      <c r="B313" s="56">
        <v>40.6</v>
      </c>
    </row>
    <row r="314" spans="1:2">
      <c r="A314" s="58">
        <v>42307</v>
      </c>
      <c r="B314" s="56">
        <v>35.4</v>
      </c>
    </row>
    <row r="315" spans="1:2">
      <c r="A315" s="58">
        <v>42308</v>
      </c>
      <c r="B315" s="56">
        <v>21.2</v>
      </c>
    </row>
    <row r="316" spans="1:2">
      <c r="A316" s="58">
        <v>42309</v>
      </c>
      <c r="B316" s="56">
        <v>1.2</v>
      </c>
    </row>
    <row r="317" spans="1:2">
      <c r="A317" s="58">
        <v>42310</v>
      </c>
      <c r="B317" s="56">
        <v>0</v>
      </c>
    </row>
    <row r="318" spans="1:2">
      <c r="A318" s="58">
        <v>42311</v>
      </c>
      <c r="B318" s="56">
        <v>0</v>
      </c>
    </row>
    <row r="319" spans="1:2">
      <c r="A319" s="58">
        <v>42312</v>
      </c>
      <c r="B319" s="56">
        <v>3.4</v>
      </c>
    </row>
    <row r="320" spans="1:2">
      <c r="A320" s="58">
        <v>42313</v>
      </c>
      <c r="B320" s="56">
        <v>6</v>
      </c>
    </row>
    <row r="321" spans="1:2">
      <c r="A321" s="58">
        <v>42314</v>
      </c>
      <c r="B321" s="56">
        <v>44.2</v>
      </c>
    </row>
    <row r="322" spans="1:2">
      <c r="A322" s="58">
        <v>42315</v>
      </c>
      <c r="B322" s="56">
        <v>2.2000000000000002</v>
      </c>
    </row>
    <row r="323" spans="1:2">
      <c r="A323" s="58">
        <v>42316</v>
      </c>
      <c r="B323" s="56">
        <v>1.6</v>
      </c>
    </row>
    <row r="324" spans="1:2">
      <c r="A324" s="58">
        <v>42317</v>
      </c>
      <c r="B324" s="56">
        <v>0</v>
      </c>
    </row>
    <row r="325" spans="1:2">
      <c r="A325" s="58">
        <v>42318</v>
      </c>
      <c r="B325" s="56">
        <v>20.5</v>
      </c>
    </row>
    <row r="326" spans="1:2">
      <c r="A326" s="58">
        <v>42319</v>
      </c>
      <c r="B326" s="56">
        <v>18.8</v>
      </c>
    </row>
    <row r="327" spans="1:2">
      <c r="A327" s="58">
        <v>42320</v>
      </c>
      <c r="B327" s="56">
        <v>59</v>
      </c>
    </row>
    <row r="328" spans="1:2">
      <c r="A328" s="58">
        <v>42321</v>
      </c>
      <c r="B328" s="56">
        <v>11.4</v>
      </c>
    </row>
    <row r="329" spans="1:2">
      <c r="A329" s="58">
        <v>42322</v>
      </c>
      <c r="B329" s="56">
        <v>0.6</v>
      </c>
    </row>
    <row r="330" spans="1:2">
      <c r="A330" s="58">
        <v>42323</v>
      </c>
      <c r="B330" s="56">
        <v>6</v>
      </c>
    </row>
    <row r="331" spans="1:2">
      <c r="A331" s="58">
        <v>42324</v>
      </c>
      <c r="B331" s="56">
        <v>55.4</v>
      </c>
    </row>
    <row r="332" spans="1:2">
      <c r="A332" s="58">
        <v>42325</v>
      </c>
      <c r="B332" s="56">
        <v>6.2</v>
      </c>
    </row>
    <row r="333" spans="1:2">
      <c r="A333" s="58">
        <v>42326</v>
      </c>
      <c r="B333" s="56">
        <v>0</v>
      </c>
    </row>
    <row r="334" spans="1:2">
      <c r="A334" s="58">
        <v>42327</v>
      </c>
      <c r="B334" s="56">
        <v>0</v>
      </c>
    </row>
    <row r="335" spans="1:2">
      <c r="A335" s="58">
        <v>42328</v>
      </c>
      <c r="B335" s="56">
        <v>0</v>
      </c>
    </row>
    <row r="336" spans="1:2">
      <c r="A336" s="58">
        <v>42329</v>
      </c>
      <c r="B336" s="56">
        <v>0</v>
      </c>
    </row>
    <row r="337" spans="1:2">
      <c r="A337" s="58">
        <v>42330</v>
      </c>
      <c r="B337" s="56">
        <v>0</v>
      </c>
    </row>
    <row r="338" spans="1:2">
      <c r="A338" s="58">
        <v>42331</v>
      </c>
      <c r="B338" s="56">
        <v>0</v>
      </c>
    </row>
    <row r="339" spans="1:2">
      <c r="A339" s="58">
        <v>42332</v>
      </c>
      <c r="B339" s="56">
        <v>0</v>
      </c>
    </row>
    <row r="340" spans="1:2">
      <c r="A340" s="58">
        <v>42333</v>
      </c>
      <c r="B340" s="56">
        <v>0</v>
      </c>
    </row>
    <row r="341" spans="1:2">
      <c r="A341" s="58">
        <v>42334</v>
      </c>
      <c r="B341" s="56">
        <v>0</v>
      </c>
    </row>
    <row r="342" spans="1:2">
      <c r="A342" s="58">
        <v>42335</v>
      </c>
      <c r="B342" s="56">
        <v>0</v>
      </c>
    </row>
    <row r="343" spans="1:2">
      <c r="A343" s="58">
        <v>42336</v>
      </c>
      <c r="B343" s="56">
        <v>0</v>
      </c>
    </row>
    <row r="344" spans="1:2">
      <c r="A344" s="58">
        <v>42337</v>
      </c>
      <c r="B344" s="56">
        <v>0</v>
      </c>
    </row>
    <row r="345" spans="1:2">
      <c r="A345" s="58">
        <v>42338</v>
      </c>
      <c r="B345" s="56">
        <v>13</v>
      </c>
    </row>
    <row r="346" spans="1:2">
      <c r="A346" s="58">
        <v>42339</v>
      </c>
      <c r="B346" s="56">
        <v>34.6</v>
      </c>
    </row>
    <row r="347" spans="1:2">
      <c r="A347" s="58">
        <v>42340</v>
      </c>
      <c r="B347" s="56">
        <v>27.4</v>
      </c>
    </row>
    <row r="348" spans="1:2">
      <c r="A348" s="58">
        <v>42341</v>
      </c>
      <c r="B348" s="56">
        <v>32.6</v>
      </c>
    </row>
    <row r="349" spans="1:2">
      <c r="A349" s="58">
        <v>42342</v>
      </c>
      <c r="B349" s="56">
        <v>27.2</v>
      </c>
    </row>
    <row r="350" spans="1:2">
      <c r="A350" s="58">
        <v>42343</v>
      </c>
      <c r="B350" s="56">
        <v>33.799999999999997</v>
      </c>
    </row>
    <row r="351" spans="1:2">
      <c r="A351" s="58">
        <v>42344</v>
      </c>
      <c r="B351" s="56">
        <v>22.4</v>
      </c>
    </row>
    <row r="352" spans="1:2">
      <c r="A352" s="58">
        <v>42345</v>
      </c>
      <c r="B352" s="56">
        <v>37.200000000000003</v>
      </c>
    </row>
    <row r="353" spans="1:2">
      <c r="A353" s="58">
        <v>42346</v>
      </c>
      <c r="B353" s="56">
        <v>27</v>
      </c>
    </row>
    <row r="354" spans="1:2">
      <c r="A354" s="58">
        <v>42347</v>
      </c>
      <c r="B354" s="56">
        <v>4.8</v>
      </c>
    </row>
    <row r="355" spans="1:2">
      <c r="A355" s="58">
        <v>42348</v>
      </c>
      <c r="B355" s="56">
        <v>12.2</v>
      </c>
    </row>
    <row r="356" spans="1:2">
      <c r="A356" s="58">
        <v>42349</v>
      </c>
      <c r="B356" s="56">
        <v>3.4</v>
      </c>
    </row>
    <row r="357" spans="1:2">
      <c r="A357" s="58">
        <v>42350</v>
      </c>
      <c r="B357" s="56">
        <v>23.8</v>
      </c>
    </row>
    <row r="358" spans="1:2">
      <c r="A358" s="58">
        <v>42351</v>
      </c>
      <c r="B358" s="56">
        <v>0</v>
      </c>
    </row>
    <row r="359" spans="1:2">
      <c r="A359" s="58">
        <v>42352</v>
      </c>
      <c r="B359" s="56">
        <v>2.4</v>
      </c>
    </row>
    <row r="360" spans="1:2">
      <c r="A360" s="58">
        <v>42353</v>
      </c>
      <c r="B360" s="56">
        <v>3</v>
      </c>
    </row>
    <row r="361" spans="1:2">
      <c r="A361" s="58">
        <v>42354</v>
      </c>
      <c r="B361" s="56">
        <v>2.2000000000000002</v>
      </c>
    </row>
    <row r="362" spans="1:2">
      <c r="A362" s="58">
        <v>42355</v>
      </c>
      <c r="B362" s="56">
        <v>21.8</v>
      </c>
    </row>
    <row r="363" spans="1:2">
      <c r="A363" s="58">
        <v>42356</v>
      </c>
      <c r="B363" s="56">
        <v>25.5</v>
      </c>
    </row>
    <row r="364" spans="1:2">
      <c r="A364" s="58">
        <v>42357</v>
      </c>
      <c r="B364" s="56">
        <v>31.8</v>
      </c>
    </row>
    <row r="365" spans="1:2">
      <c r="A365" s="58">
        <v>42358</v>
      </c>
      <c r="B365" s="56">
        <v>22.6</v>
      </c>
    </row>
    <row r="366" spans="1:2">
      <c r="A366" s="58">
        <v>42359</v>
      </c>
      <c r="B366" s="56">
        <v>9</v>
      </c>
    </row>
    <row r="367" spans="1:2">
      <c r="A367" s="58">
        <v>42360</v>
      </c>
      <c r="B367" s="56">
        <v>35.799999999999997</v>
      </c>
    </row>
    <row r="368" spans="1:2">
      <c r="A368" s="58">
        <v>42361</v>
      </c>
      <c r="B368" s="56">
        <v>9.4</v>
      </c>
    </row>
    <row r="369" spans="1:2">
      <c r="A369" s="58">
        <v>42362</v>
      </c>
      <c r="B369" s="56">
        <v>0</v>
      </c>
    </row>
    <row r="370" spans="1:2">
      <c r="A370" s="58">
        <v>42363</v>
      </c>
      <c r="B370" s="56">
        <v>0</v>
      </c>
    </row>
    <row r="371" spans="1:2">
      <c r="A371" s="58">
        <v>42364</v>
      </c>
      <c r="B371" s="56">
        <v>26.2</v>
      </c>
    </row>
    <row r="372" spans="1:2">
      <c r="A372" s="58">
        <v>42365</v>
      </c>
      <c r="B372" s="56">
        <v>1.6</v>
      </c>
    </row>
    <row r="373" spans="1:2">
      <c r="A373" s="58">
        <v>42366</v>
      </c>
      <c r="B373" s="56">
        <v>0.2</v>
      </c>
    </row>
    <row r="374" spans="1:2">
      <c r="A374" s="58">
        <v>42367</v>
      </c>
      <c r="B374" s="56">
        <v>0</v>
      </c>
    </row>
    <row r="375" spans="1:2">
      <c r="A375" s="58">
        <v>42368</v>
      </c>
      <c r="B375" s="56">
        <v>0</v>
      </c>
    </row>
    <row r="376" spans="1:2">
      <c r="A376" s="58">
        <v>42369</v>
      </c>
      <c r="B376" s="56">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1:B376"/>
  <sheetViews>
    <sheetView topLeftCell="M1" workbookViewId="0"/>
  </sheetViews>
  <sheetFormatPr defaultRowHeight="14.4"/>
  <cols>
    <col min="1" max="1" width="10.5546875" style="195" bestFit="1" customWidth="1"/>
  </cols>
  <sheetData>
    <row r="11" spans="1:2">
      <c r="A11" s="57" t="s">
        <v>360</v>
      </c>
      <c r="B11" s="57" t="s">
        <v>646</v>
      </c>
    </row>
    <row r="12" spans="1:2">
      <c r="A12" s="58">
        <v>42005</v>
      </c>
      <c r="B12" s="56">
        <v>0</v>
      </c>
    </row>
    <row r="13" spans="1:2">
      <c r="A13" s="58">
        <v>42006</v>
      </c>
      <c r="B13" s="56">
        <v>1.4</v>
      </c>
    </row>
    <row r="14" spans="1:2">
      <c r="A14" s="58">
        <v>42007</v>
      </c>
      <c r="B14" s="56">
        <v>7.8</v>
      </c>
    </row>
    <row r="15" spans="1:2">
      <c r="A15" s="58">
        <v>42008</v>
      </c>
      <c r="B15" s="56">
        <v>29.6</v>
      </c>
    </row>
    <row r="16" spans="1:2">
      <c r="A16" s="58">
        <v>42009</v>
      </c>
      <c r="B16" s="56">
        <v>6</v>
      </c>
    </row>
    <row r="17" spans="1:2">
      <c r="A17" s="58">
        <v>42010</v>
      </c>
      <c r="B17" s="56">
        <v>0</v>
      </c>
    </row>
    <row r="18" spans="1:2">
      <c r="A18" s="58">
        <v>42011</v>
      </c>
      <c r="B18" s="56">
        <v>0</v>
      </c>
    </row>
    <row r="19" spans="1:2">
      <c r="A19" s="58">
        <v>42012</v>
      </c>
      <c r="B19" s="56">
        <v>0</v>
      </c>
    </row>
    <row r="20" spans="1:2">
      <c r="A20" s="58">
        <v>42013</v>
      </c>
      <c r="B20" s="56">
        <v>1</v>
      </c>
    </row>
    <row r="21" spans="1:2">
      <c r="A21" s="58">
        <v>42014</v>
      </c>
      <c r="B21" s="56">
        <v>0.6</v>
      </c>
    </row>
    <row r="22" spans="1:2">
      <c r="A22" s="58">
        <v>42015</v>
      </c>
      <c r="B22" s="56">
        <v>1.6</v>
      </c>
    </row>
    <row r="23" spans="1:2">
      <c r="A23" s="58">
        <v>42016</v>
      </c>
      <c r="B23" s="56">
        <v>0</v>
      </c>
    </row>
    <row r="24" spans="1:2">
      <c r="A24" s="58">
        <v>42017</v>
      </c>
      <c r="B24" s="56">
        <v>0</v>
      </c>
    </row>
    <row r="25" spans="1:2">
      <c r="A25" s="58">
        <v>42018</v>
      </c>
      <c r="B25" s="56">
        <v>0</v>
      </c>
    </row>
    <row r="26" spans="1:2">
      <c r="A26" s="58">
        <v>42019</v>
      </c>
      <c r="B26" s="56">
        <v>12.4</v>
      </c>
    </row>
    <row r="27" spans="1:2">
      <c r="A27" s="58">
        <v>42020</v>
      </c>
      <c r="B27" s="56">
        <v>1.6</v>
      </c>
    </row>
    <row r="28" spans="1:2">
      <c r="A28" s="58">
        <v>42021</v>
      </c>
      <c r="B28" s="56">
        <v>28.8</v>
      </c>
    </row>
    <row r="29" spans="1:2">
      <c r="A29" s="58">
        <v>42022</v>
      </c>
      <c r="B29" s="56">
        <v>1</v>
      </c>
    </row>
    <row r="30" spans="1:2">
      <c r="A30" s="58">
        <v>42023</v>
      </c>
      <c r="B30" s="56">
        <v>0</v>
      </c>
    </row>
    <row r="31" spans="1:2">
      <c r="A31" s="58">
        <v>42024</v>
      </c>
      <c r="B31" s="56">
        <v>0</v>
      </c>
    </row>
    <row r="32" spans="1:2">
      <c r="A32" s="58">
        <v>42025</v>
      </c>
      <c r="B32" s="56">
        <v>7.2</v>
      </c>
    </row>
    <row r="33" spans="1:2">
      <c r="A33" s="58">
        <v>42026</v>
      </c>
      <c r="B33" s="56">
        <v>5.2</v>
      </c>
    </row>
    <row r="34" spans="1:2">
      <c r="A34" s="58">
        <v>42027</v>
      </c>
      <c r="B34" s="56">
        <v>5.6</v>
      </c>
    </row>
    <row r="35" spans="1:2">
      <c r="A35" s="58">
        <v>42028</v>
      </c>
      <c r="B35" s="56">
        <v>6.6</v>
      </c>
    </row>
    <row r="36" spans="1:2">
      <c r="A36" s="58">
        <v>42029</v>
      </c>
      <c r="B36" s="56">
        <v>0</v>
      </c>
    </row>
    <row r="37" spans="1:2">
      <c r="A37" s="58">
        <v>42030</v>
      </c>
      <c r="B37" s="56">
        <v>0</v>
      </c>
    </row>
    <row r="38" spans="1:2">
      <c r="A38" s="58">
        <v>42031</v>
      </c>
      <c r="B38" s="56">
        <v>0.6</v>
      </c>
    </row>
    <row r="39" spans="1:2">
      <c r="A39" s="58">
        <v>42032</v>
      </c>
      <c r="B39" s="56">
        <v>0</v>
      </c>
    </row>
    <row r="40" spans="1:2">
      <c r="A40" s="58">
        <v>42033</v>
      </c>
      <c r="B40" s="56">
        <v>0</v>
      </c>
    </row>
    <row r="41" spans="1:2">
      <c r="A41" s="58">
        <v>42034</v>
      </c>
      <c r="B41" s="56">
        <v>0</v>
      </c>
    </row>
    <row r="42" spans="1:2">
      <c r="A42" s="58">
        <v>42035</v>
      </c>
      <c r="B42" s="56">
        <v>1.2</v>
      </c>
    </row>
    <row r="43" spans="1:2">
      <c r="A43" s="58">
        <v>42036</v>
      </c>
      <c r="B43" s="56">
        <v>1.8</v>
      </c>
    </row>
    <row r="44" spans="1:2">
      <c r="A44" s="58">
        <v>42037</v>
      </c>
      <c r="B44" s="56">
        <v>4</v>
      </c>
    </row>
    <row r="45" spans="1:2">
      <c r="A45" s="58">
        <v>42038</v>
      </c>
      <c r="B45" s="56">
        <v>1.4</v>
      </c>
    </row>
    <row r="46" spans="1:2">
      <c r="A46" s="58">
        <v>42039</v>
      </c>
      <c r="B46" s="56">
        <v>17</v>
      </c>
    </row>
    <row r="47" spans="1:2">
      <c r="A47" s="58">
        <v>42040</v>
      </c>
      <c r="B47" s="56">
        <v>39.6</v>
      </c>
    </row>
    <row r="48" spans="1:2">
      <c r="A48" s="58">
        <v>42041</v>
      </c>
      <c r="B48" s="56">
        <v>9.8000000000000007</v>
      </c>
    </row>
    <row r="49" spans="1:2">
      <c r="A49" s="58">
        <v>42042</v>
      </c>
      <c r="B49" s="56">
        <v>11.4</v>
      </c>
    </row>
    <row r="50" spans="1:2">
      <c r="A50" s="58">
        <v>42043</v>
      </c>
      <c r="B50" s="56">
        <v>13.2</v>
      </c>
    </row>
    <row r="51" spans="1:2">
      <c r="A51" s="58">
        <v>42044</v>
      </c>
      <c r="B51" s="56">
        <v>11.8</v>
      </c>
    </row>
    <row r="52" spans="1:2">
      <c r="A52" s="58">
        <v>42045</v>
      </c>
      <c r="B52" s="56">
        <v>0.8</v>
      </c>
    </row>
    <row r="53" spans="1:2">
      <c r="A53" s="58">
        <v>42046</v>
      </c>
      <c r="B53" s="56">
        <v>1</v>
      </c>
    </row>
    <row r="54" spans="1:2">
      <c r="A54" s="58">
        <v>42047</v>
      </c>
      <c r="B54" s="56">
        <v>12.8</v>
      </c>
    </row>
    <row r="55" spans="1:2">
      <c r="A55" s="58">
        <v>42048</v>
      </c>
      <c r="B55" s="56">
        <v>16.2</v>
      </c>
    </row>
    <row r="56" spans="1:2">
      <c r="A56" s="58">
        <v>42049</v>
      </c>
      <c r="B56" s="56">
        <v>0</v>
      </c>
    </row>
    <row r="57" spans="1:2">
      <c r="A57" s="58">
        <v>42050</v>
      </c>
      <c r="B57" s="56">
        <v>0</v>
      </c>
    </row>
    <row r="58" spans="1:2">
      <c r="A58" s="58">
        <v>42051</v>
      </c>
      <c r="B58" s="56">
        <v>0</v>
      </c>
    </row>
    <row r="59" spans="1:2">
      <c r="A59" s="58">
        <v>42052</v>
      </c>
      <c r="B59" s="56">
        <v>0</v>
      </c>
    </row>
    <row r="60" spans="1:2">
      <c r="A60" s="58">
        <v>42053</v>
      </c>
      <c r="B60" s="56">
        <v>0</v>
      </c>
    </row>
    <row r="61" spans="1:2">
      <c r="A61" s="58">
        <v>42054</v>
      </c>
      <c r="B61" s="56">
        <v>0</v>
      </c>
    </row>
    <row r="62" spans="1:2">
      <c r="A62" s="58">
        <v>42055</v>
      </c>
      <c r="B62" s="56">
        <v>0</v>
      </c>
    </row>
    <row r="63" spans="1:2">
      <c r="A63" s="58">
        <v>42056</v>
      </c>
      <c r="B63" s="56">
        <v>0</v>
      </c>
    </row>
    <row r="64" spans="1:2">
      <c r="A64" s="58">
        <v>42057</v>
      </c>
      <c r="B64" s="56">
        <v>0</v>
      </c>
    </row>
    <row r="65" spans="1:2">
      <c r="A65" s="58">
        <v>42058</v>
      </c>
      <c r="B65" s="56">
        <v>0</v>
      </c>
    </row>
    <row r="66" spans="1:2">
      <c r="A66" s="58">
        <v>42059</v>
      </c>
      <c r="B66" s="56">
        <v>0</v>
      </c>
    </row>
    <row r="67" spans="1:2">
      <c r="A67" s="58">
        <v>42060</v>
      </c>
      <c r="B67" s="56">
        <v>1.6</v>
      </c>
    </row>
    <row r="68" spans="1:2">
      <c r="A68" s="58">
        <v>42061</v>
      </c>
      <c r="B68" s="56">
        <v>8.1999999999999993</v>
      </c>
    </row>
    <row r="69" spans="1:2">
      <c r="A69" s="58">
        <v>42062</v>
      </c>
      <c r="B69" s="56">
        <v>0</v>
      </c>
    </row>
    <row r="70" spans="1:2">
      <c r="A70" s="58">
        <v>42063</v>
      </c>
      <c r="B70" s="56">
        <v>0</v>
      </c>
    </row>
    <row r="71" spans="1:2">
      <c r="A71" s="58">
        <v>42064</v>
      </c>
      <c r="B71" s="56">
        <v>2.2000000000000002</v>
      </c>
    </row>
    <row r="72" spans="1:2">
      <c r="A72" s="58">
        <v>42065</v>
      </c>
      <c r="B72" s="56">
        <v>0</v>
      </c>
    </row>
    <row r="73" spans="1:2">
      <c r="A73" s="58">
        <v>42066</v>
      </c>
      <c r="B73" s="56">
        <v>0</v>
      </c>
    </row>
    <row r="74" spans="1:2">
      <c r="A74" s="58">
        <v>42067</v>
      </c>
      <c r="B74" s="56">
        <v>0</v>
      </c>
    </row>
    <row r="75" spans="1:2">
      <c r="A75" s="58">
        <v>42068</v>
      </c>
      <c r="B75" s="56">
        <v>0</v>
      </c>
    </row>
    <row r="76" spans="1:2">
      <c r="A76" s="58">
        <v>42069</v>
      </c>
      <c r="B76" s="56">
        <v>0</v>
      </c>
    </row>
    <row r="77" spans="1:2">
      <c r="A77" s="58">
        <v>42070</v>
      </c>
      <c r="B77" s="56">
        <v>0</v>
      </c>
    </row>
    <row r="78" spans="1:2">
      <c r="A78" s="58">
        <v>42071</v>
      </c>
      <c r="B78" s="56">
        <v>0</v>
      </c>
    </row>
    <row r="79" spans="1:2">
      <c r="A79" s="58">
        <v>42072</v>
      </c>
      <c r="B79" s="56">
        <v>0</v>
      </c>
    </row>
    <row r="80" spans="1:2">
      <c r="A80" s="58">
        <v>42073</v>
      </c>
      <c r="B80" s="56">
        <v>0.8</v>
      </c>
    </row>
    <row r="81" spans="1:2">
      <c r="A81" s="58">
        <v>42074</v>
      </c>
      <c r="B81" s="56">
        <v>6.4</v>
      </c>
    </row>
    <row r="82" spans="1:2">
      <c r="A82" s="58">
        <v>42075</v>
      </c>
      <c r="B82" s="56">
        <v>0.8</v>
      </c>
    </row>
    <row r="83" spans="1:2">
      <c r="A83" s="58">
        <v>42076</v>
      </c>
      <c r="B83" s="56">
        <v>8.4</v>
      </c>
    </row>
    <row r="84" spans="1:2">
      <c r="A84" s="58">
        <v>42077</v>
      </c>
      <c r="B84" s="56">
        <v>1</v>
      </c>
    </row>
    <row r="85" spans="1:2">
      <c r="A85" s="58">
        <v>42078</v>
      </c>
      <c r="B85" s="56">
        <v>0</v>
      </c>
    </row>
    <row r="86" spans="1:2">
      <c r="A86" s="58">
        <v>42079</v>
      </c>
      <c r="B86" s="56">
        <v>0</v>
      </c>
    </row>
    <row r="87" spans="1:2">
      <c r="A87" s="58">
        <v>42080</v>
      </c>
      <c r="B87" s="56">
        <v>0</v>
      </c>
    </row>
    <row r="88" spans="1:2">
      <c r="A88" s="58">
        <v>42081</v>
      </c>
      <c r="B88" s="56">
        <v>7.4</v>
      </c>
    </row>
    <row r="89" spans="1:2">
      <c r="A89" s="58">
        <v>42082</v>
      </c>
      <c r="B89" s="56">
        <v>10</v>
      </c>
    </row>
    <row r="90" spans="1:2">
      <c r="A90" s="58">
        <v>42083</v>
      </c>
      <c r="B90" s="56">
        <v>15.2</v>
      </c>
    </row>
    <row r="91" spans="1:2">
      <c r="A91" s="58">
        <v>42084</v>
      </c>
      <c r="B91" s="56">
        <v>0.2</v>
      </c>
    </row>
    <row r="92" spans="1:2">
      <c r="A92" s="58">
        <v>42085</v>
      </c>
      <c r="B92" s="56">
        <v>4.4000000000000004</v>
      </c>
    </row>
    <row r="93" spans="1:2">
      <c r="A93" s="58">
        <v>42086</v>
      </c>
      <c r="B93" s="56">
        <v>8.1999999999999993</v>
      </c>
    </row>
    <row r="94" spans="1:2">
      <c r="A94" s="58">
        <v>42087</v>
      </c>
      <c r="B94" s="56">
        <v>11.8</v>
      </c>
    </row>
    <row r="95" spans="1:2">
      <c r="A95" s="58">
        <v>42088</v>
      </c>
      <c r="B95" s="56">
        <v>5.4</v>
      </c>
    </row>
    <row r="96" spans="1:2">
      <c r="A96" s="58">
        <v>42089</v>
      </c>
      <c r="B96" s="56">
        <v>0</v>
      </c>
    </row>
    <row r="97" spans="1:2">
      <c r="A97" s="58">
        <v>42090</v>
      </c>
      <c r="B97" s="56">
        <v>12.8</v>
      </c>
    </row>
    <row r="98" spans="1:2">
      <c r="A98" s="58">
        <v>42091</v>
      </c>
      <c r="B98" s="56">
        <v>4.5999999999999996</v>
      </c>
    </row>
    <row r="99" spans="1:2">
      <c r="A99" s="58">
        <v>42092</v>
      </c>
      <c r="B99" s="56">
        <v>11.8</v>
      </c>
    </row>
    <row r="100" spans="1:2">
      <c r="A100" s="58">
        <v>42093</v>
      </c>
      <c r="B100" s="56">
        <v>22</v>
      </c>
    </row>
    <row r="101" spans="1:2">
      <c r="A101" s="58">
        <v>42094</v>
      </c>
      <c r="B101" s="56">
        <v>2</v>
      </c>
    </row>
    <row r="102" spans="1:2">
      <c r="A102" s="58">
        <v>42095</v>
      </c>
      <c r="B102" s="56">
        <v>0</v>
      </c>
    </row>
    <row r="103" spans="1:2">
      <c r="A103" s="58">
        <v>42096</v>
      </c>
      <c r="B103" s="56">
        <v>0.4</v>
      </c>
    </row>
    <row r="104" spans="1:2">
      <c r="A104" s="58">
        <v>42097</v>
      </c>
      <c r="B104" s="56">
        <v>6.2</v>
      </c>
    </row>
    <row r="105" spans="1:2">
      <c r="A105" s="58">
        <v>42098</v>
      </c>
      <c r="B105" s="56">
        <v>1.4</v>
      </c>
    </row>
    <row r="106" spans="1:2">
      <c r="A106" s="58">
        <v>42099</v>
      </c>
      <c r="B106" s="56">
        <v>0</v>
      </c>
    </row>
    <row r="107" spans="1:2">
      <c r="A107" s="58">
        <v>42100</v>
      </c>
      <c r="B107" s="56">
        <v>0</v>
      </c>
    </row>
    <row r="108" spans="1:2">
      <c r="A108" s="58">
        <v>42101</v>
      </c>
      <c r="B108" s="56">
        <v>0</v>
      </c>
    </row>
    <row r="109" spans="1:2">
      <c r="A109" s="58">
        <v>42102</v>
      </c>
      <c r="B109" s="56">
        <v>0</v>
      </c>
    </row>
    <row r="110" spans="1:2">
      <c r="A110" s="58">
        <v>42103</v>
      </c>
      <c r="B110" s="56">
        <v>0</v>
      </c>
    </row>
    <row r="111" spans="1:2">
      <c r="A111" s="58">
        <v>42104</v>
      </c>
      <c r="B111" s="56">
        <v>3.4</v>
      </c>
    </row>
    <row r="112" spans="1:2">
      <c r="A112" s="58">
        <v>42105</v>
      </c>
      <c r="B112" s="56">
        <v>2.2000000000000002</v>
      </c>
    </row>
    <row r="113" spans="1:2">
      <c r="A113" s="58">
        <v>42106</v>
      </c>
      <c r="B113" s="56">
        <v>5</v>
      </c>
    </row>
    <row r="114" spans="1:2">
      <c r="A114" s="58">
        <v>42107</v>
      </c>
      <c r="B114" s="56">
        <v>9.1999999999999993</v>
      </c>
    </row>
    <row r="115" spans="1:2">
      <c r="A115" s="58">
        <v>42108</v>
      </c>
      <c r="B115" s="56">
        <v>0</v>
      </c>
    </row>
    <row r="116" spans="1:2">
      <c r="A116" s="58">
        <v>42109</v>
      </c>
      <c r="B116" s="56">
        <v>0</v>
      </c>
    </row>
    <row r="117" spans="1:2">
      <c r="A117" s="58">
        <v>42110</v>
      </c>
      <c r="B117" s="56">
        <v>0</v>
      </c>
    </row>
    <row r="118" spans="1:2">
      <c r="A118" s="58">
        <v>42111</v>
      </c>
      <c r="B118" s="56">
        <v>0</v>
      </c>
    </row>
    <row r="119" spans="1:2">
      <c r="A119" s="58">
        <v>42112</v>
      </c>
      <c r="B119" s="56">
        <v>0</v>
      </c>
    </row>
    <row r="120" spans="1:2">
      <c r="A120" s="58">
        <v>42113</v>
      </c>
      <c r="B120" s="56">
        <v>0</v>
      </c>
    </row>
    <row r="121" spans="1:2">
      <c r="A121" s="58">
        <v>42114</v>
      </c>
      <c r="B121" s="56">
        <v>0</v>
      </c>
    </row>
    <row r="122" spans="1:2">
      <c r="A122" s="58">
        <v>42115</v>
      </c>
      <c r="B122" s="56">
        <v>5</v>
      </c>
    </row>
    <row r="123" spans="1:2">
      <c r="A123" s="58">
        <v>42116</v>
      </c>
      <c r="B123" s="56">
        <v>0.8</v>
      </c>
    </row>
    <row r="124" spans="1:2">
      <c r="A124" s="58">
        <v>42117</v>
      </c>
      <c r="B124" s="56">
        <v>22.2</v>
      </c>
    </row>
    <row r="125" spans="1:2">
      <c r="A125" s="58">
        <v>42118</v>
      </c>
      <c r="B125" s="56">
        <v>6.8</v>
      </c>
    </row>
    <row r="126" spans="1:2">
      <c r="A126" s="58">
        <v>42119</v>
      </c>
      <c r="B126" s="56">
        <v>0.6</v>
      </c>
    </row>
    <row r="127" spans="1:2">
      <c r="A127" s="58">
        <v>42120</v>
      </c>
      <c r="B127" s="56">
        <v>0.4</v>
      </c>
    </row>
    <row r="128" spans="1:2">
      <c r="A128" s="58">
        <v>42121</v>
      </c>
      <c r="B128" s="56">
        <v>1.2</v>
      </c>
    </row>
    <row r="129" spans="1:2">
      <c r="A129" s="58">
        <v>42122</v>
      </c>
      <c r="B129" s="56">
        <v>0.8</v>
      </c>
    </row>
    <row r="130" spans="1:2">
      <c r="A130" s="58">
        <v>42123</v>
      </c>
      <c r="B130" s="56">
        <v>0</v>
      </c>
    </row>
    <row r="131" spans="1:2">
      <c r="A131" s="58">
        <v>42124</v>
      </c>
      <c r="B131" s="56">
        <v>1.6</v>
      </c>
    </row>
    <row r="132" spans="1:2">
      <c r="A132" s="58">
        <v>42125</v>
      </c>
      <c r="B132" s="56">
        <v>0</v>
      </c>
    </row>
    <row r="133" spans="1:2">
      <c r="A133" s="58">
        <v>42126</v>
      </c>
      <c r="B133" s="56">
        <v>0</v>
      </c>
    </row>
    <row r="134" spans="1:2">
      <c r="A134" s="58">
        <v>42127</v>
      </c>
      <c r="B134" s="56">
        <v>0</v>
      </c>
    </row>
    <row r="135" spans="1:2">
      <c r="A135" s="58">
        <v>42128</v>
      </c>
      <c r="B135" s="56">
        <v>0.4</v>
      </c>
    </row>
    <row r="136" spans="1:2">
      <c r="A136" s="58">
        <v>42129</v>
      </c>
      <c r="B136" s="56">
        <v>1.6</v>
      </c>
    </row>
    <row r="137" spans="1:2">
      <c r="A137" s="58">
        <v>42130</v>
      </c>
      <c r="B137" s="56">
        <v>0</v>
      </c>
    </row>
    <row r="138" spans="1:2">
      <c r="A138" s="58">
        <v>42131</v>
      </c>
      <c r="B138" s="56">
        <v>0</v>
      </c>
    </row>
    <row r="139" spans="1:2">
      <c r="A139" s="58">
        <v>42132</v>
      </c>
      <c r="B139" s="56">
        <v>0</v>
      </c>
    </row>
    <row r="140" spans="1:2">
      <c r="A140" s="58">
        <v>42133</v>
      </c>
      <c r="B140" s="56">
        <v>0</v>
      </c>
    </row>
    <row r="141" spans="1:2">
      <c r="A141" s="58">
        <v>42134</v>
      </c>
      <c r="B141" s="56">
        <v>0</v>
      </c>
    </row>
    <row r="142" spans="1:2">
      <c r="A142" s="58">
        <v>42135</v>
      </c>
      <c r="B142" s="56">
        <v>0</v>
      </c>
    </row>
    <row r="143" spans="1:2">
      <c r="A143" s="58">
        <v>42136</v>
      </c>
      <c r="B143" s="56">
        <v>9.4</v>
      </c>
    </row>
    <row r="144" spans="1:2">
      <c r="A144" s="58">
        <v>42137</v>
      </c>
      <c r="B144" s="56">
        <v>2.2000000000000002</v>
      </c>
    </row>
    <row r="145" spans="1:2">
      <c r="A145" s="58">
        <v>42138</v>
      </c>
      <c r="B145" s="56">
        <v>0.4</v>
      </c>
    </row>
    <row r="146" spans="1:2">
      <c r="A146" s="58">
        <v>42139</v>
      </c>
      <c r="B146" s="56">
        <v>0</v>
      </c>
    </row>
    <row r="147" spans="1:2">
      <c r="A147" s="58">
        <v>42140</v>
      </c>
      <c r="B147" s="56">
        <v>0</v>
      </c>
    </row>
    <row r="148" spans="1:2">
      <c r="A148" s="58">
        <v>42141</v>
      </c>
      <c r="B148" s="56">
        <v>0</v>
      </c>
    </row>
    <row r="149" spans="1:2">
      <c r="A149" s="58">
        <v>42142</v>
      </c>
      <c r="B149" s="56">
        <v>0</v>
      </c>
    </row>
    <row r="150" spans="1:2">
      <c r="A150" s="58">
        <v>42143</v>
      </c>
      <c r="B150" s="56">
        <v>0</v>
      </c>
    </row>
    <row r="151" spans="1:2">
      <c r="A151" s="58">
        <v>42144</v>
      </c>
      <c r="B151" s="56">
        <v>0</v>
      </c>
    </row>
    <row r="152" spans="1:2">
      <c r="A152" s="58">
        <v>42145</v>
      </c>
      <c r="B152" s="56">
        <v>0</v>
      </c>
    </row>
    <row r="153" spans="1:2">
      <c r="A153" s="58">
        <v>42146</v>
      </c>
      <c r="B153" s="56">
        <v>0</v>
      </c>
    </row>
    <row r="154" spans="1:2">
      <c r="A154" s="58">
        <v>42147</v>
      </c>
      <c r="B154" s="56">
        <v>0</v>
      </c>
    </row>
    <row r="155" spans="1:2">
      <c r="A155" s="58">
        <v>42148</v>
      </c>
      <c r="B155" s="56">
        <v>0</v>
      </c>
    </row>
    <row r="156" spans="1:2">
      <c r="A156" s="58">
        <v>42149</v>
      </c>
      <c r="B156" s="56">
        <v>0</v>
      </c>
    </row>
    <row r="157" spans="1:2">
      <c r="A157" s="58">
        <v>42150</v>
      </c>
      <c r="B157" s="56">
        <v>0</v>
      </c>
    </row>
    <row r="158" spans="1:2">
      <c r="A158" s="58">
        <v>42151</v>
      </c>
      <c r="B158" s="56">
        <v>0</v>
      </c>
    </row>
    <row r="159" spans="1:2">
      <c r="A159" s="58">
        <v>42152</v>
      </c>
      <c r="B159" s="56">
        <v>0</v>
      </c>
    </row>
    <row r="160" spans="1:2">
      <c r="A160" s="58">
        <v>42153</v>
      </c>
      <c r="B160" s="56">
        <v>0</v>
      </c>
    </row>
    <row r="161" spans="1:2">
      <c r="A161" s="58">
        <v>42154</v>
      </c>
      <c r="B161" s="56">
        <v>0</v>
      </c>
    </row>
    <row r="162" spans="1:2">
      <c r="A162" s="58">
        <v>42155</v>
      </c>
      <c r="B162" s="56">
        <v>0</v>
      </c>
    </row>
    <row r="163" spans="1:2">
      <c r="A163" s="58">
        <v>42156</v>
      </c>
      <c r="B163" s="56">
        <v>5.8</v>
      </c>
    </row>
    <row r="164" spans="1:2">
      <c r="A164" s="58">
        <v>42157</v>
      </c>
      <c r="B164" s="56">
        <v>9.1999999999999993</v>
      </c>
    </row>
    <row r="165" spans="1:2">
      <c r="A165" s="58">
        <v>42158</v>
      </c>
      <c r="B165" s="56">
        <v>0</v>
      </c>
    </row>
    <row r="166" spans="1:2">
      <c r="A166" s="58">
        <v>42159</v>
      </c>
      <c r="B166" s="56">
        <v>0</v>
      </c>
    </row>
    <row r="167" spans="1:2">
      <c r="A167" s="58">
        <v>42160</v>
      </c>
      <c r="B167" s="56">
        <v>0</v>
      </c>
    </row>
    <row r="168" spans="1:2">
      <c r="A168" s="58">
        <v>42161</v>
      </c>
      <c r="B168" s="56">
        <v>0</v>
      </c>
    </row>
    <row r="169" spans="1:2">
      <c r="A169" s="58">
        <v>42162</v>
      </c>
      <c r="B169" s="56">
        <v>0</v>
      </c>
    </row>
    <row r="170" spans="1:2">
      <c r="A170" s="58">
        <v>42163</v>
      </c>
      <c r="B170" s="56">
        <v>0</v>
      </c>
    </row>
    <row r="171" spans="1:2">
      <c r="A171" s="58">
        <v>42164</v>
      </c>
      <c r="B171" s="56">
        <v>0</v>
      </c>
    </row>
    <row r="172" spans="1:2">
      <c r="A172" s="58">
        <v>42165</v>
      </c>
      <c r="B172" s="56">
        <v>0</v>
      </c>
    </row>
    <row r="173" spans="1:2">
      <c r="A173" s="58">
        <v>42166</v>
      </c>
      <c r="B173" s="56">
        <v>0</v>
      </c>
    </row>
    <row r="174" spans="1:2">
      <c r="A174" s="58">
        <v>42167</v>
      </c>
      <c r="B174" s="56">
        <v>0</v>
      </c>
    </row>
    <row r="175" spans="1:2">
      <c r="A175" s="58">
        <v>42168</v>
      </c>
      <c r="B175" s="56">
        <v>0</v>
      </c>
    </row>
    <row r="176" spans="1:2">
      <c r="A176" s="58">
        <v>42169</v>
      </c>
      <c r="B176" s="56">
        <v>0</v>
      </c>
    </row>
    <row r="177" spans="1:2">
      <c r="A177" s="58">
        <v>42170</v>
      </c>
      <c r="B177" s="56">
        <v>0</v>
      </c>
    </row>
    <row r="178" spans="1:2">
      <c r="A178" s="58">
        <v>42171</v>
      </c>
      <c r="B178" s="56">
        <v>0</v>
      </c>
    </row>
    <row r="179" spans="1:2">
      <c r="A179" s="58">
        <v>42172</v>
      </c>
      <c r="B179" s="56">
        <v>0</v>
      </c>
    </row>
    <row r="180" spans="1:2">
      <c r="A180" s="58">
        <v>42173</v>
      </c>
      <c r="B180" s="56">
        <v>1.6</v>
      </c>
    </row>
    <row r="181" spans="1:2">
      <c r="A181" s="58">
        <v>42174</v>
      </c>
      <c r="B181" s="56">
        <v>0.4</v>
      </c>
    </row>
    <row r="182" spans="1:2">
      <c r="A182" s="58">
        <v>42175</v>
      </c>
      <c r="B182" s="56">
        <v>0</v>
      </c>
    </row>
    <row r="183" spans="1:2">
      <c r="A183" s="58">
        <v>42176</v>
      </c>
      <c r="B183" s="56">
        <v>0</v>
      </c>
    </row>
    <row r="184" spans="1:2">
      <c r="A184" s="58">
        <v>42177</v>
      </c>
      <c r="B184" s="56">
        <v>0</v>
      </c>
    </row>
    <row r="185" spans="1:2">
      <c r="A185" s="58">
        <v>42178</v>
      </c>
      <c r="B185" s="56">
        <v>0</v>
      </c>
    </row>
    <row r="186" spans="1:2">
      <c r="A186" s="58">
        <v>42179</v>
      </c>
      <c r="B186" s="56">
        <v>0</v>
      </c>
    </row>
    <row r="187" spans="1:2">
      <c r="A187" s="58">
        <v>42180</v>
      </c>
      <c r="B187" s="56">
        <v>0</v>
      </c>
    </row>
    <row r="188" spans="1:2">
      <c r="A188" s="58">
        <v>42181</v>
      </c>
      <c r="B188" s="56">
        <v>0</v>
      </c>
    </row>
    <row r="189" spans="1:2">
      <c r="A189" s="58">
        <v>42182</v>
      </c>
      <c r="B189" s="56">
        <v>0</v>
      </c>
    </row>
    <row r="190" spans="1:2">
      <c r="A190" s="58">
        <v>42183</v>
      </c>
      <c r="B190" s="56">
        <v>0</v>
      </c>
    </row>
    <row r="191" spans="1:2">
      <c r="A191" s="58">
        <v>42184</v>
      </c>
      <c r="B191" s="56">
        <v>0</v>
      </c>
    </row>
    <row r="192" spans="1:2">
      <c r="A192" s="58">
        <v>42185</v>
      </c>
      <c r="B192" s="56">
        <v>0</v>
      </c>
    </row>
    <row r="193" spans="1:2">
      <c r="A193" s="58">
        <v>42186</v>
      </c>
      <c r="B193" s="56">
        <v>0</v>
      </c>
    </row>
    <row r="194" spans="1:2">
      <c r="A194" s="58">
        <v>42187</v>
      </c>
      <c r="B194" s="56">
        <v>0</v>
      </c>
    </row>
    <row r="195" spans="1:2">
      <c r="A195" s="58">
        <v>42188</v>
      </c>
      <c r="B195" s="56">
        <v>0</v>
      </c>
    </row>
    <row r="196" spans="1:2">
      <c r="A196" s="58">
        <v>42189</v>
      </c>
      <c r="B196" s="56">
        <v>0</v>
      </c>
    </row>
    <row r="197" spans="1:2">
      <c r="A197" s="58">
        <v>42190</v>
      </c>
      <c r="B197" s="56">
        <v>0</v>
      </c>
    </row>
    <row r="198" spans="1:2">
      <c r="A198" s="58">
        <v>42191</v>
      </c>
      <c r="B198" s="56">
        <v>0</v>
      </c>
    </row>
    <row r="199" spans="1:2">
      <c r="A199" s="58">
        <v>42192</v>
      </c>
      <c r="B199" s="56">
        <v>0</v>
      </c>
    </row>
    <row r="200" spans="1:2">
      <c r="A200" s="58">
        <v>42193</v>
      </c>
      <c r="B200" s="56">
        <v>0</v>
      </c>
    </row>
    <row r="201" spans="1:2">
      <c r="A201" s="58">
        <v>42194</v>
      </c>
      <c r="B201" s="56">
        <v>0</v>
      </c>
    </row>
    <row r="202" spans="1:2">
      <c r="A202" s="58">
        <v>42195</v>
      </c>
      <c r="B202" s="56">
        <v>0</v>
      </c>
    </row>
    <row r="203" spans="1:2">
      <c r="A203" s="58">
        <v>42196</v>
      </c>
      <c r="B203" s="56">
        <v>10.8</v>
      </c>
    </row>
    <row r="204" spans="1:2">
      <c r="A204" s="58">
        <v>42197</v>
      </c>
      <c r="B204" s="56">
        <v>12</v>
      </c>
    </row>
    <row r="205" spans="1:2">
      <c r="A205" s="58">
        <v>42198</v>
      </c>
      <c r="B205" s="56">
        <v>0</v>
      </c>
    </row>
    <row r="206" spans="1:2">
      <c r="A206" s="58">
        <v>42199</v>
      </c>
      <c r="B206" s="56">
        <v>0</v>
      </c>
    </row>
    <row r="207" spans="1:2">
      <c r="A207" s="58">
        <v>42200</v>
      </c>
      <c r="B207" s="56">
        <v>0</v>
      </c>
    </row>
    <row r="208" spans="1:2">
      <c r="A208" s="58">
        <v>42201</v>
      </c>
      <c r="B208" s="56">
        <v>0</v>
      </c>
    </row>
    <row r="209" spans="1:2">
      <c r="A209" s="58">
        <v>42202</v>
      </c>
      <c r="B209" s="56">
        <v>0</v>
      </c>
    </row>
    <row r="210" spans="1:2">
      <c r="A210" s="58">
        <v>42203</v>
      </c>
      <c r="B210" s="56">
        <v>0</v>
      </c>
    </row>
    <row r="211" spans="1:2">
      <c r="A211" s="58">
        <v>42204</v>
      </c>
      <c r="B211" s="56">
        <v>0</v>
      </c>
    </row>
    <row r="212" spans="1:2">
      <c r="A212" s="58">
        <v>42205</v>
      </c>
      <c r="B212" s="56">
        <v>0</v>
      </c>
    </row>
    <row r="213" spans="1:2">
      <c r="A213" s="58">
        <v>42206</v>
      </c>
      <c r="B213" s="56">
        <v>0</v>
      </c>
    </row>
    <row r="214" spans="1:2">
      <c r="A214" s="58">
        <v>42207</v>
      </c>
      <c r="B214" s="56">
        <v>0</v>
      </c>
    </row>
    <row r="215" spans="1:2">
      <c r="A215" s="58">
        <v>42208</v>
      </c>
      <c r="B215" s="56">
        <v>0.4</v>
      </c>
    </row>
    <row r="216" spans="1:2">
      <c r="A216" s="58">
        <v>42209</v>
      </c>
      <c r="B216" s="56">
        <v>1</v>
      </c>
    </row>
    <row r="217" spans="1:2">
      <c r="A217" s="58">
        <v>42210</v>
      </c>
      <c r="B217" s="56">
        <v>10.8</v>
      </c>
    </row>
    <row r="218" spans="1:2">
      <c r="A218" s="58">
        <v>42211</v>
      </c>
      <c r="B218" s="56">
        <v>0.6</v>
      </c>
    </row>
    <row r="219" spans="1:2">
      <c r="A219" s="58">
        <v>42212</v>
      </c>
      <c r="B219" s="56">
        <v>0</v>
      </c>
    </row>
    <row r="220" spans="1:2">
      <c r="A220" s="58">
        <v>42213</v>
      </c>
      <c r="B220" s="56">
        <v>0</v>
      </c>
    </row>
    <row r="221" spans="1:2">
      <c r="A221" s="58">
        <v>42214</v>
      </c>
      <c r="B221" s="56">
        <v>0</v>
      </c>
    </row>
    <row r="222" spans="1:2">
      <c r="A222" s="58">
        <v>42215</v>
      </c>
      <c r="B222" s="56">
        <v>0</v>
      </c>
    </row>
    <row r="223" spans="1:2">
      <c r="A223" s="58">
        <v>42216</v>
      </c>
      <c r="B223" s="56">
        <v>0</v>
      </c>
    </row>
    <row r="224" spans="1:2">
      <c r="A224" s="58">
        <v>42217</v>
      </c>
      <c r="B224" s="56">
        <v>0</v>
      </c>
    </row>
    <row r="225" spans="1:2">
      <c r="A225" s="58">
        <v>42218</v>
      </c>
      <c r="B225" s="56">
        <v>0</v>
      </c>
    </row>
    <row r="226" spans="1:2">
      <c r="A226" s="58">
        <v>42219</v>
      </c>
      <c r="B226" s="56">
        <v>0</v>
      </c>
    </row>
    <row r="227" spans="1:2">
      <c r="A227" s="58">
        <v>42220</v>
      </c>
      <c r="B227" s="56">
        <v>6.6</v>
      </c>
    </row>
    <row r="228" spans="1:2">
      <c r="A228" s="58">
        <v>42221</v>
      </c>
      <c r="B228" s="56">
        <v>4.8</v>
      </c>
    </row>
    <row r="229" spans="1:2">
      <c r="A229" s="58">
        <v>42222</v>
      </c>
      <c r="B229" s="56">
        <v>0</v>
      </c>
    </row>
    <row r="230" spans="1:2">
      <c r="A230" s="58">
        <v>42223</v>
      </c>
      <c r="B230" s="56">
        <v>0.2</v>
      </c>
    </row>
    <row r="231" spans="1:2">
      <c r="A231" s="58">
        <v>42224</v>
      </c>
      <c r="B231" s="56">
        <v>5</v>
      </c>
    </row>
    <row r="232" spans="1:2">
      <c r="A232" s="58">
        <v>42225</v>
      </c>
      <c r="B232" s="56">
        <v>1</v>
      </c>
    </row>
    <row r="233" spans="1:2">
      <c r="A233" s="58">
        <v>42226</v>
      </c>
      <c r="B233" s="56">
        <v>0</v>
      </c>
    </row>
    <row r="234" spans="1:2">
      <c r="A234" s="58">
        <v>42227</v>
      </c>
      <c r="B234" s="56">
        <v>0</v>
      </c>
    </row>
    <row r="235" spans="1:2">
      <c r="A235" s="58">
        <v>42228</v>
      </c>
      <c r="B235" s="56">
        <v>0</v>
      </c>
    </row>
    <row r="236" spans="1:2">
      <c r="A236" s="58">
        <v>42229</v>
      </c>
      <c r="B236" s="56">
        <v>0</v>
      </c>
    </row>
    <row r="237" spans="1:2">
      <c r="A237" s="58">
        <v>42230</v>
      </c>
      <c r="B237" s="56">
        <v>9.8000000000000007</v>
      </c>
    </row>
    <row r="238" spans="1:2">
      <c r="A238" s="58">
        <v>42231</v>
      </c>
      <c r="B238" s="56">
        <v>3</v>
      </c>
    </row>
    <row r="239" spans="1:2">
      <c r="A239" s="58">
        <v>42232</v>
      </c>
      <c r="B239" s="56">
        <v>0</v>
      </c>
    </row>
    <row r="240" spans="1:2">
      <c r="A240" s="58">
        <v>42233</v>
      </c>
      <c r="B240" s="56">
        <v>0</v>
      </c>
    </row>
    <row r="241" spans="1:2">
      <c r="A241" s="58">
        <v>42234</v>
      </c>
      <c r="B241" s="56">
        <v>0</v>
      </c>
    </row>
    <row r="242" spans="1:2">
      <c r="A242" s="58">
        <v>42235</v>
      </c>
      <c r="B242" s="56">
        <v>0</v>
      </c>
    </row>
    <row r="243" spans="1:2">
      <c r="A243" s="58">
        <v>42236</v>
      </c>
      <c r="B243" s="56">
        <v>0</v>
      </c>
    </row>
    <row r="244" spans="1:2">
      <c r="A244" s="58">
        <v>42237</v>
      </c>
      <c r="B244" s="56">
        <v>0</v>
      </c>
    </row>
    <row r="245" spans="1:2">
      <c r="A245" s="58">
        <v>42238</v>
      </c>
      <c r="B245" s="56">
        <v>0</v>
      </c>
    </row>
    <row r="246" spans="1:2">
      <c r="A246" s="58">
        <v>42239</v>
      </c>
      <c r="B246" s="56">
        <v>0</v>
      </c>
    </row>
    <row r="247" spans="1:2">
      <c r="A247" s="58">
        <v>42240</v>
      </c>
      <c r="B247" s="56">
        <v>0</v>
      </c>
    </row>
    <row r="248" spans="1:2">
      <c r="A248" s="58">
        <v>42241</v>
      </c>
      <c r="B248" s="56">
        <v>0</v>
      </c>
    </row>
    <row r="249" spans="1:2">
      <c r="A249" s="58">
        <v>42242</v>
      </c>
      <c r="B249" s="56">
        <v>0</v>
      </c>
    </row>
    <row r="250" spans="1:2">
      <c r="A250" s="58">
        <v>42243</v>
      </c>
      <c r="B250" s="56">
        <v>3</v>
      </c>
    </row>
    <row r="251" spans="1:2">
      <c r="A251" s="58">
        <v>42244</v>
      </c>
      <c r="B251" s="56">
        <v>6.8</v>
      </c>
    </row>
    <row r="252" spans="1:2">
      <c r="A252" s="58">
        <v>42245</v>
      </c>
      <c r="B252" s="56">
        <v>16.2</v>
      </c>
    </row>
    <row r="253" spans="1:2">
      <c r="A253" s="58">
        <v>42246</v>
      </c>
      <c r="B253" s="56">
        <v>6.2</v>
      </c>
    </row>
    <row r="254" spans="1:2">
      <c r="A254" s="58">
        <v>42247</v>
      </c>
      <c r="B254" s="56">
        <v>14.2</v>
      </c>
    </row>
    <row r="255" spans="1:2">
      <c r="A255" s="58">
        <v>42248</v>
      </c>
      <c r="B255" s="56">
        <v>1.6</v>
      </c>
    </row>
    <row r="256" spans="1:2">
      <c r="A256" s="58">
        <v>42249</v>
      </c>
      <c r="B256" s="56">
        <v>9.4</v>
      </c>
    </row>
    <row r="257" spans="1:2">
      <c r="A257" s="58">
        <v>42250</v>
      </c>
      <c r="B257" s="56">
        <v>0.6</v>
      </c>
    </row>
    <row r="258" spans="1:2">
      <c r="A258" s="58">
        <v>42251</v>
      </c>
      <c r="B258" s="56">
        <v>0</v>
      </c>
    </row>
    <row r="259" spans="1:2">
      <c r="A259" s="58">
        <v>42252</v>
      </c>
      <c r="B259" s="56">
        <v>0.2</v>
      </c>
    </row>
    <row r="260" spans="1:2">
      <c r="A260" s="58">
        <v>42253</v>
      </c>
      <c r="B260" s="56">
        <v>0.2</v>
      </c>
    </row>
    <row r="261" spans="1:2">
      <c r="A261" s="58">
        <v>42254</v>
      </c>
      <c r="B261" s="56">
        <v>4</v>
      </c>
    </row>
    <row r="262" spans="1:2">
      <c r="A262" s="58">
        <v>42255</v>
      </c>
      <c r="B262" s="56">
        <v>0</v>
      </c>
    </row>
    <row r="263" spans="1:2">
      <c r="A263" s="58">
        <v>42256</v>
      </c>
      <c r="B263" s="56">
        <v>0</v>
      </c>
    </row>
    <row r="264" spans="1:2">
      <c r="A264" s="58">
        <v>42257</v>
      </c>
      <c r="B264" s="56">
        <v>0</v>
      </c>
    </row>
    <row r="265" spans="1:2">
      <c r="A265" s="58">
        <v>42258</v>
      </c>
      <c r="B265" s="56">
        <v>0</v>
      </c>
    </row>
    <row r="266" spans="1:2">
      <c r="A266" s="58">
        <v>42259</v>
      </c>
      <c r="B266" s="56">
        <v>0</v>
      </c>
    </row>
    <row r="267" spans="1:2">
      <c r="A267" s="58">
        <v>42260</v>
      </c>
      <c r="B267" s="56">
        <v>0</v>
      </c>
    </row>
    <row r="268" spans="1:2">
      <c r="A268" s="58">
        <v>42261</v>
      </c>
      <c r="B268" s="56">
        <v>0</v>
      </c>
    </row>
    <row r="269" spans="1:2">
      <c r="A269" s="58">
        <v>42262</v>
      </c>
      <c r="B269" s="56">
        <v>3.2</v>
      </c>
    </row>
    <row r="270" spans="1:2">
      <c r="A270" s="58">
        <v>42263</v>
      </c>
      <c r="B270" s="56">
        <v>6.4</v>
      </c>
    </row>
    <row r="271" spans="1:2">
      <c r="A271" s="58">
        <v>42264</v>
      </c>
      <c r="B271" s="56">
        <v>2</v>
      </c>
    </row>
    <row r="272" spans="1:2">
      <c r="A272" s="58">
        <v>42265</v>
      </c>
      <c r="B272" s="56">
        <v>8.6</v>
      </c>
    </row>
    <row r="273" spans="1:2">
      <c r="A273" s="58">
        <v>42266</v>
      </c>
      <c r="B273" s="56">
        <v>9.8000000000000007</v>
      </c>
    </row>
    <row r="274" spans="1:2">
      <c r="A274" s="58">
        <v>42267</v>
      </c>
      <c r="B274" s="56">
        <v>7.4</v>
      </c>
    </row>
    <row r="275" spans="1:2">
      <c r="A275" s="58">
        <v>42268</v>
      </c>
      <c r="B275" s="56">
        <v>0</v>
      </c>
    </row>
    <row r="276" spans="1:2">
      <c r="A276" s="58">
        <v>42269</v>
      </c>
      <c r="B276" s="56">
        <v>0</v>
      </c>
    </row>
    <row r="277" spans="1:2">
      <c r="A277" s="58">
        <v>42270</v>
      </c>
      <c r="B277" s="56">
        <v>8.4</v>
      </c>
    </row>
    <row r="278" spans="1:2">
      <c r="A278" s="58">
        <v>42271</v>
      </c>
      <c r="B278" s="56">
        <v>7.8</v>
      </c>
    </row>
    <row r="279" spans="1:2">
      <c r="A279" s="58">
        <v>42272</v>
      </c>
      <c r="B279" s="56">
        <v>0.4</v>
      </c>
    </row>
    <row r="280" spans="1:2">
      <c r="A280" s="58">
        <v>42273</v>
      </c>
      <c r="B280" s="56">
        <v>0</v>
      </c>
    </row>
    <row r="281" spans="1:2">
      <c r="A281" s="58">
        <v>42274</v>
      </c>
      <c r="B281" s="56">
        <v>0</v>
      </c>
    </row>
    <row r="282" spans="1:2">
      <c r="A282" s="58">
        <v>42275</v>
      </c>
      <c r="B282" s="56">
        <v>0</v>
      </c>
    </row>
    <row r="283" spans="1:2">
      <c r="A283" s="58">
        <v>42276</v>
      </c>
      <c r="B283" s="56">
        <v>0</v>
      </c>
    </row>
    <row r="284" spans="1:2">
      <c r="A284" s="58">
        <v>42277</v>
      </c>
      <c r="B284" s="56">
        <v>0</v>
      </c>
    </row>
    <row r="285" spans="1:2">
      <c r="A285" s="58">
        <v>42278</v>
      </c>
      <c r="B285" s="56">
        <v>0</v>
      </c>
    </row>
    <row r="286" spans="1:2">
      <c r="A286" s="58">
        <v>42279</v>
      </c>
      <c r="B286" s="56">
        <v>0</v>
      </c>
    </row>
    <row r="287" spans="1:2">
      <c r="A287" s="58">
        <v>42280</v>
      </c>
      <c r="B287" s="56">
        <v>0</v>
      </c>
    </row>
    <row r="288" spans="1:2">
      <c r="A288" s="58">
        <v>42281</v>
      </c>
      <c r="B288" s="56">
        <v>0</v>
      </c>
    </row>
    <row r="289" spans="1:2">
      <c r="A289" s="58">
        <v>42282</v>
      </c>
      <c r="B289" s="56">
        <v>0</v>
      </c>
    </row>
    <row r="290" spans="1:2">
      <c r="A290" s="58">
        <v>42283</v>
      </c>
      <c r="B290" s="56">
        <v>2.4</v>
      </c>
    </row>
    <row r="291" spans="1:2">
      <c r="A291" s="58">
        <v>42284</v>
      </c>
      <c r="B291" s="56">
        <v>9</v>
      </c>
    </row>
    <row r="292" spans="1:2">
      <c r="A292" s="58">
        <v>42285</v>
      </c>
      <c r="B292" s="56">
        <v>1</v>
      </c>
    </row>
    <row r="293" spans="1:2">
      <c r="A293" s="58">
        <v>42286</v>
      </c>
      <c r="B293" s="56">
        <v>15.6</v>
      </c>
    </row>
    <row r="294" spans="1:2">
      <c r="A294" s="58">
        <v>42287</v>
      </c>
      <c r="B294" s="56">
        <v>14.4</v>
      </c>
    </row>
    <row r="295" spans="1:2">
      <c r="A295" s="58">
        <v>42288</v>
      </c>
      <c r="B295" s="56">
        <v>7.8</v>
      </c>
    </row>
    <row r="296" spans="1:2">
      <c r="A296" s="58">
        <v>42289</v>
      </c>
      <c r="B296" s="56">
        <v>6</v>
      </c>
    </row>
    <row r="297" spans="1:2">
      <c r="A297" s="58">
        <v>42290</v>
      </c>
      <c r="B297" s="56">
        <v>0</v>
      </c>
    </row>
    <row r="298" spans="1:2">
      <c r="A298" s="58">
        <v>42291</v>
      </c>
      <c r="B298" s="56">
        <v>0</v>
      </c>
    </row>
    <row r="299" spans="1:2">
      <c r="A299" s="58">
        <v>42292</v>
      </c>
      <c r="B299" s="56">
        <v>0</v>
      </c>
    </row>
    <row r="300" spans="1:2">
      <c r="A300" s="58">
        <v>42293</v>
      </c>
      <c r="B300" s="56">
        <v>4.8</v>
      </c>
    </row>
    <row r="301" spans="1:2">
      <c r="A301" s="58">
        <v>42294</v>
      </c>
      <c r="B301" s="56">
        <v>1.8</v>
      </c>
    </row>
    <row r="302" spans="1:2">
      <c r="A302" s="58">
        <v>42295</v>
      </c>
      <c r="B302" s="56">
        <v>3.2</v>
      </c>
    </row>
    <row r="303" spans="1:2">
      <c r="A303" s="58">
        <v>42296</v>
      </c>
      <c r="B303" s="56">
        <v>4.2</v>
      </c>
    </row>
    <row r="304" spans="1:2">
      <c r="A304" s="58">
        <v>42297</v>
      </c>
      <c r="B304" s="56">
        <v>0</v>
      </c>
    </row>
    <row r="305" spans="1:2">
      <c r="A305" s="58">
        <v>42298</v>
      </c>
      <c r="B305" s="56">
        <v>6</v>
      </c>
    </row>
    <row r="306" spans="1:2">
      <c r="A306" s="58">
        <v>42299</v>
      </c>
      <c r="B306" s="56">
        <v>0</v>
      </c>
    </row>
    <row r="307" spans="1:2">
      <c r="A307" s="58">
        <v>42300</v>
      </c>
      <c r="B307" s="56">
        <v>0</v>
      </c>
    </row>
    <row r="308" spans="1:2">
      <c r="A308" s="58">
        <v>42301</v>
      </c>
      <c r="B308" s="56">
        <v>0.8</v>
      </c>
    </row>
    <row r="309" spans="1:2">
      <c r="A309" s="58">
        <v>42302</v>
      </c>
      <c r="B309" s="56">
        <v>0</v>
      </c>
    </row>
    <row r="310" spans="1:2">
      <c r="A310" s="58">
        <v>42303</v>
      </c>
      <c r="B310" s="56">
        <v>0</v>
      </c>
    </row>
    <row r="311" spans="1:2">
      <c r="A311" s="58">
        <v>42304</v>
      </c>
      <c r="B311" s="56">
        <v>6</v>
      </c>
    </row>
    <row r="312" spans="1:2">
      <c r="A312" s="58">
        <v>42305</v>
      </c>
      <c r="B312" s="56">
        <v>4.8</v>
      </c>
    </row>
    <row r="313" spans="1:2">
      <c r="A313" s="58">
        <v>42306</v>
      </c>
      <c r="B313" s="56">
        <v>10.199999999999999</v>
      </c>
    </row>
    <row r="314" spans="1:2">
      <c r="A314" s="58">
        <v>42307</v>
      </c>
      <c r="B314" s="56">
        <v>8</v>
      </c>
    </row>
    <row r="315" spans="1:2">
      <c r="A315" s="58">
        <v>42308</v>
      </c>
      <c r="B315" s="56">
        <v>10</v>
      </c>
    </row>
    <row r="316" spans="1:2">
      <c r="A316" s="58">
        <v>42309</v>
      </c>
      <c r="B316" s="56">
        <v>7.6</v>
      </c>
    </row>
    <row r="317" spans="1:2">
      <c r="A317" s="58">
        <v>42310</v>
      </c>
      <c r="B317" s="56">
        <v>0</v>
      </c>
    </row>
    <row r="318" spans="1:2">
      <c r="A318" s="58">
        <v>42311</v>
      </c>
      <c r="B318" s="56">
        <v>0</v>
      </c>
    </row>
    <row r="319" spans="1:2">
      <c r="A319" s="58">
        <v>42312</v>
      </c>
      <c r="B319" s="56">
        <v>4.5999999999999996</v>
      </c>
    </row>
    <row r="320" spans="1:2">
      <c r="A320" s="58">
        <v>42313</v>
      </c>
      <c r="B320" s="56">
        <v>2</v>
      </c>
    </row>
    <row r="321" spans="1:2">
      <c r="A321" s="58">
        <v>42314</v>
      </c>
      <c r="B321" s="56">
        <v>15</v>
      </c>
    </row>
    <row r="322" spans="1:2">
      <c r="A322" s="58">
        <v>42315</v>
      </c>
      <c r="B322" s="56">
        <v>3.6</v>
      </c>
    </row>
    <row r="323" spans="1:2">
      <c r="A323" s="58">
        <v>42316</v>
      </c>
      <c r="B323" s="56">
        <v>4.4000000000000004</v>
      </c>
    </row>
    <row r="324" spans="1:2">
      <c r="A324" s="58">
        <v>42317</v>
      </c>
      <c r="B324" s="56">
        <v>0</v>
      </c>
    </row>
    <row r="325" spans="1:2">
      <c r="A325" s="58">
        <v>42318</v>
      </c>
      <c r="B325" s="56">
        <v>9.6</v>
      </c>
    </row>
    <row r="326" spans="1:2">
      <c r="A326" s="58">
        <v>42319</v>
      </c>
      <c r="B326" s="56">
        <v>1.2</v>
      </c>
    </row>
    <row r="327" spans="1:2">
      <c r="A327" s="58">
        <v>42320</v>
      </c>
      <c r="B327" s="56">
        <v>8.1999999999999993</v>
      </c>
    </row>
    <row r="328" spans="1:2">
      <c r="A328" s="58">
        <v>42321</v>
      </c>
      <c r="B328" s="56">
        <v>0.8</v>
      </c>
    </row>
    <row r="329" spans="1:2">
      <c r="A329" s="58">
        <v>42322</v>
      </c>
      <c r="B329" s="56">
        <v>2.4</v>
      </c>
    </row>
    <row r="330" spans="1:2">
      <c r="A330" s="58">
        <v>42323</v>
      </c>
      <c r="B330" s="56">
        <v>0.2</v>
      </c>
    </row>
    <row r="331" spans="1:2">
      <c r="A331" s="58">
        <v>42324</v>
      </c>
      <c r="B331" s="56">
        <v>8.1999999999999993</v>
      </c>
    </row>
    <row r="332" spans="1:2">
      <c r="A332" s="58">
        <v>42325</v>
      </c>
      <c r="B332" s="56">
        <v>5.8</v>
      </c>
    </row>
    <row r="333" spans="1:2">
      <c r="A333" s="58">
        <v>42326</v>
      </c>
      <c r="B333" s="56">
        <v>0</v>
      </c>
    </row>
    <row r="334" spans="1:2">
      <c r="A334" s="58">
        <v>42327</v>
      </c>
      <c r="B334" s="56">
        <v>0</v>
      </c>
    </row>
    <row r="335" spans="1:2">
      <c r="A335" s="58">
        <v>42328</v>
      </c>
      <c r="B335" s="56">
        <v>0</v>
      </c>
    </row>
    <row r="336" spans="1:2">
      <c r="A336" s="58">
        <v>42329</v>
      </c>
      <c r="B336" s="56">
        <v>0</v>
      </c>
    </row>
    <row r="337" spans="1:2">
      <c r="A337" s="58">
        <v>42330</v>
      </c>
      <c r="B337" s="56">
        <v>1.8</v>
      </c>
    </row>
    <row r="338" spans="1:2">
      <c r="A338" s="58">
        <v>42331</v>
      </c>
      <c r="B338" s="56">
        <v>4.5999999999999996</v>
      </c>
    </row>
    <row r="339" spans="1:2">
      <c r="A339" s="58">
        <v>42332</v>
      </c>
      <c r="B339" s="56">
        <v>0</v>
      </c>
    </row>
    <row r="340" spans="1:2">
      <c r="A340" s="58">
        <v>42333</v>
      </c>
      <c r="B340" s="56">
        <v>0</v>
      </c>
    </row>
    <row r="341" spans="1:2">
      <c r="A341" s="58">
        <v>42334</v>
      </c>
      <c r="B341" s="56">
        <v>0</v>
      </c>
    </row>
    <row r="342" spans="1:2">
      <c r="A342" s="58">
        <v>42335</v>
      </c>
      <c r="B342" s="56">
        <v>0</v>
      </c>
    </row>
    <row r="343" spans="1:2">
      <c r="A343" s="58">
        <v>42336</v>
      </c>
      <c r="B343" s="56">
        <v>0</v>
      </c>
    </row>
    <row r="344" spans="1:2">
      <c r="A344" s="58">
        <v>42337</v>
      </c>
      <c r="B344" s="56">
        <v>0</v>
      </c>
    </row>
    <row r="345" spans="1:2">
      <c r="A345" s="58">
        <v>42338</v>
      </c>
      <c r="B345" s="56">
        <v>4</v>
      </c>
    </row>
    <row r="346" spans="1:2">
      <c r="A346" s="58">
        <v>42339</v>
      </c>
      <c r="B346" s="56">
        <v>8.4</v>
      </c>
    </row>
    <row r="347" spans="1:2">
      <c r="A347" s="58">
        <v>42340</v>
      </c>
      <c r="B347" s="56">
        <v>39.200000000000003</v>
      </c>
    </row>
    <row r="348" spans="1:2">
      <c r="A348" s="58">
        <v>42341</v>
      </c>
      <c r="B348" s="56">
        <v>10.199999999999999</v>
      </c>
    </row>
    <row r="349" spans="1:2">
      <c r="A349" s="58">
        <v>42342</v>
      </c>
      <c r="B349" s="56">
        <v>6.4</v>
      </c>
    </row>
    <row r="350" spans="1:2">
      <c r="A350" s="58">
        <v>42343</v>
      </c>
      <c r="B350" s="56">
        <v>48.2</v>
      </c>
    </row>
    <row r="351" spans="1:2">
      <c r="A351" s="58">
        <v>42344</v>
      </c>
      <c r="B351" s="56">
        <v>16.8</v>
      </c>
    </row>
    <row r="352" spans="1:2">
      <c r="A352" s="58">
        <v>42345</v>
      </c>
      <c r="B352" s="56">
        <v>11</v>
      </c>
    </row>
    <row r="353" spans="1:2">
      <c r="A353" s="58">
        <v>42346</v>
      </c>
      <c r="B353" s="56">
        <v>11</v>
      </c>
    </row>
    <row r="354" spans="1:2">
      <c r="A354" s="58">
        <v>42347</v>
      </c>
      <c r="B354" s="56">
        <v>3.2</v>
      </c>
    </row>
    <row r="355" spans="1:2">
      <c r="A355" s="58">
        <v>42348</v>
      </c>
      <c r="B355" s="56">
        <v>9</v>
      </c>
    </row>
    <row r="356" spans="1:2">
      <c r="A356" s="58">
        <v>42349</v>
      </c>
      <c r="B356" s="56">
        <v>3</v>
      </c>
    </row>
    <row r="357" spans="1:2">
      <c r="A357" s="58">
        <v>42350</v>
      </c>
      <c r="B357" s="56">
        <v>35.200000000000003</v>
      </c>
    </row>
    <row r="358" spans="1:2">
      <c r="A358" s="58">
        <v>42351</v>
      </c>
      <c r="B358" s="56">
        <v>1</v>
      </c>
    </row>
    <row r="359" spans="1:2">
      <c r="A359" s="58">
        <v>42352</v>
      </c>
      <c r="B359" s="56">
        <v>0</v>
      </c>
    </row>
    <row r="360" spans="1:2">
      <c r="A360" s="58">
        <v>42353</v>
      </c>
      <c r="B360" s="56">
        <v>2</v>
      </c>
    </row>
    <row r="361" spans="1:2">
      <c r="A361" s="58">
        <v>42354</v>
      </c>
      <c r="B361" s="56">
        <v>0</v>
      </c>
    </row>
    <row r="362" spans="1:2">
      <c r="A362" s="58">
        <v>42355</v>
      </c>
      <c r="B362" s="56">
        <v>10.199999999999999</v>
      </c>
    </row>
    <row r="363" spans="1:2">
      <c r="A363" s="58">
        <v>42356</v>
      </c>
      <c r="B363" s="56">
        <v>5.4</v>
      </c>
    </row>
    <row r="364" spans="1:2">
      <c r="A364" s="58">
        <v>42357</v>
      </c>
      <c r="B364" s="56">
        <v>11.4</v>
      </c>
    </row>
    <row r="365" spans="1:2">
      <c r="A365" s="58">
        <v>42358</v>
      </c>
      <c r="B365" s="56">
        <v>2.4</v>
      </c>
    </row>
    <row r="366" spans="1:2">
      <c r="A366" s="58">
        <v>42359</v>
      </c>
      <c r="B366" s="56">
        <v>0.4</v>
      </c>
    </row>
    <row r="367" spans="1:2">
      <c r="A367" s="58">
        <v>42360</v>
      </c>
      <c r="B367" s="56">
        <v>4</v>
      </c>
    </row>
    <row r="368" spans="1:2">
      <c r="A368" s="58">
        <v>42361</v>
      </c>
      <c r="B368" s="56">
        <v>10.8</v>
      </c>
    </row>
    <row r="369" spans="1:2">
      <c r="A369" s="58">
        <v>42362</v>
      </c>
      <c r="B369" s="56">
        <v>0.6</v>
      </c>
    </row>
    <row r="370" spans="1:2">
      <c r="A370" s="58">
        <v>42363</v>
      </c>
      <c r="B370" s="56">
        <v>0</v>
      </c>
    </row>
    <row r="371" spans="1:2">
      <c r="A371" s="58">
        <v>42364</v>
      </c>
      <c r="B371" s="56">
        <v>6.4</v>
      </c>
    </row>
    <row r="372" spans="1:2">
      <c r="A372" s="58">
        <v>42365</v>
      </c>
      <c r="B372" s="56">
        <v>2.4</v>
      </c>
    </row>
    <row r="373" spans="1:2">
      <c r="A373" s="58">
        <v>42366</v>
      </c>
      <c r="B373" s="56">
        <v>0</v>
      </c>
    </row>
    <row r="374" spans="1:2">
      <c r="A374" s="58">
        <v>42367</v>
      </c>
      <c r="B374" s="56">
        <v>0</v>
      </c>
    </row>
    <row r="375" spans="1:2">
      <c r="A375" s="58">
        <v>42368</v>
      </c>
      <c r="B375" s="56">
        <v>0</v>
      </c>
    </row>
    <row r="376" spans="1:2">
      <c r="A376" s="58">
        <v>42369</v>
      </c>
      <c r="B376" s="5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1:B376"/>
  <sheetViews>
    <sheetView workbookViewId="0"/>
  </sheetViews>
  <sheetFormatPr defaultRowHeight="14.4"/>
  <cols>
    <col min="1" max="1" width="10.5546875" style="195" bestFit="1" customWidth="1"/>
    <col min="2" max="2" width="17" style="195" bestFit="1" customWidth="1"/>
  </cols>
  <sheetData>
    <row r="11" spans="1:2">
      <c r="A11" s="57" t="s">
        <v>360</v>
      </c>
      <c r="B11" s="57" t="s">
        <v>646</v>
      </c>
    </row>
    <row r="12" spans="1:2">
      <c r="A12" s="58">
        <v>41275</v>
      </c>
      <c r="B12" s="56">
        <v>0</v>
      </c>
    </row>
    <row r="13" spans="1:2">
      <c r="A13" s="58">
        <v>41276</v>
      </c>
      <c r="B13" s="56">
        <v>0</v>
      </c>
    </row>
    <row r="14" spans="1:2">
      <c r="A14" s="58">
        <v>41277</v>
      </c>
      <c r="B14" s="56">
        <v>0</v>
      </c>
    </row>
    <row r="15" spans="1:2">
      <c r="A15" s="58">
        <v>41278</v>
      </c>
      <c r="B15" s="56">
        <v>0</v>
      </c>
    </row>
    <row r="16" spans="1:2">
      <c r="A16" s="58">
        <v>41279</v>
      </c>
      <c r="B16" s="56">
        <v>4.4000000000000004</v>
      </c>
    </row>
    <row r="17" spans="1:2">
      <c r="A17" s="58">
        <v>41280</v>
      </c>
      <c r="B17" s="56">
        <v>5.6</v>
      </c>
    </row>
    <row r="18" spans="1:2">
      <c r="A18" s="58">
        <v>41281</v>
      </c>
      <c r="B18" s="56">
        <v>5</v>
      </c>
    </row>
    <row r="19" spans="1:2">
      <c r="A19" s="58">
        <v>41282</v>
      </c>
      <c r="B19" s="56">
        <v>2.6</v>
      </c>
    </row>
    <row r="20" spans="1:2">
      <c r="A20" s="58">
        <v>41283</v>
      </c>
      <c r="B20" s="56">
        <v>0.2</v>
      </c>
    </row>
    <row r="21" spans="1:2">
      <c r="A21" s="58">
        <v>41284</v>
      </c>
      <c r="B21" s="56">
        <v>0</v>
      </c>
    </row>
    <row r="22" spans="1:2">
      <c r="A22" s="58">
        <v>41285</v>
      </c>
      <c r="B22" s="56">
        <v>0</v>
      </c>
    </row>
    <row r="23" spans="1:2">
      <c r="A23" s="58">
        <v>41286</v>
      </c>
      <c r="B23" s="56">
        <v>0</v>
      </c>
    </row>
    <row r="24" spans="1:2">
      <c r="A24" s="58">
        <v>41287</v>
      </c>
      <c r="B24" s="56">
        <v>0</v>
      </c>
    </row>
    <row r="25" spans="1:2">
      <c r="A25" s="58">
        <v>41288</v>
      </c>
      <c r="B25" s="56">
        <v>0</v>
      </c>
    </row>
    <row r="26" spans="1:2">
      <c r="A26" s="58">
        <v>41289</v>
      </c>
      <c r="B26" s="56">
        <v>1</v>
      </c>
    </row>
    <row r="27" spans="1:2">
      <c r="A27" s="58">
        <v>41290</v>
      </c>
      <c r="B27" s="56">
        <v>1.2</v>
      </c>
    </row>
    <row r="28" spans="1:2">
      <c r="A28" s="58">
        <v>41291</v>
      </c>
      <c r="B28" s="56">
        <v>2.2000000000000002</v>
      </c>
    </row>
    <row r="29" spans="1:2">
      <c r="A29" s="58">
        <v>41292</v>
      </c>
      <c r="B29" s="56">
        <v>0</v>
      </c>
    </row>
    <row r="30" spans="1:2">
      <c r="A30" s="58">
        <v>41293</v>
      </c>
      <c r="B30" s="56">
        <v>0</v>
      </c>
    </row>
    <row r="31" spans="1:2">
      <c r="A31" s="58">
        <v>41294</v>
      </c>
      <c r="B31" s="56">
        <v>0</v>
      </c>
    </row>
    <row r="32" spans="1:2">
      <c r="A32" s="58">
        <v>41295</v>
      </c>
      <c r="B32" s="56">
        <v>0</v>
      </c>
    </row>
    <row r="33" spans="1:2">
      <c r="A33" s="58">
        <v>41296</v>
      </c>
      <c r="B33" s="56">
        <v>0.2</v>
      </c>
    </row>
    <row r="34" spans="1:2">
      <c r="A34" s="58">
        <v>41297</v>
      </c>
      <c r="B34" s="56">
        <v>6.4</v>
      </c>
    </row>
    <row r="35" spans="1:2">
      <c r="A35" s="58">
        <v>41298</v>
      </c>
      <c r="B35" s="56">
        <v>2.2000000000000002</v>
      </c>
    </row>
    <row r="36" spans="1:2">
      <c r="A36" s="58">
        <v>41299</v>
      </c>
      <c r="B36" s="56">
        <v>0.2</v>
      </c>
    </row>
    <row r="37" spans="1:2">
      <c r="A37" s="58">
        <v>41300</v>
      </c>
      <c r="B37" s="56">
        <v>1.6</v>
      </c>
    </row>
    <row r="38" spans="1:2">
      <c r="A38" s="58">
        <v>41301</v>
      </c>
      <c r="B38" s="56">
        <v>4.5999999999999996</v>
      </c>
    </row>
    <row r="39" spans="1:2">
      <c r="A39" s="58">
        <v>41302</v>
      </c>
      <c r="B39" s="56">
        <v>10.4</v>
      </c>
    </row>
    <row r="40" spans="1:2">
      <c r="A40" s="58">
        <v>41303</v>
      </c>
      <c r="B40" s="56">
        <v>10.8</v>
      </c>
    </row>
    <row r="41" spans="1:2">
      <c r="A41" s="58">
        <v>41304</v>
      </c>
      <c r="B41" s="56">
        <v>6.2</v>
      </c>
    </row>
    <row r="42" spans="1:2">
      <c r="A42" s="58">
        <v>41305</v>
      </c>
      <c r="B42" s="56">
        <v>1.4</v>
      </c>
    </row>
    <row r="43" spans="1:2">
      <c r="A43" s="58">
        <v>41306</v>
      </c>
      <c r="B43" s="56">
        <v>0</v>
      </c>
    </row>
    <row r="44" spans="1:2">
      <c r="A44" s="58">
        <v>41307</v>
      </c>
      <c r="B44" s="56">
        <v>1</v>
      </c>
    </row>
    <row r="45" spans="1:2">
      <c r="A45" s="58">
        <v>41308</v>
      </c>
      <c r="B45" s="56">
        <v>8</v>
      </c>
    </row>
    <row r="46" spans="1:2">
      <c r="A46" s="58">
        <v>41309</v>
      </c>
      <c r="B46" s="56">
        <v>1.6</v>
      </c>
    </row>
    <row r="47" spans="1:2">
      <c r="A47" s="58">
        <v>41310</v>
      </c>
      <c r="B47" s="56">
        <v>3.8</v>
      </c>
    </row>
    <row r="48" spans="1:2">
      <c r="A48" s="58">
        <v>41311</v>
      </c>
      <c r="B48" s="56">
        <v>0.2</v>
      </c>
    </row>
    <row r="49" spans="1:2">
      <c r="A49" s="58">
        <v>41312</v>
      </c>
      <c r="B49" s="56">
        <v>1.6</v>
      </c>
    </row>
    <row r="50" spans="1:2">
      <c r="A50" s="58">
        <v>41313</v>
      </c>
      <c r="B50" s="56">
        <v>0.2</v>
      </c>
    </row>
    <row r="51" spans="1:2">
      <c r="A51" s="58">
        <v>41314</v>
      </c>
      <c r="B51" s="56">
        <v>0</v>
      </c>
    </row>
    <row r="52" spans="1:2">
      <c r="A52" s="58">
        <v>41315</v>
      </c>
      <c r="B52" s="56">
        <v>1</v>
      </c>
    </row>
    <row r="53" spans="1:2">
      <c r="A53" s="58">
        <v>41316</v>
      </c>
      <c r="B53" s="56">
        <v>1.4</v>
      </c>
    </row>
    <row r="54" spans="1:2">
      <c r="A54" s="58">
        <v>41317</v>
      </c>
      <c r="B54" s="56">
        <v>4.5999999999999996</v>
      </c>
    </row>
    <row r="55" spans="1:2">
      <c r="A55" s="58">
        <v>41318</v>
      </c>
      <c r="B55" s="56">
        <v>3</v>
      </c>
    </row>
    <row r="56" spans="1:2">
      <c r="A56" s="58">
        <v>41319</v>
      </c>
      <c r="B56" s="56">
        <v>5.6</v>
      </c>
    </row>
    <row r="57" spans="1:2">
      <c r="A57" s="58">
        <v>41320</v>
      </c>
      <c r="B57" s="56">
        <v>2.4</v>
      </c>
    </row>
    <row r="58" spans="1:2">
      <c r="A58" s="58">
        <v>41321</v>
      </c>
      <c r="B58" s="56">
        <v>0</v>
      </c>
    </row>
    <row r="59" spans="1:2">
      <c r="A59" s="58">
        <v>41322</v>
      </c>
      <c r="B59" s="56">
        <v>0</v>
      </c>
    </row>
    <row r="60" spans="1:2">
      <c r="A60" s="58">
        <v>41323</v>
      </c>
      <c r="B60" s="56">
        <v>0</v>
      </c>
    </row>
    <row r="61" spans="1:2">
      <c r="A61" s="58">
        <v>41324</v>
      </c>
      <c r="B61" s="56">
        <v>0</v>
      </c>
    </row>
    <row r="62" spans="1:2">
      <c r="A62" s="58">
        <v>41325</v>
      </c>
      <c r="B62" s="56">
        <v>2.2000000000000002</v>
      </c>
    </row>
    <row r="63" spans="1:2">
      <c r="A63" s="58">
        <v>41326</v>
      </c>
      <c r="B63" s="56">
        <v>9</v>
      </c>
    </row>
    <row r="64" spans="1:2">
      <c r="A64" s="58">
        <v>41327</v>
      </c>
      <c r="B64" s="56">
        <v>10.6</v>
      </c>
    </row>
    <row r="65" spans="1:2">
      <c r="A65" s="58">
        <v>41328</v>
      </c>
      <c r="B65" s="56">
        <v>4.5999999999999996</v>
      </c>
    </row>
    <row r="66" spans="1:2">
      <c r="A66" s="58">
        <v>41329</v>
      </c>
      <c r="B66" s="56">
        <v>23.6</v>
      </c>
    </row>
    <row r="67" spans="1:2">
      <c r="A67" s="58">
        <v>41330</v>
      </c>
      <c r="B67" s="56">
        <v>1.6</v>
      </c>
    </row>
    <row r="68" spans="1:2">
      <c r="A68" s="58">
        <v>41331</v>
      </c>
      <c r="B68" s="56">
        <v>2.2000000000000002</v>
      </c>
    </row>
    <row r="69" spans="1:2">
      <c r="A69" s="58">
        <v>41332</v>
      </c>
      <c r="B69" s="56">
        <v>0.2</v>
      </c>
    </row>
    <row r="70" spans="1:2">
      <c r="A70" s="58">
        <v>41333</v>
      </c>
      <c r="B70" s="56">
        <v>8.6</v>
      </c>
    </row>
    <row r="71" spans="1:2">
      <c r="A71" s="58">
        <v>41334</v>
      </c>
      <c r="B71" s="56">
        <v>20</v>
      </c>
    </row>
    <row r="72" spans="1:2">
      <c r="A72" s="58">
        <v>41335</v>
      </c>
      <c r="B72" s="56">
        <v>4.4000000000000004</v>
      </c>
    </row>
    <row r="73" spans="1:2">
      <c r="A73" s="58">
        <v>41336</v>
      </c>
      <c r="B73" s="56">
        <v>0</v>
      </c>
    </row>
    <row r="74" spans="1:2">
      <c r="A74" s="58">
        <v>41337</v>
      </c>
      <c r="B74" s="56">
        <v>0</v>
      </c>
    </row>
    <row r="75" spans="1:2">
      <c r="A75" s="58">
        <v>41338</v>
      </c>
      <c r="B75" s="56">
        <v>0</v>
      </c>
    </row>
    <row r="76" spans="1:2">
      <c r="A76" s="58">
        <v>41339</v>
      </c>
      <c r="B76" s="56">
        <v>0</v>
      </c>
    </row>
    <row r="77" spans="1:2">
      <c r="A77" s="58">
        <v>41340</v>
      </c>
      <c r="B77" s="56">
        <v>0</v>
      </c>
    </row>
    <row r="78" spans="1:2">
      <c r="A78" s="58">
        <v>41341</v>
      </c>
      <c r="B78" s="56">
        <v>0</v>
      </c>
    </row>
    <row r="79" spans="1:2">
      <c r="A79" s="58">
        <v>41342</v>
      </c>
      <c r="B79" s="56">
        <v>0.8</v>
      </c>
    </row>
    <row r="80" spans="1:2">
      <c r="A80" s="58">
        <v>41343</v>
      </c>
      <c r="B80" s="56">
        <v>0</v>
      </c>
    </row>
    <row r="81" spans="1:2">
      <c r="A81" s="58">
        <v>41344</v>
      </c>
      <c r="B81" s="56">
        <v>4</v>
      </c>
    </row>
    <row r="82" spans="1:2">
      <c r="A82" s="58">
        <v>41345</v>
      </c>
      <c r="B82" s="56">
        <v>22.8</v>
      </c>
    </row>
    <row r="83" spans="1:2">
      <c r="A83" s="58">
        <v>41346</v>
      </c>
      <c r="B83" s="56">
        <v>25.2</v>
      </c>
    </row>
    <row r="84" spans="1:2">
      <c r="A84" s="58">
        <v>41347</v>
      </c>
      <c r="B84" s="56">
        <v>5.6</v>
      </c>
    </row>
    <row r="85" spans="1:2">
      <c r="A85" s="58">
        <v>41348</v>
      </c>
      <c r="B85" s="56">
        <v>1.4</v>
      </c>
    </row>
    <row r="86" spans="1:2">
      <c r="A86" s="58">
        <v>41349</v>
      </c>
      <c r="B86" s="56">
        <v>0</v>
      </c>
    </row>
    <row r="87" spans="1:2">
      <c r="A87" s="58">
        <v>41350</v>
      </c>
      <c r="B87" s="56">
        <v>1.8</v>
      </c>
    </row>
    <row r="88" spans="1:2">
      <c r="A88" s="58">
        <v>41351</v>
      </c>
      <c r="B88" s="56">
        <v>0</v>
      </c>
    </row>
    <row r="89" spans="1:2">
      <c r="A89" s="58">
        <v>41352</v>
      </c>
      <c r="B89" s="56">
        <v>7.6</v>
      </c>
    </row>
    <row r="90" spans="1:2">
      <c r="A90" s="58">
        <v>41353</v>
      </c>
      <c r="B90" s="56">
        <v>3</v>
      </c>
    </row>
    <row r="91" spans="1:2">
      <c r="A91" s="58">
        <v>41354</v>
      </c>
      <c r="B91" s="56">
        <v>0</v>
      </c>
    </row>
    <row r="92" spans="1:2">
      <c r="A92" s="58">
        <v>41355</v>
      </c>
      <c r="B92" s="56">
        <v>0</v>
      </c>
    </row>
    <row r="93" spans="1:2">
      <c r="A93" s="58">
        <v>41356</v>
      </c>
      <c r="B93" s="56">
        <v>0</v>
      </c>
    </row>
    <row r="94" spans="1:2">
      <c r="A94" s="58">
        <v>41357</v>
      </c>
      <c r="B94" s="56">
        <v>0</v>
      </c>
    </row>
    <row r="95" spans="1:2">
      <c r="A95" s="58">
        <v>41358</v>
      </c>
      <c r="B95" s="56">
        <v>0.4</v>
      </c>
    </row>
    <row r="96" spans="1:2">
      <c r="A96" s="58">
        <v>41359</v>
      </c>
      <c r="B96" s="56">
        <v>0.8</v>
      </c>
    </row>
    <row r="97" spans="1:2">
      <c r="A97" s="58">
        <v>41360</v>
      </c>
      <c r="B97" s="56">
        <v>0</v>
      </c>
    </row>
    <row r="98" spans="1:2">
      <c r="A98" s="58">
        <v>41361</v>
      </c>
      <c r="B98" s="56">
        <v>0</v>
      </c>
    </row>
    <row r="99" spans="1:2">
      <c r="A99" s="58">
        <v>41362</v>
      </c>
      <c r="B99" s="56">
        <v>0</v>
      </c>
    </row>
    <row r="100" spans="1:2">
      <c r="A100" s="58">
        <v>41363</v>
      </c>
      <c r="B100" s="56">
        <v>0</v>
      </c>
    </row>
    <row r="101" spans="1:2">
      <c r="A101" s="58">
        <v>41364</v>
      </c>
      <c r="B101" s="56">
        <v>0</v>
      </c>
    </row>
    <row r="102" spans="1:2">
      <c r="A102" s="58">
        <v>41365</v>
      </c>
      <c r="B102" s="56">
        <v>0</v>
      </c>
    </row>
    <row r="103" spans="1:2">
      <c r="A103" s="58">
        <v>41366</v>
      </c>
      <c r="B103" s="56">
        <v>0</v>
      </c>
    </row>
    <row r="104" spans="1:2">
      <c r="A104" s="58">
        <v>41367</v>
      </c>
      <c r="B104" s="56">
        <v>0</v>
      </c>
    </row>
    <row r="105" spans="1:2">
      <c r="A105" s="58">
        <v>41368</v>
      </c>
      <c r="B105" s="56">
        <v>9.8000000000000007</v>
      </c>
    </row>
    <row r="106" spans="1:2">
      <c r="A106" s="58">
        <v>41369</v>
      </c>
      <c r="B106" s="56">
        <v>2.2000000000000002</v>
      </c>
    </row>
    <row r="107" spans="1:2">
      <c r="A107" s="58">
        <v>41370</v>
      </c>
      <c r="B107" s="56">
        <v>3.4</v>
      </c>
    </row>
    <row r="108" spans="1:2">
      <c r="A108" s="58">
        <v>41371</v>
      </c>
      <c r="B108" s="56">
        <v>0</v>
      </c>
    </row>
    <row r="109" spans="1:2">
      <c r="A109" s="58">
        <v>41372</v>
      </c>
      <c r="B109" s="56">
        <v>2</v>
      </c>
    </row>
    <row r="110" spans="1:2">
      <c r="A110" s="58">
        <v>41373</v>
      </c>
      <c r="B110" s="56">
        <v>0</v>
      </c>
    </row>
    <row r="111" spans="1:2">
      <c r="A111" s="58">
        <v>41374</v>
      </c>
      <c r="B111" s="56">
        <v>1.2</v>
      </c>
    </row>
    <row r="112" spans="1:2">
      <c r="A112" s="58">
        <v>41375</v>
      </c>
      <c r="B112" s="56">
        <v>1</v>
      </c>
    </row>
    <row r="113" spans="1:2">
      <c r="A113" s="58">
        <v>41376</v>
      </c>
      <c r="B113" s="56">
        <v>8.4</v>
      </c>
    </row>
    <row r="114" spans="1:2">
      <c r="A114" s="58">
        <v>41377</v>
      </c>
      <c r="B114" s="56">
        <v>0</v>
      </c>
    </row>
    <row r="115" spans="1:2">
      <c r="A115" s="58">
        <v>41378</v>
      </c>
      <c r="B115" s="56">
        <v>0</v>
      </c>
    </row>
    <row r="116" spans="1:2">
      <c r="A116" s="58">
        <v>41379</v>
      </c>
      <c r="B116" s="56">
        <v>0</v>
      </c>
    </row>
    <row r="117" spans="1:2">
      <c r="A117" s="58">
        <v>41380</v>
      </c>
      <c r="B117" s="56">
        <v>0</v>
      </c>
    </row>
    <row r="118" spans="1:2">
      <c r="A118" s="58">
        <v>41381</v>
      </c>
      <c r="B118" s="56">
        <v>0</v>
      </c>
    </row>
    <row r="119" spans="1:2">
      <c r="A119" s="58">
        <v>41382</v>
      </c>
      <c r="B119" s="56">
        <v>8.1999999999999993</v>
      </c>
    </row>
    <row r="120" spans="1:2">
      <c r="A120" s="58">
        <v>41383</v>
      </c>
      <c r="B120" s="56">
        <v>0.8</v>
      </c>
    </row>
    <row r="121" spans="1:2">
      <c r="A121" s="58">
        <v>41384</v>
      </c>
      <c r="B121" s="56">
        <v>0</v>
      </c>
    </row>
    <row r="122" spans="1:2">
      <c r="A122" s="58">
        <v>41385</v>
      </c>
      <c r="B122" s="56">
        <v>0</v>
      </c>
    </row>
    <row r="123" spans="1:2">
      <c r="A123" s="58">
        <v>41386</v>
      </c>
      <c r="B123" s="56">
        <v>0</v>
      </c>
    </row>
    <row r="124" spans="1:2">
      <c r="A124" s="58">
        <v>41387</v>
      </c>
      <c r="B124" s="56">
        <v>0</v>
      </c>
    </row>
    <row r="125" spans="1:2">
      <c r="A125" s="58">
        <v>41388</v>
      </c>
      <c r="B125" s="56">
        <v>0.6</v>
      </c>
    </row>
    <row r="126" spans="1:2">
      <c r="A126" s="58">
        <v>41389</v>
      </c>
      <c r="B126" s="56">
        <v>1.2</v>
      </c>
    </row>
    <row r="127" spans="1:2">
      <c r="A127" s="58">
        <v>41390</v>
      </c>
      <c r="B127" s="56">
        <v>18.600000000000001</v>
      </c>
    </row>
    <row r="128" spans="1:2">
      <c r="A128" s="58">
        <v>41391</v>
      </c>
      <c r="B128" s="56">
        <v>2.8</v>
      </c>
    </row>
    <row r="129" spans="1:2">
      <c r="A129" s="58">
        <v>41392</v>
      </c>
      <c r="B129" s="56">
        <v>7</v>
      </c>
    </row>
    <row r="130" spans="1:2">
      <c r="A130" s="58">
        <v>41393</v>
      </c>
      <c r="B130" s="56">
        <v>0</v>
      </c>
    </row>
    <row r="131" spans="1:2">
      <c r="A131" s="58">
        <v>41394</v>
      </c>
      <c r="B131" s="56">
        <v>0.2</v>
      </c>
    </row>
    <row r="132" spans="1:2">
      <c r="A132" s="58">
        <v>41395</v>
      </c>
      <c r="B132" s="56">
        <v>0.2</v>
      </c>
    </row>
    <row r="133" spans="1:2">
      <c r="A133" s="58">
        <v>41396</v>
      </c>
      <c r="B133" s="56">
        <v>1</v>
      </c>
    </row>
    <row r="134" spans="1:2">
      <c r="A134" s="58">
        <v>41397</v>
      </c>
      <c r="B134" s="56">
        <v>0</v>
      </c>
    </row>
    <row r="135" spans="1:2">
      <c r="A135" s="58">
        <v>41398</v>
      </c>
      <c r="B135" s="56">
        <v>0</v>
      </c>
    </row>
    <row r="136" spans="1:2">
      <c r="A136" s="58">
        <v>41399</v>
      </c>
      <c r="B136" s="56">
        <v>0</v>
      </c>
    </row>
    <row r="137" spans="1:2">
      <c r="A137" s="58">
        <v>41400</v>
      </c>
      <c r="B137" s="56">
        <v>0</v>
      </c>
    </row>
    <row r="138" spans="1:2">
      <c r="A138" s="58">
        <v>41401</v>
      </c>
      <c r="B138" s="56">
        <v>0</v>
      </c>
    </row>
    <row r="139" spans="1:2">
      <c r="A139" s="58">
        <v>41402</v>
      </c>
      <c r="B139" s="56">
        <v>0</v>
      </c>
    </row>
    <row r="140" spans="1:2">
      <c r="A140" s="58">
        <v>41403</v>
      </c>
      <c r="B140" s="56">
        <v>0</v>
      </c>
    </row>
    <row r="141" spans="1:2">
      <c r="A141" s="58">
        <v>41404</v>
      </c>
      <c r="B141" s="56">
        <v>0</v>
      </c>
    </row>
    <row r="142" spans="1:2">
      <c r="A142" s="58">
        <v>41405</v>
      </c>
      <c r="B142" s="56">
        <v>21.8</v>
      </c>
    </row>
    <row r="143" spans="1:2">
      <c r="A143" s="58">
        <v>41406</v>
      </c>
      <c r="B143" s="56">
        <v>9.1</v>
      </c>
    </row>
    <row r="144" spans="1:2">
      <c r="A144" s="58">
        <v>41407</v>
      </c>
      <c r="B144" s="56">
        <v>1</v>
      </c>
    </row>
    <row r="145" spans="1:2">
      <c r="A145" s="58">
        <v>41408</v>
      </c>
      <c r="B145" s="56">
        <v>2.6</v>
      </c>
    </row>
    <row r="146" spans="1:2">
      <c r="A146" s="58">
        <v>41409</v>
      </c>
      <c r="B146" s="56">
        <v>1.2</v>
      </c>
    </row>
    <row r="147" spans="1:2">
      <c r="A147" s="58">
        <v>41410</v>
      </c>
      <c r="B147" s="56">
        <v>0</v>
      </c>
    </row>
    <row r="148" spans="1:2">
      <c r="A148" s="58">
        <v>41411</v>
      </c>
      <c r="B148" s="56">
        <v>0.4</v>
      </c>
    </row>
    <row r="149" spans="1:2">
      <c r="A149" s="58">
        <v>41412</v>
      </c>
      <c r="B149" s="56">
        <v>1.6</v>
      </c>
    </row>
    <row r="150" spans="1:2">
      <c r="A150" s="58">
        <v>41413</v>
      </c>
      <c r="B150" s="56">
        <v>0</v>
      </c>
    </row>
    <row r="151" spans="1:2">
      <c r="A151" s="58">
        <v>41414</v>
      </c>
      <c r="B151" s="56">
        <v>2.8</v>
      </c>
    </row>
    <row r="152" spans="1:2">
      <c r="A152" s="58">
        <v>41415</v>
      </c>
      <c r="B152" s="56">
        <v>3.6</v>
      </c>
    </row>
    <row r="153" spans="1:2">
      <c r="A153" s="58">
        <v>41416</v>
      </c>
      <c r="B153" s="56">
        <v>0.4</v>
      </c>
    </row>
    <row r="154" spans="1:2">
      <c r="A154" s="58">
        <v>41417</v>
      </c>
      <c r="B154" s="56">
        <v>9.4</v>
      </c>
    </row>
    <row r="155" spans="1:2">
      <c r="A155" s="58">
        <v>41418</v>
      </c>
      <c r="B155" s="56">
        <v>1.4</v>
      </c>
    </row>
    <row r="156" spans="1:2">
      <c r="A156" s="58">
        <v>41419</v>
      </c>
      <c r="B156" s="56">
        <v>1.2</v>
      </c>
    </row>
    <row r="157" spans="1:2">
      <c r="A157" s="58">
        <v>41420</v>
      </c>
      <c r="B157" s="56">
        <v>2.2000000000000002</v>
      </c>
    </row>
    <row r="158" spans="1:2">
      <c r="A158" s="58">
        <v>41421</v>
      </c>
      <c r="B158" s="56">
        <v>0.8</v>
      </c>
    </row>
    <row r="159" spans="1:2">
      <c r="A159" s="58">
        <v>41422</v>
      </c>
      <c r="B159" s="56">
        <v>0.4</v>
      </c>
    </row>
    <row r="160" spans="1:2">
      <c r="A160" s="58">
        <v>41423</v>
      </c>
      <c r="B160" s="56">
        <v>2.4</v>
      </c>
    </row>
    <row r="161" spans="1:2">
      <c r="A161" s="58">
        <v>41424</v>
      </c>
      <c r="B161" s="56">
        <v>3.6</v>
      </c>
    </row>
    <row r="162" spans="1:2">
      <c r="A162" s="58">
        <v>41425</v>
      </c>
      <c r="B162" s="56">
        <v>0.2</v>
      </c>
    </row>
    <row r="163" spans="1:2">
      <c r="A163" s="58">
        <v>41426</v>
      </c>
      <c r="B163" s="56">
        <v>0.6</v>
      </c>
    </row>
    <row r="164" spans="1:2">
      <c r="A164" s="58">
        <v>41427</v>
      </c>
      <c r="B164" s="56">
        <v>0</v>
      </c>
    </row>
    <row r="165" spans="1:2">
      <c r="A165" s="58">
        <v>41428</v>
      </c>
      <c r="B165" s="56">
        <v>0</v>
      </c>
    </row>
    <row r="166" spans="1:2">
      <c r="A166" s="58">
        <v>41429</v>
      </c>
      <c r="B166" s="56">
        <v>0.4</v>
      </c>
    </row>
    <row r="167" spans="1:2">
      <c r="A167" s="58">
        <v>41430</v>
      </c>
      <c r="B167" s="56">
        <v>0</v>
      </c>
    </row>
    <row r="168" spans="1:2">
      <c r="A168" s="58">
        <v>41431</v>
      </c>
      <c r="B168" s="56">
        <v>11.4</v>
      </c>
    </row>
    <row r="169" spans="1:2">
      <c r="A169" s="58">
        <v>41432</v>
      </c>
      <c r="B169" s="56">
        <v>1.6</v>
      </c>
    </row>
    <row r="170" spans="1:2">
      <c r="A170" s="58">
        <v>41433</v>
      </c>
      <c r="B170" s="56">
        <v>2.8</v>
      </c>
    </row>
    <row r="171" spans="1:2">
      <c r="A171" s="58">
        <v>41434</v>
      </c>
      <c r="B171" s="56">
        <v>0.6</v>
      </c>
    </row>
    <row r="172" spans="1:2">
      <c r="A172" s="58">
        <v>41435</v>
      </c>
      <c r="B172" s="56">
        <v>1.2</v>
      </c>
    </row>
    <row r="173" spans="1:2">
      <c r="A173" s="58">
        <v>41436</v>
      </c>
      <c r="B173" s="56">
        <v>19.600000000000001</v>
      </c>
    </row>
    <row r="174" spans="1:2">
      <c r="A174" s="58">
        <v>41437</v>
      </c>
      <c r="B174" s="56">
        <v>7.4</v>
      </c>
    </row>
    <row r="175" spans="1:2">
      <c r="A175" s="58">
        <v>41438</v>
      </c>
      <c r="B175" s="56">
        <v>0.2</v>
      </c>
    </row>
    <row r="176" spans="1:2">
      <c r="A176" s="58">
        <v>41439</v>
      </c>
      <c r="B176" s="56">
        <v>0</v>
      </c>
    </row>
    <row r="177" spans="1:2">
      <c r="A177" s="58">
        <v>41440</v>
      </c>
      <c r="B177" s="56">
        <v>1.2</v>
      </c>
    </row>
    <row r="178" spans="1:2">
      <c r="A178" s="58">
        <v>41441</v>
      </c>
      <c r="B178" s="56">
        <v>0.4</v>
      </c>
    </row>
    <row r="179" spans="1:2">
      <c r="A179" s="58">
        <v>41442</v>
      </c>
      <c r="B179" s="56">
        <v>2.4</v>
      </c>
    </row>
    <row r="180" spans="1:2">
      <c r="A180" s="58">
        <v>41443</v>
      </c>
      <c r="B180" s="56">
        <v>1.8</v>
      </c>
    </row>
    <row r="181" spans="1:2">
      <c r="A181" s="58">
        <v>41444</v>
      </c>
      <c r="B181" s="56">
        <v>6.8</v>
      </c>
    </row>
    <row r="182" spans="1:2">
      <c r="A182" s="58">
        <v>41445</v>
      </c>
      <c r="B182" s="56">
        <v>5.4</v>
      </c>
    </row>
    <row r="183" spans="1:2">
      <c r="A183" s="58">
        <v>41446</v>
      </c>
      <c r="B183" s="56">
        <v>0</v>
      </c>
    </row>
    <row r="184" spans="1:2">
      <c r="A184" s="58">
        <v>41447</v>
      </c>
      <c r="B184" s="56">
        <v>0</v>
      </c>
    </row>
    <row r="185" spans="1:2">
      <c r="A185" s="58">
        <v>41448</v>
      </c>
      <c r="B185" s="56">
        <v>0.8</v>
      </c>
    </row>
    <row r="186" spans="1:2">
      <c r="A186" s="58">
        <v>41449</v>
      </c>
      <c r="B186" s="56">
        <v>7</v>
      </c>
    </row>
    <row r="187" spans="1:2">
      <c r="A187" s="58">
        <v>41450</v>
      </c>
      <c r="B187" s="56">
        <v>0</v>
      </c>
    </row>
    <row r="188" spans="1:2">
      <c r="A188" s="58">
        <v>41451</v>
      </c>
      <c r="B188" s="56">
        <v>1.4</v>
      </c>
    </row>
    <row r="189" spans="1:2">
      <c r="A189" s="58">
        <v>41452</v>
      </c>
      <c r="B189" s="56">
        <v>2</v>
      </c>
    </row>
    <row r="190" spans="1:2">
      <c r="A190" s="58">
        <v>41453</v>
      </c>
      <c r="B190" s="56">
        <v>3.4</v>
      </c>
    </row>
    <row r="191" spans="1:2">
      <c r="A191" s="58">
        <v>41454</v>
      </c>
      <c r="B191" s="56">
        <v>0</v>
      </c>
    </row>
    <row r="192" spans="1:2">
      <c r="A192" s="58">
        <v>41455</v>
      </c>
      <c r="B192" s="56">
        <v>0</v>
      </c>
    </row>
    <row r="193" spans="1:2">
      <c r="A193" s="58">
        <v>41456</v>
      </c>
      <c r="B193" s="56">
        <v>1.6</v>
      </c>
    </row>
    <row r="194" spans="1:2">
      <c r="A194" s="58">
        <v>41457</v>
      </c>
      <c r="B194" s="56">
        <v>0.2</v>
      </c>
    </row>
    <row r="195" spans="1:2">
      <c r="A195" s="58">
        <v>41458</v>
      </c>
      <c r="B195" s="56">
        <v>0</v>
      </c>
    </row>
    <row r="196" spans="1:2">
      <c r="A196" s="58">
        <v>41459</v>
      </c>
      <c r="B196" s="56">
        <v>0</v>
      </c>
    </row>
    <row r="197" spans="1:2">
      <c r="A197" s="58">
        <v>41460</v>
      </c>
      <c r="B197" s="56">
        <v>0</v>
      </c>
    </row>
    <row r="198" spans="1:2">
      <c r="A198" s="58">
        <v>41461</v>
      </c>
      <c r="B198" s="56">
        <v>0</v>
      </c>
    </row>
    <row r="199" spans="1:2">
      <c r="A199" s="58">
        <v>41462</v>
      </c>
      <c r="B199" s="56">
        <v>0</v>
      </c>
    </row>
    <row r="200" spans="1:2">
      <c r="A200" s="58">
        <v>41463</v>
      </c>
      <c r="B200" s="56">
        <v>0.6</v>
      </c>
    </row>
    <row r="201" spans="1:2">
      <c r="A201" s="58">
        <v>41464</v>
      </c>
      <c r="B201" s="56">
        <v>0.2</v>
      </c>
    </row>
    <row r="202" spans="1:2">
      <c r="A202" s="58">
        <v>41465</v>
      </c>
      <c r="B202" s="56">
        <v>3.4</v>
      </c>
    </row>
    <row r="203" spans="1:2">
      <c r="A203" s="58">
        <v>41466</v>
      </c>
      <c r="B203" s="56">
        <v>2.8</v>
      </c>
    </row>
    <row r="204" spans="1:2">
      <c r="A204" s="58">
        <v>41467</v>
      </c>
      <c r="B204" s="56">
        <v>0.2</v>
      </c>
    </row>
    <row r="205" spans="1:2">
      <c r="A205" s="58">
        <v>41468</v>
      </c>
      <c r="B205" s="56">
        <v>2.2000000000000002</v>
      </c>
    </row>
    <row r="206" spans="1:2">
      <c r="A206" s="58">
        <v>41469</v>
      </c>
      <c r="B206" s="56">
        <v>1.4</v>
      </c>
    </row>
    <row r="207" spans="1:2">
      <c r="A207" s="58">
        <v>41470</v>
      </c>
      <c r="B207" s="56">
        <v>0</v>
      </c>
    </row>
    <row r="208" spans="1:2">
      <c r="A208" s="58">
        <v>41471</v>
      </c>
      <c r="B208" s="56">
        <v>0</v>
      </c>
    </row>
    <row r="209" spans="1:2">
      <c r="A209" s="58">
        <v>41472</v>
      </c>
      <c r="B209" s="56">
        <v>0</v>
      </c>
    </row>
    <row r="210" spans="1:2">
      <c r="A210" s="58">
        <v>41473</v>
      </c>
      <c r="B210" s="56">
        <v>0</v>
      </c>
    </row>
    <row r="211" spans="1:2">
      <c r="A211" s="58">
        <v>41474</v>
      </c>
      <c r="B211" s="56">
        <v>0</v>
      </c>
    </row>
    <row r="212" spans="1:2">
      <c r="A212" s="58">
        <v>41475</v>
      </c>
      <c r="B212" s="56">
        <v>0</v>
      </c>
    </row>
    <row r="213" spans="1:2">
      <c r="A213" s="58">
        <v>41476</v>
      </c>
      <c r="B213" s="56">
        <v>0</v>
      </c>
    </row>
    <row r="214" spans="1:2">
      <c r="A214" s="58">
        <v>41477</v>
      </c>
      <c r="B214" s="56">
        <v>0</v>
      </c>
    </row>
    <row r="215" spans="1:2">
      <c r="A215" s="58">
        <v>41478</v>
      </c>
      <c r="B215" s="56">
        <v>0</v>
      </c>
    </row>
    <row r="216" spans="1:2">
      <c r="A216" s="58">
        <v>41479</v>
      </c>
      <c r="B216" s="56">
        <v>0</v>
      </c>
    </row>
    <row r="217" spans="1:2">
      <c r="A217" s="58">
        <v>41480</v>
      </c>
      <c r="B217" s="56">
        <v>0</v>
      </c>
    </row>
    <row r="218" spans="1:2">
      <c r="A218" s="58">
        <v>41481</v>
      </c>
      <c r="B218" s="56">
        <v>0</v>
      </c>
    </row>
    <row r="219" spans="1:2">
      <c r="A219" s="58">
        <v>41482</v>
      </c>
      <c r="B219" s="56">
        <v>0</v>
      </c>
    </row>
    <row r="220" spans="1:2">
      <c r="A220" s="58">
        <v>41483</v>
      </c>
      <c r="B220" s="56">
        <v>0</v>
      </c>
    </row>
    <row r="221" spans="1:2">
      <c r="A221" s="58">
        <v>41484</v>
      </c>
      <c r="B221" s="56">
        <v>0</v>
      </c>
    </row>
    <row r="222" spans="1:2">
      <c r="A222" s="58">
        <v>41485</v>
      </c>
      <c r="B222" s="56">
        <v>0</v>
      </c>
    </row>
    <row r="223" spans="1:2">
      <c r="A223" s="58">
        <v>41486</v>
      </c>
      <c r="B223" s="56">
        <v>5.4</v>
      </c>
    </row>
    <row r="224" spans="1:2">
      <c r="A224" s="58">
        <v>41487</v>
      </c>
      <c r="B224" s="56">
        <v>0.4</v>
      </c>
    </row>
    <row r="225" spans="1:2">
      <c r="A225" s="58">
        <v>41488</v>
      </c>
      <c r="B225" s="56">
        <v>0</v>
      </c>
    </row>
    <row r="226" spans="1:2">
      <c r="A226" s="58">
        <v>41489</v>
      </c>
      <c r="B226" s="56">
        <v>0</v>
      </c>
    </row>
    <row r="227" spans="1:2">
      <c r="A227" s="58">
        <v>41490</v>
      </c>
      <c r="B227" s="56">
        <v>0</v>
      </c>
    </row>
    <row r="228" spans="1:2">
      <c r="A228" s="58">
        <v>41491</v>
      </c>
      <c r="B228" s="56">
        <v>0</v>
      </c>
    </row>
    <row r="229" spans="1:2">
      <c r="A229" s="58">
        <v>41492</v>
      </c>
      <c r="B229" s="56">
        <v>0</v>
      </c>
    </row>
    <row r="230" spans="1:2">
      <c r="A230" s="58">
        <v>41493</v>
      </c>
      <c r="B230" s="56">
        <v>0</v>
      </c>
    </row>
    <row r="231" spans="1:2">
      <c r="A231" s="58">
        <v>41494</v>
      </c>
      <c r="B231" s="56">
        <v>0</v>
      </c>
    </row>
    <row r="232" spans="1:2">
      <c r="A232" s="58">
        <v>41495</v>
      </c>
      <c r="B232" s="56">
        <v>0</v>
      </c>
    </row>
    <row r="233" spans="1:2">
      <c r="A233" s="58">
        <v>41496</v>
      </c>
      <c r="B233" s="56">
        <v>0</v>
      </c>
    </row>
    <row r="234" spans="1:2">
      <c r="A234" s="58">
        <v>41497</v>
      </c>
      <c r="B234" s="56">
        <v>0.4</v>
      </c>
    </row>
    <row r="235" spans="1:2">
      <c r="A235" s="58">
        <v>41498</v>
      </c>
      <c r="B235" s="56">
        <v>4.4000000000000004</v>
      </c>
    </row>
    <row r="236" spans="1:2">
      <c r="A236" s="58">
        <v>41499</v>
      </c>
      <c r="B236" s="56">
        <v>1</v>
      </c>
    </row>
    <row r="237" spans="1:2">
      <c r="A237" s="58">
        <v>41500</v>
      </c>
      <c r="B237" s="56">
        <v>0.4</v>
      </c>
    </row>
    <row r="238" spans="1:2">
      <c r="A238" s="58">
        <v>41501</v>
      </c>
      <c r="B238" s="56">
        <v>8.4</v>
      </c>
    </row>
    <row r="239" spans="1:2">
      <c r="A239" s="58">
        <v>41502</v>
      </c>
      <c r="B239" s="56">
        <v>4.4000000000000004</v>
      </c>
    </row>
    <row r="240" spans="1:2">
      <c r="A240" s="58">
        <v>41503</v>
      </c>
      <c r="B240" s="56">
        <v>4.4000000000000004</v>
      </c>
    </row>
    <row r="241" spans="1:2">
      <c r="A241" s="58">
        <v>41504</v>
      </c>
      <c r="B241" s="56">
        <v>14.8</v>
      </c>
    </row>
    <row r="242" spans="1:2">
      <c r="A242" s="58">
        <v>41505</v>
      </c>
      <c r="B242" s="56">
        <v>5.6</v>
      </c>
    </row>
    <row r="243" spans="1:2">
      <c r="A243" s="58">
        <v>41506</v>
      </c>
      <c r="B243" s="56">
        <v>1.2</v>
      </c>
    </row>
    <row r="244" spans="1:2">
      <c r="A244" s="58">
        <v>41507</v>
      </c>
      <c r="B244" s="56">
        <v>0.4</v>
      </c>
    </row>
    <row r="245" spans="1:2">
      <c r="A245" s="58">
        <v>41508</v>
      </c>
      <c r="B245" s="56">
        <v>0.6</v>
      </c>
    </row>
    <row r="246" spans="1:2">
      <c r="A246" s="58">
        <v>41509</v>
      </c>
      <c r="B246" s="56">
        <v>5.2</v>
      </c>
    </row>
    <row r="247" spans="1:2">
      <c r="A247" s="58">
        <v>41510</v>
      </c>
      <c r="B247" s="56">
        <v>1.4</v>
      </c>
    </row>
    <row r="248" spans="1:2">
      <c r="A248" s="58">
        <v>41511</v>
      </c>
      <c r="B248" s="56">
        <v>0</v>
      </c>
    </row>
    <row r="249" spans="1:2">
      <c r="A249" s="58">
        <v>41512</v>
      </c>
      <c r="B249" s="56">
        <v>0</v>
      </c>
    </row>
    <row r="250" spans="1:2">
      <c r="A250" s="58">
        <v>41513</v>
      </c>
      <c r="B250" s="56">
        <v>0.4</v>
      </c>
    </row>
    <row r="251" spans="1:2">
      <c r="A251" s="58">
        <v>41514</v>
      </c>
      <c r="B251" s="56">
        <v>1.2</v>
      </c>
    </row>
    <row r="252" spans="1:2">
      <c r="A252" s="58">
        <v>41515</v>
      </c>
      <c r="B252" s="56">
        <v>4</v>
      </c>
    </row>
    <row r="253" spans="1:2">
      <c r="A253" s="58">
        <v>41516</v>
      </c>
      <c r="B253" s="56">
        <v>0</v>
      </c>
    </row>
    <row r="254" spans="1:2">
      <c r="A254" s="58">
        <v>41517</v>
      </c>
      <c r="B254" s="56">
        <v>0</v>
      </c>
    </row>
    <row r="255" spans="1:2">
      <c r="A255" s="58">
        <v>41518</v>
      </c>
      <c r="B255" s="56">
        <v>0</v>
      </c>
    </row>
    <row r="256" spans="1:2">
      <c r="A256" s="58">
        <v>41519</v>
      </c>
      <c r="B256" s="56">
        <v>0</v>
      </c>
    </row>
    <row r="257" spans="1:2">
      <c r="A257" s="58">
        <v>41520</v>
      </c>
      <c r="B257" s="56">
        <v>4.8</v>
      </c>
    </row>
    <row r="258" spans="1:2">
      <c r="A258" s="58">
        <v>41521</v>
      </c>
      <c r="B258" s="56">
        <v>0</v>
      </c>
    </row>
    <row r="259" spans="1:2">
      <c r="A259" s="58">
        <v>41522</v>
      </c>
      <c r="B259" s="56">
        <v>0</v>
      </c>
    </row>
    <row r="260" spans="1:2">
      <c r="A260" s="58">
        <v>41523</v>
      </c>
      <c r="B260" s="56">
        <v>0</v>
      </c>
    </row>
    <row r="261" spans="1:2">
      <c r="A261" s="58">
        <v>41524</v>
      </c>
      <c r="B261" s="56">
        <v>0</v>
      </c>
    </row>
    <row r="262" spans="1:2">
      <c r="A262" s="58">
        <v>41525</v>
      </c>
      <c r="B262" s="56">
        <v>0</v>
      </c>
    </row>
    <row r="263" spans="1:2">
      <c r="A263" s="58">
        <v>41526</v>
      </c>
      <c r="B263" s="56">
        <v>0</v>
      </c>
    </row>
    <row r="264" spans="1:2">
      <c r="A264" s="58">
        <v>41527</v>
      </c>
      <c r="B264" s="56">
        <v>0</v>
      </c>
    </row>
    <row r="265" spans="1:2">
      <c r="A265" s="58">
        <v>41528</v>
      </c>
      <c r="B265" s="56">
        <v>0</v>
      </c>
    </row>
    <row r="266" spans="1:2">
      <c r="A266" s="58">
        <v>41529</v>
      </c>
      <c r="B266" s="56">
        <v>0</v>
      </c>
    </row>
    <row r="267" spans="1:2">
      <c r="A267" s="58">
        <v>41530</v>
      </c>
      <c r="B267" s="56">
        <v>0</v>
      </c>
    </row>
    <row r="268" spans="1:2">
      <c r="A268" s="58">
        <v>41531</v>
      </c>
      <c r="B268" s="56">
        <v>0</v>
      </c>
    </row>
    <row r="269" spans="1:2">
      <c r="A269" s="58">
        <v>41532</v>
      </c>
      <c r="B269" s="56">
        <v>0.6</v>
      </c>
    </row>
    <row r="270" spans="1:2">
      <c r="A270" s="58">
        <v>41533</v>
      </c>
      <c r="B270" s="56">
        <v>0</v>
      </c>
    </row>
    <row r="271" spans="1:2">
      <c r="A271" s="58">
        <v>41534</v>
      </c>
      <c r="B271" s="56">
        <v>0.8</v>
      </c>
    </row>
    <row r="272" spans="1:2">
      <c r="A272" s="58">
        <v>41535</v>
      </c>
      <c r="B272" s="56">
        <v>1.2</v>
      </c>
    </row>
    <row r="273" spans="1:2">
      <c r="A273" s="58">
        <v>41536</v>
      </c>
      <c r="B273" s="56">
        <v>0.8</v>
      </c>
    </row>
    <row r="274" spans="1:2">
      <c r="A274" s="58">
        <v>41537</v>
      </c>
      <c r="B274" s="56">
        <v>1.4</v>
      </c>
    </row>
    <row r="275" spans="1:2">
      <c r="A275" s="58">
        <v>41538</v>
      </c>
      <c r="B275" s="56">
        <v>1.4</v>
      </c>
    </row>
    <row r="276" spans="1:2">
      <c r="A276" s="58">
        <v>41539</v>
      </c>
      <c r="B276" s="56">
        <v>5</v>
      </c>
    </row>
    <row r="277" spans="1:2">
      <c r="A277" s="58">
        <v>41540</v>
      </c>
      <c r="B277" s="56">
        <v>1.2</v>
      </c>
    </row>
    <row r="278" spans="1:2">
      <c r="A278" s="58">
        <v>41541</v>
      </c>
      <c r="B278" s="56">
        <v>1.6</v>
      </c>
    </row>
    <row r="279" spans="1:2">
      <c r="A279" s="58">
        <v>41542</v>
      </c>
      <c r="B279" s="56">
        <v>0</v>
      </c>
    </row>
    <row r="280" spans="1:2">
      <c r="A280" s="58">
        <v>41543</v>
      </c>
      <c r="B280" s="56">
        <v>4</v>
      </c>
    </row>
    <row r="281" spans="1:2">
      <c r="A281" s="58">
        <v>41544</v>
      </c>
      <c r="B281" s="56">
        <v>1.6</v>
      </c>
    </row>
    <row r="282" spans="1:2">
      <c r="A282" s="58">
        <v>41545</v>
      </c>
      <c r="B282" s="56">
        <v>11</v>
      </c>
    </row>
    <row r="283" spans="1:2">
      <c r="A283" s="58">
        <v>41546</v>
      </c>
      <c r="B283" s="56">
        <v>5</v>
      </c>
    </row>
    <row r="284" spans="1:2">
      <c r="A284" s="58">
        <v>41547</v>
      </c>
      <c r="B284" s="56">
        <v>2.2000000000000002</v>
      </c>
    </row>
    <row r="285" spans="1:2">
      <c r="A285" s="58">
        <v>41548</v>
      </c>
      <c r="B285" s="56">
        <v>0</v>
      </c>
    </row>
    <row r="286" spans="1:2">
      <c r="A286" s="58">
        <v>41549</v>
      </c>
      <c r="B286" s="56">
        <v>0</v>
      </c>
    </row>
    <row r="287" spans="1:2">
      <c r="A287" s="58">
        <v>41550</v>
      </c>
      <c r="B287" s="56">
        <v>1.2</v>
      </c>
    </row>
    <row r="288" spans="1:2">
      <c r="A288" s="58">
        <v>41551</v>
      </c>
      <c r="B288" s="56">
        <v>28.4</v>
      </c>
    </row>
    <row r="289" spans="1:2">
      <c r="A289" s="58">
        <v>41552</v>
      </c>
      <c r="B289" s="56">
        <v>26</v>
      </c>
    </row>
    <row r="290" spans="1:2">
      <c r="A290" s="58">
        <v>41553</v>
      </c>
      <c r="B290" s="56">
        <v>8.8000000000000007</v>
      </c>
    </row>
    <row r="291" spans="1:2">
      <c r="A291" s="58">
        <v>41554</v>
      </c>
      <c r="B291" s="56">
        <v>10.6</v>
      </c>
    </row>
    <row r="292" spans="1:2">
      <c r="A292" s="58">
        <v>41555</v>
      </c>
      <c r="B292" s="56">
        <v>0</v>
      </c>
    </row>
    <row r="293" spans="1:2">
      <c r="A293" s="58">
        <v>41556</v>
      </c>
      <c r="B293" s="56">
        <v>1.2</v>
      </c>
    </row>
    <row r="294" spans="1:2">
      <c r="A294" s="58">
        <v>41557</v>
      </c>
      <c r="B294" s="56">
        <v>0</v>
      </c>
    </row>
    <row r="295" spans="1:2">
      <c r="A295" s="58">
        <v>41558</v>
      </c>
      <c r="B295" s="56">
        <v>0</v>
      </c>
    </row>
    <row r="296" spans="1:2">
      <c r="A296" s="58">
        <v>41559</v>
      </c>
      <c r="B296" s="56">
        <v>0</v>
      </c>
    </row>
    <row r="297" spans="1:2">
      <c r="A297" s="58">
        <v>41560</v>
      </c>
      <c r="B297" s="56">
        <v>0</v>
      </c>
    </row>
    <row r="298" spans="1:2">
      <c r="A298" s="58">
        <v>41561</v>
      </c>
      <c r="B298" s="56">
        <v>0</v>
      </c>
    </row>
    <row r="299" spans="1:2">
      <c r="A299" s="58">
        <v>41562</v>
      </c>
      <c r="B299" s="56">
        <v>1</v>
      </c>
    </row>
    <row r="300" spans="1:2">
      <c r="A300" s="58">
        <v>41563</v>
      </c>
      <c r="B300" s="56">
        <v>0</v>
      </c>
    </row>
    <row r="301" spans="1:2">
      <c r="A301" s="58">
        <v>41564</v>
      </c>
      <c r="B301" s="56">
        <v>0</v>
      </c>
    </row>
    <row r="302" spans="1:2">
      <c r="A302" s="58">
        <v>41565</v>
      </c>
      <c r="B302" s="56">
        <v>0</v>
      </c>
    </row>
    <row r="303" spans="1:2">
      <c r="A303" s="58">
        <v>41566</v>
      </c>
      <c r="B303" s="56">
        <v>0</v>
      </c>
    </row>
    <row r="304" spans="1:2">
      <c r="A304" s="58">
        <v>41567</v>
      </c>
      <c r="B304" s="56">
        <v>0</v>
      </c>
    </row>
    <row r="305" spans="1:2">
      <c r="A305" s="58">
        <v>41568</v>
      </c>
      <c r="B305" s="56">
        <v>0</v>
      </c>
    </row>
    <row r="306" spans="1:2">
      <c r="A306" s="58">
        <v>41569</v>
      </c>
      <c r="B306" s="56">
        <v>0</v>
      </c>
    </row>
    <row r="307" spans="1:2">
      <c r="A307" s="58">
        <v>41570</v>
      </c>
      <c r="B307" s="56">
        <v>0</v>
      </c>
    </row>
    <row r="308" spans="1:2">
      <c r="A308" s="58">
        <v>41571</v>
      </c>
      <c r="B308" s="56">
        <v>0</v>
      </c>
    </row>
    <row r="309" spans="1:2">
      <c r="A309" s="58">
        <v>41572</v>
      </c>
      <c r="B309" s="56">
        <v>0</v>
      </c>
    </row>
    <row r="310" spans="1:2">
      <c r="A310" s="58">
        <v>41573</v>
      </c>
      <c r="B310" s="56">
        <v>9.6</v>
      </c>
    </row>
    <row r="311" spans="1:2">
      <c r="A311" s="58">
        <v>41574</v>
      </c>
      <c r="B311" s="56">
        <v>0</v>
      </c>
    </row>
    <row r="312" spans="1:2">
      <c r="A312" s="58">
        <v>41575</v>
      </c>
      <c r="B312" s="56">
        <v>0</v>
      </c>
    </row>
    <row r="313" spans="1:2">
      <c r="A313" s="58">
        <v>41576</v>
      </c>
      <c r="B313" s="56">
        <v>0</v>
      </c>
    </row>
    <row r="314" spans="1:2">
      <c r="A314" s="58">
        <v>41577</v>
      </c>
      <c r="B314" s="56">
        <v>14.1</v>
      </c>
    </row>
    <row r="315" spans="1:2">
      <c r="A315" s="58">
        <v>41578</v>
      </c>
      <c r="B315" s="56">
        <v>2</v>
      </c>
    </row>
    <row r="316" spans="1:2">
      <c r="A316" s="58">
        <v>41579</v>
      </c>
      <c r="B316" s="56">
        <v>0.8</v>
      </c>
    </row>
    <row r="317" spans="1:2">
      <c r="A317" s="58">
        <v>41580</v>
      </c>
      <c r="B317" s="56">
        <v>0</v>
      </c>
    </row>
    <row r="318" spans="1:2">
      <c r="A318" s="58">
        <v>41581</v>
      </c>
      <c r="B318" s="56">
        <v>0</v>
      </c>
    </row>
    <row r="319" spans="1:2">
      <c r="A319" s="58">
        <v>41582</v>
      </c>
      <c r="B319" s="56">
        <v>1.2</v>
      </c>
    </row>
    <row r="320" spans="1:2">
      <c r="A320" s="58">
        <v>41583</v>
      </c>
      <c r="B320" s="56">
        <v>3</v>
      </c>
    </row>
    <row r="321" spans="1:2">
      <c r="A321" s="58">
        <v>41584</v>
      </c>
      <c r="B321" s="56">
        <v>3.2</v>
      </c>
    </row>
    <row r="322" spans="1:2">
      <c r="A322" s="58">
        <v>41585</v>
      </c>
      <c r="B322" s="56">
        <v>3.2</v>
      </c>
    </row>
    <row r="323" spans="1:2">
      <c r="A323" s="58">
        <v>41586</v>
      </c>
      <c r="B323" s="56">
        <v>5.6</v>
      </c>
    </row>
    <row r="324" spans="1:2">
      <c r="A324" s="58">
        <v>41587</v>
      </c>
      <c r="B324" s="56">
        <v>0</v>
      </c>
    </row>
    <row r="325" spans="1:2">
      <c r="A325" s="58">
        <v>41588</v>
      </c>
      <c r="B325" s="56">
        <v>0</v>
      </c>
    </row>
    <row r="326" spans="1:2">
      <c r="A326" s="58">
        <v>41589</v>
      </c>
      <c r="B326" s="56">
        <v>1.8</v>
      </c>
    </row>
    <row r="327" spans="1:2">
      <c r="A327" s="58">
        <v>41590</v>
      </c>
      <c r="B327" s="56">
        <v>9.6</v>
      </c>
    </row>
    <row r="328" spans="1:2">
      <c r="A328" s="58">
        <v>41591</v>
      </c>
      <c r="B328" s="56">
        <v>8.8000000000000007</v>
      </c>
    </row>
    <row r="329" spans="1:2">
      <c r="A329" s="58">
        <v>41592</v>
      </c>
      <c r="B329" s="56">
        <v>1.4</v>
      </c>
    </row>
    <row r="330" spans="1:2">
      <c r="A330" s="58">
        <v>41593</v>
      </c>
      <c r="B330" s="56">
        <v>11.8</v>
      </c>
    </row>
    <row r="331" spans="1:2">
      <c r="A331" s="58">
        <v>41594</v>
      </c>
      <c r="B331" s="56">
        <v>0</v>
      </c>
    </row>
    <row r="332" spans="1:2">
      <c r="A332" s="58">
        <v>41595</v>
      </c>
      <c r="B332" s="56">
        <v>4.5999999999999996</v>
      </c>
    </row>
    <row r="333" spans="1:2">
      <c r="A333" s="58">
        <v>41596</v>
      </c>
      <c r="B333" s="56">
        <v>0</v>
      </c>
    </row>
    <row r="334" spans="1:2">
      <c r="A334" s="58">
        <v>41597</v>
      </c>
      <c r="B334" s="56">
        <v>0</v>
      </c>
    </row>
    <row r="335" spans="1:2">
      <c r="A335" s="58">
        <v>41598</v>
      </c>
      <c r="B335" s="56">
        <v>0</v>
      </c>
    </row>
    <row r="336" spans="1:2">
      <c r="A336" s="58">
        <v>41599</v>
      </c>
      <c r="B336" s="56">
        <v>0.6</v>
      </c>
    </row>
    <row r="337" spans="1:2">
      <c r="A337" s="58">
        <v>41600</v>
      </c>
      <c r="B337" s="56">
        <v>0</v>
      </c>
    </row>
    <row r="338" spans="1:2">
      <c r="A338" s="58">
        <v>41601</v>
      </c>
      <c r="B338" s="56">
        <v>5</v>
      </c>
    </row>
    <row r="339" spans="1:2">
      <c r="A339" s="58">
        <v>41602</v>
      </c>
      <c r="B339" s="56">
        <v>4.4000000000000004</v>
      </c>
    </row>
    <row r="340" spans="1:2">
      <c r="A340" s="58">
        <v>41603</v>
      </c>
      <c r="B340" s="56">
        <v>0</v>
      </c>
    </row>
    <row r="341" spans="1:2">
      <c r="A341" s="58">
        <v>41604</v>
      </c>
      <c r="B341" s="56">
        <v>0.2</v>
      </c>
    </row>
    <row r="342" spans="1:2">
      <c r="A342" s="58">
        <v>41605</v>
      </c>
      <c r="B342" s="56">
        <v>3.6</v>
      </c>
    </row>
    <row r="343" spans="1:2">
      <c r="A343" s="58">
        <v>41606</v>
      </c>
      <c r="B343" s="56">
        <v>2.4</v>
      </c>
    </row>
    <row r="344" spans="1:2">
      <c r="A344" s="58">
        <v>41607</v>
      </c>
      <c r="B344" s="56">
        <v>10.199999999999999</v>
      </c>
    </row>
    <row r="345" spans="1:2">
      <c r="A345" s="58">
        <v>41608</v>
      </c>
      <c r="B345" s="56">
        <v>26.6</v>
      </c>
    </row>
    <row r="346" spans="1:2">
      <c r="A346" s="58">
        <v>41609</v>
      </c>
      <c r="B346" s="56">
        <v>5.4</v>
      </c>
    </row>
    <row r="347" spans="1:2">
      <c r="A347" s="58">
        <v>41610</v>
      </c>
      <c r="B347" s="56">
        <v>0</v>
      </c>
    </row>
    <row r="348" spans="1:2">
      <c r="A348" s="58">
        <v>41611</v>
      </c>
      <c r="B348" s="56">
        <v>0</v>
      </c>
    </row>
    <row r="349" spans="1:2">
      <c r="A349" s="58">
        <v>41612</v>
      </c>
      <c r="B349" s="56">
        <v>0</v>
      </c>
    </row>
    <row r="350" spans="1:2">
      <c r="A350" s="58">
        <v>41613</v>
      </c>
      <c r="B350" s="56">
        <v>0</v>
      </c>
    </row>
    <row r="351" spans="1:2">
      <c r="A351" s="58">
        <v>41614</v>
      </c>
      <c r="B351" s="56">
        <v>0</v>
      </c>
    </row>
    <row r="352" spans="1:2">
      <c r="A352" s="58">
        <v>41615</v>
      </c>
      <c r="B352" s="56">
        <v>0</v>
      </c>
    </row>
    <row r="353" spans="1:2">
      <c r="A353" s="58">
        <v>41616</v>
      </c>
      <c r="B353" s="56">
        <v>0</v>
      </c>
    </row>
    <row r="354" spans="1:2">
      <c r="A354" s="58">
        <v>41617</v>
      </c>
      <c r="B354" s="56">
        <v>0</v>
      </c>
    </row>
    <row r="355" spans="1:2">
      <c r="A355" s="58">
        <v>41618</v>
      </c>
      <c r="B355" s="56">
        <v>0</v>
      </c>
    </row>
    <row r="356" spans="1:2">
      <c r="A356" s="58">
        <v>41619</v>
      </c>
      <c r="B356" s="56">
        <v>3.2</v>
      </c>
    </row>
    <row r="357" spans="1:2">
      <c r="A357" s="58">
        <v>41620</v>
      </c>
      <c r="B357" s="56">
        <v>1.8</v>
      </c>
    </row>
    <row r="358" spans="1:2">
      <c r="A358" s="58">
        <v>41621</v>
      </c>
      <c r="B358" s="56">
        <v>10.4</v>
      </c>
    </row>
    <row r="359" spans="1:2">
      <c r="A359" s="58">
        <v>41622</v>
      </c>
      <c r="B359" s="56">
        <v>26</v>
      </c>
    </row>
    <row r="360" spans="1:2">
      <c r="A360" s="58">
        <v>41623</v>
      </c>
      <c r="B360" s="56">
        <v>0.8</v>
      </c>
    </row>
    <row r="361" spans="1:2">
      <c r="A361" s="58">
        <v>41624</v>
      </c>
      <c r="B361" s="56">
        <v>11.8</v>
      </c>
    </row>
    <row r="362" spans="1:2">
      <c r="A362" s="58">
        <v>41625</v>
      </c>
      <c r="B362" s="56">
        <v>4.5999999999999996</v>
      </c>
    </row>
    <row r="363" spans="1:2">
      <c r="A363" s="58">
        <v>41626</v>
      </c>
      <c r="B363" s="56">
        <v>0</v>
      </c>
    </row>
    <row r="364" spans="1:2">
      <c r="A364" s="58">
        <v>41627</v>
      </c>
      <c r="B364" s="56">
        <v>0</v>
      </c>
    </row>
    <row r="365" spans="1:2">
      <c r="A365" s="58">
        <v>41628</v>
      </c>
      <c r="B365" s="56">
        <v>3.8</v>
      </c>
    </row>
    <row r="366" spans="1:2">
      <c r="A366" s="58">
        <v>41629</v>
      </c>
      <c r="B366" s="56">
        <v>7.6</v>
      </c>
    </row>
    <row r="367" spans="1:2">
      <c r="A367" s="58">
        <v>41630</v>
      </c>
      <c r="B367" s="56">
        <v>20.6</v>
      </c>
    </row>
    <row r="368" spans="1:2">
      <c r="A368" s="58">
        <v>41631</v>
      </c>
      <c r="B368" s="56">
        <v>1.4</v>
      </c>
    </row>
    <row r="369" spans="1:2">
      <c r="A369" s="58">
        <v>41632</v>
      </c>
      <c r="B369" s="56">
        <v>3.8</v>
      </c>
    </row>
    <row r="370" spans="1:2">
      <c r="A370" s="58">
        <v>41633</v>
      </c>
      <c r="B370" s="56">
        <v>25.6</v>
      </c>
    </row>
    <row r="371" spans="1:2">
      <c r="A371" s="58">
        <v>41634</v>
      </c>
      <c r="B371" s="56">
        <v>24.8</v>
      </c>
    </row>
    <row r="372" spans="1:2">
      <c r="A372" s="58">
        <v>41635</v>
      </c>
      <c r="B372" s="56">
        <v>2.2000000000000002</v>
      </c>
    </row>
    <row r="373" spans="1:2">
      <c r="A373" s="58">
        <v>41636</v>
      </c>
      <c r="B373" s="56">
        <v>21.8</v>
      </c>
    </row>
    <row r="374" spans="1:2">
      <c r="A374" s="58">
        <v>41637</v>
      </c>
      <c r="B374" s="56">
        <v>2.4</v>
      </c>
    </row>
    <row r="375" spans="1:2">
      <c r="A375" s="58">
        <v>41638</v>
      </c>
      <c r="B375" s="56">
        <v>2.8</v>
      </c>
    </row>
    <row r="376" spans="1:2">
      <c r="A376" s="58">
        <v>41639</v>
      </c>
      <c r="B376" s="56">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Values that passed</vt:lpstr>
      <vt:lpstr>Parameters and Satisfaction</vt:lpstr>
      <vt:lpstr>Cost Calculations</vt:lpstr>
      <vt:lpstr>Water Stuff</vt:lpstr>
      <vt:lpstr>Pumps</vt:lpstr>
      <vt:lpstr>Location</vt:lpstr>
      <vt:lpstr>Power System Selection</vt:lpstr>
      <vt:lpstr>Storage -&gt; House</vt:lpstr>
      <vt:lpstr>Filtration System</vt:lpstr>
      <vt:lpstr>Power System GHG</vt:lpstr>
      <vt:lpstr>Health and Environment</vt:lpstr>
      <vt:lpstr>5 Year Rainfall Simulation</vt:lpstr>
      <vt:lpstr>Week 9 Studio</vt:lpstr>
      <vt:lpstr>Week 10 Studio</vt:lpstr>
      <vt:lpstr>W10 Class A Energy Calculations</vt:lpstr>
      <vt:lpstr>W9 Class B Solar Model</vt:lpstr>
      <vt:lpstr>Week 11 Studio</vt:lpstr>
      <vt:lpstr>Week 12 Studio</vt:lpstr>
      <vt:lpstr>Station 1 - 2014</vt:lpstr>
      <vt:lpstr>Station 1 - 2015</vt:lpstr>
      <vt:lpstr>Station 2 - 2015</vt:lpstr>
      <vt:lpstr>Station 3 - 2013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B</dc:creator>
  <cp:lastModifiedBy>Ewan B</cp:lastModifiedBy>
  <dcterms:created xsi:type="dcterms:W3CDTF">2022-03-16T17:34:04Z</dcterms:created>
  <dcterms:modified xsi:type="dcterms:W3CDTF">2022-04-07T05:54:24Z</dcterms:modified>
</cp:coreProperties>
</file>