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a\Documents\CPH Business City\3. semester\Eksamen EKR\Gode opgaver fra Projekt 3\"/>
    </mc:Choice>
  </mc:AlternateContent>
  <bookViews>
    <workbookView xWindow="0" yWindow="0" windowWidth="20490" windowHeight="7755"/>
  </bookViews>
  <sheets>
    <sheet name="Regnskab og nøgletal" sheetId="1" r:id="rId1"/>
    <sheet name="Budgetter" sheetId="7" r:id="rId2"/>
    <sheet name="ICGR" sheetId="8" r:id="rId3"/>
    <sheet name="Forbrugertillidsindikator" sheetId="9" r:id="rId4"/>
    <sheet name="BNP pr. indbygger" sheetId="12" r:id="rId5"/>
    <sheet name="Markedsandele" sheetId="3" r:id="rId6"/>
    <sheet name="Udvikling i branchen" sheetId="4" r:id="rId7"/>
    <sheet name="Styrkeprofil" sheetId="10" r:id="rId8"/>
    <sheet name="Finansielle omkostninger" sheetId="11" r:id="rId9"/>
  </sheets>
  <externalReferences>
    <externalReference r:id="rId10"/>
    <externalReference r:id="rId11"/>
  </externalReferences>
  <calcPr calcId="152511"/>
</workbook>
</file>

<file path=xl/calcChain.xml><?xml version="1.0" encoding="utf-8"?>
<calcChain xmlns="http://schemas.openxmlformats.org/spreadsheetml/2006/main">
  <c r="L10" i="12" l="1"/>
  <c r="K10" i="12"/>
  <c r="J10" i="12"/>
  <c r="I10" i="12"/>
  <c r="H10" i="12"/>
  <c r="L9" i="12"/>
  <c r="K9" i="12"/>
  <c r="J9" i="12"/>
  <c r="I9" i="12"/>
  <c r="H9" i="12"/>
  <c r="G9" i="12"/>
  <c r="E30" i="7" l="1"/>
  <c r="D17" i="7"/>
  <c r="C4" i="7"/>
  <c r="J26" i="7" s="1"/>
  <c r="J23" i="7"/>
  <c r="H15" i="8" l="1"/>
  <c r="H12" i="8"/>
  <c r="H14" i="8" s="1"/>
  <c r="C10" i="7"/>
  <c r="D27" i="7" s="1"/>
  <c r="H14" i="11"/>
  <c r="F14" i="11"/>
  <c r="D14" i="11"/>
  <c r="H16" i="8" l="1"/>
  <c r="H8" i="11"/>
  <c r="H11" i="11" s="1"/>
  <c r="H15" i="11" s="1"/>
  <c r="F8" i="11"/>
  <c r="F11" i="11" s="1"/>
  <c r="F15" i="11" s="1"/>
  <c r="D8" i="11"/>
  <c r="D11" i="11" s="1"/>
  <c r="D15" i="11" s="1"/>
  <c r="AD34" i="1" l="1"/>
  <c r="AE34" i="1"/>
  <c r="AF34" i="1"/>
  <c r="AG34" i="1"/>
  <c r="AC34" i="1"/>
  <c r="C9" i="8" l="1"/>
  <c r="C10" i="8"/>
  <c r="C11" i="8"/>
  <c r="C12" i="8" l="1"/>
  <c r="E18" i="7"/>
  <c r="H20" i="7"/>
  <c r="D21" i="7"/>
  <c r="E21" i="7" s="1"/>
  <c r="H19" i="7"/>
  <c r="C11" i="7"/>
  <c r="C19" i="7"/>
  <c r="C23" i="7" s="1"/>
  <c r="C25" i="7" s="1"/>
  <c r="C28" i="7" s="1"/>
  <c r="C30" i="7" s="1"/>
  <c r="J28" i="7"/>
  <c r="J25" i="7"/>
  <c r="H18" i="7"/>
  <c r="D26" i="7"/>
  <c r="J21" i="7" s="1"/>
  <c r="D24" i="7"/>
  <c r="D22" i="7"/>
  <c r="E22" i="7" s="1"/>
  <c r="D20" i="7"/>
  <c r="I19" i="7"/>
  <c r="E17" i="7" l="1"/>
  <c r="J19" i="7"/>
  <c r="C13" i="8"/>
  <c r="C14" i="8" s="1"/>
  <c r="D19" i="7"/>
  <c r="D23" i="7" s="1"/>
  <c r="D25" i="7" l="1"/>
  <c r="N17" i="7"/>
  <c r="M17" i="7"/>
  <c r="D28" i="7" l="1"/>
  <c r="D30" i="7" s="1"/>
  <c r="J17" i="7"/>
  <c r="J7" i="4" l="1"/>
  <c r="J18" i="3"/>
  <c r="J19" i="3" s="1"/>
  <c r="K80" i="1"/>
  <c r="J80" i="1"/>
  <c r="M74" i="1"/>
  <c r="AG51" i="1" s="1"/>
  <c r="AH51" i="1" s="1"/>
  <c r="L74" i="1"/>
  <c r="K74" i="1"/>
  <c r="J74" i="1"/>
  <c r="I74" i="1"/>
  <c r="AC51" i="1" s="1"/>
  <c r="AC70" i="1" s="1"/>
  <c r="M73" i="1"/>
  <c r="L73" i="1"/>
  <c r="H73" i="1"/>
  <c r="H74" i="1" s="1"/>
  <c r="M68" i="1"/>
  <c r="L68" i="1"/>
  <c r="L75" i="1" s="1"/>
  <c r="K68" i="1"/>
  <c r="K75" i="1" s="1"/>
  <c r="J68" i="1"/>
  <c r="H68" i="1"/>
  <c r="K67" i="1"/>
  <c r="J67" i="1"/>
  <c r="I67" i="1"/>
  <c r="I68" i="1" s="1"/>
  <c r="I75" i="1" s="1"/>
  <c r="J81" i="1" s="1"/>
  <c r="AD13" i="1" s="1"/>
  <c r="AD63" i="1" s="1"/>
  <c r="H67" i="1"/>
  <c r="AC66" i="1"/>
  <c r="M60" i="1"/>
  <c r="L60" i="1"/>
  <c r="K60" i="1"/>
  <c r="J60" i="1"/>
  <c r="J75" i="1" s="1"/>
  <c r="I60" i="1"/>
  <c r="H60" i="1"/>
  <c r="M56" i="1"/>
  <c r="L56" i="1"/>
  <c r="K56" i="1"/>
  <c r="J56" i="1"/>
  <c r="I56" i="1"/>
  <c r="H56" i="1"/>
  <c r="I80" i="1" s="1"/>
  <c r="AE51" i="1"/>
  <c r="AE70" i="1" s="1"/>
  <c r="L51" i="1"/>
  <c r="K51" i="1"/>
  <c r="M49" i="1"/>
  <c r="H49" i="1"/>
  <c r="M47" i="1"/>
  <c r="L47" i="1"/>
  <c r="AF51" i="1" s="1"/>
  <c r="AF70" i="1" s="1"/>
  <c r="K47" i="1"/>
  <c r="AE52" i="1" s="1"/>
  <c r="AE71" i="1" s="1"/>
  <c r="J47" i="1"/>
  <c r="AD52" i="1" s="1"/>
  <c r="AD71" i="1" s="1"/>
  <c r="I47" i="1"/>
  <c r="AG46" i="1"/>
  <c r="AE46" i="1"/>
  <c r="AD46" i="1"/>
  <c r="AG45" i="1"/>
  <c r="AF45" i="1"/>
  <c r="AE45" i="1"/>
  <c r="AD45" i="1"/>
  <c r="AC45" i="1"/>
  <c r="AJ45" i="1"/>
  <c r="AG44" i="1"/>
  <c r="AF44" i="1"/>
  <c r="AE44" i="1"/>
  <c r="AD44" i="1"/>
  <c r="AC44" i="1"/>
  <c r="AJ44" i="1"/>
  <c r="AH44" i="1"/>
  <c r="AF43" i="1"/>
  <c r="K41" i="1"/>
  <c r="AE42" i="1" s="1"/>
  <c r="J41" i="1"/>
  <c r="M40" i="1"/>
  <c r="L40" i="1"/>
  <c r="K40" i="1"/>
  <c r="J40" i="1"/>
  <c r="I40" i="1"/>
  <c r="AE39" i="1"/>
  <c r="AC39" i="1"/>
  <c r="AG38" i="1"/>
  <c r="AF38" i="1"/>
  <c r="AF39" i="1" s="1"/>
  <c r="AE38" i="1"/>
  <c r="AD38" i="1"/>
  <c r="AD39" i="1" s="1"/>
  <c r="AC38" i="1"/>
  <c r="H38" i="1"/>
  <c r="H40" i="1" s="1"/>
  <c r="AG37" i="1"/>
  <c r="AC37" i="1"/>
  <c r="AE36" i="1"/>
  <c r="AE37" i="1" s="1"/>
  <c r="M36" i="1"/>
  <c r="AG43" i="1" s="1"/>
  <c r="L36" i="1"/>
  <c r="AF32" i="1" s="1"/>
  <c r="K36" i="1"/>
  <c r="AE43" i="1" s="1"/>
  <c r="J36" i="1"/>
  <c r="AD43" i="1" s="1"/>
  <c r="I36" i="1"/>
  <c r="AC43" i="1" s="1"/>
  <c r="H36" i="1"/>
  <c r="AG35" i="1"/>
  <c r="AJ35" i="1" s="1"/>
  <c r="AF35" i="1"/>
  <c r="AE35" i="1"/>
  <c r="AD35" i="1"/>
  <c r="AC35" i="1"/>
  <c r="AJ34" i="1"/>
  <c r="AH34" i="1"/>
  <c r="AF33" i="1"/>
  <c r="AJ32" i="1"/>
  <c r="AG32" i="1"/>
  <c r="AE32" i="1"/>
  <c r="AD32" i="1"/>
  <c r="AC32" i="1"/>
  <c r="AH32" i="1" s="1"/>
  <c r="V32" i="1"/>
  <c r="U32" i="1"/>
  <c r="M31" i="1"/>
  <c r="M41" i="1" s="1"/>
  <c r="L31" i="1"/>
  <c r="L41" i="1" s="1"/>
  <c r="K31" i="1"/>
  <c r="J31" i="1"/>
  <c r="I31" i="1"/>
  <c r="I41" i="1" s="1"/>
  <c r="H31" i="1"/>
  <c r="H41" i="1" s="1"/>
  <c r="AJ27" i="1"/>
  <c r="AH27" i="1"/>
  <c r="AG27" i="1"/>
  <c r="AF27" i="1"/>
  <c r="AE27" i="1"/>
  <c r="AD27" i="1"/>
  <c r="AC27" i="1"/>
  <c r="V27" i="1"/>
  <c r="J31" i="7" s="1"/>
  <c r="U27" i="1"/>
  <c r="M27" i="1"/>
  <c r="M51" i="1" s="1"/>
  <c r="L27" i="1"/>
  <c r="K27" i="1"/>
  <c r="J27" i="1"/>
  <c r="J51" i="1" s="1"/>
  <c r="I27" i="1"/>
  <c r="I51" i="1" s="1"/>
  <c r="AG26" i="1"/>
  <c r="AF26" i="1"/>
  <c r="AE26" i="1"/>
  <c r="AD26" i="1"/>
  <c r="AC26" i="1"/>
  <c r="AG25" i="1"/>
  <c r="AF25" i="1"/>
  <c r="AE25" i="1"/>
  <c r="AD25" i="1"/>
  <c r="AC25" i="1"/>
  <c r="M24" i="1"/>
  <c r="AG36" i="1" s="1"/>
  <c r="L24" i="1"/>
  <c r="AF36" i="1" s="1"/>
  <c r="AF37" i="1" s="1"/>
  <c r="K24" i="1"/>
  <c r="J24" i="1"/>
  <c r="AD36" i="1" s="1"/>
  <c r="AD37" i="1" s="1"/>
  <c r="I24" i="1"/>
  <c r="AC36" i="1" s="1"/>
  <c r="AG23" i="1"/>
  <c r="AH23" i="1" s="1"/>
  <c r="AF23" i="1"/>
  <c r="AC23" i="1"/>
  <c r="V23" i="1"/>
  <c r="U23" i="1"/>
  <c r="M23" i="1"/>
  <c r="L23" i="1"/>
  <c r="K23" i="1"/>
  <c r="J23" i="1"/>
  <c r="I23" i="1"/>
  <c r="AG22" i="1"/>
  <c r="AC22" i="1"/>
  <c r="M22" i="1"/>
  <c r="L22" i="1"/>
  <c r="K22" i="1"/>
  <c r="J22" i="1"/>
  <c r="I22" i="1"/>
  <c r="AG21" i="1"/>
  <c r="AE21" i="1"/>
  <c r="AE22" i="1" s="1"/>
  <c r="AC21" i="1"/>
  <c r="M21" i="1"/>
  <c r="L21" i="1"/>
  <c r="K21" i="1"/>
  <c r="J21" i="1"/>
  <c r="I21" i="1"/>
  <c r="AJ20" i="1"/>
  <c r="AG20" i="1"/>
  <c r="AH20" i="1" s="1"/>
  <c r="AE20" i="1"/>
  <c r="AD20" i="1"/>
  <c r="V20" i="1"/>
  <c r="U20" i="1"/>
  <c r="M14" i="1"/>
  <c r="I14" i="1"/>
  <c r="I17" i="1" s="1"/>
  <c r="I19" i="1" s="1"/>
  <c r="AC11" i="1" s="1"/>
  <c r="U12" i="1"/>
  <c r="U15" i="1" s="1"/>
  <c r="L12" i="1"/>
  <c r="L14" i="1" s="1"/>
  <c r="I12" i="1"/>
  <c r="V9" i="1"/>
  <c r="V12" i="1" s="1"/>
  <c r="U9" i="1"/>
  <c r="M8" i="1"/>
  <c r="M12" i="1" s="1"/>
  <c r="L8" i="1"/>
  <c r="AF20" i="1" s="1"/>
  <c r="K8" i="1"/>
  <c r="AE23" i="1" s="1"/>
  <c r="J8" i="1"/>
  <c r="I8" i="1"/>
  <c r="AC20" i="1" s="1"/>
  <c r="AF8" i="1" l="1"/>
  <c r="AH22" i="1"/>
  <c r="AJ22" i="1"/>
  <c r="AH25" i="1"/>
  <c r="AJ25" i="1"/>
  <c r="L17" i="1"/>
  <c r="AJ21" i="1"/>
  <c r="AJ37" i="1"/>
  <c r="AH37" i="1"/>
  <c r="AD12" i="1"/>
  <c r="AD67" i="1" s="1"/>
  <c r="AC33" i="1"/>
  <c r="I49" i="1"/>
  <c r="AC69" i="1"/>
  <c r="AG33" i="1"/>
  <c r="AG42" i="1"/>
  <c r="AG69" i="1"/>
  <c r="AC42" i="1"/>
  <c r="AJ51" i="1"/>
  <c r="AF52" i="1"/>
  <c r="AF71" i="1" s="1"/>
  <c r="K77" i="1"/>
  <c r="AE62" i="1" s="1"/>
  <c r="AJ43" i="1"/>
  <c r="AG41" i="1"/>
  <c r="AG30" i="1"/>
  <c r="L81" i="1"/>
  <c r="M17" i="1"/>
  <c r="AG8" i="1"/>
  <c r="AD21" i="1"/>
  <c r="AD22" i="1" s="1"/>
  <c r="AJ36" i="1"/>
  <c r="AD69" i="1"/>
  <c r="J49" i="1"/>
  <c r="AD33" i="1"/>
  <c r="AD42" i="1"/>
  <c r="AH43" i="1"/>
  <c r="AE47" i="1"/>
  <c r="K81" i="1"/>
  <c r="AD47" i="1"/>
  <c r="AG53" i="1"/>
  <c r="AG56" i="1"/>
  <c r="AG55" i="1"/>
  <c r="AH45" i="1"/>
  <c r="AC52" i="1"/>
  <c r="AC71" i="1" s="1"/>
  <c r="AG52" i="1"/>
  <c r="M80" i="1"/>
  <c r="AF50" i="1"/>
  <c r="AF61" i="1" s="1"/>
  <c r="AF46" i="1"/>
  <c r="AF69" i="1"/>
  <c r="AG70" i="1"/>
  <c r="L77" i="1"/>
  <c r="AC8" i="1"/>
  <c r="AH21" i="1"/>
  <c r="AF12" i="1"/>
  <c r="AF67" i="1" s="1"/>
  <c r="AJ23" i="1"/>
  <c r="AJ26" i="1"/>
  <c r="AH35" i="1"/>
  <c r="AJ46" i="1"/>
  <c r="AC47" i="1"/>
  <c r="AC50" i="1"/>
  <c r="AC61" i="1" s="1"/>
  <c r="AG50" i="1"/>
  <c r="H75" i="1"/>
  <c r="I81" i="1" s="1"/>
  <c r="M75" i="1"/>
  <c r="M77" i="1" s="1"/>
  <c r="I77" i="1"/>
  <c r="V15" i="1"/>
  <c r="AE69" i="1"/>
  <c r="K49" i="1"/>
  <c r="AF47" i="1"/>
  <c r="M81" i="1"/>
  <c r="AD23" i="1"/>
  <c r="J12" i="1"/>
  <c r="J14" i="1" s="1"/>
  <c r="AC10" i="1"/>
  <c r="AC65" i="1" s="1"/>
  <c r="K12" i="1"/>
  <c r="K14" i="1" s="1"/>
  <c r="AF21" i="1"/>
  <c r="AF22" i="1" s="1"/>
  <c r="C13" i="7"/>
  <c r="AH36" i="1"/>
  <c r="AH26" i="1"/>
  <c r="AF42" i="1"/>
  <c r="AE33" i="1"/>
  <c r="AJ38" i="1"/>
  <c r="AH38" i="1"/>
  <c r="C12" i="7"/>
  <c r="I18" i="7" s="1"/>
  <c r="AG39" i="1"/>
  <c r="AC46" i="1"/>
  <c r="AH46" i="1" s="1"/>
  <c r="L49" i="1"/>
  <c r="AD51" i="1"/>
  <c r="AD70" i="1" s="1"/>
  <c r="J77" i="1"/>
  <c r="K79" i="1" s="1"/>
  <c r="AE9" i="1" s="1"/>
  <c r="AE31" i="1" s="1"/>
  <c r="AF62" i="1"/>
  <c r="L80" i="1"/>
  <c r="AC13" i="1" l="1"/>
  <c r="AC63" i="1" s="1"/>
  <c r="AC12" i="1"/>
  <c r="AC67" i="1" s="1"/>
  <c r="AJ42" i="1"/>
  <c r="AH42" i="1"/>
  <c r="AH39" i="1"/>
  <c r="AJ39" i="1"/>
  <c r="J79" i="1"/>
  <c r="AD9" i="1" s="1"/>
  <c r="AD31" i="1" s="1"/>
  <c r="M19" i="1"/>
  <c r="AG11" i="1" s="1"/>
  <c r="AG10" i="1"/>
  <c r="AJ41" i="1"/>
  <c r="AJ33" i="1"/>
  <c r="AH33" i="1"/>
  <c r="I20" i="7"/>
  <c r="J20" i="7" s="1"/>
  <c r="J18" i="7"/>
  <c r="AD8" i="1"/>
  <c r="J17" i="1"/>
  <c r="AD7" i="1"/>
  <c r="AE41" i="1"/>
  <c r="AE30" i="1"/>
  <c r="AE50" i="1"/>
  <c r="AE61" i="1" s="1"/>
  <c r="AH50" i="1"/>
  <c r="AG61" i="1"/>
  <c r="AJ50" i="1"/>
  <c r="AG71" i="1"/>
  <c r="AJ52" i="1"/>
  <c r="AH52" i="1"/>
  <c r="AE13" i="1"/>
  <c r="AE63" i="1" s="1"/>
  <c r="AE12" i="1"/>
  <c r="AE67" i="1" s="1"/>
  <c r="AG13" i="1"/>
  <c r="AG12" i="1"/>
  <c r="M79" i="1"/>
  <c r="AG54" i="1"/>
  <c r="AG19" i="1"/>
  <c r="AJ8" i="1"/>
  <c r="AH8" i="1"/>
  <c r="AC62" i="1"/>
  <c r="AJ70" i="1"/>
  <c r="AH70" i="1"/>
  <c r="AD62" i="1"/>
  <c r="AF10" i="1"/>
  <c r="AF65" i="1" s="1"/>
  <c r="L19" i="1"/>
  <c r="AF11" i="1" s="1"/>
  <c r="AF66" i="1" s="1"/>
  <c r="H77" i="1"/>
  <c r="I79" i="1" s="1"/>
  <c r="AF41" i="1"/>
  <c r="AF30" i="1"/>
  <c r="AJ30" i="1" s="1"/>
  <c r="K17" i="1"/>
  <c r="AE7" i="1"/>
  <c r="AE8" i="1"/>
  <c r="AG57" i="1"/>
  <c r="AG47" i="1"/>
  <c r="AG62" i="1"/>
  <c r="AC19" i="1"/>
  <c r="AD30" i="1"/>
  <c r="AD50" i="1"/>
  <c r="AD61" i="1" s="1"/>
  <c r="AD41" i="1"/>
  <c r="AF13" i="1"/>
  <c r="AF63" i="1" s="1"/>
  <c r="L79" i="1"/>
  <c r="AH69" i="1"/>
  <c r="AJ69" i="1"/>
  <c r="AC41" i="1"/>
  <c r="AH41" i="1" s="1"/>
  <c r="AC30" i="1"/>
  <c r="AH30" i="1" s="1"/>
  <c r="AF19" i="1"/>
  <c r="J22" i="7" l="1"/>
  <c r="J30" i="7" s="1"/>
  <c r="J33" i="7" s="1"/>
  <c r="AJ19" i="1"/>
  <c r="AH19" i="1"/>
  <c r="AG63" i="1"/>
  <c r="AH13" i="1"/>
  <c r="AJ13" i="1"/>
  <c r="AD16" i="1"/>
  <c r="AD64" i="1"/>
  <c r="AD72" i="1" s="1"/>
  <c r="AE15" i="1"/>
  <c r="AE19" i="1"/>
  <c r="AJ71" i="1"/>
  <c r="AH71" i="1"/>
  <c r="J19" i="1"/>
  <c r="AD11" i="1" s="1"/>
  <c r="AD66" i="1" s="1"/>
  <c r="AD10" i="1"/>
  <c r="AD65" i="1" s="1"/>
  <c r="AH62" i="1"/>
  <c r="AJ62" i="1"/>
  <c r="AE16" i="1"/>
  <c r="AE64" i="1"/>
  <c r="AE72" i="1" s="1"/>
  <c r="AC9" i="1"/>
  <c r="AC7" i="1"/>
  <c r="AG9" i="1"/>
  <c r="AG7" i="1"/>
  <c r="AD15" i="1"/>
  <c r="AD19" i="1"/>
  <c r="AG66" i="1"/>
  <c r="AJ11" i="1"/>
  <c r="AH11" i="1"/>
  <c r="AG65" i="1"/>
  <c r="AH10" i="1"/>
  <c r="AJ10" i="1"/>
  <c r="AF9" i="1"/>
  <c r="AF7" i="1"/>
  <c r="AH47" i="1"/>
  <c r="AJ47" i="1"/>
  <c r="K19" i="1"/>
  <c r="AE11" i="1" s="1"/>
  <c r="AE66" i="1" s="1"/>
  <c r="AE10" i="1"/>
  <c r="AE65" i="1" s="1"/>
  <c r="AJ12" i="1"/>
  <c r="AH12" i="1"/>
  <c r="AG67" i="1"/>
  <c r="AH61" i="1"/>
  <c r="AJ61" i="1"/>
  <c r="AH66" i="1" l="1"/>
  <c r="AJ66" i="1"/>
  <c r="AF64" i="1"/>
  <c r="AF72" i="1" s="1"/>
  <c r="AF16" i="1"/>
  <c r="AJ63" i="1"/>
  <c r="AH63" i="1"/>
  <c r="AJ67" i="1"/>
  <c r="AH67" i="1"/>
  <c r="AF31" i="1"/>
  <c r="AF15" i="1"/>
  <c r="AC31" i="1"/>
  <c r="AC15" i="1"/>
  <c r="AG31" i="1"/>
  <c r="AJ9" i="1"/>
  <c r="AH9" i="1"/>
  <c r="AG15" i="1"/>
  <c r="AH65" i="1"/>
  <c r="AJ65" i="1"/>
  <c r="AC64" i="1"/>
  <c r="AC72" i="1" s="1"/>
  <c r="AC16" i="1"/>
  <c r="AG64" i="1"/>
  <c r="AH7" i="1"/>
  <c r="AG16" i="1"/>
  <c r="AJ7" i="1"/>
  <c r="AJ64" i="1" l="1"/>
  <c r="AG72" i="1"/>
  <c r="AH64" i="1"/>
  <c r="AJ31" i="1"/>
  <c r="AH31" i="1"/>
</calcChain>
</file>

<file path=xl/sharedStrings.xml><?xml version="1.0" encoding="utf-8"?>
<sst xmlns="http://schemas.openxmlformats.org/spreadsheetml/2006/main" count="570" uniqueCount="344">
  <si>
    <t>Kilder:</t>
  </si>
  <si>
    <t>Nettoomsætning:</t>
  </si>
  <si>
    <t>Andre driftsindtægter</t>
  </si>
  <si>
    <t>-Andre eksterne omkostninger</t>
  </si>
  <si>
    <t>Bruttoresultat:</t>
  </si>
  <si>
    <t>Resultat før af- og nedskrivninger:</t>
  </si>
  <si>
    <t>Resultat før finansielle poster</t>
  </si>
  <si>
    <t>Finansielle indtægter</t>
  </si>
  <si>
    <t>Resultat før skat:</t>
  </si>
  <si>
    <t>Skat af årets resultat</t>
  </si>
  <si>
    <t>Årets resultat:</t>
  </si>
  <si>
    <t>-Af- og nedskrivninger af immaterielle og materielle anlægsaktiver</t>
  </si>
  <si>
    <t>-Personaleomkostninger</t>
  </si>
  <si>
    <t>-Finansielle omkostninger</t>
  </si>
  <si>
    <t>Goodwill</t>
  </si>
  <si>
    <t>Lejerettigheder</t>
  </si>
  <si>
    <t>Immaterielle anlægsaktiver</t>
  </si>
  <si>
    <t xml:space="preserve">Grunde og bygninger </t>
  </si>
  <si>
    <t>Andre anlæg, driftsmateriel og inventar</t>
  </si>
  <si>
    <t xml:space="preserve">Anlæg under opførelse </t>
  </si>
  <si>
    <t xml:space="preserve">Indretning af lejede lokaler </t>
  </si>
  <si>
    <t xml:space="preserve">Kapitalandele i associerede virksomheder </t>
  </si>
  <si>
    <t xml:space="preserve">Andre værdipapirer og kapitalandele </t>
  </si>
  <si>
    <t>Huslejedeposita</t>
  </si>
  <si>
    <t xml:space="preserve">Anlægsaktiver i alt </t>
  </si>
  <si>
    <t>Aktiver</t>
  </si>
  <si>
    <t>Finansielle anlægsaktiver</t>
  </si>
  <si>
    <t>Materielle anlægsaktiver</t>
  </si>
  <si>
    <t>Anlægsaktiver:</t>
  </si>
  <si>
    <t>Omsætningsaktiver:</t>
  </si>
  <si>
    <t>Varebeholdninger</t>
  </si>
  <si>
    <t>Tilgodehavender i alt</t>
  </si>
  <si>
    <t>Likvide beholdninger</t>
  </si>
  <si>
    <t>Omsætningsaktiver i alt</t>
  </si>
  <si>
    <t>AKTIVER I ALT</t>
  </si>
  <si>
    <t>Passiver</t>
  </si>
  <si>
    <t>Egenkapital:</t>
  </si>
  <si>
    <t>Selskabskapital</t>
  </si>
  <si>
    <t>Reserve for opskrivninger</t>
  </si>
  <si>
    <t>Overført resultat</t>
  </si>
  <si>
    <t>Egenkapital i alt</t>
  </si>
  <si>
    <t>Hensatte forpligtelser:</t>
  </si>
  <si>
    <t>Hensættelse til udskudt skat</t>
  </si>
  <si>
    <t>Hensatte forpligtelser i alt</t>
  </si>
  <si>
    <t>Gældsforpligtelser:</t>
  </si>
  <si>
    <t>Ansvarlig lånekapital</t>
  </si>
  <si>
    <t>Gæld til realkreditinsitutter</t>
  </si>
  <si>
    <t>Kreditinstitutter</t>
  </si>
  <si>
    <t>Anden gæld</t>
  </si>
  <si>
    <t>Langfristede gældsforpligtelser i alt</t>
  </si>
  <si>
    <t>Langfristede gældsforpligtelser:</t>
  </si>
  <si>
    <t>Kortfristede gældsforpligtelser:</t>
  </si>
  <si>
    <t>Kortfristet del af langfristede gældsforpligtelser</t>
  </si>
  <si>
    <t>Leverandører af varer og tjenesteydelser</t>
  </si>
  <si>
    <t>Deposita er inkluderet</t>
  </si>
  <si>
    <t>Selskabsskatten er inkluderet</t>
  </si>
  <si>
    <t>Kortfristede gældsforpligtelser i alt</t>
  </si>
  <si>
    <t>Gældsforpligtelser i alt</t>
  </si>
  <si>
    <t>PASSIVER I ALT</t>
  </si>
  <si>
    <t>(Prioritetsgæld)</t>
  </si>
  <si>
    <t>(Aktiekapital)</t>
  </si>
  <si>
    <t>(Bankgæld)</t>
  </si>
  <si>
    <t>Jensen's Food Group A/S Årsrapport for 2014 s. 22-25</t>
  </si>
  <si>
    <t>Jensen's Food Group A/S Årsrapport for 2012 s. 28-20</t>
  </si>
  <si>
    <t>Jensen's Food Group A/S Årsrapport for 2011 s. 19-21</t>
  </si>
  <si>
    <t>Årets resultat</t>
  </si>
  <si>
    <t>Reguleringer</t>
  </si>
  <si>
    <t>Ændring i driftskapital</t>
  </si>
  <si>
    <t>Pengestrømme fra drift før finansielle poster</t>
  </si>
  <si>
    <t>Renteindbetalinger og lignende</t>
  </si>
  <si>
    <t>Renteudbetalinger og lignende</t>
  </si>
  <si>
    <t>Pengestrømme fra ordinær drift</t>
  </si>
  <si>
    <t>Forskydning i værdipapirer</t>
  </si>
  <si>
    <t>Betalt selskabsskat</t>
  </si>
  <si>
    <t>Pengestrømme fra drifstaktivitet</t>
  </si>
  <si>
    <t>Køb af immaterialle anlægsaktiver</t>
  </si>
  <si>
    <t>Køb af materielle anlægsaktiver</t>
  </si>
  <si>
    <t>Salg af materielle anlægsaktiver</t>
  </si>
  <si>
    <t>Pengestrømme fra investeringsaktivitet</t>
  </si>
  <si>
    <t>Optagelse af langfristet gæld og kort del heraf</t>
  </si>
  <si>
    <t>Pengestrømme fra finansieringsaktivitet</t>
  </si>
  <si>
    <t>Ændring i likvider</t>
  </si>
  <si>
    <t>Likvider primo</t>
  </si>
  <si>
    <t>Likvider ultimo</t>
  </si>
  <si>
    <t>Fordeling af likvider</t>
  </si>
  <si>
    <t>Likvider i alt ultimo</t>
  </si>
  <si>
    <t>Nøgletal</t>
  </si>
  <si>
    <t>Afkastningsgrad</t>
  </si>
  <si>
    <t>Overskudsgrad</t>
  </si>
  <si>
    <t>Egenkapitalens forrentning før skat</t>
  </si>
  <si>
    <t>Egenkapitalens forrentning efter skat</t>
  </si>
  <si>
    <t>Fremmedkapitalens forrentning</t>
  </si>
  <si>
    <t>Gearing</t>
  </si>
  <si>
    <t>Rentabilitetsanalyse:</t>
  </si>
  <si>
    <t>Tjek (AG = OG*AOH)</t>
  </si>
  <si>
    <t>Indtjeningsevne:</t>
  </si>
  <si>
    <t>Bruttoavanceprocent (bruttomargin)</t>
  </si>
  <si>
    <t>Nulpunktsomsætning</t>
  </si>
  <si>
    <t>Sikkerhedsmargin</t>
  </si>
  <si>
    <t>Kapacitetsgrad</t>
  </si>
  <si>
    <t>Nettoomsætning</t>
  </si>
  <si>
    <t>Af- og nedskrivninger</t>
  </si>
  <si>
    <t>Personaleomkostninger</t>
  </si>
  <si>
    <t>Kapitaltilpasningsevne:</t>
  </si>
  <si>
    <t>Aktivernes omsætningshastighed (øjebliksbillede)</t>
  </si>
  <si>
    <t>Aktivernes omsætningshastighed (gennemsnit)</t>
  </si>
  <si>
    <t>Materielle anlægsaktivers omsætningshastighed</t>
  </si>
  <si>
    <t>Anlægsaktivernes omsætningshastighed</t>
  </si>
  <si>
    <t>Debitorenes omsætningshastighed</t>
  </si>
  <si>
    <t>Debitordage</t>
  </si>
  <si>
    <t>Kreditorenes omsætningshastighed</t>
  </si>
  <si>
    <t>Kreditordage</t>
  </si>
  <si>
    <t>Samlet balancesum</t>
  </si>
  <si>
    <t>Anlægsaktiver i alt</t>
  </si>
  <si>
    <t>Soliditet og likviditet:</t>
  </si>
  <si>
    <t>Balancestruktur:</t>
  </si>
  <si>
    <t>Soliditetsgrad</t>
  </si>
  <si>
    <t>Likviditetsgrad I</t>
  </si>
  <si>
    <t>Likviditetsgrad II</t>
  </si>
  <si>
    <t>Likviditet ift. Omsætning</t>
  </si>
  <si>
    <t>Likviditet ift. Investeringer</t>
  </si>
  <si>
    <t>Likviditet ift. Afdrag og udbytte</t>
  </si>
  <si>
    <t>Gæld ift. Likviditet fra driften</t>
  </si>
  <si>
    <t>Gældsætningsgrad</t>
  </si>
  <si>
    <t>Anlægsgrad</t>
  </si>
  <si>
    <t>Tjek (EKF = AG+(AG-FKF)*g)</t>
  </si>
  <si>
    <t xml:space="preserve">Resultatopgørelse i 1.000 kr. </t>
  </si>
  <si>
    <t>Balancen i 1.000 kr.</t>
  </si>
  <si>
    <t>Pengestrømsopgørelse i 1.000 kr.</t>
  </si>
  <si>
    <t>Gennemsnitlig balancesum</t>
  </si>
  <si>
    <t>Gennemsnitlig egenkapital</t>
  </si>
  <si>
    <t>Gennemsnitlig gæld</t>
  </si>
  <si>
    <t>Variable omkostninger</t>
  </si>
  <si>
    <t>Kapacitetsomkostninger</t>
  </si>
  <si>
    <t>Netto renteomkostninger</t>
  </si>
  <si>
    <t>Afkastningsgrad AG</t>
  </si>
  <si>
    <t>Overskudsgrad OG</t>
  </si>
  <si>
    <t>Aktivernes omsætningshastighed AOH</t>
  </si>
  <si>
    <t>Tilgodehavender fra salg og tjenesteydelser/varedebitorer</t>
  </si>
  <si>
    <t>under 100</t>
  </si>
  <si>
    <t>langfristet lån med kortfristet gæld</t>
  </si>
  <si>
    <t>-Omkostninger til råvarer og hjælpematerialer (vareforbrug)</t>
  </si>
  <si>
    <t>Varekøb</t>
  </si>
  <si>
    <t>De andre grupper har også de samme tal</t>
  </si>
  <si>
    <t>Brand Shares (Global - Historical Owner) | Historic | Foodservice Value RSP | % breakdown</t>
  </si>
  <si>
    <t>Geographies</t>
  </si>
  <si>
    <t>Categories</t>
  </si>
  <si>
    <t xml:space="preserve">Brand </t>
  </si>
  <si>
    <t>Company name (GBO)</t>
  </si>
  <si>
    <t>2009</t>
  </si>
  <si>
    <t>2010</t>
  </si>
  <si>
    <t>2011</t>
  </si>
  <si>
    <t>2012</t>
  </si>
  <si>
    <t>2013</t>
  </si>
  <si>
    <t>2014</t>
  </si>
  <si>
    <t>Denmark</t>
  </si>
  <si>
    <t>Full-Service Restaurants</t>
  </si>
  <si>
    <t>Jensen's Bøfhus</t>
  </si>
  <si>
    <t>Jensen's Bøfhus A/S</t>
  </si>
  <si>
    <t>Bone's</t>
  </si>
  <si>
    <t>Bone's Restauranter A/S</t>
  </si>
  <si>
    <t>A Hereford Beefstouw</t>
  </si>
  <si>
    <t>Aage Damgaard ApS</t>
  </si>
  <si>
    <t>Bowl 'n' fun</t>
  </si>
  <si>
    <t>Bowl'n'fun A/S</t>
  </si>
  <si>
    <t>O'Learys</t>
  </si>
  <si>
    <t>SSP Group Ltd</t>
  </si>
  <si>
    <t>Hard Rock Café</t>
  </si>
  <si>
    <t>Hard Rock Café International Inc</t>
  </si>
  <si>
    <t>Pizza Hut</t>
  </si>
  <si>
    <t>Yum! Brands Inc</t>
  </si>
  <si>
    <t>-</t>
  </si>
  <si>
    <t>Rank Group Plc, The</t>
  </si>
  <si>
    <t>Others</t>
  </si>
  <si>
    <t>Total</t>
  </si>
  <si>
    <t>Research Sources:</t>
  </si>
  <si>
    <t>Andre</t>
  </si>
  <si>
    <t>Consumer Foodservice: Euromonitor from trade sources/national statistics</t>
  </si>
  <si>
    <t/>
  </si>
  <si>
    <t>Date Exported (GMT): 18-11-2015 12:26:38</t>
  </si>
  <si>
    <t>© Euromonitor International</t>
  </si>
  <si>
    <t>Kilde:</t>
  </si>
  <si>
    <t>http://www.portal.euromonitor.com/portal/statistics/changemeasure</t>
  </si>
  <si>
    <t>http://www.b.dk/upload/Premium/Engelske_rapporter/CFS14-DK-full-service-restaurants_269616.pdf</t>
  </si>
  <si>
    <t>Market Sizes | Historic | Foodservice Value RSP | DKK mn | Current Prices</t>
  </si>
  <si>
    <t xml:space="preserve">      Full-Service Restaurants</t>
  </si>
  <si>
    <t>Date Exported (GMT): 19/11/2015 09:06:59</t>
  </si>
  <si>
    <t>http://www.business.dk/foedevarer/restauranter-er-den-stoerste-jobskaber-siden-finanskrisen</t>
  </si>
  <si>
    <t>%-vis ændring fra 2009-2014</t>
  </si>
  <si>
    <t>Vertikal:</t>
  </si>
  <si>
    <t>Horisantal:</t>
  </si>
  <si>
    <t>Indekstal:</t>
  </si>
  <si>
    <t>2010-2014</t>
  </si>
  <si>
    <t>2013-2014</t>
  </si>
  <si>
    <t>Udvikling</t>
  </si>
  <si>
    <t>Negativ</t>
  </si>
  <si>
    <t>Positiv</t>
  </si>
  <si>
    <t xml:space="preserve">Skal være så lav så muligt, da vi dermed omsætter vores kreditorer færre gange. </t>
  </si>
  <si>
    <t>Varelagerets omsætningshastighed</t>
  </si>
  <si>
    <t>Lagerdage</t>
  </si>
  <si>
    <t>Primo</t>
  </si>
  <si>
    <t>Ultimo</t>
  </si>
  <si>
    <t>Omsætning</t>
  </si>
  <si>
    <t>Indtjeningsbidrag</t>
  </si>
  <si>
    <t>Vareforbrug</t>
  </si>
  <si>
    <t>Ændring i varelagre</t>
  </si>
  <si>
    <t>Bruttoresultat</t>
  </si>
  <si>
    <t>Ændring i varedebitorer</t>
  </si>
  <si>
    <t>Ændring i varekreditorer</t>
  </si>
  <si>
    <t xml:space="preserve">     Renteomkostninger</t>
  </si>
  <si>
    <t>Likviditetsforskydning fra driften</t>
  </si>
  <si>
    <t>Investeringer</t>
  </si>
  <si>
    <t xml:space="preserve">Finansielle ind- og udbetalinger </t>
  </si>
  <si>
    <t xml:space="preserve">     Nyt lån</t>
  </si>
  <si>
    <t>Resultatudlodninger</t>
  </si>
  <si>
    <t xml:space="preserve">     Betalt skat </t>
  </si>
  <si>
    <t xml:space="preserve">     Betalt udbytte</t>
  </si>
  <si>
    <t>Likviditetsvirkning i alt</t>
  </si>
  <si>
    <t xml:space="preserve">Likviditet primo </t>
  </si>
  <si>
    <t>Disponibel kassekredit</t>
  </si>
  <si>
    <t>Likviditet ultimo</t>
  </si>
  <si>
    <t>Resultatbudget for 2015   (1000 kr.)</t>
  </si>
  <si>
    <t>Likviditetsbudget 2015   (1000 kr.)</t>
  </si>
  <si>
    <t>- Personaleomkostninger</t>
  </si>
  <si>
    <t>- Andre eksterne omkostninger</t>
  </si>
  <si>
    <t>- Af- og nedskrivninger af immaterielle og materielle og materielle anlægsaktiver</t>
  </si>
  <si>
    <t>Investeringer =</t>
  </si>
  <si>
    <t>t. kr.</t>
  </si>
  <si>
    <t>Debitorers omsætningshastighed =</t>
  </si>
  <si>
    <t>gange</t>
  </si>
  <si>
    <t>Lagres omsætningshastighed =</t>
  </si>
  <si>
    <t>Kreditorers omsætningshastighed =</t>
  </si>
  <si>
    <t>Fald i bruttomargin =</t>
  </si>
  <si>
    <t>Stigning i omsætningen =</t>
  </si>
  <si>
    <t>%-point</t>
  </si>
  <si>
    <t>Stigning i andre eksterne omk. =</t>
  </si>
  <si>
    <t>Stigning i personaleomkostninger =</t>
  </si>
  <si>
    <t>Nyt lån =</t>
  </si>
  <si>
    <t>Afdrag kort gæld =</t>
  </si>
  <si>
    <t>- Finansielle omkostninger</t>
  </si>
  <si>
    <t>Selskabsskat</t>
  </si>
  <si>
    <t xml:space="preserve">     Afdrag på kort</t>
  </si>
  <si>
    <t>ændring i %</t>
  </si>
  <si>
    <t>Beregning af ICGR</t>
  </si>
  <si>
    <t>Egenkapitalen</t>
  </si>
  <si>
    <t>Resultat efter skat</t>
  </si>
  <si>
    <t>Udbytte</t>
  </si>
  <si>
    <t xml:space="preserve">Aktiver i alt </t>
  </si>
  <si>
    <t>CR</t>
  </si>
  <si>
    <t>ROA</t>
  </si>
  <si>
    <t>ERR</t>
  </si>
  <si>
    <t>ICGR=</t>
  </si>
  <si>
    <t>Udlån</t>
  </si>
  <si>
    <t>ICGR i % =</t>
  </si>
  <si>
    <t>ICGR i tal =</t>
  </si>
  <si>
    <t xml:space="preserve">https://www.lollandsbank.dk/sites/default/files/mediearkiv/pdf/regnskab/aarsrapport_2014_lollands_bank.pdf </t>
  </si>
  <si>
    <t>Hvad kan de låne ud?</t>
  </si>
  <si>
    <t>Solvensoverdækning i %</t>
  </si>
  <si>
    <t>Forbrugerforventninger (nettotal) efter indikator og tid</t>
  </si>
  <si>
    <t>Enhed: Nettotal</t>
  </si>
  <si>
    <t>Forbrugertillidsindikatoren</t>
  </si>
  <si>
    <t xml:space="preserve">* Tallene er taget fra 1. januar i hvert år. </t>
  </si>
  <si>
    <t>http://www.statistikbanken.dk/statbank5a/default.asp?w=1920</t>
  </si>
  <si>
    <t>STYRKEPROFIL</t>
  </si>
  <si>
    <t>Virksomhed - Jensen's Food Group A/S</t>
  </si>
  <si>
    <t xml:space="preserve">Hovedpunkter </t>
  </si>
  <si>
    <t xml:space="preserve">Underpunkt </t>
  </si>
  <si>
    <t xml:space="preserve">Vurdering </t>
  </si>
  <si>
    <t>Alvorligt</t>
  </si>
  <si>
    <t>Betænkeligt</t>
  </si>
  <si>
    <t>Acceptabelt</t>
  </si>
  <si>
    <t>Godt</t>
  </si>
  <si>
    <t>1. Marked og produkter</t>
  </si>
  <si>
    <t xml:space="preserve">Branchesituation, markedets totalstørrelse og markedsandel </t>
  </si>
  <si>
    <t>X</t>
  </si>
  <si>
    <t>Markedsspredning</t>
  </si>
  <si>
    <t xml:space="preserve">Produktspredning </t>
  </si>
  <si>
    <t>Let at eftergøre</t>
  </si>
  <si>
    <t xml:space="preserve">Distributionskanaler/kundekreds </t>
  </si>
  <si>
    <t xml:space="preserve">Samlet vurdering </t>
  </si>
  <si>
    <t>2. Konkurrenter</t>
  </si>
  <si>
    <t xml:space="preserve">Toneangivende mht. Nye produkter, design, emballage ect.  </t>
  </si>
  <si>
    <t xml:space="preserve">Fleksibel over for ændringer, der påvirkes af de væsentlige konkurrenter </t>
  </si>
  <si>
    <t xml:space="preserve">3. Kunder </t>
  </si>
  <si>
    <t xml:space="preserve">Stabil kundekreds </t>
  </si>
  <si>
    <t>Én eller få hovedaftagere (afhængighed)</t>
  </si>
  <si>
    <t>Afhængig af én branche</t>
  </si>
  <si>
    <t>Fleksibilitet over for evt. ændrede ønsker hos kunderne</t>
  </si>
  <si>
    <t>Samlet vurdering</t>
  </si>
  <si>
    <t xml:space="preserve">4. Råvarer, halv fabrikata mv. </t>
  </si>
  <si>
    <t>Afhængighed af én eller få leverandører</t>
  </si>
  <si>
    <t xml:space="preserve">5. Produktionsapparat </t>
  </si>
  <si>
    <t>Lokaler</t>
  </si>
  <si>
    <t>Køkkenmaskiner/apparater</t>
  </si>
  <si>
    <t xml:space="preserve">Mulighed for at omstille til anden produktion </t>
  </si>
  <si>
    <t>6. Personale</t>
  </si>
  <si>
    <t>Udannelsesniveau/fleksiblitet</t>
  </si>
  <si>
    <t>Mulighed for at skaffe ny arbejdskraft</t>
  </si>
  <si>
    <t xml:space="preserve">7. Ledelse og økonomistyring </t>
  </si>
  <si>
    <t>Langtidsplanlægning</t>
  </si>
  <si>
    <t xml:space="preserve">Løbende drift- og likviditetsbudgettering </t>
  </si>
  <si>
    <t xml:space="preserve">Ledelsen generelt </t>
  </si>
  <si>
    <t>8. Kapitalstruktur</t>
  </si>
  <si>
    <t xml:space="preserve">Egenkapitalforrentningen </t>
  </si>
  <si>
    <t>Soliditetsgraden</t>
  </si>
  <si>
    <t>Refinansieringsrisiko</t>
  </si>
  <si>
    <t>9. Andre følsomme områder</t>
  </si>
  <si>
    <t>Egenkontrol</t>
  </si>
  <si>
    <t>Miljø/Forbrug</t>
  </si>
  <si>
    <t>Kassekredit</t>
  </si>
  <si>
    <t>Selvskyldnerkaution</t>
  </si>
  <si>
    <t>Lån med pant i fast ejendom</t>
  </si>
  <si>
    <t>Egenkapitalens forrentningskrav</t>
  </si>
  <si>
    <t>Solvensbehov</t>
  </si>
  <si>
    <t>Risikovægtning</t>
  </si>
  <si>
    <t>Fundingomkostninger</t>
  </si>
  <si>
    <t>ciborrenten</t>
  </si>
  <si>
    <t>Forrentning af kapital</t>
  </si>
  <si>
    <t>Budgetteret tabs- og nedskrivnings-%</t>
  </si>
  <si>
    <t>antaget</t>
  </si>
  <si>
    <t xml:space="preserve">Bankes årsrapport.5 </t>
  </si>
  <si>
    <t>Omkostnings-%</t>
  </si>
  <si>
    <t>taget fra PP</t>
  </si>
  <si>
    <t>Teoretisk rente (bruttopris)</t>
  </si>
  <si>
    <t>Pålydende rente</t>
  </si>
  <si>
    <t>Risikovægtet post</t>
  </si>
  <si>
    <t>Forventet årlig renteindtægt</t>
  </si>
  <si>
    <t>Risikovægtede poster</t>
  </si>
  <si>
    <t>Kapitalgrundlag</t>
  </si>
  <si>
    <t>Solvensprocent før</t>
  </si>
  <si>
    <t>Solvensprocent efter</t>
  </si>
  <si>
    <t>Forskel i %-point</t>
  </si>
  <si>
    <t>Solvensbehovet</t>
  </si>
  <si>
    <t>Jensen's lånebehov</t>
  </si>
  <si>
    <t xml:space="preserve">Pålydende rente = </t>
  </si>
  <si>
    <t>Driftsresultat</t>
  </si>
  <si>
    <t>Totalbudgettering</t>
  </si>
  <si>
    <t>Læst 18 11 2015 , 10:55</t>
  </si>
  <si>
    <t>Forsyningsbalance, Bruttonationalprodukt (BNP), beskæftigelse mv. efter prisenhed, transaktion og tid</t>
  </si>
  <si>
    <t>År</t>
  </si>
  <si>
    <t>BNP</t>
  </si>
  <si>
    <t>Vækst i BNP år til år</t>
  </si>
  <si>
    <t>BNP vækst i %</t>
  </si>
  <si>
    <t>Hensatte forpligtelser er medtaget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</si>
</sst>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595959"/>
      <name val="Arial"/>
      <family val="2"/>
    </font>
    <font>
      <b/>
      <sz val="10"/>
      <color indexed="9"/>
      <name val="Arial"/>
      <family val="2"/>
    </font>
    <font>
      <sz val="10"/>
      <color rgb="FF59595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8"/>
      <color rgb="FF000000"/>
      <name val="Arial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darkVertical">
        <fgColor rgb="FF5D87A1"/>
        <bgColor rgb="FF5D87A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669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13" fillId="0" borderId="0" applyFill="0" applyBorder="0" applyProtection="0">
      <alignment horizontal="right" vertical="center"/>
    </xf>
    <xf numFmtId="0" fontId="20" fillId="0" borderId="0" applyNumberFormat="0" applyFill="0" applyBorder="0" applyAlignment="0" applyProtection="0"/>
    <xf numFmtId="0" fontId="21" fillId="0" borderId="0" applyNumberFormat="0" applyBorder="0" applyAlignment="0"/>
    <xf numFmtId="0" fontId="25" fillId="0" borderId="0" applyNumberFormat="0" applyFill="0" applyBorder="0" applyAlignment="0" applyProtection="0"/>
    <xf numFmtId="0" fontId="26" fillId="0" borderId="0"/>
    <xf numFmtId="0" fontId="27" fillId="6" borderId="22" applyNumberFormat="0" applyAlignment="0" applyProtection="0"/>
  </cellStyleXfs>
  <cellXfs count="299">
    <xf numFmtId="0" fontId="0" fillId="0" borderId="0" xfId="0"/>
    <xf numFmtId="0" fontId="2" fillId="0" borderId="0" xfId="0" applyFont="1" applyAlignment="1">
      <alignment horizontal="left"/>
    </xf>
    <xf numFmtId="164" fontId="0" fillId="0" borderId="0" xfId="1" applyNumberFormat="1" applyFont="1"/>
    <xf numFmtId="164" fontId="2" fillId="0" borderId="1" xfId="1" applyNumberFormat="1" applyFont="1" applyBorder="1"/>
    <xf numFmtId="164" fontId="2" fillId="0" borderId="2" xfId="1" applyNumberFormat="1" applyFont="1" applyBorder="1"/>
    <xf numFmtId="0" fontId="2" fillId="0" borderId="3" xfId="0" applyFont="1" applyBorder="1"/>
    <xf numFmtId="164" fontId="0" fillId="0" borderId="0" xfId="0" applyNumberFormat="1"/>
    <xf numFmtId="164" fontId="3" fillId="0" borderId="0" xfId="1" applyNumberFormat="1" applyFont="1"/>
    <xf numFmtId="164" fontId="4" fillId="0" borderId="1" xfId="1" applyNumberFormat="1" applyFont="1" applyBorder="1"/>
    <xf numFmtId="164" fontId="3" fillId="0" borderId="0" xfId="1" applyNumberFormat="1" applyFont="1" applyFill="1" applyBorder="1"/>
    <xf numFmtId="164" fontId="3" fillId="0" borderId="0" xfId="1" quotePrefix="1" applyNumberFormat="1" applyFont="1" applyFill="1" applyBorder="1" applyAlignment="1">
      <alignment horizontal="right"/>
    </xf>
    <xf numFmtId="0" fontId="2" fillId="0" borderId="0" xfId="0" applyFont="1"/>
    <xf numFmtId="0" fontId="0" fillId="0" borderId="4" xfId="0" applyBorder="1"/>
    <xf numFmtId="164" fontId="0" fillId="0" borderId="4" xfId="1" applyNumberFormat="1" applyFont="1" applyBorder="1"/>
    <xf numFmtId="0" fontId="0" fillId="0" borderId="4" xfId="0" quotePrefix="1" applyBorder="1" applyAlignment="1">
      <alignment horizontal="center"/>
    </xf>
    <xf numFmtId="164" fontId="2" fillId="0" borderId="5" xfId="1" applyNumberFormat="1" applyFont="1" applyBorder="1"/>
    <xf numFmtId="164" fontId="2" fillId="0" borderId="5" xfId="0" applyNumberFormat="1" applyFont="1" applyBorder="1"/>
    <xf numFmtId="164" fontId="2" fillId="0" borderId="5" xfId="0" quotePrefix="1" applyNumberFormat="1" applyFont="1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0" xfId="1" applyNumberFormat="1" applyFont="1" applyBorder="1"/>
    <xf numFmtId="164" fontId="0" fillId="0" borderId="0" xfId="1" quotePrefix="1" applyNumberFormat="1" applyFont="1" applyBorder="1" applyAlignment="1">
      <alignment horizontal="center"/>
    </xf>
    <xf numFmtId="164" fontId="2" fillId="0" borderId="5" xfId="1" quotePrefix="1" applyNumberFormat="1" applyFont="1" applyBorder="1" applyAlignment="1">
      <alignment horizontal="center"/>
    </xf>
    <xf numFmtId="164" fontId="2" fillId="0" borderId="6" xfId="1" applyNumberFormat="1" applyFont="1" applyBorder="1"/>
    <xf numFmtId="164" fontId="2" fillId="0" borderId="0" xfId="0" applyNumberFormat="1" applyFont="1"/>
    <xf numFmtId="0" fontId="8" fillId="0" borderId="0" xfId="0" applyFont="1" applyAlignment="1">
      <alignment horizontal="left"/>
    </xf>
    <xf numFmtId="0" fontId="9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/>
    <xf numFmtId="164" fontId="4" fillId="0" borderId="0" xfId="1" applyNumberFormat="1" applyFont="1" applyFill="1" applyBorder="1"/>
    <xf numFmtId="164" fontId="2" fillId="0" borderId="2" xfId="0" applyNumberFormat="1" applyFont="1" applyBorder="1"/>
    <xf numFmtId="164" fontId="2" fillId="0" borderId="0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Border="1" applyAlignment="1">
      <alignment horizontal="center"/>
    </xf>
    <xf numFmtId="164" fontId="9" fillId="0" borderId="0" xfId="1" applyNumberFormat="1" applyFont="1"/>
    <xf numFmtId="164" fontId="9" fillId="0" borderId="0" xfId="1" applyNumberFormat="1" applyFont="1" applyBorder="1"/>
    <xf numFmtId="164" fontId="4" fillId="0" borderId="0" xfId="1" applyNumberFormat="1" applyFont="1" applyBorder="1"/>
    <xf numFmtId="164" fontId="2" fillId="0" borderId="0" xfId="0" quotePrefix="1" applyNumberFormat="1" applyFont="1" applyBorder="1" applyAlignment="1">
      <alignment horizontal="center"/>
    </xf>
    <xf numFmtId="164" fontId="2" fillId="0" borderId="0" xfId="1" quotePrefix="1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10" fontId="0" fillId="0" borderId="0" xfId="2" applyNumberFormat="1" applyFont="1"/>
    <xf numFmtId="2" fontId="0" fillId="0" borderId="0" xfId="0" applyNumberFormat="1"/>
    <xf numFmtId="10" fontId="9" fillId="0" borderId="0" xfId="2" applyNumberFormat="1" applyFont="1"/>
    <xf numFmtId="1" fontId="0" fillId="0" borderId="0" xfId="0" applyNumberFormat="1"/>
    <xf numFmtId="10" fontId="0" fillId="0" borderId="0" xfId="0" applyNumberFormat="1"/>
    <xf numFmtId="10" fontId="0" fillId="0" borderId="4" xfId="0" applyNumberFormat="1" applyBorder="1"/>
    <xf numFmtId="0" fontId="9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10" fontId="10" fillId="0" borderId="0" xfId="2" applyNumberFormat="1" applyFont="1"/>
    <xf numFmtId="10" fontId="3" fillId="0" borderId="0" xfId="2" applyNumberFormat="1" applyFont="1"/>
    <xf numFmtId="2" fontId="3" fillId="0" borderId="0" xfId="0" applyNumberFormat="1" applyFont="1"/>
    <xf numFmtId="43" fontId="3" fillId="0" borderId="0" xfId="0" applyNumberFormat="1" applyFont="1"/>
    <xf numFmtId="0" fontId="2" fillId="0" borderId="3" xfId="0" applyFont="1" applyFill="1" applyBorder="1" applyAlignment="1">
      <alignment horizontal="right"/>
    </xf>
    <xf numFmtId="164" fontId="2" fillId="0" borderId="5" xfId="0" applyNumberFormat="1" applyFont="1" applyBorder="1" applyAlignment="1">
      <alignment horizontal="left"/>
    </xf>
    <xf numFmtId="164" fontId="3" fillId="0" borderId="0" xfId="0" applyNumberFormat="1" applyFont="1"/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4" fontId="13" fillId="0" borderId="0" xfId="3">
      <alignment horizontal="right" vertical="center"/>
    </xf>
    <xf numFmtId="4" fontId="13" fillId="0" borderId="0" xfId="0" applyNumberFormat="1" applyFont="1" applyAlignment="1">
      <alignment vertical="center"/>
    </xf>
    <xf numFmtId="3" fontId="13" fillId="0" borderId="0" xfId="3" applyNumberFormat="1">
      <alignment horizontal="right" vertical="center"/>
    </xf>
    <xf numFmtId="10" fontId="13" fillId="0" borderId="0" xfId="2" applyNumberFormat="1" applyFont="1" applyAlignment="1">
      <alignment vertical="center"/>
    </xf>
    <xf numFmtId="9" fontId="0" fillId="0" borderId="0" xfId="2" applyNumberFormat="1" applyFont="1"/>
    <xf numFmtId="9" fontId="0" fillId="0" borderId="0" xfId="2" applyFont="1"/>
    <xf numFmtId="0" fontId="16" fillId="0" borderId="0" xfId="0" applyFont="1"/>
    <xf numFmtId="165" fontId="17" fillId="0" borderId="0" xfId="1" applyNumberFormat="1" applyFont="1"/>
    <xf numFmtId="0" fontId="17" fillId="0" borderId="0" xfId="0" applyFont="1"/>
    <xf numFmtId="0" fontId="17" fillId="0" borderId="0" xfId="0" applyFont="1" applyAlignment="1">
      <alignment horizontal="right"/>
    </xf>
    <xf numFmtId="3" fontId="17" fillId="0" borderId="0" xfId="1" applyNumberFormat="1" applyFont="1"/>
    <xf numFmtId="165" fontId="17" fillId="0" borderId="0" xfId="1" applyNumberFormat="1" applyFont="1" applyBorder="1"/>
    <xf numFmtId="165" fontId="17" fillId="0" borderId="4" xfId="1" applyNumberFormat="1" applyFont="1" applyBorder="1"/>
    <xf numFmtId="165" fontId="17" fillId="0" borderId="9" xfId="0" applyNumberFormat="1" applyFont="1" applyBorder="1"/>
    <xf numFmtId="3" fontId="17" fillId="0" borderId="9" xfId="1" applyNumberFormat="1" applyFont="1" applyBorder="1"/>
    <xf numFmtId="3" fontId="17" fillId="0" borderId="4" xfId="1" applyNumberFormat="1" applyFont="1" applyBorder="1"/>
    <xf numFmtId="3" fontId="0" fillId="0" borderId="2" xfId="0" applyNumberFormat="1" applyBorder="1" applyAlignment="1">
      <alignment horizontal="right"/>
    </xf>
    <xf numFmtId="3" fontId="17" fillId="0" borderId="6" xfId="1" applyNumberFormat="1" applyFont="1" applyBorder="1"/>
    <xf numFmtId="0" fontId="17" fillId="0" borderId="0" xfId="0" applyFont="1" applyBorder="1"/>
    <xf numFmtId="0" fontId="18" fillId="0" borderId="0" xfId="0" applyFont="1" applyBorder="1"/>
    <xf numFmtId="0" fontId="17" fillId="0" borderId="0" xfId="0" quotePrefix="1" applyFont="1"/>
    <xf numFmtId="0" fontId="17" fillId="0" borderId="1" xfId="0" applyFont="1" applyBorder="1"/>
    <xf numFmtId="0" fontId="17" fillId="0" borderId="0" xfId="0" quotePrefix="1" applyFont="1" applyBorder="1"/>
    <xf numFmtId="0" fontId="17" fillId="0" borderId="2" xfId="0" applyFont="1" applyBorder="1"/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16" fillId="0" borderId="0" xfId="0" applyFont="1" applyBorder="1"/>
    <xf numFmtId="0" fontId="18" fillId="0" borderId="0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/>
    <xf numFmtId="166" fontId="17" fillId="4" borderId="9" xfId="1" applyNumberFormat="1" applyFont="1" applyFill="1" applyBorder="1"/>
    <xf numFmtId="9" fontId="17" fillId="0" borderId="0" xfId="2" applyFont="1"/>
    <xf numFmtId="2" fontId="17" fillId="0" borderId="0" xfId="2" applyNumberFormat="1" applyFont="1"/>
    <xf numFmtId="164" fontId="17" fillId="0" borderId="0" xfId="1" applyNumberFormat="1" applyFont="1"/>
    <xf numFmtId="0" fontId="18" fillId="0" borderId="1" xfId="0" applyFont="1" applyBorder="1"/>
    <xf numFmtId="165" fontId="18" fillId="0" borderId="1" xfId="1" applyNumberFormat="1" applyFont="1" applyBorder="1"/>
    <xf numFmtId="3" fontId="2" fillId="0" borderId="1" xfId="0" applyNumberFormat="1" applyFont="1" applyBorder="1" applyAlignment="1">
      <alignment horizontal="right"/>
    </xf>
    <xf numFmtId="2" fontId="17" fillId="4" borderId="9" xfId="1" applyNumberFormat="1" applyFont="1" applyFill="1" applyBorder="1"/>
    <xf numFmtId="0" fontId="8" fillId="0" borderId="0" xfId="0" applyFont="1" applyBorder="1" applyAlignment="1"/>
    <xf numFmtId="0" fontId="0" fillId="0" borderId="0" xfId="0" applyAlignment="1"/>
    <xf numFmtId="0" fontId="3" fillId="0" borderId="0" xfId="0" applyFont="1" applyAlignment="1"/>
    <xf numFmtId="0" fontId="8" fillId="0" borderId="0" xfId="0" applyFont="1" applyFill="1" applyBorder="1" applyAlignment="1"/>
    <xf numFmtId="165" fontId="17" fillId="4" borderId="0" xfId="1" applyNumberFormat="1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7" fillId="0" borderId="0" xfId="0" applyFont="1" applyFill="1"/>
    <xf numFmtId="3" fontId="17" fillId="4" borderId="4" xfId="1" applyNumberFormat="1" applyFont="1" applyFill="1" applyBorder="1"/>
    <xf numFmtId="3" fontId="19" fillId="0" borderId="0" xfId="0" applyNumberFormat="1" applyFont="1" applyBorder="1" applyAlignment="1">
      <alignment horizontal="right"/>
    </xf>
    <xf numFmtId="165" fontId="0" fillId="0" borderId="0" xfId="0" quotePrefix="1" applyNumberFormat="1"/>
    <xf numFmtId="3" fontId="0" fillId="0" borderId="0" xfId="0" applyNumberFormat="1"/>
    <xf numFmtId="10" fontId="2" fillId="0" borderId="0" xfId="2" applyNumberFormat="1" applyFont="1"/>
    <xf numFmtId="0" fontId="0" fillId="0" borderId="0" xfId="0" applyFont="1"/>
    <xf numFmtId="0" fontId="20" fillId="0" borderId="0" xfId="4"/>
    <xf numFmtId="3" fontId="2" fillId="0" borderId="0" xfId="0" applyNumberFormat="1" applyFont="1"/>
    <xf numFmtId="3" fontId="0" fillId="4" borderId="0" xfId="0" applyNumberFormat="1" applyFill="1"/>
    <xf numFmtId="2" fontId="0" fillId="0" borderId="0" xfId="0" applyNumberFormat="1" applyFont="1"/>
    <xf numFmtId="0" fontId="22" fillId="0" borderId="0" xfId="5" applyFont="1" applyFill="1" applyProtection="1"/>
    <xf numFmtId="0" fontId="21" fillId="0" borderId="0" xfId="5" applyFill="1" applyProtection="1"/>
    <xf numFmtId="0" fontId="23" fillId="0" borderId="0" xfId="5" applyFont="1" applyFill="1" applyProtection="1"/>
    <xf numFmtId="0" fontId="21" fillId="0" borderId="0" xfId="5" applyFill="1" applyAlignment="1" applyProtection="1">
      <alignment horizontal="left"/>
    </xf>
    <xf numFmtId="0" fontId="21" fillId="0" borderId="0" xfId="5" applyFill="1" applyAlignment="1" applyProtection="1">
      <alignment horizontal="right"/>
    </xf>
    <xf numFmtId="0" fontId="25" fillId="0" borderId="0" xfId="6" applyFill="1" applyProtection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6" fillId="0" borderId="0" xfId="7"/>
    <xf numFmtId="0" fontId="26" fillId="5" borderId="11" xfId="7" applyFill="1" applyBorder="1"/>
    <xf numFmtId="0" fontId="26" fillId="5" borderId="14" xfId="7" applyFill="1" applyBorder="1"/>
    <xf numFmtId="0" fontId="26" fillId="0" borderId="9" xfId="7" applyBorder="1"/>
    <xf numFmtId="0" fontId="26" fillId="0" borderId="9" xfId="7" applyBorder="1" applyAlignment="1">
      <alignment horizontal="center"/>
    </xf>
    <xf numFmtId="0" fontId="26" fillId="0" borderId="18" xfId="7" applyBorder="1" applyAlignment="1">
      <alignment horizontal="center"/>
    </xf>
    <xf numFmtId="0" fontId="26" fillId="0" borderId="19" xfId="7" applyBorder="1" applyAlignment="1">
      <alignment horizontal="center" wrapText="1"/>
    </xf>
    <xf numFmtId="0" fontId="26" fillId="0" borderId="19" xfId="7" applyBorder="1" applyAlignment="1">
      <alignment horizontal="center"/>
    </xf>
    <xf numFmtId="0" fontId="26" fillId="0" borderId="21" xfId="7" applyBorder="1" applyAlignment="1">
      <alignment horizontal="center"/>
    </xf>
    <xf numFmtId="0" fontId="26" fillId="0" borderId="19" xfId="7" applyBorder="1"/>
    <xf numFmtId="0" fontId="26" fillId="0" borderId="19" xfId="7" applyBorder="1" applyAlignment="1"/>
    <xf numFmtId="0" fontId="5" fillId="0" borderId="19" xfId="7" applyFont="1" applyBorder="1" applyAlignment="1">
      <alignment horizontal="right"/>
    </xf>
    <xf numFmtId="0" fontId="26" fillId="0" borderId="14" xfId="7" applyBorder="1"/>
    <xf numFmtId="0" fontId="26" fillId="0" borderId="14" xfId="7" applyBorder="1" applyAlignment="1">
      <alignment horizontal="right"/>
    </xf>
    <xf numFmtId="0" fontId="5" fillId="0" borderId="16" xfId="7" applyFont="1" applyBorder="1" applyAlignment="1">
      <alignment horizontal="center"/>
    </xf>
    <xf numFmtId="0" fontId="26" fillId="0" borderId="11" xfId="7" applyFill="1" applyBorder="1" applyAlignment="1">
      <alignment horizontal="center"/>
    </xf>
    <xf numFmtId="0" fontId="26" fillId="0" borderId="11" xfId="7" applyFill="1" applyBorder="1" applyAlignment="1">
      <alignment horizontal="right"/>
    </xf>
    <xf numFmtId="0" fontId="26" fillId="0" borderId="19" xfId="7" applyBorder="1" applyAlignment="1">
      <alignment horizontal="right"/>
    </xf>
    <xf numFmtId="0" fontId="26" fillId="0" borderId="14" xfId="7" applyBorder="1" applyAlignment="1">
      <alignment horizontal="center"/>
    </xf>
    <xf numFmtId="0" fontId="5" fillId="0" borderId="14" xfId="7" applyFont="1" applyBorder="1" applyAlignment="1">
      <alignment horizontal="center"/>
    </xf>
    <xf numFmtId="0" fontId="26" fillId="0" borderId="11" xfId="7" applyBorder="1" applyAlignment="1">
      <alignment horizontal="center"/>
    </xf>
    <xf numFmtId="0" fontId="5" fillId="0" borderId="21" xfId="7" applyFont="1" applyBorder="1" applyAlignment="1">
      <alignment horizontal="center"/>
    </xf>
    <xf numFmtId="0" fontId="26" fillId="0" borderId="13" xfId="7" applyBorder="1" applyAlignment="1">
      <alignment horizontal="center"/>
    </xf>
    <xf numFmtId="0" fontId="5" fillId="0" borderId="14" xfId="7" applyFont="1" applyBorder="1" applyAlignment="1">
      <alignment horizontal="right"/>
    </xf>
    <xf numFmtId="0" fontId="26" fillId="0" borderId="16" xfId="7" applyBorder="1" applyAlignment="1">
      <alignment horizontal="center"/>
    </xf>
    <xf numFmtId="0" fontId="26" fillId="0" borderId="21" xfId="7" applyBorder="1" applyAlignment="1">
      <alignment horizontal="left"/>
    </xf>
    <xf numFmtId="0" fontId="5" fillId="0" borderId="14" xfId="7" applyFont="1" applyBorder="1"/>
    <xf numFmtId="0" fontId="26" fillId="0" borderId="19" xfId="7" applyBorder="1" applyAlignment="1">
      <alignment horizontal="left"/>
    </xf>
    <xf numFmtId="0" fontId="26" fillId="0" borderId="11" xfId="7" applyBorder="1"/>
    <xf numFmtId="0" fontId="26" fillId="0" borderId="21" xfId="7" applyBorder="1"/>
    <xf numFmtId="10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0" fontId="0" fillId="0" borderId="4" xfId="2" applyNumberFormat="1" applyFont="1" applyBorder="1"/>
    <xf numFmtId="0" fontId="0" fillId="0" borderId="5" xfId="0" applyFill="1" applyBorder="1"/>
    <xf numFmtId="0" fontId="0" fillId="0" borderId="5" xfId="0" applyBorder="1"/>
    <xf numFmtId="10" fontId="0" fillId="0" borderId="5" xfId="0" applyNumberFormat="1" applyBorder="1"/>
    <xf numFmtId="9" fontId="9" fillId="0" borderId="0" xfId="0" applyNumberFormat="1" applyFont="1"/>
    <xf numFmtId="0" fontId="0" fillId="0" borderId="0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10" fontId="0" fillId="0" borderId="0" xfId="0" applyNumberFormat="1" applyBorder="1"/>
    <xf numFmtId="9" fontId="0" fillId="0" borderId="0" xfId="0" applyNumberFormat="1" applyBorder="1"/>
    <xf numFmtId="0" fontId="0" fillId="0" borderId="0" xfId="0" applyFont="1" applyBorder="1" applyAlignment="1">
      <alignment vertical="center"/>
    </xf>
    <xf numFmtId="10" fontId="0" fillId="0" borderId="0" xfId="0" applyNumberFormat="1" applyFont="1" applyBorder="1" applyAlignment="1">
      <alignment vertical="center"/>
    </xf>
    <xf numFmtId="9" fontId="0" fillId="0" borderId="0" xfId="2" applyFont="1" applyBorder="1"/>
    <xf numFmtId="4" fontId="0" fillId="0" borderId="0" xfId="0" applyNumberFormat="1"/>
    <xf numFmtId="10" fontId="0" fillId="0" borderId="0" xfId="0" applyNumberFormat="1" applyFill="1"/>
    <xf numFmtId="0" fontId="6" fillId="0" borderId="0" xfId="0" applyFont="1" applyAlignment="1"/>
    <xf numFmtId="165" fontId="17" fillId="4" borderId="4" xfId="1" applyNumberFormat="1" applyFont="1" applyFill="1" applyBorder="1"/>
    <xf numFmtId="0" fontId="28" fillId="6" borderId="22" xfId="8" applyFont="1"/>
    <xf numFmtId="0" fontId="28" fillId="6" borderId="22" xfId="8" applyFont="1" applyAlignment="1" applyProtection="1">
      <alignment horizontal="left"/>
    </xf>
    <xf numFmtId="0" fontId="27" fillId="6" borderId="22" xfId="8"/>
    <xf numFmtId="0" fontId="27" fillId="6" borderId="22" xfId="8" applyAlignment="1" applyProtection="1">
      <alignment horizontal="right"/>
    </xf>
    <xf numFmtId="0" fontId="4" fillId="6" borderId="22" xfId="8" applyFont="1" applyAlignment="1">
      <alignment wrapText="1"/>
    </xf>
    <xf numFmtId="0" fontId="4" fillId="6" borderId="22" xfId="8" applyFont="1"/>
    <xf numFmtId="10" fontId="4" fillId="6" borderId="22" xfId="2" applyNumberFormat="1" applyFont="1" applyFill="1" applyBorder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0" fillId="0" borderId="4" xfId="0" quotePrefix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4" fillId="0" borderId="10" xfId="5" applyFont="1" applyFill="1" applyBorder="1" applyAlignment="1" applyProtection="1">
      <alignment horizontal="left" vertical="center" wrapText="1"/>
    </xf>
    <xf numFmtId="0" fontId="7" fillId="0" borderId="0" xfId="7" applyFont="1" applyAlignment="1">
      <alignment horizontal="center"/>
    </xf>
    <xf numFmtId="0" fontId="5" fillId="5" borderId="12" xfId="7" applyFont="1" applyFill="1" applyBorder="1" applyAlignment="1">
      <alignment horizontal="center" vertical="center"/>
    </xf>
    <xf numFmtId="0" fontId="5" fillId="5" borderId="1" xfId="7" applyFont="1" applyFill="1" applyBorder="1" applyAlignment="1">
      <alignment horizontal="center" vertical="center"/>
    </xf>
    <xf numFmtId="0" fontId="5" fillId="5" borderId="13" xfId="7" applyFont="1" applyFill="1" applyBorder="1" applyAlignment="1">
      <alignment horizontal="center" vertical="center"/>
    </xf>
    <xf numFmtId="0" fontId="5" fillId="5" borderId="15" xfId="7" applyFont="1" applyFill="1" applyBorder="1" applyAlignment="1">
      <alignment horizontal="center" vertical="center"/>
    </xf>
    <xf numFmtId="0" fontId="5" fillId="5" borderId="4" xfId="7" applyFont="1" applyFill="1" applyBorder="1" applyAlignment="1">
      <alignment horizontal="center" vertical="center"/>
    </xf>
    <xf numFmtId="0" fontId="5" fillId="5" borderId="16" xfId="7" applyFont="1" applyFill="1" applyBorder="1" applyAlignment="1">
      <alignment horizontal="center" vertical="center"/>
    </xf>
    <xf numFmtId="0" fontId="26" fillId="5" borderId="11" xfId="7" applyFill="1" applyBorder="1" applyAlignment="1">
      <alignment horizontal="center" vertical="center"/>
    </xf>
    <xf numFmtId="0" fontId="26" fillId="5" borderId="14" xfId="7" applyFill="1" applyBorder="1" applyAlignment="1">
      <alignment horizontal="center" vertical="center"/>
    </xf>
    <xf numFmtId="0" fontId="26" fillId="5" borderId="11" xfId="7" applyFill="1" applyBorder="1" applyAlignment="1">
      <alignment horizontal="center"/>
    </xf>
    <xf numFmtId="0" fontId="26" fillId="5" borderId="14" xfId="7" applyFill="1" applyBorder="1" applyAlignment="1">
      <alignment horizontal="center"/>
    </xf>
    <xf numFmtId="0" fontId="26" fillId="0" borderId="17" xfId="7" applyBorder="1" applyAlignment="1">
      <alignment horizontal="center"/>
    </xf>
    <xf numFmtId="0" fontId="26" fillId="0" borderId="5" xfId="7" applyBorder="1" applyAlignment="1">
      <alignment horizontal="center"/>
    </xf>
    <xf numFmtId="0" fontId="26" fillId="0" borderId="18" xfId="7" applyBorder="1" applyAlignment="1">
      <alignment horizontal="center"/>
    </xf>
    <xf numFmtId="0" fontId="26" fillId="0" borderId="11" xfId="7" applyBorder="1" applyAlignment="1">
      <alignment horizontal="right"/>
    </xf>
    <xf numFmtId="0" fontId="26" fillId="0" borderId="19" xfId="7" applyBorder="1" applyAlignment="1">
      <alignment horizontal="right"/>
    </xf>
    <xf numFmtId="0" fontId="26" fillId="0" borderId="11" xfId="7" applyBorder="1" applyAlignment="1">
      <alignment horizontal="center"/>
    </xf>
    <xf numFmtId="0" fontId="26" fillId="0" borderId="19" xfId="7" applyBorder="1" applyAlignment="1">
      <alignment horizontal="center"/>
    </xf>
    <xf numFmtId="0" fontId="26" fillId="0" borderId="20" xfId="7" applyBorder="1" applyAlignment="1">
      <alignment horizontal="left" wrapText="1"/>
    </xf>
    <xf numFmtId="0" fontId="26" fillId="0" borderId="0" xfId="7" applyBorder="1" applyAlignment="1">
      <alignment horizontal="left" wrapText="1"/>
    </xf>
    <xf numFmtId="0" fontId="26" fillId="0" borderId="21" xfId="7" applyBorder="1" applyAlignment="1">
      <alignment horizontal="left" wrapText="1"/>
    </xf>
    <xf numFmtId="0" fontId="26" fillId="0" borderId="20" xfId="7" applyBorder="1" applyAlignment="1">
      <alignment horizontal="left"/>
    </xf>
    <xf numFmtId="0" fontId="26" fillId="0" borderId="0" xfId="7" applyBorder="1" applyAlignment="1">
      <alignment horizontal="left"/>
    </xf>
    <xf numFmtId="0" fontId="26" fillId="0" borderId="21" xfId="7" applyBorder="1" applyAlignment="1">
      <alignment horizontal="left"/>
    </xf>
    <xf numFmtId="0" fontId="5" fillId="0" borderId="15" xfId="7" applyFont="1" applyBorder="1" applyAlignment="1">
      <alignment horizontal="left" vertical="top"/>
    </xf>
    <xf numFmtId="0" fontId="5" fillId="0" borderId="4" xfId="7" applyFont="1" applyBorder="1" applyAlignment="1">
      <alignment horizontal="left" vertical="top"/>
    </xf>
    <xf numFmtId="0" fontId="5" fillId="0" borderId="16" xfId="7" applyFont="1" applyBorder="1" applyAlignment="1">
      <alignment horizontal="left" vertical="top"/>
    </xf>
    <xf numFmtId="0" fontId="26" fillId="0" borderId="11" xfId="7" applyBorder="1" applyAlignment="1">
      <alignment horizontal="left" vertical="top" wrapText="1"/>
    </xf>
    <xf numFmtId="0" fontId="26" fillId="0" borderId="19" xfId="7" applyBorder="1" applyAlignment="1">
      <alignment horizontal="left" vertical="top" wrapText="1"/>
    </xf>
    <xf numFmtId="0" fontId="26" fillId="0" borderId="14" xfId="7" applyBorder="1" applyAlignment="1">
      <alignment horizontal="left" vertical="top" wrapText="1"/>
    </xf>
    <xf numFmtId="0" fontId="26" fillId="0" borderId="12" xfId="7" applyBorder="1" applyAlignment="1">
      <alignment horizontal="left" wrapText="1"/>
    </xf>
    <xf numFmtId="0" fontId="26" fillId="0" borderId="1" xfId="7" applyBorder="1" applyAlignment="1">
      <alignment horizontal="left" wrapText="1"/>
    </xf>
    <xf numFmtId="0" fontId="26" fillId="0" borderId="13" xfId="7" applyBorder="1" applyAlignment="1">
      <alignment horizontal="left" wrapText="1"/>
    </xf>
    <xf numFmtId="0" fontId="5" fillId="0" borderId="15" xfId="7" applyFont="1" applyBorder="1" applyAlignment="1">
      <alignment horizontal="left"/>
    </xf>
    <xf numFmtId="0" fontId="5" fillId="0" borderId="4" xfId="7" applyFont="1" applyBorder="1" applyAlignment="1">
      <alignment horizontal="left"/>
    </xf>
    <xf numFmtId="0" fontId="5" fillId="0" borderId="16" xfId="7" applyFont="1" applyBorder="1" applyAlignment="1">
      <alignment horizontal="left"/>
    </xf>
    <xf numFmtId="0" fontId="26" fillId="0" borderId="11" xfId="7" applyBorder="1" applyAlignment="1">
      <alignment horizontal="center" wrapText="1"/>
    </xf>
    <xf numFmtId="0" fontId="26" fillId="0" borderId="19" xfId="7" applyBorder="1" applyAlignment="1">
      <alignment horizontal="center" wrapText="1"/>
    </xf>
    <xf numFmtId="0" fontId="26" fillId="0" borderId="13" xfId="7" applyBorder="1" applyAlignment="1">
      <alignment horizontal="center"/>
    </xf>
    <xf numFmtId="0" fontId="26" fillId="0" borderId="21" xfId="7" applyBorder="1" applyAlignment="1">
      <alignment horizontal="center"/>
    </xf>
    <xf numFmtId="0" fontId="26" fillId="0" borderId="19" xfId="7" applyBorder="1" applyAlignment="1">
      <alignment horizontal="left"/>
    </xf>
    <xf numFmtId="0" fontId="26" fillId="0" borderId="12" xfId="7" applyBorder="1" applyAlignment="1">
      <alignment horizontal="left"/>
    </xf>
    <xf numFmtId="0" fontId="26" fillId="0" borderId="1" xfId="7" applyBorder="1" applyAlignment="1">
      <alignment horizontal="left"/>
    </xf>
    <xf numFmtId="0" fontId="26" fillId="0" borderId="13" xfId="7" applyBorder="1" applyAlignment="1">
      <alignment horizontal="left"/>
    </xf>
    <xf numFmtId="0" fontId="26" fillId="0" borderId="20" xfId="7" applyBorder="1" applyAlignment="1">
      <alignment horizontal="center" wrapText="1"/>
    </xf>
    <xf numFmtId="0" fontId="26" fillId="0" borderId="0" xfId="7" applyBorder="1" applyAlignment="1">
      <alignment horizontal="center" wrapText="1"/>
    </xf>
    <xf numFmtId="0" fontId="26" fillId="0" borderId="21" xfId="7" applyBorder="1" applyAlignment="1">
      <alignment horizontal="center" wrapText="1"/>
    </xf>
    <xf numFmtId="0" fontId="5" fillId="0" borderId="20" xfId="7" applyFont="1" applyBorder="1" applyAlignment="1">
      <alignment horizontal="left"/>
    </xf>
    <xf numFmtId="0" fontId="5" fillId="0" borderId="0" xfId="7" applyFont="1" applyBorder="1" applyAlignment="1">
      <alignment horizontal="left"/>
    </xf>
    <xf numFmtId="0" fontId="5" fillId="0" borderId="21" xfId="7" applyFont="1" applyBorder="1" applyAlignment="1">
      <alignment horizontal="left"/>
    </xf>
    <xf numFmtId="0" fontId="26" fillId="0" borderId="12" xfId="7" applyBorder="1" applyAlignment="1">
      <alignment horizontal="left" vertical="top" wrapText="1"/>
    </xf>
    <xf numFmtId="0" fontId="26" fillId="0" borderId="1" xfId="7" applyBorder="1" applyAlignment="1">
      <alignment horizontal="left" vertical="top" wrapText="1"/>
    </xf>
    <xf numFmtId="0" fontId="26" fillId="0" borderId="13" xfId="7" applyBorder="1" applyAlignment="1">
      <alignment horizontal="left" vertical="top" wrapText="1"/>
    </xf>
    <xf numFmtId="0" fontId="26" fillId="0" borderId="12" xfId="7" applyFont="1" applyBorder="1" applyAlignment="1">
      <alignment horizontal="left" vertical="top"/>
    </xf>
    <xf numFmtId="0" fontId="26" fillId="0" borderId="1" xfId="7" applyFont="1" applyBorder="1" applyAlignment="1">
      <alignment horizontal="left" vertical="top"/>
    </xf>
    <xf numFmtId="0" fontId="26" fillId="0" borderId="20" xfId="7" applyFont="1" applyBorder="1" applyAlignment="1">
      <alignment horizontal="left" vertical="top"/>
    </xf>
    <xf numFmtId="0" fontId="26" fillId="0" borderId="0" xfId="7" applyFont="1" applyBorder="1" applyAlignment="1">
      <alignment horizontal="left" vertical="top"/>
    </xf>
    <xf numFmtId="0" fontId="26" fillId="0" borderId="21" xfId="7" applyFont="1" applyBorder="1" applyAlignment="1">
      <alignment horizontal="left" vertical="top"/>
    </xf>
    <xf numFmtId="0" fontId="26" fillId="0" borderId="12" xfId="7" applyFont="1" applyBorder="1" applyAlignment="1">
      <alignment horizontal="left"/>
    </xf>
    <xf numFmtId="0" fontId="26" fillId="0" borderId="1" xfId="7" applyFont="1" applyBorder="1" applyAlignment="1">
      <alignment horizontal="left"/>
    </xf>
    <xf numFmtId="0" fontId="26" fillId="0" borderId="13" xfId="7" applyFont="1" applyBorder="1" applyAlignment="1">
      <alignment horizontal="left"/>
    </xf>
    <xf numFmtId="0" fontId="26" fillId="0" borderId="20" xfId="7" applyFont="1" applyBorder="1" applyAlignment="1">
      <alignment horizontal="left"/>
    </xf>
    <xf numFmtId="0" fontId="26" fillId="0" borderId="0" xfId="7" applyFont="1" applyBorder="1" applyAlignment="1">
      <alignment horizontal="left"/>
    </xf>
    <xf numFmtId="0" fontId="26" fillId="0" borderId="21" xfId="7" applyFont="1" applyBorder="1" applyAlignment="1">
      <alignment horizontal="left"/>
    </xf>
    <xf numFmtId="0" fontId="5" fillId="0" borderId="15" xfId="7" applyFont="1" applyFill="1" applyBorder="1" applyAlignment="1">
      <alignment horizontal="left"/>
    </xf>
    <xf numFmtId="0" fontId="5" fillId="0" borderId="4" xfId="7" applyFont="1" applyFill="1" applyBorder="1" applyAlignment="1">
      <alignment horizontal="left"/>
    </xf>
    <xf numFmtId="0" fontId="5" fillId="0" borderId="16" xfId="7" applyFont="1" applyFill="1" applyBorder="1" applyAlignment="1">
      <alignment horizontal="left"/>
    </xf>
    <xf numFmtId="0" fontId="26" fillId="0" borderId="20" xfId="7" applyFill="1" applyBorder="1" applyAlignment="1">
      <alignment horizontal="left"/>
    </xf>
    <xf numFmtId="0" fontId="26" fillId="0" borderId="0" xfId="7" applyFill="1" applyBorder="1" applyAlignment="1">
      <alignment horizontal="left"/>
    </xf>
    <xf numFmtId="0" fontId="26" fillId="0" borderId="21" xfId="7" applyFill="1" applyBorder="1" applyAlignment="1">
      <alignment horizontal="left"/>
    </xf>
    <xf numFmtId="0" fontId="26" fillId="0" borderId="1" xfId="7" applyFill="1" applyBorder="1" applyAlignment="1">
      <alignment horizontal="left"/>
    </xf>
    <xf numFmtId="0" fontId="26" fillId="0" borderId="13" xfId="7" applyFill="1" applyBorder="1" applyAlignment="1">
      <alignment horizontal="left"/>
    </xf>
    <xf numFmtId="0" fontId="26" fillId="0" borderId="11" xfId="7" applyBorder="1" applyAlignment="1">
      <alignment horizontal="left" vertical="top"/>
    </xf>
    <xf numFmtId="0" fontId="26" fillId="0" borderId="19" xfId="7" applyBorder="1" applyAlignment="1">
      <alignment horizontal="left" vertical="top"/>
    </xf>
    <xf numFmtId="0" fontId="26" fillId="0" borderId="14" xfId="7" applyBorder="1" applyAlignment="1">
      <alignment horizontal="left" vertical="top"/>
    </xf>
    <xf numFmtId="0" fontId="26" fillId="0" borderId="12" xfId="7" applyFill="1" applyBorder="1" applyAlignment="1">
      <alignment horizontal="left"/>
    </xf>
  </cellXfs>
  <cellStyles count="9">
    <cellStyle name="Komma" xfId="1" builtinId="3"/>
    <cellStyle name="Kontrollér celle" xfId="8" builtinId="23"/>
    <cellStyle name="Link" xfId="4" builtinId="8"/>
    <cellStyle name="Link 2" xfId="6"/>
    <cellStyle name="Normal" xfId="0" builtinId="0"/>
    <cellStyle name="Normal 2" xfId="5"/>
    <cellStyle name="Normal 3" xfId="7"/>
    <cellStyle name="NumberStyle" xfId="3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Indtjeningsevnen</a:t>
            </a:r>
            <a:r>
              <a:rPr lang="da-DK" baseline="0"/>
              <a:t> - indekstal</a:t>
            </a:r>
            <a:endParaRPr lang="da-DK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'Regnskab og nøgletal'!$X$25:$AB$25</c:f>
              <c:strCache>
                <c:ptCount val="5"/>
                <c:pt idx="0">
                  <c:v>Nettoomsætning</c:v>
                </c:pt>
              </c:strCache>
            </c:strRef>
          </c:tx>
          <c:marker>
            <c:symbol val="none"/>
          </c:marker>
          <c:cat>
            <c:numRef>
              <c:f>'Regnskab og nøgletal'!$AC$5:$AG$5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'Regnskab og nøgletal'!$AC$25:$AG$25</c:f>
              <c:numCache>
                <c:formatCode>_ * #,##0_ ;_ * \-#,##0_ ;_ * "-"??_ ;_ @_ </c:formatCode>
                <c:ptCount val="5"/>
                <c:pt idx="0">
                  <c:v>100</c:v>
                </c:pt>
                <c:pt idx="1">
                  <c:v>106.10573585018757</c:v>
                </c:pt>
                <c:pt idx="2">
                  <c:v>117.79172515072653</c:v>
                </c:pt>
                <c:pt idx="3">
                  <c:v>115.66981523199648</c:v>
                </c:pt>
                <c:pt idx="4">
                  <c:v>107.91720155646688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'Regnskab og nøgletal'!$X$26:$AB$26</c:f>
              <c:strCache>
                <c:ptCount val="5"/>
                <c:pt idx="0">
                  <c:v>Af- og nedskrivninger</c:v>
                </c:pt>
              </c:strCache>
            </c:strRef>
          </c:tx>
          <c:marker>
            <c:symbol val="none"/>
          </c:marker>
          <c:cat>
            <c:numRef>
              <c:f>'Regnskab og nøgletal'!$AC$5:$AG$5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'Regnskab og nøgletal'!$AC$26:$AG$26</c:f>
              <c:numCache>
                <c:formatCode>_ * #,##0_ ;_ * \-#,##0_ ;_ * "-"??_ ;_ @_ </c:formatCode>
                <c:ptCount val="5"/>
                <c:pt idx="0">
                  <c:v>100</c:v>
                </c:pt>
                <c:pt idx="1">
                  <c:v>94.720959758588336</c:v>
                </c:pt>
                <c:pt idx="2">
                  <c:v>111.90682098367895</c:v>
                </c:pt>
                <c:pt idx="3">
                  <c:v>99.425911273851369</c:v>
                </c:pt>
                <c:pt idx="4">
                  <c:v>112.49194987763813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'Regnskab og nøgletal'!$X$27:$AB$27</c:f>
              <c:strCache>
                <c:ptCount val="5"/>
                <c:pt idx="0">
                  <c:v>Personaleomkostninger</c:v>
                </c:pt>
              </c:strCache>
            </c:strRef>
          </c:tx>
          <c:marker>
            <c:symbol val="none"/>
          </c:marker>
          <c:cat>
            <c:numRef>
              <c:f>'Regnskab og nøgletal'!$AC$5:$AG$5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'Regnskab og nøgletal'!$AC$27:$AG$27</c:f>
              <c:numCache>
                <c:formatCode>_ * #,##0_ ;_ * \-#,##0_ ;_ * "-"??_ ;_ @_ </c:formatCode>
                <c:ptCount val="5"/>
                <c:pt idx="0">
                  <c:v>100</c:v>
                </c:pt>
                <c:pt idx="1">
                  <c:v>104.84374361697782</c:v>
                </c:pt>
                <c:pt idx="2">
                  <c:v>117.09342701907758</c:v>
                </c:pt>
                <c:pt idx="3">
                  <c:v>120.1303157808734</c:v>
                </c:pt>
                <c:pt idx="4">
                  <c:v>113.26238816945137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69224"/>
        <c:axId val="357673928"/>
      </c:lineChart>
      <c:catAx>
        <c:axId val="35766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ÅR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673928"/>
        <c:crosses val="autoZero"/>
        <c:auto val="1"/>
        <c:lblAlgn val="ctr"/>
        <c:lblOffset val="100"/>
        <c:noMultiLvlLbl val="0"/>
      </c:catAx>
      <c:valAx>
        <c:axId val="357673928"/>
        <c:scaling>
          <c:orientation val="minMax"/>
          <c:min val="9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da-DK"/>
                  <a:t>%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 w="6350">
            <a:noFill/>
          </a:ln>
        </c:spPr>
        <c:crossAx val="357669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Kapitaltilpasningsevnen - indekstal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'Regnskab og nøgletal'!$X$41:$AB$41</c:f>
              <c:strCache>
                <c:ptCount val="5"/>
                <c:pt idx="0">
                  <c:v>Samlet balancesum</c:v>
                </c:pt>
              </c:strCache>
            </c:strRef>
          </c:tx>
          <c:marker>
            <c:symbol val="none"/>
          </c:marker>
          <c:cat>
            <c:numRef>
              <c:f>'Regnskab og nøgletal'!$AC$5:$AG$5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'Regnskab og nøgletal'!$AC$41:$AG$41</c:f>
              <c:numCache>
                <c:formatCode>_ * #,##0_ ;_ * \-#,##0_ ;_ * "-"??_ ;_ @_ </c:formatCode>
                <c:ptCount val="5"/>
                <c:pt idx="0">
                  <c:v>100</c:v>
                </c:pt>
                <c:pt idx="1">
                  <c:v>107.22012426079229</c:v>
                </c:pt>
                <c:pt idx="2">
                  <c:v>106.05520301803278</c:v>
                </c:pt>
                <c:pt idx="3">
                  <c:v>108.39641428601205</c:v>
                </c:pt>
                <c:pt idx="4">
                  <c:v>98.800782930152096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'Regnskab og nøgletal'!$X$45:$AB$45</c:f>
              <c:strCache>
                <c:ptCount val="5"/>
                <c:pt idx="0">
                  <c:v>Leverandører af varer og tjenesteydelser</c:v>
                </c:pt>
              </c:strCache>
            </c:strRef>
          </c:tx>
          <c:marker>
            <c:symbol val="none"/>
          </c:marker>
          <c:cat>
            <c:numRef>
              <c:f>'Regnskab og nøgletal'!$AC$5:$AG$5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'Regnskab og nøgletal'!$AC$45:$AG$45</c:f>
              <c:numCache>
                <c:formatCode>_ * #,##0_ ;_ * \-#,##0_ ;_ * "-"??_ ;_ @_ </c:formatCode>
                <c:ptCount val="5"/>
                <c:pt idx="0">
                  <c:v>100</c:v>
                </c:pt>
                <c:pt idx="1">
                  <c:v>115.62911967189102</c:v>
                </c:pt>
                <c:pt idx="2">
                  <c:v>136.70133294272742</c:v>
                </c:pt>
                <c:pt idx="3">
                  <c:v>202.37586055368391</c:v>
                </c:pt>
                <c:pt idx="4">
                  <c:v>125.08861871978907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'Regnskab og nøgletal'!$X$46:$AB$46</c:f>
              <c:strCache>
                <c:ptCount val="5"/>
                <c:pt idx="0">
                  <c:v>Egenkapital i alt</c:v>
                </c:pt>
              </c:strCache>
            </c:strRef>
          </c:tx>
          <c:marker>
            <c:symbol val="none"/>
          </c:marker>
          <c:cat>
            <c:numRef>
              <c:f>'Regnskab og nøgletal'!$AC$5:$AG$5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'Regnskab og nøgletal'!$AC$46:$AG$46</c:f>
              <c:numCache>
                <c:formatCode>_ * #,##0_ ;_ * \-#,##0_ ;_ * "-"??_ ;_ @_ </c:formatCode>
                <c:ptCount val="5"/>
                <c:pt idx="0">
                  <c:v>100</c:v>
                </c:pt>
                <c:pt idx="1">
                  <c:v>99.389556653227331</c:v>
                </c:pt>
                <c:pt idx="2">
                  <c:v>98.388036218125706</c:v>
                </c:pt>
                <c:pt idx="3">
                  <c:v>90.213239131914762</c:v>
                </c:pt>
                <c:pt idx="4">
                  <c:v>66.35829317922223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'Regnskab og nøgletal'!$X$47:$AB$47</c:f>
              <c:strCache>
                <c:ptCount val="5"/>
                <c:pt idx="0">
                  <c:v>Gældsforpligtelser i alt</c:v>
                </c:pt>
              </c:strCache>
            </c:strRef>
          </c:tx>
          <c:marker>
            <c:symbol val="none"/>
          </c:marker>
          <c:cat>
            <c:numRef>
              <c:f>'Regnskab og nøgletal'!$AC$5:$AG$5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'Regnskab og nøgletal'!$AC$47:$AG$47</c:f>
              <c:numCache>
                <c:formatCode>_ * #,##0_ ;_ * \-#,##0_ ;_ * "-"??_ ;_ @_ </c:formatCode>
                <c:ptCount val="5"/>
                <c:pt idx="0">
                  <c:v>100</c:v>
                </c:pt>
                <c:pt idx="1">
                  <c:v>109.83769845282637</c:v>
                </c:pt>
                <c:pt idx="2">
                  <c:v>108.61790878754171</c:v>
                </c:pt>
                <c:pt idx="3">
                  <c:v>114.47391040550106</c:v>
                </c:pt>
                <c:pt idx="4">
                  <c:v>109.64379613712205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70792"/>
        <c:axId val="357673144"/>
      </c:lineChart>
      <c:catAx>
        <c:axId val="35767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ÅR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7673144"/>
        <c:crosses val="autoZero"/>
        <c:auto val="1"/>
        <c:lblAlgn val="ctr"/>
        <c:lblOffset val="100"/>
        <c:noMultiLvlLbl val="0"/>
      </c:catAx>
      <c:valAx>
        <c:axId val="357673144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da-DK"/>
                  <a:t>%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 w="6350">
            <a:noFill/>
          </a:ln>
        </c:spPr>
        <c:crossAx val="357670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Forbrugertillidsindikator!$A$4</c:f>
              <c:strCache>
                <c:ptCount val="1"/>
                <c:pt idx="0">
                  <c:v>Forbrugertillidsindikatoren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5555555555555558E-3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Forbrugertillidsindikator!$B$3:$G$3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Forbrugertillidsindikator!$B$4:$G$4</c:f>
              <c:numCache>
                <c:formatCode>General</c:formatCode>
                <c:ptCount val="6"/>
                <c:pt idx="0">
                  <c:v>-9.1</c:v>
                </c:pt>
                <c:pt idx="1">
                  <c:v>1.1000000000000001</c:v>
                </c:pt>
                <c:pt idx="2">
                  <c:v>3.3</c:v>
                </c:pt>
                <c:pt idx="3">
                  <c:v>-7</c:v>
                </c:pt>
                <c:pt idx="4">
                  <c:v>-2.7</c:v>
                </c:pt>
                <c:pt idx="5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74320"/>
        <c:axId val="357663736"/>
      </c:lineChart>
      <c:catAx>
        <c:axId val="3576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Årstal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7663736"/>
        <c:crosses val="autoZero"/>
        <c:auto val="1"/>
        <c:lblAlgn val="ctr"/>
        <c:lblOffset val="100"/>
        <c:noMultiLvlLbl val="0"/>
      </c:catAx>
      <c:valAx>
        <c:axId val="35766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767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pr. indbygger, løbende priser i tusinde kr.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'BNP pr. indbygger'!$F$8</c:f>
              <c:strCache>
                <c:ptCount val="1"/>
                <c:pt idx="0">
                  <c:v>BNP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'BNP pr. indbygger'!$G$7:$L$7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'BNP pr. indbygger'!$G$8:$L$8</c:f>
              <c:numCache>
                <c:formatCode>General</c:formatCode>
                <c:ptCount val="6"/>
                <c:pt idx="0">
                  <c:v>310.39999999999998</c:v>
                </c:pt>
                <c:pt idx="1">
                  <c:v>324.2</c:v>
                </c:pt>
                <c:pt idx="2">
                  <c:v>329.1</c:v>
                </c:pt>
                <c:pt idx="3">
                  <c:v>333.9</c:v>
                </c:pt>
                <c:pt idx="4">
                  <c:v>336.1</c:v>
                </c:pt>
                <c:pt idx="5">
                  <c:v>340.5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-22"/>
        <c:axId val="364078680"/>
        <c:axId val="364081032"/>
      </c:barChart>
      <c:catAx>
        <c:axId val="36407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Årstal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4081032"/>
        <c:crosses val="autoZero"/>
        <c:auto val="1"/>
        <c:lblAlgn val="ctr"/>
        <c:lblOffset val="100"/>
        <c:noMultiLvlLbl val="0"/>
      </c:catAx>
      <c:valAx>
        <c:axId val="364081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407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Markedsandele for restaurantionsbranchen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('[2]Statistics Data'!$D$7:$D$11,'[2]Statistics Data'!$D$18)</c:f>
              <c:strCache>
                <c:ptCount val="6"/>
                <c:pt idx="0">
                  <c:v>Jensen's Bøfhus A/S</c:v>
                </c:pt>
                <c:pt idx="1">
                  <c:v>Bone's Restauranter A/S</c:v>
                </c:pt>
                <c:pt idx="2">
                  <c:v>Aage Damgaard ApS</c:v>
                </c:pt>
                <c:pt idx="3">
                  <c:v>Bowl'n'fun A/S</c:v>
                </c:pt>
                <c:pt idx="4">
                  <c:v>SSP Group Ltd</c:v>
                </c:pt>
                <c:pt idx="5">
                  <c:v>Andre</c:v>
                </c:pt>
              </c:strCache>
            </c:strRef>
          </c:cat>
          <c:val>
            <c:numRef>
              <c:f>('[2]Statistics Data'!$J$7:$J$11,'[2]Statistics Data'!$J$18)</c:f>
              <c:numCache>
                <c:formatCode>General</c:formatCode>
                <c:ptCount val="6"/>
                <c:pt idx="0">
                  <c:v>2.9</c:v>
                </c:pt>
                <c:pt idx="1">
                  <c:v>1.9</c:v>
                </c:pt>
                <c:pt idx="2">
                  <c:v>1.5</c:v>
                </c:pt>
                <c:pt idx="3">
                  <c:v>0.8</c:v>
                </c:pt>
                <c:pt idx="4">
                  <c:v>0.4</c:v>
                </c:pt>
                <c:pt idx="5">
                  <c:v>92.6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Markedsandele</a:t>
            </a:r>
            <a:r>
              <a:rPr lang="da-DK" baseline="0"/>
              <a:t> for restaurationsbranchen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Markedsandele!$D$7:$D$11</c:f>
              <c:strCache>
                <c:ptCount val="5"/>
                <c:pt idx="0">
                  <c:v>Jensen's Bøfhus A/S</c:v>
                </c:pt>
                <c:pt idx="1">
                  <c:v>Bone's Restauranter A/S</c:v>
                </c:pt>
                <c:pt idx="2">
                  <c:v>Aage Damgaard ApS</c:v>
                </c:pt>
                <c:pt idx="3">
                  <c:v>Bowl'n'fun A/S</c:v>
                </c:pt>
                <c:pt idx="4">
                  <c:v>SSP Group Ltd</c:v>
                </c:pt>
              </c:strCache>
            </c:strRef>
          </c:cat>
          <c:val>
            <c:numRef>
              <c:f>Markedsandele!$J$7:$J$11</c:f>
              <c:numCache>
                <c:formatCode>#,##0.00</c:formatCode>
                <c:ptCount val="5"/>
                <c:pt idx="0">
                  <c:v>2.9</c:v>
                </c:pt>
                <c:pt idx="1">
                  <c:v>1.9</c:v>
                </c:pt>
                <c:pt idx="2">
                  <c:v>1.5</c:v>
                </c:pt>
                <c:pt idx="3">
                  <c:v>0.8</c:v>
                </c:pt>
                <c:pt idx="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Udvikling i antal restauranter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'Udvikling i branchen'!$B$7</c:f>
              <c:strCache>
                <c:ptCount val="1"/>
                <c:pt idx="0">
                  <c:v>      Full-Service Restaurants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'Udvikling i branchen'!$C$6:$H$6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strCache>
            </c:strRef>
          </c:cat>
          <c:val>
            <c:numRef>
              <c:f>'Udvikling i branchen'!$C$7:$H$7</c:f>
              <c:numCache>
                <c:formatCode>#,##0</c:formatCode>
                <c:ptCount val="6"/>
                <c:pt idx="0">
                  <c:v>14686.1</c:v>
                </c:pt>
                <c:pt idx="1">
                  <c:v>14893.1</c:v>
                </c:pt>
                <c:pt idx="2">
                  <c:v>15944.1</c:v>
                </c:pt>
                <c:pt idx="3">
                  <c:v>16809.900000000001</c:v>
                </c:pt>
                <c:pt idx="4">
                  <c:v>17565.900000000001</c:v>
                </c:pt>
                <c:pt idx="5">
                  <c:v>18293.5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-22"/>
        <c:axId val="359894336"/>
        <c:axId val="359902568"/>
      </c:barChart>
      <c:catAx>
        <c:axId val="35989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Årstal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9902568"/>
        <c:crosses val="autoZero"/>
        <c:auto val="1"/>
        <c:lblAlgn val="ctr"/>
        <c:lblOffset val="100"/>
        <c:noMultiLvlLbl val="0"/>
      </c:catAx>
      <c:valAx>
        <c:axId val="359902568"/>
        <c:scaling>
          <c:orientation val="minMax"/>
          <c:max val="20000"/>
          <c:min val="1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restauranter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98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hyperlink" Target="http://www.portal.euromonitor.com/portal/account/login/" TargetMode="Externa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hyperlink" Target="http://www.portal.euromonitor.com/portal/account/login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155864</xdr:colOff>
      <xdr:row>19</xdr:row>
      <xdr:rowOff>1</xdr:rowOff>
    </xdr:from>
    <xdr:to>
      <xdr:col>45</xdr:col>
      <xdr:colOff>242455</xdr:colOff>
      <xdr:row>33</xdr:row>
      <xdr:rowOff>33770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398319</xdr:colOff>
      <xdr:row>36</xdr:row>
      <xdr:rowOff>104772</xdr:rowOff>
    </xdr:from>
    <xdr:to>
      <xdr:col>50</xdr:col>
      <xdr:colOff>320387</xdr:colOff>
      <xdr:row>52</xdr:row>
      <xdr:rowOff>77930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4762</xdr:rowOff>
    </xdr:from>
    <xdr:to>
      <xdr:col>16</xdr:col>
      <xdr:colOff>200025</xdr:colOff>
      <xdr:row>18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2</xdr:row>
      <xdr:rowOff>61912</xdr:rowOff>
    </xdr:from>
    <xdr:to>
      <xdr:col>21</xdr:col>
      <xdr:colOff>361949</xdr:colOff>
      <xdr:row>14</xdr:row>
      <xdr:rowOff>180975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1704975</xdr:colOff>
      <xdr:row>2</xdr:row>
      <xdr:rowOff>152400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7049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666750</xdr:colOff>
      <xdr:row>27</xdr:row>
      <xdr:rowOff>119062</xdr:rowOff>
    </xdr:from>
    <xdr:to>
      <xdr:col>2</xdr:col>
      <xdr:colOff>381000</xdr:colOff>
      <xdr:row>54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1028700</xdr:colOff>
      <xdr:row>19</xdr:row>
      <xdr:rowOff>42862</xdr:rowOff>
    </xdr:from>
    <xdr:to>
      <xdr:col>9</xdr:col>
      <xdr:colOff>390525</xdr:colOff>
      <xdr:row>36</xdr:row>
      <xdr:rowOff>14287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1704975</xdr:colOff>
      <xdr:row>2</xdr:row>
      <xdr:rowOff>152400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704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4762</xdr:rowOff>
    </xdr:from>
    <xdr:to>
      <xdr:col>8</xdr:col>
      <xdr:colOff>457200</xdr:colOff>
      <xdr:row>24</xdr:row>
      <xdr:rowOff>157162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a/Downloads/BNP-pr.-indbygger-l&#248;bende-priser-ang.-k&#248;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a/Downloads/Passport_Stats_18-11-2015_12.26_GM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 Data"/>
    </sheetNames>
    <sheetDataSet>
      <sheetData sheetId="0">
        <row r="7">
          <cell r="D7" t="str">
            <v>Jensen's Bøfhus A/S</v>
          </cell>
          <cell r="J7">
            <v>2.9</v>
          </cell>
        </row>
        <row r="8">
          <cell r="D8" t="str">
            <v>Bone's Restauranter A/S</v>
          </cell>
          <cell r="J8">
            <v>1.9</v>
          </cell>
        </row>
        <row r="9">
          <cell r="D9" t="str">
            <v>Aage Damgaard ApS</v>
          </cell>
          <cell r="J9">
            <v>1.5</v>
          </cell>
        </row>
        <row r="10">
          <cell r="D10" t="str">
            <v>Bowl'n'fun A/S</v>
          </cell>
          <cell r="J10">
            <v>0.8</v>
          </cell>
        </row>
        <row r="11">
          <cell r="D11" t="str">
            <v>SSP Group Ltd</v>
          </cell>
          <cell r="J11">
            <v>0.4</v>
          </cell>
        </row>
        <row r="18">
          <cell r="D18" t="str">
            <v>Andre</v>
          </cell>
          <cell r="J18">
            <v>92.6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ollandsbank.dk/sites/default/files/mediearkiv/pdf/regnskab/aarsrapport_2014_lollands_bank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tatistikbanken.dk/statbank5a/default.asp?w=192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statistikbanken.dk/statbank5a/default.asp?w=192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www.b.dk/upload/Premium/Engelske_rapporter/CFS14-DK-full-service-restaurants_269616.pdf" TargetMode="External"/><Relationship Id="rId1" Type="http://schemas.openxmlformats.org/officeDocument/2006/relationships/hyperlink" Target="http://www.portal.euromonitor.com/portal/statistics/changemeasur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business.dk/foedevarer/restauranter-er-den-stoerste-jobskaber-siden-finanskrise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"/>
  <sheetViews>
    <sheetView tabSelected="1" zoomScaleNormal="100" workbookViewId="0">
      <selection activeCell="N76" sqref="N76"/>
    </sheetView>
  </sheetViews>
  <sheetFormatPr defaultRowHeight="15" x14ac:dyDescent="0.25"/>
  <cols>
    <col min="3" max="4" width="9.140625" customWidth="1"/>
    <col min="9" max="9" width="10.7109375" customWidth="1"/>
    <col min="10" max="10" width="11.140625" bestFit="1" customWidth="1"/>
    <col min="11" max="11" width="11" bestFit="1" customWidth="1"/>
    <col min="12" max="12" width="10.7109375" customWidth="1"/>
    <col min="13" max="13" width="11" bestFit="1" customWidth="1"/>
    <col min="14" max="14" width="11" customWidth="1"/>
    <col min="21" max="21" width="11.42578125" bestFit="1" customWidth="1"/>
    <col min="22" max="22" width="11.5703125" customWidth="1"/>
    <col min="26" max="26" width="9.85546875" customWidth="1"/>
    <col min="28" max="28" width="14.85546875" bestFit="1" customWidth="1"/>
    <col min="29" max="29" width="11.5703125" bestFit="1" customWidth="1"/>
    <col min="30" max="31" width="12.7109375" bestFit="1" customWidth="1"/>
    <col min="32" max="32" width="10.85546875" customWidth="1"/>
    <col min="34" max="34" width="11" customWidth="1"/>
    <col min="35" max="35" width="9.42578125" customWidth="1"/>
    <col min="36" max="36" width="11.140625" customWidth="1"/>
  </cols>
  <sheetData>
    <row r="1" spans="1:37" x14ac:dyDescent="0.25">
      <c r="A1" s="27" t="s">
        <v>0</v>
      </c>
      <c r="B1" s="27" t="s">
        <v>62</v>
      </c>
    </row>
    <row r="2" spans="1:37" x14ac:dyDescent="0.25">
      <c r="A2" s="27"/>
      <c r="B2" s="27" t="s">
        <v>63</v>
      </c>
    </row>
    <row r="3" spans="1:37" x14ac:dyDescent="0.25">
      <c r="A3" s="27"/>
      <c r="B3" s="27" t="s">
        <v>64</v>
      </c>
    </row>
    <row r="4" spans="1:37" ht="23.25" x14ac:dyDescent="0.35">
      <c r="A4" s="188" t="s">
        <v>126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35"/>
      <c r="P4" s="188" t="s">
        <v>128</v>
      </c>
      <c r="Q4" s="188"/>
      <c r="R4" s="188"/>
      <c r="S4" s="188"/>
      <c r="T4" s="188"/>
      <c r="U4" s="188"/>
      <c r="V4" s="188"/>
      <c r="X4" s="188" t="s">
        <v>86</v>
      </c>
      <c r="Y4" s="188"/>
      <c r="Z4" s="188"/>
      <c r="AA4" s="188"/>
      <c r="AB4" s="188"/>
      <c r="AC4" s="188"/>
      <c r="AD4" s="188"/>
      <c r="AE4" s="188"/>
      <c r="AF4" s="188"/>
      <c r="AG4" s="188"/>
    </row>
    <row r="5" spans="1:37" ht="15.75" thickBot="1" x14ac:dyDescent="0.3">
      <c r="A5" s="192"/>
      <c r="B5" s="192"/>
      <c r="C5" s="192"/>
      <c r="D5" s="192"/>
      <c r="E5" s="192"/>
      <c r="F5" s="192"/>
      <c r="G5" s="192"/>
      <c r="H5" s="192"/>
      <c r="I5" s="5">
        <v>2010</v>
      </c>
      <c r="J5" s="5">
        <v>2011</v>
      </c>
      <c r="K5" s="5">
        <v>2012</v>
      </c>
      <c r="L5" s="5">
        <v>2013</v>
      </c>
      <c r="M5" s="5">
        <v>2014</v>
      </c>
      <c r="N5" s="29"/>
      <c r="P5" s="204"/>
      <c r="Q5" s="204"/>
      <c r="R5" s="204"/>
      <c r="S5" s="204"/>
      <c r="T5" s="204"/>
      <c r="U5" s="58">
        <v>2013</v>
      </c>
      <c r="V5" s="5">
        <v>2014</v>
      </c>
      <c r="X5" s="190"/>
      <c r="Y5" s="190"/>
      <c r="Z5" s="190"/>
      <c r="AA5" s="190"/>
      <c r="AB5" s="190"/>
      <c r="AC5" s="5">
        <v>2010</v>
      </c>
      <c r="AD5" s="5">
        <v>2011</v>
      </c>
      <c r="AE5" s="5">
        <v>2012</v>
      </c>
      <c r="AF5" s="5">
        <v>2013</v>
      </c>
      <c r="AG5" s="5">
        <v>2014</v>
      </c>
      <c r="AH5" t="s">
        <v>192</v>
      </c>
      <c r="AI5" t="s">
        <v>194</v>
      </c>
      <c r="AJ5" t="s">
        <v>193</v>
      </c>
      <c r="AK5" t="s">
        <v>194</v>
      </c>
    </row>
    <row r="6" spans="1:37" ht="15.75" x14ac:dyDescent="0.25">
      <c r="A6" s="193" t="s">
        <v>1</v>
      </c>
      <c r="B6" s="193"/>
      <c r="C6" s="193"/>
      <c r="D6" s="193"/>
      <c r="E6" s="193"/>
      <c r="F6" s="193"/>
      <c r="G6" s="193"/>
      <c r="H6" s="193"/>
      <c r="I6" s="2">
        <v>800788</v>
      </c>
      <c r="J6" s="2">
        <v>849682</v>
      </c>
      <c r="K6" s="2">
        <v>943262</v>
      </c>
      <c r="L6" s="2">
        <v>926270</v>
      </c>
      <c r="M6" s="2">
        <v>864188</v>
      </c>
      <c r="N6" s="2"/>
      <c r="O6" s="6"/>
      <c r="P6" s="211" t="s">
        <v>65</v>
      </c>
      <c r="Q6" s="211"/>
      <c r="R6" s="211"/>
      <c r="S6" s="211"/>
      <c r="T6" s="211"/>
      <c r="U6" s="2">
        <v>-10724</v>
      </c>
      <c r="V6" s="2">
        <v>-29899</v>
      </c>
      <c r="X6" s="201" t="s">
        <v>93</v>
      </c>
      <c r="Y6" s="201"/>
      <c r="Z6" s="201"/>
      <c r="AA6" s="201"/>
      <c r="AB6" s="201"/>
      <c r="AC6" s="36"/>
      <c r="AD6" s="36"/>
    </row>
    <row r="7" spans="1:37" x14ac:dyDescent="0.25">
      <c r="A7" s="195" t="s">
        <v>141</v>
      </c>
      <c r="B7" s="194"/>
      <c r="C7" s="194"/>
      <c r="D7" s="194"/>
      <c r="E7" s="194"/>
      <c r="F7" s="194"/>
      <c r="G7" s="194"/>
      <c r="H7" s="194"/>
      <c r="I7" s="2">
        <v>289686</v>
      </c>
      <c r="J7" s="2">
        <v>315309</v>
      </c>
      <c r="K7" s="2">
        <v>343165</v>
      </c>
      <c r="L7" s="2">
        <v>323924</v>
      </c>
      <c r="M7" s="2">
        <v>320288</v>
      </c>
      <c r="N7" s="2"/>
      <c r="P7" s="211" t="s">
        <v>66</v>
      </c>
      <c r="Q7" s="211"/>
      <c r="R7" s="211"/>
      <c r="S7" s="211"/>
      <c r="T7" s="211"/>
      <c r="U7" s="2">
        <v>76634</v>
      </c>
      <c r="V7" s="2">
        <v>74260</v>
      </c>
      <c r="X7" s="197" t="s">
        <v>135</v>
      </c>
      <c r="Y7" s="197"/>
      <c r="Z7" s="197"/>
      <c r="AA7" s="197"/>
      <c r="AB7" s="197"/>
      <c r="AC7" s="44">
        <f>I14/I79</f>
        <v>3.727428291651922E-2</v>
      </c>
      <c r="AD7" s="44">
        <f>J14/J79</f>
        <v>3.9699165618927876E-2</v>
      </c>
      <c r="AE7" s="44">
        <f>K14/K79</f>
        <v>4.8744517285708826E-2</v>
      </c>
      <c r="AF7" s="44">
        <f>L14/L79</f>
        <v>2.4663564209293058E-2</v>
      </c>
      <c r="AG7" s="44">
        <f>M14/M79</f>
        <v>-2.7721841489667182E-2</v>
      </c>
      <c r="AH7" s="71">
        <f>(AG7-AC7)/AC7</f>
        <v>-1.7437256821748652</v>
      </c>
      <c r="AI7" t="s">
        <v>195</v>
      </c>
      <c r="AJ7" s="71">
        <f>(AG7-AF7)/AF7</f>
        <v>-2.1239998101824145</v>
      </c>
      <c r="AK7" t="s">
        <v>195</v>
      </c>
    </row>
    <row r="8" spans="1:37" x14ac:dyDescent="0.25">
      <c r="A8" s="196" t="s">
        <v>4</v>
      </c>
      <c r="B8" s="196"/>
      <c r="C8" s="196"/>
      <c r="D8" s="196"/>
      <c r="E8" s="196"/>
      <c r="F8" s="196"/>
      <c r="G8" s="196"/>
      <c r="H8" s="196"/>
      <c r="I8" s="3">
        <f>I6-I7</f>
        <v>511102</v>
      </c>
      <c r="J8" s="3">
        <f>J6-J7</f>
        <v>534373</v>
      </c>
      <c r="K8" s="3">
        <f>K6-K7</f>
        <v>600097</v>
      </c>
      <c r="L8" s="3">
        <f>L6-L7</f>
        <v>602346</v>
      </c>
      <c r="M8" s="3">
        <f>M6-M7</f>
        <v>543900</v>
      </c>
      <c r="N8" s="2"/>
      <c r="P8" s="211" t="s">
        <v>67</v>
      </c>
      <c r="Q8" s="211"/>
      <c r="R8" s="211"/>
      <c r="S8" s="211"/>
      <c r="T8" s="211"/>
      <c r="U8" s="2">
        <v>12063</v>
      </c>
      <c r="V8" s="2">
        <v>-44245</v>
      </c>
      <c r="X8" s="197" t="s">
        <v>136</v>
      </c>
      <c r="Y8" s="197"/>
      <c r="Z8" s="197"/>
      <c r="AA8" s="197"/>
      <c r="AB8" s="197"/>
      <c r="AC8" s="44">
        <f>I14/I6</f>
        <v>2.4005104971602971E-2</v>
      </c>
      <c r="AD8" s="44">
        <f>J14/J6</f>
        <v>2.5548381629833278E-2</v>
      </c>
      <c r="AE8" s="44">
        <f>K14/K6</f>
        <v>2.9083117946021361E-2</v>
      </c>
      <c r="AF8" s="44">
        <f>L14/L6</f>
        <v>1.5067960745786866E-2</v>
      </c>
      <c r="AG8" s="44">
        <f>M14/M6</f>
        <v>-1.7539007715913667E-2</v>
      </c>
      <c r="AH8" s="71">
        <f t="shared" ref="AH8:AH13" si="0">(AG8-AC8)/AC8</f>
        <v>-1.7306365765390974</v>
      </c>
      <c r="AI8" t="s">
        <v>195</v>
      </c>
      <c r="AJ8" s="71">
        <f>(AG8-AF8)/AF8</f>
        <v>-2.1639934568330839</v>
      </c>
      <c r="AK8" t="s">
        <v>195</v>
      </c>
    </row>
    <row r="9" spans="1:37" x14ac:dyDescent="0.25">
      <c r="A9" s="194" t="s">
        <v>2</v>
      </c>
      <c r="B9" s="194"/>
      <c r="C9" s="194"/>
      <c r="D9" s="194"/>
      <c r="E9" s="194"/>
      <c r="F9" s="194"/>
      <c r="G9" s="194"/>
      <c r="H9" s="194"/>
      <c r="I9" s="2"/>
      <c r="J9" s="2"/>
      <c r="K9" s="2">
        <v>5835</v>
      </c>
      <c r="L9" s="2">
        <v>2081</v>
      </c>
      <c r="M9" s="2">
        <v>1618</v>
      </c>
      <c r="N9" s="2"/>
      <c r="P9" s="209" t="s">
        <v>68</v>
      </c>
      <c r="Q9" s="209"/>
      <c r="R9" s="209"/>
      <c r="S9" s="209"/>
      <c r="T9" s="209"/>
      <c r="U9" s="59">
        <f>U6+U7+U8</f>
        <v>77973</v>
      </c>
      <c r="V9" s="16">
        <f>V6+V7+V8</f>
        <v>116</v>
      </c>
      <c r="X9" s="197" t="s">
        <v>137</v>
      </c>
      <c r="Y9" s="197"/>
      <c r="Z9" s="197"/>
      <c r="AA9" s="197"/>
      <c r="AB9" s="197"/>
      <c r="AC9" s="45">
        <f>I6/I79</f>
        <v>1.5527648373382714</v>
      </c>
      <c r="AD9" s="45">
        <f>J6/J79</f>
        <v>1.5538818150645788</v>
      </c>
      <c r="AE9" s="45">
        <f>K6/K79</f>
        <v>1.6760416601885424</v>
      </c>
      <c r="AF9" s="45">
        <f>L6/L79</f>
        <v>1.6368216393309365</v>
      </c>
      <c r="AG9" s="45">
        <f>M6/M79</f>
        <v>1.5805820909990433</v>
      </c>
      <c r="AH9" s="71">
        <f t="shared" si="0"/>
        <v>1.7914659703690796E-2</v>
      </c>
      <c r="AI9" t="s">
        <v>196</v>
      </c>
      <c r="AJ9" s="71">
        <f>(AG9-AF9)/AF9</f>
        <v>-3.4358996105941939E-2</v>
      </c>
      <c r="AK9" t="s">
        <v>195</v>
      </c>
    </row>
    <row r="10" spans="1:37" x14ac:dyDescent="0.25">
      <c r="A10" s="194" t="s">
        <v>3</v>
      </c>
      <c r="B10" s="194"/>
      <c r="C10" s="194"/>
      <c r="D10" s="194"/>
      <c r="E10" s="194"/>
      <c r="F10" s="194"/>
      <c r="G10" s="194"/>
      <c r="H10" s="194"/>
      <c r="I10" s="2">
        <v>192742</v>
      </c>
      <c r="J10" s="2">
        <v>204540</v>
      </c>
      <c r="K10" s="2">
        <v>231048</v>
      </c>
      <c r="L10" s="2">
        <v>242368</v>
      </c>
      <c r="M10" s="2">
        <v>222284</v>
      </c>
      <c r="N10" s="31"/>
      <c r="P10" s="197" t="s">
        <v>69</v>
      </c>
      <c r="Q10" s="197"/>
      <c r="R10" s="197"/>
      <c r="S10" s="197"/>
      <c r="T10" s="197"/>
      <c r="U10" s="2">
        <v>4255</v>
      </c>
      <c r="V10" s="2">
        <v>12048</v>
      </c>
      <c r="X10" s="197" t="s">
        <v>89</v>
      </c>
      <c r="Y10" s="197"/>
      <c r="Z10" s="197"/>
      <c r="AA10" s="197"/>
      <c r="AB10" s="197"/>
      <c r="AC10" s="44">
        <f>I17/I80</f>
        <v>8.2051071684955387E-2</v>
      </c>
      <c r="AD10" s="44">
        <f>J17/J80</f>
        <v>7.7764415325257685E-2</v>
      </c>
      <c r="AE10" s="44">
        <f>K17/K80</f>
        <v>8.1947525434100818E-2</v>
      </c>
      <c r="AF10" s="44">
        <f>L17/L80</f>
        <v>-0.1175956266619607</v>
      </c>
      <c r="AG10" s="44">
        <f>M17/M80</f>
        <v>-0.2968799822210198</v>
      </c>
      <c r="AH10" s="71">
        <f t="shared" si="0"/>
        <v>-4.6182340598904661</v>
      </c>
      <c r="AI10" t="s">
        <v>195</v>
      </c>
      <c r="AJ10" s="71">
        <f>(AG10-AF10)/-AF10</f>
        <v>-1.5245835295765566</v>
      </c>
      <c r="AK10" t="s">
        <v>195</v>
      </c>
    </row>
    <row r="11" spans="1:37" x14ac:dyDescent="0.25">
      <c r="A11" s="205" t="s">
        <v>12</v>
      </c>
      <c r="B11" s="205"/>
      <c r="C11" s="205"/>
      <c r="D11" s="205"/>
      <c r="E11" s="205"/>
      <c r="F11" s="205"/>
      <c r="G11" s="205"/>
      <c r="H11" s="205"/>
      <c r="I11" s="7">
        <v>244790</v>
      </c>
      <c r="J11" s="7">
        <v>256647</v>
      </c>
      <c r="K11" s="7">
        <v>286633</v>
      </c>
      <c r="L11" s="7">
        <v>294067</v>
      </c>
      <c r="M11" s="7">
        <v>277255</v>
      </c>
      <c r="N11" s="7"/>
      <c r="P11" s="198" t="s">
        <v>70</v>
      </c>
      <c r="Q11" s="198"/>
      <c r="R11" s="198"/>
      <c r="S11" s="198"/>
      <c r="T11" s="198"/>
      <c r="U11" s="2">
        <v>-19267</v>
      </c>
      <c r="V11" s="2">
        <v>-20827</v>
      </c>
      <c r="X11" s="197" t="s">
        <v>90</v>
      </c>
      <c r="Y11" s="197"/>
      <c r="Z11" s="197"/>
      <c r="AA11" s="197"/>
      <c r="AB11" s="197"/>
      <c r="AC11" s="44">
        <f>I19/I80</f>
        <v>4.7552045944005743E-2</v>
      </c>
      <c r="AD11" s="44">
        <f>J19/J80</f>
        <v>4.8833230269622253E-2</v>
      </c>
      <c r="AE11" s="44">
        <f>K19/K80</f>
        <v>5.0424539126443818E-2</v>
      </c>
      <c r="AF11" s="44">
        <f>L19/L80</f>
        <v>-8.6022885424479306E-2</v>
      </c>
      <c r="AG11" s="44">
        <f>M19/M80</f>
        <v>-0.28889876610012272</v>
      </c>
      <c r="AH11" s="71">
        <f t="shared" si="0"/>
        <v>-7.0754224211574721</v>
      </c>
      <c r="AI11" t="s">
        <v>195</v>
      </c>
      <c r="AJ11" s="71">
        <f>(AG11-AF11)/-AF11</f>
        <v>-2.3583942769944746</v>
      </c>
      <c r="AK11" t="s">
        <v>195</v>
      </c>
    </row>
    <row r="12" spans="1:37" x14ac:dyDescent="0.25">
      <c r="A12" s="196" t="s">
        <v>5</v>
      </c>
      <c r="B12" s="196"/>
      <c r="C12" s="196"/>
      <c r="D12" s="196"/>
      <c r="E12" s="196"/>
      <c r="F12" s="196"/>
      <c r="G12" s="196"/>
      <c r="H12" s="196"/>
      <c r="I12" s="3">
        <f>I8+I9-I10-I11</f>
        <v>73570</v>
      </c>
      <c r="J12" s="3">
        <f>J8+J9-J10-J11</f>
        <v>73186</v>
      </c>
      <c r="K12" s="3">
        <f>K8+K9-K10-K11</f>
        <v>88251</v>
      </c>
      <c r="L12" s="3">
        <f>L8+L9-L10-L11</f>
        <v>67992</v>
      </c>
      <c r="M12" s="3">
        <f>M8+M9-M10-M11</f>
        <v>45979</v>
      </c>
      <c r="N12" s="31"/>
      <c r="P12" s="209" t="s">
        <v>71</v>
      </c>
      <c r="Q12" s="209"/>
      <c r="R12" s="209"/>
      <c r="S12" s="209"/>
      <c r="T12" s="209"/>
      <c r="U12" s="59">
        <f>U9+U10+U11</f>
        <v>62961</v>
      </c>
      <c r="V12" s="16">
        <f>V9+V10+V11</f>
        <v>-8663</v>
      </c>
      <c r="X12" s="197" t="s">
        <v>91</v>
      </c>
      <c r="Y12" s="197"/>
      <c r="Z12" s="197"/>
      <c r="AA12" s="197"/>
      <c r="AB12" s="197"/>
      <c r="AC12" s="44">
        <f>I23/I81</f>
        <v>2.3416194804865044E-2</v>
      </c>
      <c r="AD12" s="44">
        <f>J23/J81</f>
        <v>2.7610917143153172E-2</v>
      </c>
      <c r="AE12" s="44">
        <f>K23/K81</f>
        <v>3.8698194585724488E-2</v>
      </c>
      <c r="AF12" s="44">
        <f>L23/L81</f>
        <v>6.4857183652100595E-2</v>
      </c>
      <c r="AG12" s="44">
        <f>M23/M81</f>
        <v>3.5121599061498893E-2</v>
      </c>
      <c r="AH12" s="71">
        <f t="shared" si="0"/>
        <v>0.49988498789743097</v>
      </c>
      <c r="AI12" t="s">
        <v>195</v>
      </c>
      <c r="AJ12" s="71">
        <f>(AG12-AF12)/AF12</f>
        <v>-0.45847788812579171</v>
      </c>
      <c r="AK12" t="s">
        <v>196</v>
      </c>
    </row>
    <row r="13" spans="1:37" x14ac:dyDescent="0.25">
      <c r="A13" s="205" t="s">
        <v>11</v>
      </c>
      <c r="B13" s="205"/>
      <c r="C13" s="205"/>
      <c r="D13" s="205"/>
      <c r="E13" s="205"/>
      <c r="F13" s="205"/>
      <c r="G13" s="205"/>
      <c r="H13" s="205"/>
      <c r="I13" s="7">
        <v>54347</v>
      </c>
      <c r="J13" s="7">
        <v>51478</v>
      </c>
      <c r="K13" s="7">
        <v>60818</v>
      </c>
      <c r="L13" s="7">
        <v>54035</v>
      </c>
      <c r="M13" s="7">
        <v>61136</v>
      </c>
      <c r="N13" s="7"/>
      <c r="P13" s="197" t="s">
        <v>72</v>
      </c>
      <c r="Q13" s="197"/>
      <c r="R13" s="197"/>
      <c r="S13" s="197"/>
      <c r="T13" s="197"/>
      <c r="U13" s="9">
        <v>2154</v>
      </c>
      <c r="V13" s="7">
        <v>-503</v>
      </c>
      <c r="X13" s="197" t="s">
        <v>92</v>
      </c>
      <c r="Y13" s="197"/>
      <c r="Z13" s="197"/>
      <c r="AA13" s="197"/>
      <c r="AB13" s="197"/>
      <c r="AC13" s="45">
        <f>I81/I80</f>
        <v>3.2310942467439236</v>
      </c>
      <c r="AD13" s="45">
        <f>J81/J80</f>
        <v>3.1489466635810781</v>
      </c>
      <c r="AE13" s="45">
        <f>K81/K80</f>
        <v>3.304991203243326</v>
      </c>
      <c r="AF13" s="45">
        <f>L81/L80</f>
        <v>3.5393476089825091</v>
      </c>
      <c r="AG13" s="45">
        <f>M81/M80</f>
        <v>4.2829949851680791</v>
      </c>
      <c r="AH13" s="71">
        <f t="shared" si="0"/>
        <v>0.32555557284786391</v>
      </c>
      <c r="AI13" t="s">
        <v>196</v>
      </c>
      <c r="AJ13" s="71">
        <f>(AG13-AF13)/AF13</f>
        <v>0.21010860145476176</v>
      </c>
      <c r="AK13" t="s">
        <v>196</v>
      </c>
    </row>
    <row r="14" spans="1:37" x14ac:dyDescent="0.25">
      <c r="A14" s="196" t="s">
        <v>6</v>
      </c>
      <c r="B14" s="196"/>
      <c r="C14" s="196"/>
      <c r="D14" s="196"/>
      <c r="E14" s="196"/>
      <c r="F14" s="196"/>
      <c r="G14" s="196"/>
      <c r="H14" s="196"/>
      <c r="I14" s="8">
        <f>I12-I13</f>
        <v>19223</v>
      </c>
      <c r="J14" s="8">
        <f>J12-J13</f>
        <v>21708</v>
      </c>
      <c r="K14" s="8">
        <f>K12-K13</f>
        <v>27433</v>
      </c>
      <c r="L14" s="8">
        <f>L12-L13</f>
        <v>13957</v>
      </c>
      <c r="M14" s="8">
        <f>M12-M13</f>
        <v>-15157</v>
      </c>
      <c r="N14" s="40"/>
      <c r="P14" s="198" t="s">
        <v>73</v>
      </c>
      <c r="Q14" s="198"/>
      <c r="R14" s="198"/>
      <c r="S14" s="198"/>
      <c r="T14" s="198"/>
      <c r="U14" s="9">
        <v>639</v>
      </c>
      <c r="V14" s="9">
        <v>-2241</v>
      </c>
      <c r="X14" s="197"/>
      <c r="Y14" s="197"/>
      <c r="Z14" s="197"/>
      <c r="AA14" s="197"/>
      <c r="AB14" s="197"/>
    </row>
    <row r="15" spans="1:37" x14ac:dyDescent="0.25">
      <c r="A15" s="194" t="s">
        <v>7</v>
      </c>
      <c r="B15" s="194"/>
      <c r="C15" s="194"/>
      <c r="D15" s="194"/>
      <c r="E15" s="194"/>
      <c r="F15" s="194"/>
      <c r="G15" s="194"/>
      <c r="H15" s="194"/>
      <c r="I15" s="7">
        <v>9977</v>
      </c>
      <c r="J15" s="7">
        <v>9109</v>
      </c>
      <c r="K15" s="7">
        <v>4940</v>
      </c>
      <c r="L15" s="7">
        <v>4255</v>
      </c>
      <c r="M15" s="7">
        <v>4281</v>
      </c>
      <c r="N15" s="7"/>
      <c r="P15" s="209" t="s">
        <v>74</v>
      </c>
      <c r="Q15" s="209"/>
      <c r="R15" s="209"/>
      <c r="S15" s="209"/>
      <c r="T15" s="209"/>
      <c r="U15" s="59">
        <f>U12+U13+U14</f>
        <v>65754</v>
      </c>
      <c r="V15" s="16">
        <f>V12+V13+V14</f>
        <v>-11407</v>
      </c>
      <c r="X15" s="202" t="s">
        <v>94</v>
      </c>
      <c r="Y15" s="202"/>
      <c r="Z15" s="202"/>
      <c r="AA15" s="202"/>
      <c r="AB15" s="202"/>
      <c r="AC15" s="46">
        <f>AC8*AC9</f>
        <v>3.727428291651922E-2</v>
      </c>
      <c r="AD15" s="46">
        <f>AD8*AD9</f>
        <v>3.9699165618927876E-2</v>
      </c>
      <c r="AE15" s="46">
        <f>AE8*AE9</f>
        <v>4.8744517285708833E-2</v>
      </c>
      <c r="AF15" s="46">
        <f>AF8*AF9</f>
        <v>2.4663564209293058E-2</v>
      </c>
      <c r="AG15" s="46">
        <f>AG8*AG9</f>
        <v>-2.7721841489667179E-2</v>
      </c>
    </row>
    <row r="16" spans="1:37" x14ac:dyDescent="0.25">
      <c r="A16" s="194" t="s">
        <v>13</v>
      </c>
      <c r="B16" s="194"/>
      <c r="C16" s="194"/>
      <c r="D16" s="194"/>
      <c r="E16" s="194"/>
      <c r="F16" s="194"/>
      <c r="G16" s="194"/>
      <c r="H16" s="194"/>
      <c r="I16" s="9">
        <v>19199</v>
      </c>
      <c r="J16" s="9">
        <v>20568</v>
      </c>
      <c r="K16" s="9">
        <v>21660</v>
      </c>
      <c r="L16" s="9">
        <v>32872</v>
      </c>
      <c r="M16" s="9">
        <v>19849</v>
      </c>
      <c r="N16" s="9"/>
      <c r="P16" s="210"/>
      <c r="Q16" s="210"/>
      <c r="R16" s="210"/>
      <c r="S16" s="210"/>
      <c r="T16" s="210"/>
      <c r="U16" s="53"/>
      <c r="X16" s="203" t="s">
        <v>125</v>
      </c>
      <c r="Y16" s="203"/>
      <c r="Z16" s="203"/>
      <c r="AA16" s="203"/>
      <c r="AB16" s="203"/>
      <c r="AC16" s="54">
        <f>AC7+(AC7-AC12)*AC13</f>
        <v>8.2051071684955401E-2</v>
      </c>
      <c r="AD16" s="54">
        <f>AD7+(AD7-AD12)*AD13</f>
        <v>7.7764415325257685E-2</v>
      </c>
      <c r="AE16" s="54">
        <f>AE7+(AE7-AE12)*AE13</f>
        <v>8.1947525434100804E-2</v>
      </c>
      <c r="AF16" s="54">
        <f>AF7+(AF7-AF12)*AF13</f>
        <v>-0.11759562666196072</v>
      </c>
      <c r="AG16" s="54">
        <f>AG7+(AG7-AG12)*AG13</f>
        <v>-0.29687998222101974</v>
      </c>
      <c r="AH16" s="27"/>
    </row>
    <row r="17" spans="1:37" x14ac:dyDescent="0.25">
      <c r="A17" s="196" t="s">
        <v>8</v>
      </c>
      <c r="B17" s="196"/>
      <c r="C17" s="196"/>
      <c r="D17" s="196"/>
      <c r="E17" s="196"/>
      <c r="F17" s="196"/>
      <c r="G17" s="196"/>
      <c r="H17" s="196"/>
      <c r="I17" s="8">
        <f>I14+I15-I16</f>
        <v>10001</v>
      </c>
      <c r="J17" s="8">
        <f>J14+J15-J16</f>
        <v>10249</v>
      </c>
      <c r="K17" s="8">
        <f>K14+K15-K16</f>
        <v>10713</v>
      </c>
      <c r="L17" s="8">
        <f>L14+L15-L16</f>
        <v>-14660</v>
      </c>
      <c r="M17" s="8">
        <f>M14+M15-M16</f>
        <v>-30725</v>
      </c>
      <c r="N17" s="40"/>
      <c r="P17" s="197" t="s">
        <v>75</v>
      </c>
      <c r="Q17" s="197"/>
      <c r="R17" s="197"/>
      <c r="S17" s="197"/>
      <c r="T17" s="197"/>
      <c r="U17" s="9">
        <v>-733</v>
      </c>
      <c r="V17" s="9">
        <v>-1134</v>
      </c>
      <c r="X17" s="198"/>
      <c r="Y17" s="198"/>
      <c r="Z17" s="198"/>
      <c r="AA17" s="198"/>
      <c r="AB17" s="198"/>
      <c r="AC17" s="12"/>
      <c r="AD17" s="12"/>
      <c r="AE17" s="12"/>
      <c r="AF17" s="12"/>
      <c r="AG17" s="12"/>
    </row>
    <row r="18" spans="1:37" ht="15.75" x14ac:dyDescent="0.25">
      <c r="A18" s="194" t="s">
        <v>9</v>
      </c>
      <c r="B18" s="194"/>
      <c r="C18" s="194"/>
      <c r="D18" s="194"/>
      <c r="E18" s="194"/>
      <c r="F18" s="194"/>
      <c r="G18" s="194"/>
      <c r="H18" s="194"/>
      <c r="I18" s="10">
        <v>-4205</v>
      </c>
      <c r="J18" s="10">
        <v>-3813</v>
      </c>
      <c r="K18" s="10">
        <v>-4121</v>
      </c>
      <c r="L18" s="10">
        <v>3936</v>
      </c>
      <c r="M18" s="10">
        <v>826</v>
      </c>
      <c r="N18" s="10"/>
      <c r="P18" s="197" t="s">
        <v>76</v>
      </c>
      <c r="Q18" s="197"/>
      <c r="R18" s="197"/>
      <c r="S18" s="197"/>
      <c r="T18" s="197"/>
      <c r="U18" s="9">
        <v>-69283</v>
      </c>
      <c r="V18" s="9">
        <v>-22671</v>
      </c>
      <c r="X18" s="199" t="s">
        <v>95</v>
      </c>
      <c r="Y18" s="199"/>
      <c r="Z18" s="199"/>
      <c r="AA18" s="199"/>
      <c r="AB18" s="199"/>
    </row>
    <row r="19" spans="1:37" ht="15.75" thickBot="1" x14ac:dyDescent="0.3">
      <c r="A19" s="206" t="s">
        <v>10</v>
      </c>
      <c r="B19" s="206"/>
      <c r="C19" s="206"/>
      <c r="D19" s="206"/>
      <c r="E19" s="206"/>
      <c r="F19" s="206"/>
      <c r="G19" s="206"/>
      <c r="H19" s="206"/>
      <c r="I19" s="4">
        <f>I17+I18</f>
        <v>5796</v>
      </c>
      <c r="J19" s="4">
        <f>J17+J18</f>
        <v>6436</v>
      </c>
      <c r="K19" s="4">
        <f>K17+K18</f>
        <v>6592</v>
      </c>
      <c r="L19" s="4">
        <f>L17+L18</f>
        <v>-10724</v>
      </c>
      <c r="M19" s="4">
        <f>M17+M18</f>
        <v>-29899</v>
      </c>
      <c r="N19" s="31"/>
      <c r="P19" s="198" t="s">
        <v>77</v>
      </c>
      <c r="Q19" s="198"/>
      <c r="R19" s="198"/>
      <c r="S19" s="198"/>
      <c r="T19" s="198"/>
      <c r="U19" s="9">
        <v>0</v>
      </c>
      <c r="V19" s="9">
        <v>10495</v>
      </c>
      <c r="X19" s="197" t="s">
        <v>88</v>
      </c>
      <c r="Y19" s="197"/>
      <c r="Z19" s="197"/>
      <c r="AA19" s="197"/>
      <c r="AB19" s="197"/>
      <c r="AC19" s="44">
        <f>AC8</f>
        <v>2.4005104971602971E-2</v>
      </c>
      <c r="AD19" s="44">
        <f>AD8</f>
        <v>2.5548381629833278E-2</v>
      </c>
      <c r="AE19" s="44">
        <f>AE8</f>
        <v>2.9083117946021361E-2</v>
      </c>
      <c r="AF19" s="44">
        <f>AF8</f>
        <v>1.5067960745786866E-2</v>
      </c>
      <c r="AG19" s="44">
        <f>AG8</f>
        <v>-1.7539007715913667E-2</v>
      </c>
      <c r="AH19" s="71">
        <f>(AG19-AC19)/AC19</f>
        <v>-1.7306365765390974</v>
      </c>
      <c r="AI19" t="s">
        <v>195</v>
      </c>
      <c r="AJ19" s="71">
        <f>(AG19-AF19)/AF19</f>
        <v>-2.1639934568330839</v>
      </c>
      <c r="AK19" t="s">
        <v>195</v>
      </c>
    </row>
    <row r="20" spans="1:37" ht="15.75" thickTop="1" x14ac:dyDescent="0.25">
      <c r="A20" s="28"/>
      <c r="B20" s="28"/>
      <c r="C20" s="28"/>
      <c r="D20" s="28"/>
      <c r="E20" s="28"/>
      <c r="F20" s="28"/>
      <c r="G20" s="28"/>
      <c r="H20" s="28"/>
      <c r="I20" s="31"/>
      <c r="J20" s="31"/>
      <c r="K20" s="31"/>
      <c r="L20" s="31"/>
      <c r="M20" s="31"/>
      <c r="N20" s="31"/>
      <c r="P20" s="209" t="s">
        <v>78</v>
      </c>
      <c r="Q20" s="209"/>
      <c r="R20" s="209"/>
      <c r="S20" s="209"/>
      <c r="T20" s="209"/>
      <c r="U20" s="16">
        <f>U17+U18+U19</f>
        <v>-70016</v>
      </c>
      <c r="V20" s="16">
        <f>V17+V18+V19</f>
        <v>-13310</v>
      </c>
      <c r="X20" s="197" t="s">
        <v>96</v>
      </c>
      <c r="Y20" s="197"/>
      <c r="Z20" s="197"/>
      <c r="AA20" s="197"/>
      <c r="AB20" s="197"/>
      <c r="AC20" s="44">
        <f>I8/I6</f>
        <v>0.63824882490746615</v>
      </c>
      <c r="AD20" s="44">
        <f>J8/J6</f>
        <v>0.62890940375340421</v>
      </c>
      <c r="AE20" s="44">
        <f>K8/K6</f>
        <v>0.63619333758807206</v>
      </c>
      <c r="AF20" s="44">
        <f>L8/L6</f>
        <v>0.6502920314811016</v>
      </c>
      <c r="AG20" s="44">
        <f>M8/M6</f>
        <v>0.62937694112855069</v>
      </c>
      <c r="AH20" s="71">
        <f t="shared" ref="AH20:AH27" si="1">(AG20-AC20)/AC20</f>
        <v>-1.3900352703668056E-2</v>
      </c>
      <c r="AI20" t="s">
        <v>195</v>
      </c>
      <c r="AJ20" s="71">
        <f t="shared" ref="AJ20:AJ27" si="2">(AG20-AF20)/AF20</f>
        <v>-3.2162612088164157E-2</v>
      </c>
      <c r="AK20" t="s">
        <v>195</v>
      </c>
    </row>
    <row r="21" spans="1:37" x14ac:dyDescent="0.25">
      <c r="A21" s="191" t="s">
        <v>132</v>
      </c>
      <c r="B21" s="191"/>
      <c r="C21" s="191"/>
      <c r="D21" s="191"/>
      <c r="E21" s="191"/>
      <c r="F21" s="191"/>
      <c r="G21" s="191"/>
      <c r="H21" s="191"/>
      <c r="I21" s="39">
        <f>I7</f>
        <v>289686</v>
      </c>
      <c r="J21" s="39">
        <f>J7</f>
        <v>315309</v>
      </c>
      <c r="K21" s="39">
        <f>K7</f>
        <v>343165</v>
      </c>
      <c r="L21" s="39">
        <f>L7</f>
        <v>323924</v>
      </c>
      <c r="M21" s="39">
        <f>M7</f>
        <v>320288</v>
      </c>
      <c r="N21" s="39"/>
      <c r="P21" s="196"/>
      <c r="Q21" s="196"/>
      <c r="R21" s="196"/>
      <c r="S21" s="196"/>
      <c r="T21" s="196"/>
      <c r="U21" s="51"/>
      <c r="X21" s="197" t="s">
        <v>97</v>
      </c>
      <c r="Y21" s="197"/>
      <c r="Z21" s="197"/>
      <c r="AA21" s="197"/>
      <c r="AB21" s="197"/>
      <c r="AC21" s="6">
        <f>I22/AC20</f>
        <v>770669.65234336781</v>
      </c>
      <c r="AD21" s="6">
        <f>J22/AD20</f>
        <v>815165.10476764361</v>
      </c>
      <c r="AE21" s="6">
        <f>K22/AE20</f>
        <v>918484.94078124035</v>
      </c>
      <c r="AF21" s="6">
        <f>L22/AF20</f>
        <v>911207.53648235404</v>
      </c>
      <c r="AG21" s="6">
        <f>M22/AG20</f>
        <v>893412.14025372313</v>
      </c>
      <c r="AH21" s="71">
        <f t="shared" si="1"/>
        <v>0.15926731711458136</v>
      </c>
      <c r="AI21" t="s">
        <v>195</v>
      </c>
      <c r="AJ21" s="71">
        <f t="shared" si="2"/>
        <v>-1.952946558950627E-2</v>
      </c>
      <c r="AK21" t="s">
        <v>196</v>
      </c>
    </row>
    <row r="22" spans="1:37" x14ac:dyDescent="0.25">
      <c r="A22" s="191" t="s">
        <v>133</v>
      </c>
      <c r="B22" s="191"/>
      <c r="C22" s="191"/>
      <c r="D22" s="191"/>
      <c r="E22" s="191"/>
      <c r="F22" s="191"/>
      <c r="G22" s="191"/>
      <c r="H22" s="191"/>
      <c r="I22" s="39">
        <f>I9+I10+I11+I13</f>
        <v>491879</v>
      </c>
      <c r="J22" s="39">
        <f>J9+J10+J11+J13</f>
        <v>512665</v>
      </c>
      <c r="K22" s="39">
        <f>K9+K10+K11+K13</f>
        <v>584334</v>
      </c>
      <c r="L22" s="39">
        <f>L9+L10+L11+L13</f>
        <v>592551</v>
      </c>
      <c r="M22" s="39">
        <f>M9+M10+M11+M13</f>
        <v>562293</v>
      </c>
      <c r="N22" s="39"/>
      <c r="P22" s="198" t="s">
        <v>79</v>
      </c>
      <c r="Q22" s="198"/>
      <c r="R22" s="198"/>
      <c r="S22" s="198"/>
      <c r="T22" s="198"/>
      <c r="U22" s="9">
        <v>-20238</v>
      </c>
      <c r="V22" s="9">
        <v>85353</v>
      </c>
      <c r="X22" s="187" t="s">
        <v>98</v>
      </c>
      <c r="Y22" s="187"/>
      <c r="Z22" s="187"/>
      <c r="AA22" s="187"/>
      <c r="AB22" s="187"/>
      <c r="AC22" s="55">
        <f>(I6-AC21)/I6</f>
        <v>3.7610887846261674E-2</v>
      </c>
      <c r="AD22" s="55">
        <f>(J6-AD21)/J6</f>
        <v>4.0623309935195036E-2</v>
      </c>
      <c r="AE22" s="55">
        <f>(K6-AE21)/K6</f>
        <v>2.6267420100417115E-2</v>
      </c>
      <c r="AF22" s="55">
        <f>(L6-AF21)/L6</f>
        <v>1.6261417856182275E-2</v>
      </c>
      <c r="AG22" s="55">
        <f>(M6-AG21)/M6</f>
        <v>-3.3816878102592415E-2</v>
      </c>
      <c r="AH22" s="71">
        <f t="shared" si="1"/>
        <v>-1.8991246960407404</v>
      </c>
      <c r="AI22" t="s">
        <v>195</v>
      </c>
      <c r="AJ22" s="71">
        <f t="shared" si="2"/>
        <v>-3.0795774637656148</v>
      </c>
      <c r="AK22" t="s">
        <v>195</v>
      </c>
    </row>
    <row r="23" spans="1:37" x14ac:dyDescent="0.25">
      <c r="A23" s="191" t="s">
        <v>134</v>
      </c>
      <c r="B23" s="191"/>
      <c r="C23" s="191"/>
      <c r="D23" s="191"/>
      <c r="E23" s="191"/>
      <c r="F23" s="191"/>
      <c r="G23" s="191"/>
      <c r="H23" s="191"/>
      <c r="I23" s="39">
        <f>I16-I15</f>
        <v>9222</v>
      </c>
      <c r="J23" s="39">
        <f>J16-J15</f>
        <v>11459</v>
      </c>
      <c r="K23" s="39">
        <f>K16-K15</f>
        <v>16720</v>
      </c>
      <c r="L23" s="39">
        <f>L16-L15</f>
        <v>28617</v>
      </c>
      <c r="M23" s="39">
        <f>M16-M15</f>
        <v>15568</v>
      </c>
      <c r="N23" s="39"/>
      <c r="P23" s="209" t="s">
        <v>80</v>
      </c>
      <c r="Q23" s="209"/>
      <c r="R23" s="209"/>
      <c r="S23" s="209"/>
      <c r="T23" s="209"/>
      <c r="U23" s="16">
        <f>U22</f>
        <v>-20238</v>
      </c>
      <c r="V23" s="16">
        <f>V22</f>
        <v>85353</v>
      </c>
      <c r="X23" s="197" t="s">
        <v>99</v>
      </c>
      <c r="Y23" s="197"/>
      <c r="Z23" s="197"/>
      <c r="AA23" s="197"/>
      <c r="AB23" s="197"/>
      <c r="AC23" s="45">
        <f>I8/I22</f>
        <v>1.03908074953393</v>
      </c>
      <c r="AD23" s="45">
        <f>J8/J22</f>
        <v>1.0423434406483767</v>
      </c>
      <c r="AE23" s="45">
        <f>K8/K22</f>
        <v>1.0269760102954817</v>
      </c>
      <c r="AF23" s="45">
        <f>L8/L22</f>
        <v>1.0165302227150068</v>
      </c>
      <c r="AG23" s="45">
        <f>M8/M22</f>
        <v>0.96728929579418554</v>
      </c>
      <c r="AH23" s="71">
        <f t="shared" si="1"/>
        <v>-6.909131342481889E-2</v>
      </c>
      <c r="AI23" t="s">
        <v>195</v>
      </c>
      <c r="AJ23" s="71">
        <f t="shared" si="2"/>
        <v>-4.8440199632536061E-2</v>
      </c>
      <c r="AK23" t="s">
        <v>195</v>
      </c>
    </row>
    <row r="24" spans="1:37" ht="15.75" customHeight="1" x14ac:dyDescent="0.25">
      <c r="A24" s="50" t="s">
        <v>142</v>
      </c>
      <c r="B24" s="50"/>
      <c r="C24" s="50"/>
      <c r="D24" s="50"/>
      <c r="E24" s="50"/>
      <c r="F24" s="50"/>
      <c r="G24" s="50"/>
      <c r="H24" s="50"/>
      <c r="I24" s="39">
        <f>I7+I44-H44</f>
        <v>295228</v>
      </c>
      <c r="J24" s="39">
        <f>J7+J44-I44</f>
        <v>328524</v>
      </c>
      <c r="K24" s="39">
        <f>K7+K44-J44</f>
        <v>329166</v>
      </c>
      <c r="L24" s="39">
        <f>L7+L44-K44</f>
        <v>329280</v>
      </c>
      <c r="M24" s="39">
        <f>M7+M44-L44</f>
        <v>323759</v>
      </c>
      <c r="P24" s="196"/>
      <c r="Q24" s="196"/>
      <c r="R24" s="196"/>
      <c r="S24" s="196"/>
      <c r="T24" s="196"/>
      <c r="U24" s="51"/>
      <c r="X24" s="200" t="s">
        <v>191</v>
      </c>
      <c r="Y24" s="200"/>
      <c r="Z24" s="200"/>
      <c r="AA24" s="200"/>
      <c r="AB24" s="200"/>
      <c r="AH24" s="71"/>
      <c r="AJ24" s="71"/>
    </row>
    <row r="25" spans="1:37" ht="15.75" customHeight="1" x14ac:dyDescent="0.35">
      <c r="N25" s="35"/>
      <c r="P25" s="200" t="s">
        <v>81</v>
      </c>
      <c r="Q25" s="200"/>
      <c r="R25" s="200"/>
      <c r="S25" s="200"/>
      <c r="T25" s="200"/>
      <c r="U25" s="32">
        <v>-24500</v>
      </c>
      <c r="V25" s="32">
        <v>60636</v>
      </c>
      <c r="X25" s="194" t="s">
        <v>100</v>
      </c>
      <c r="Y25" s="194"/>
      <c r="Z25" s="194"/>
      <c r="AA25" s="194"/>
      <c r="AB25" s="194"/>
      <c r="AC25" s="6">
        <f>(I6*100)/$I$6</f>
        <v>100</v>
      </c>
      <c r="AD25" s="6">
        <f>(J6*100)/$I$6</f>
        <v>106.10573585018757</v>
      </c>
      <c r="AE25" s="6">
        <f>(K6*100)/$I$6</f>
        <v>117.79172515072653</v>
      </c>
      <c r="AF25" s="6">
        <f>(L6*100)/$I$6</f>
        <v>115.66981523199648</v>
      </c>
      <c r="AG25" s="6">
        <f>(M6*100)/$I$6</f>
        <v>107.91720155646688</v>
      </c>
      <c r="AH25" s="71">
        <f t="shared" si="1"/>
        <v>7.9172015564668782E-2</v>
      </c>
      <c r="AI25" t="s">
        <v>196</v>
      </c>
      <c r="AJ25" s="71">
        <f t="shared" si="2"/>
        <v>-6.7023654010169811E-2</v>
      </c>
      <c r="AK25" t="s">
        <v>195</v>
      </c>
    </row>
    <row r="26" spans="1:37" ht="23.25" x14ac:dyDescent="0.35">
      <c r="A26" s="188" t="s">
        <v>127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29"/>
      <c r="P26" s="207" t="s">
        <v>82</v>
      </c>
      <c r="Q26" s="207"/>
      <c r="R26" s="207"/>
      <c r="S26" s="207"/>
      <c r="T26" s="207"/>
      <c r="U26" s="6">
        <v>-92838</v>
      </c>
      <c r="V26" s="6">
        <v>-117338</v>
      </c>
      <c r="X26" s="197" t="s">
        <v>101</v>
      </c>
      <c r="Y26" s="197"/>
      <c r="Z26" s="197"/>
      <c r="AA26" s="197"/>
      <c r="AB26" s="197"/>
      <c r="AC26" s="6">
        <f>(I13*100)/$I$13</f>
        <v>100</v>
      </c>
      <c r="AD26" s="6">
        <f>(J13*100)/$I$13</f>
        <v>94.720959758588336</v>
      </c>
      <c r="AE26" s="6">
        <f>(K13*100)/$I$13</f>
        <v>111.90682098367895</v>
      </c>
      <c r="AF26" s="6">
        <f>(L13*100)/$I$13</f>
        <v>99.425911273851369</v>
      </c>
      <c r="AG26" s="6">
        <f>(M13*100)/$I$13</f>
        <v>112.49194987763813</v>
      </c>
      <c r="AH26" s="71">
        <f t="shared" si="1"/>
        <v>0.12491949877638135</v>
      </c>
      <c r="AI26" t="s">
        <v>196</v>
      </c>
      <c r="AJ26" s="71">
        <f t="shared" si="2"/>
        <v>0.13141482372536306</v>
      </c>
      <c r="AK26" t="s">
        <v>196</v>
      </c>
    </row>
    <row r="27" spans="1:37" ht="19.5" thickBot="1" x14ac:dyDescent="0.35">
      <c r="A27" s="212" t="s">
        <v>25</v>
      </c>
      <c r="B27" s="212"/>
      <c r="C27" s="212"/>
      <c r="D27" s="212"/>
      <c r="E27" s="212"/>
      <c r="F27" s="212"/>
      <c r="G27" s="212"/>
      <c r="H27" s="5">
        <v>2009</v>
      </c>
      <c r="I27" s="5">
        <f>I5</f>
        <v>2010</v>
      </c>
      <c r="J27" s="5">
        <f>J5</f>
        <v>2011</v>
      </c>
      <c r="K27" s="5">
        <f>K5</f>
        <v>2012</v>
      </c>
      <c r="L27" s="5">
        <f>L5</f>
        <v>2013</v>
      </c>
      <c r="M27" s="5">
        <f>M5</f>
        <v>2014</v>
      </c>
      <c r="N27" s="11"/>
      <c r="P27" s="206" t="s">
        <v>83</v>
      </c>
      <c r="Q27" s="206"/>
      <c r="R27" s="206"/>
      <c r="S27" s="206"/>
      <c r="T27" s="206"/>
      <c r="U27" s="33">
        <f>U25+U26</f>
        <v>-117338</v>
      </c>
      <c r="V27" s="33">
        <f>V25+V26</f>
        <v>-56702</v>
      </c>
      <c r="X27" s="197" t="s">
        <v>102</v>
      </c>
      <c r="Y27" s="197"/>
      <c r="Z27" s="197"/>
      <c r="AA27" s="197"/>
      <c r="AB27" s="197"/>
      <c r="AC27" s="6">
        <f>(I11*100)/$I$11</f>
        <v>100</v>
      </c>
      <c r="AD27" s="6">
        <f>(J11*100)/$I$11</f>
        <v>104.84374361697782</v>
      </c>
      <c r="AE27" s="6">
        <f>(K11*100)/$I$11</f>
        <v>117.09342701907758</v>
      </c>
      <c r="AF27" s="6">
        <f>(L11*100)/$I$11</f>
        <v>120.1303157808734</v>
      </c>
      <c r="AG27" s="6">
        <f>(M11*100)/$I$11</f>
        <v>113.26238816945137</v>
      </c>
      <c r="AH27" s="71">
        <f t="shared" si="1"/>
        <v>0.1326238816945137</v>
      </c>
      <c r="AI27" t="s">
        <v>195</v>
      </c>
      <c r="AJ27" s="71">
        <f t="shared" si="2"/>
        <v>-5.7170644785031963E-2</v>
      </c>
      <c r="AK27" t="s">
        <v>196</v>
      </c>
    </row>
    <row r="28" spans="1:37" ht="16.5" thickTop="1" x14ac:dyDescent="0.25">
      <c r="A28" s="213" t="s">
        <v>28</v>
      </c>
      <c r="B28" s="213"/>
      <c r="C28" s="213"/>
      <c r="D28" s="213"/>
      <c r="E28" s="213"/>
      <c r="F28" s="213"/>
      <c r="G28" s="213"/>
      <c r="H28" s="26"/>
      <c r="I28" s="11"/>
      <c r="J28" s="11"/>
      <c r="K28" s="11"/>
      <c r="L28" s="11"/>
      <c r="M28" s="11"/>
      <c r="N28" s="2"/>
      <c r="P28" s="208"/>
      <c r="Q28" s="208"/>
      <c r="R28" s="208"/>
      <c r="S28" s="208"/>
      <c r="T28" s="208"/>
      <c r="U28" s="53"/>
      <c r="V28" s="34"/>
      <c r="X28" s="198"/>
      <c r="Y28" s="198"/>
      <c r="Z28" s="198"/>
      <c r="AA28" s="198"/>
      <c r="AB28" s="198"/>
      <c r="AC28" s="12"/>
      <c r="AD28" s="12"/>
      <c r="AE28" s="12"/>
      <c r="AF28" s="12"/>
      <c r="AG28" s="12"/>
    </row>
    <row r="29" spans="1:37" ht="15.75" x14ac:dyDescent="0.25">
      <c r="A29" s="194" t="s">
        <v>14</v>
      </c>
      <c r="B29" s="194"/>
      <c r="C29" s="194"/>
      <c r="D29" s="194"/>
      <c r="E29" s="194"/>
      <c r="F29" s="194"/>
      <c r="G29" s="194"/>
      <c r="H29" s="6">
        <v>38959</v>
      </c>
      <c r="I29" s="6">
        <v>37416</v>
      </c>
      <c r="J29" s="6">
        <v>39523</v>
      </c>
      <c r="K29" s="6">
        <v>36001</v>
      </c>
      <c r="L29" s="6">
        <v>30366</v>
      </c>
      <c r="M29" s="2">
        <v>20899</v>
      </c>
      <c r="N29" s="21"/>
      <c r="P29" s="200" t="s">
        <v>84</v>
      </c>
      <c r="Q29" s="200"/>
      <c r="R29" s="200"/>
      <c r="S29" s="200"/>
      <c r="T29" s="200"/>
      <c r="U29" s="52"/>
      <c r="X29" s="199" t="s">
        <v>103</v>
      </c>
      <c r="Y29" s="199"/>
      <c r="Z29" s="199"/>
      <c r="AA29" s="199"/>
      <c r="AB29" s="199"/>
    </row>
    <row r="30" spans="1:37" x14ac:dyDescent="0.25">
      <c r="A30" s="207" t="s">
        <v>15</v>
      </c>
      <c r="B30" s="207"/>
      <c r="C30" s="207"/>
      <c r="D30" s="207"/>
      <c r="E30" s="207"/>
      <c r="F30" s="207"/>
      <c r="G30" s="207"/>
      <c r="H30" s="6">
        <v>187</v>
      </c>
      <c r="I30" s="6">
        <v>157</v>
      </c>
      <c r="J30" s="6">
        <v>127</v>
      </c>
      <c r="K30" s="6">
        <v>97</v>
      </c>
      <c r="L30" s="6">
        <v>67</v>
      </c>
      <c r="M30" s="13">
        <v>0</v>
      </c>
      <c r="N30" s="31"/>
      <c r="P30" s="194" t="s">
        <v>32</v>
      </c>
      <c r="Q30" s="194"/>
      <c r="R30" s="194"/>
      <c r="S30" s="194"/>
      <c r="T30" s="194"/>
      <c r="U30" s="6">
        <v>4445</v>
      </c>
      <c r="V30" s="6">
        <v>6195</v>
      </c>
      <c r="X30" s="197" t="s">
        <v>104</v>
      </c>
      <c r="Y30" s="197"/>
      <c r="Z30" s="197"/>
      <c r="AA30" s="197"/>
      <c r="AB30" s="197"/>
      <c r="AC30" s="45">
        <f>I6/I49</f>
        <v>1.5173307614621012</v>
      </c>
      <c r="AD30" s="45">
        <f>J6/J49</f>
        <v>1.5015604401041942</v>
      </c>
      <c r="AE30" s="45">
        <f>K6/K49</f>
        <v>1.6852450698387402</v>
      </c>
      <c r="AF30" s="45">
        <f>L6/L49</f>
        <v>1.6191436772165839</v>
      </c>
      <c r="AG30" s="45">
        <f>M6/M49</f>
        <v>1.6573359517636048</v>
      </c>
      <c r="AH30" s="72">
        <f>(AG30-AC30)/AC30</f>
        <v>9.2270712396679069E-2</v>
      </c>
      <c r="AI30" t="s">
        <v>196</v>
      </c>
      <c r="AJ30" s="72">
        <f>(AG30-AF30)/AF30</f>
        <v>2.3587946569804088E-2</v>
      </c>
      <c r="AK30" t="s">
        <v>196</v>
      </c>
    </row>
    <row r="31" spans="1:37" x14ac:dyDescent="0.25">
      <c r="A31" s="209" t="s">
        <v>16</v>
      </c>
      <c r="B31" s="209"/>
      <c r="C31" s="209"/>
      <c r="D31" s="209"/>
      <c r="E31" s="209"/>
      <c r="F31" s="209"/>
      <c r="G31" s="209"/>
      <c r="H31" s="15">
        <f t="shared" ref="H31:M31" si="3">H29+H30</f>
        <v>39146</v>
      </c>
      <c r="I31" s="15">
        <f t="shared" si="3"/>
        <v>37573</v>
      </c>
      <c r="J31" s="15">
        <f t="shared" si="3"/>
        <v>39650</v>
      </c>
      <c r="K31" s="15">
        <f t="shared" si="3"/>
        <v>36098</v>
      </c>
      <c r="L31" s="15">
        <f t="shared" si="3"/>
        <v>30433</v>
      </c>
      <c r="M31" s="15">
        <f t="shared" si="3"/>
        <v>20899</v>
      </c>
      <c r="N31" s="6"/>
      <c r="P31" s="207" t="s">
        <v>47</v>
      </c>
      <c r="Q31" s="207"/>
      <c r="R31" s="207"/>
      <c r="S31" s="207"/>
      <c r="T31" s="207"/>
      <c r="U31" s="6">
        <v>-121783</v>
      </c>
      <c r="V31" s="6">
        <v>-62897</v>
      </c>
      <c r="X31" s="197" t="s">
        <v>105</v>
      </c>
      <c r="Y31" s="197"/>
      <c r="Z31" s="197"/>
      <c r="AA31" s="197"/>
      <c r="AB31" s="197"/>
      <c r="AC31" s="45">
        <f>AC9</f>
        <v>1.5527648373382714</v>
      </c>
      <c r="AD31" s="45">
        <f>AD9</f>
        <v>1.5538818150645788</v>
      </c>
      <c r="AE31" s="45">
        <f>AE9</f>
        <v>1.6760416601885424</v>
      </c>
      <c r="AF31" s="45">
        <f>AF9</f>
        <v>1.6368216393309365</v>
      </c>
      <c r="AG31" s="45">
        <f>AG9</f>
        <v>1.5805820909990433</v>
      </c>
      <c r="AH31" s="72">
        <f t="shared" ref="AH31:AH37" si="4">(AG31-AC31)/AC31</f>
        <v>1.7914659703690796E-2</v>
      </c>
      <c r="AI31" t="s">
        <v>196</v>
      </c>
      <c r="AJ31" s="72">
        <f t="shared" ref="AJ31:AJ37" si="5">(AG31-AF31)/AF31</f>
        <v>-3.4358996105941939E-2</v>
      </c>
      <c r="AK31" t="s">
        <v>195</v>
      </c>
    </row>
    <row r="32" spans="1:37" ht="15.75" thickBot="1" x14ac:dyDescent="0.3">
      <c r="A32" s="194" t="s">
        <v>17</v>
      </c>
      <c r="B32" s="194"/>
      <c r="C32" s="194"/>
      <c r="D32" s="194"/>
      <c r="E32" s="194"/>
      <c r="F32" s="194"/>
      <c r="G32" s="194"/>
      <c r="H32" s="6">
        <v>141933</v>
      </c>
      <c r="I32" s="6">
        <v>165839</v>
      </c>
      <c r="J32" s="6">
        <v>165563</v>
      </c>
      <c r="K32" s="6">
        <v>163625</v>
      </c>
      <c r="L32" s="6">
        <v>162548</v>
      </c>
      <c r="M32" s="6">
        <v>153954</v>
      </c>
      <c r="N32" s="6"/>
      <c r="P32" s="206" t="s">
        <v>85</v>
      </c>
      <c r="Q32" s="206"/>
      <c r="R32" s="206"/>
      <c r="S32" s="206"/>
      <c r="T32" s="206"/>
      <c r="U32" s="33">
        <f>U30+U31</f>
        <v>-117338</v>
      </c>
      <c r="V32" s="33">
        <f>V30+V31</f>
        <v>-56702</v>
      </c>
      <c r="X32" s="197" t="s">
        <v>106</v>
      </c>
      <c r="Y32" s="197"/>
      <c r="Z32" s="197"/>
      <c r="AA32" s="197"/>
      <c r="AB32" s="197"/>
      <c r="AC32" s="45">
        <f>I6/I36</f>
        <v>1.8150308931590804</v>
      </c>
      <c r="AD32" s="45">
        <f>J6/J36</f>
        <v>1.9258562501558261</v>
      </c>
      <c r="AE32" s="45">
        <f>K6/K36</f>
        <v>2.1526078572325105</v>
      </c>
      <c r="AF32" s="45">
        <f>L6/L36</f>
        <v>2.1027886745850131</v>
      </c>
      <c r="AG32" s="45">
        <f>M6/M36</f>
        <v>2.17298640167364</v>
      </c>
      <c r="AH32" s="72">
        <f t="shared" si="4"/>
        <v>0.19721730900763582</v>
      </c>
      <c r="AI32" t="s">
        <v>196</v>
      </c>
      <c r="AJ32" s="72">
        <f t="shared" si="5"/>
        <v>3.3383158249356892E-2</v>
      </c>
      <c r="AK32" t="s">
        <v>196</v>
      </c>
    </row>
    <row r="33" spans="1:38" ht="15.75" thickTop="1" x14ac:dyDescent="0.25">
      <c r="A33" s="194" t="s">
        <v>18</v>
      </c>
      <c r="B33" s="194"/>
      <c r="C33" s="194"/>
      <c r="D33" s="194"/>
      <c r="E33" s="194"/>
      <c r="F33" s="194"/>
      <c r="G33" s="194"/>
      <c r="H33" s="6">
        <v>142927</v>
      </c>
      <c r="I33" s="6">
        <v>153033</v>
      </c>
      <c r="J33" s="6">
        <v>156503</v>
      </c>
      <c r="K33" s="6">
        <v>162962</v>
      </c>
      <c r="L33" s="6">
        <v>168908</v>
      </c>
      <c r="M33" s="6">
        <v>149073</v>
      </c>
      <c r="N33" s="6"/>
      <c r="X33" s="197" t="s">
        <v>107</v>
      </c>
      <c r="Y33" s="197"/>
      <c r="Z33" s="197"/>
      <c r="AA33" s="197"/>
      <c r="AB33" s="197"/>
      <c r="AC33" s="45">
        <f>I6/I41</f>
        <v>1.6336844338631462</v>
      </c>
      <c r="AD33" s="45">
        <f>J6/J41</f>
        <v>1.6737324610908546</v>
      </c>
      <c r="AE33" s="45">
        <f>K6/K41</f>
        <v>1.8825180016923986</v>
      </c>
      <c r="AF33" s="45">
        <f>L6/L41</f>
        <v>1.8648292245900484</v>
      </c>
      <c r="AG33" s="45">
        <f>M6/M41</f>
        <v>1.9545529593500717</v>
      </c>
      <c r="AH33" s="72">
        <f t="shared" si="4"/>
        <v>0.19640789789994695</v>
      </c>
      <c r="AI33" t="s">
        <v>196</v>
      </c>
      <c r="AJ33" s="72">
        <f t="shared" si="5"/>
        <v>4.8113646856723584E-2</v>
      </c>
      <c r="AK33" t="s">
        <v>196</v>
      </c>
    </row>
    <row r="34" spans="1:38" x14ac:dyDescent="0.25">
      <c r="A34" s="194" t="s">
        <v>19</v>
      </c>
      <c r="B34" s="194"/>
      <c r="C34" s="194"/>
      <c r="D34" s="194"/>
      <c r="E34" s="194"/>
      <c r="F34" s="194"/>
      <c r="G34" s="194"/>
      <c r="H34" s="6">
        <v>2628</v>
      </c>
      <c r="I34" s="6">
        <v>0</v>
      </c>
      <c r="J34" s="6">
        <v>1575</v>
      </c>
      <c r="K34" s="6">
        <v>941</v>
      </c>
      <c r="L34" s="6">
        <v>1225</v>
      </c>
      <c r="M34" s="6">
        <v>745</v>
      </c>
      <c r="N34" s="6"/>
      <c r="X34" s="187" t="s">
        <v>108</v>
      </c>
      <c r="Y34" s="187"/>
      <c r="Z34" s="187"/>
      <c r="AA34" s="187"/>
      <c r="AB34" s="187"/>
      <c r="AC34" s="56">
        <f>I6/I82</f>
        <v>902.80496054114997</v>
      </c>
      <c r="AD34" s="56">
        <f t="shared" ref="AD34:AG34" si="6">J6/J82</f>
        <v>1490.6701754385965</v>
      </c>
      <c r="AE34" s="56">
        <f t="shared" si="6"/>
        <v>67.279743223965767</v>
      </c>
      <c r="AF34" s="56">
        <f t="shared" si="6"/>
        <v>64.810383431290234</v>
      </c>
      <c r="AG34" s="56">
        <f t="shared" si="6"/>
        <v>49.006918452988543</v>
      </c>
      <c r="AH34" s="72">
        <f t="shared" si="4"/>
        <v>-0.94571704787309396</v>
      </c>
      <c r="AI34" t="s">
        <v>195</v>
      </c>
      <c r="AJ34" s="72">
        <f t="shared" si="5"/>
        <v>-0.24384155966390766</v>
      </c>
      <c r="AK34" t="s">
        <v>195</v>
      </c>
    </row>
    <row r="35" spans="1:38" x14ac:dyDescent="0.25">
      <c r="A35" s="194" t="s">
        <v>20</v>
      </c>
      <c r="B35" s="194"/>
      <c r="C35" s="194"/>
      <c r="D35" s="194"/>
      <c r="E35" s="194"/>
      <c r="F35" s="194"/>
      <c r="G35" s="194"/>
      <c r="H35" s="6">
        <v>125065</v>
      </c>
      <c r="I35" s="6">
        <v>122326</v>
      </c>
      <c r="J35" s="6">
        <v>117556</v>
      </c>
      <c r="K35" s="6">
        <v>110667</v>
      </c>
      <c r="L35" s="6">
        <v>107815</v>
      </c>
      <c r="M35" s="6">
        <v>93924</v>
      </c>
      <c r="N35" s="34"/>
      <c r="X35" s="197" t="s">
        <v>109</v>
      </c>
      <c r="Y35" s="197"/>
      <c r="Z35" s="197"/>
      <c r="AA35" s="197"/>
      <c r="AB35" s="197"/>
      <c r="AC35" s="47">
        <f>360/AC34</f>
        <v>0.39875722413422776</v>
      </c>
      <c r="AD35" s="47">
        <f>360/AD34</f>
        <v>0.24150211490887177</v>
      </c>
      <c r="AE35" s="47">
        <f>360/AE34</f>
        <v>5.3507933108722705</v>
      </c>
      <c r="AF35" s="47">
        <f>360/AF34</f>
        <v>5.5546654863052884</v>
      </c>
      <c r="AG35" s="47">
        <f>360/AG34</f>
        <v>7.3459015862289228</v>
      </c>
      <c r="AH35" s="72">
        <f t="shared" si="4"/>
        <v>17.421989976929371</v>
      </c>
      <c r="AI35" t="s">
        <v>195</v>
      </c>
      <c r="AJ35" s="72">
        <f t="shared" si="5"/>
        <v>0.32247416236672127</v>
      </c>
      <c r="AK35" t="s">
        <v>195</v>
      </c>
    </row>
    <row r="36" spans="1:38" x14ac:dyDescent="0.25">
      <c r="A36" s="209" t="s">
        <v>27</v>
      </c>
      <c r="B36" s="209"/>
      <c r="C36" s="209"/>
      <c r="D36" s="209"/>
      <c r="E36" s="209"/>
      <c r="F36" s="209"/>
      <c r="G36" s="209"/>
      <c r="H36" s="16">
        <f t="shared" ref="H36:M36" si="7">H32+H33+H34+H35</f>
        <v>412553</v>
      </c>
      <c r="I36" s="16">
        <f t="shared" si="7"/>
        <v>441198</v>
      </c>
      <c r="J36" s="16">
        <f t="shared" si="7"/>
        <v>441197</v>
      </c>
      <c r="K36" s="16">
        <f t="shared" si="7"/>
        <v>438195</v>
      </c>
      <c r="L36" s="16">
        <f t="shared" si="7"/>
        <v>440496</v>
      </c>
      <c r="M36" s="16">
        <f t="shared" si="7"/>
        <v>397696</v>
      </c>
      <c r="N36" s="6"/>
      <c r="X36" s="187" t="s">
        <v>110</v>
      </c>
      <c r="Y36" s="187"/>
      <c r="Z36" s="187"/>
      <c r="AA36" s="187"/>
      <c r="AB36" s="187"/>
      <c r="AC36" s="57">
        <f>I24/I72</f>
        <v>8.6488355060788056</v>
      </c>
      <c r="AD36" s="57">
        <f>J24/J72</f>
        <v>8.3233848492525961</v>
      </c>
      <c r="AE36" s="57">
        <f>K24/K72</f>
        <v>7.054111394466708</v>
      </c>
      <c r="AF36" s="57">
        <f>L24/L72</f>
        <v>4.7665783645285966</v>
      </c>
      <c r="AG36" s="57">
        <f>M24/M72</f>
        <v>7.5823555586781888</v>
      </c>
      <c r="AH36" s="72">
        <f t="shared" si="4"/>
        <v>-0.12330907977739256</v>
      </c>
      <c r="AI36" t="s">
        <v>196</v>
      </c>
      <c r="AJ36" s="72">
        <f t="shared" si="5"/>
        <v>0.59073343157509717</v>
      </c>
      <c r="AK36" t="s">
        <v>195</v>
      </c>
      <c r="AL36" t="s">
        <v>197</v>
      </c>
    </row>
    <row r="37" spans="1:38" x14ac:dyDescent="0.25">
      <c r="A37" s="194" t="s">
        <v>21</v>
      </c>
      <c r="B37" s="194"/>
      <c r="C37" s="194"/>
      <c r="D37" s="194"/>
      <c r="E37" s="194"/>
      <c r="F37" s="194"/>
      <c r="G37" s="194"/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/>
      <c r="X37" s="187" t="s">
        <v>111</v>
      </c>
      <c r="Y37" s="187"/>
      <c r="Z37" s="187"/>
      <c r="AA37" s="187"/>
      <c r="AB37" s="187"/>
      <c r="AC37" s="60">
        <f>360/AC36</f>
        <v>41.624100695056022</v>
      </c>
      <c r="AD37" s="60">
        <f>360/AD36</f>
        <v>43.251634583774702</v>
      </c>
      <c r="AE37" s="60">
        <f>360/AE36</f>
        <v>51.034067917099577</v>
      </c>
      <c r="AF37" s="60">
        <f>360/AF36</f>
        <v>75.525874635568513</v>
      </c>
      <c r="AG37" s="60">
        <f>360/AG36</f>
        <v>47.478649242183231</v>
      </c>
      <c r="AH37" s="72">
        <f t="shared" si="4"/>
        <v>0.14065285374015524</v>
      </c>
      <c r="AI37" t="s">
        <v>196</v>
      </c>
      <c r="AJ37" s="72">
        <f t="shared" si="5"/>
        <v>-0.37135916040324263</v>
      </c>
      <c r="AK37" t="s">
        <v>195</v>
      </c>
    </row>
    <row r="38" spans="1:38" x14ac:dyDescent="0.25">
      <c r="A38" s="194" t="s">
        <v>22</v>
      </c>
      <c r="B38" s="194"/>
      <c r="C38" s="194"/>
      <c r="D38" s="194"/>
      <c r="E38" s="194"/>
      <c r="F38" s="194"/>
      <c r="G38" s="194"/>
      <c r="H38" s="6">
        <f>158</f>
        <v>158</v>
      </c>
      <c r="I38" s="6">
        <v>135</v>
      </c>
      <c r="J38" s="6">
        <v>15530</v>
      </c>
      <c r="K38" s="6">
        <v>14218</v>
      </c>
      <c r="L38" s="6">
        <v>12064</v>
      </c>
      <c r="M38" s="6">
        <v>11968</v>
      </c>
      <c r="N38" s="6"/>
      <c r="X38" s="187" t="s">
        <v>198</v>
      </c>
      <c r="Y38" s="187"/>
      <c r="Z38" s="187"/>
      <c r="AA38" s="187"/>
      <c r="AB38" s="187"/>
      <c r="AC38" s="57">
        <f>I7/I44</f>
        <v>10.70294834848149</v>
      </c>
      <c r="AD38" s="57">
        <f>J7/J44</f>
        <v>7.8277351604975047</v>
      </c>
      <c r="AE38" s="57">
        <f>K7/K44</f>
        <v>13.05703523323948</v>
      </c>
      <c r="AF38" s="57">
        <f>L7/L44</f>
        <v>10.23844743662684</v>
      </c>
      <c r="AG38" s="57">
        <f>M7/M44</f>
        <v>9.1226750975533335</v>
      </c>
      <c r="AH38" s="72">
        <f t="shared" ref="AH38:AH39" si="8">(AG38-AC38)/AC38</f>
        <v>-0.14764840485774763</v>
      </c>
      <c r="AI38" t="s">
        <v>195</v>
      </c>
      <c r="AJ38" s="72">
        <f t="shared" ref="AJ38:AJ39" si="9">(AG38-AF38)/AF38</f>
        <v>-0.10897866556231589</v>
      </c>
      <c r="AK38" t="s">
        <v>195</v>
      </c>
    </row>
    <row r="39" spans="1:38" x14ac:dyDescent="0.25">
      <c r="A39" s="194" t="s">
        <v>23</v>
      </c>
      <c r="B39" s="194"/>
      <c r="C39" s="194"/>
      <c r="D39" s="194"/>
      <c r="E39" s="194"/>
      <c r="F39" s="194"/>
      <c r="G39" s="194"/>
      <c r="H39" s="6">
        <v>11412</v>
      </c>
      <c r="I39" s="6">
        <v>11267</v>
      </c>
      <c r="J39" s="6">
        <v>11280</v>
      </c>
      <c r="K39" s="6">
        <v>12553</v>
      </c>
      <c r="L39" s="6">
        <v>13712</v>
      </c>
      <c r="M39" s="6">
        <v>11578</v>
      </c>
      <c r="N39" s="41"/>
      <c r="X39" s="187" t="s">
        <v>199</v>
      </c>
      <c r="Y39" s="187"/>
      <c r="Z39" s="187"/>
      <c r="AA39" s="187"/>
      <c r="AB39" s="187"/>
      <c r="AC39" s="60">
        <f>360/AC38</f>
        <v>33.635591640603963</v>
      </c>
      <c r="AD39" s="60">
        <f>360/AD38</f>
        <v>45.990314263151383</v>
      </c>
      <c r="AE39" s="60">
        <f>360/AE38</f>
        <v>27.571343231390145</v>
      </c>
      <c r="AF39" s="60">
        <f>360/AF38</f>
        <v>35.16158111161878</v>
      </c>
      <c r="AG39" s="60">
        <f>360/AG38</f>
        <v>39.462109101808373</v>
      </c>
      <c r="AH39" s="72">
        <f t="shared" si="8"/>
        <v>0.17322476510776752</v>
      </c>
      <c r="AI39" t="s">
        <v>195</v>
      </c>
      <c r="AJ39" s="72">
        <f t="shared" si="9"/>
        <v>0.12230758271471838</v>
      </c>
      <c r="AK39" t="s">
        <v>195</v>
      </c>
    </row>
    <row r="40" spans="1:38" x14ac:dyDescent="0.25">
      <c r="A40" s="209" t="s">
        <v>26</v>
      </c>
      <c r="B40" s="209"/>
      <c r="C40" s="209"/>
      <c r="D40" s="209"/>
      <c r="E40" s="209"/>
      <c r="F40" s="209"/>
      <c r="G40" s="209"/>
      <c r="H40" s="17">
        <f t="shared" ref="H40:M40" si="10">H37+H38+H39</f>
        <v>11570</v>
      </c>
      <c r="I40" s="17">
        <f t="shared" si="10"/>
        <v>11402</v>
      </c>
      <c r="J40" s="17">
        <f t="shared" si="10"/>
        <v>26810</v>
      </c>
      <c r="K40" s="17">
        <f t="shared" si="10"/>
        <v>26771</v>
      </c>
      <c r="L40" s="17">
        <f t="shared" si="10"/>
        <v>25776</v>
      </c>
      <c r="M40" s="17">
        <f t="shared" si="10"/>
        <v>23546</v>
      </c>
      <c r="N40" s="41"/>
      <c r="X40" s="200" t="s">
        <v>191</v>
      </c>
      <c r="Y40" s="200"/>
      <c r="Z40" s="200"/>
      <c r="AA40" s="200"/>
      <c r="AB40" s="200"/>
      <c r="AF40" s="44"/>
    </row>
    <row r="41" spans="1:38" x14ac:dyDescent="0.25">
      <c r="A41" s="209" t="s">
        <v>24</v>
      </c>
      <c r="B41" s="209"/>
      <c r="C41" s="209"/>
      <c r="D41" s="209"/>
      <c r="E41" s="209"/>
      <c r="F41" s="209"/>
      <c r="G41" s="209"/>
      <c r="H41" s="17">
        <f t="shared" ref="H41:M41" si="11">H31+H36+H40</f>
        <v>463269</v>
      </c>
      <c r="I41" s="17">
        <f t="shared" si="11"/>
        <v>490173</v>
      </c>
      <c r="J41" s="17">
        <f t="shared" si="11"/>
        <v>507657</v>
      </c>
      <c r="K41" s="17">
        <f t="shared" si="11"/>
        <v>501064</v>
      </c>
      <c r="L41" s="17">
        <f t="shared" si="11"/>
        <v>496705</v>
      </c>
      <c r="M41" s="17">
        <f t="shared" si="11"/>
        <v>442141</v>
      </c>
      <c r="N41" s="20"/>
      <c r="X41" s="197" t="s">
        <v>112</v>
      </c>
      <c r="Y41" s="197"/>
      <c r="Z41" s="197"/>
      <c r="AA41" s="197"/>
      <c r="AB41" s="197"/>
      <c r="AC41" s="6">
        <f>(I49*100)/$I$49</f>
        <v>100</v>
      </c>
      <c r="AD41" s="6">
        <f>(J49*100)/$I$49</f>
        <v>107.22012426079229</v>
      </c>
      <c r="AE41" s="6">
        <f>(K49*100)/$I$49</f>
        <v>106.05520301803278</v>
      </c>
      <c r="AF41" s="6">
        <f>(L49*100)/$I$49</f>
        <v>108.39641428601205</v>
      </c>
      <c r="AG41" s="6">
        <f>(M49*100)/$I$49</f>
        <v>98.800782930152096</v>
      </c>
      <c r="AH41" s="72">
        <f t="shared" ref="AH41:AH47" si="12">(AG41-AC41)/AC41</f>
        <v>-1.1992170698479044E-2</v>
      </c>
      <c r="AI41" t="s">
        <v>196</v>
      </c>
      <c r="AJ41" s="72">
        <f t="shared" ref="AJ41:AJ47" si="13">(AG41-AF41)/AF41</f>
        <v>-8.8523512692413972E-2</v>
      </c>
      <c r="AK41" t="s">
        <v>196</v>
      </c>
    </row>
    <row r="42" spans="1:38" x14ac:dyDescent="0.25">
      <c r="A42" s="215"/>
      <c r="B42" s="215"/>
      <c r="C42" s="215"/>
      <c r="D42" s="215"/>
      <c r="E42" s="215"/>
      <c r="F42" s="215"/>
      <c r="G42" s="215"/>
      <c r="H42" s="30"/>
      <c r="I42" s="18"/>
      <c r="J42" s="18"/>
      <c r="K42" s="18"/>
      <c r="L42" s="19"/>
      <c r="M42" s="20"/>
      <c r="N42" s="19"/>
      <c r="X42" s="197" t="s">
        <v>113</v>
      </c>
      <c r="Y42" s="197"/>
      <c r="Z42" s="197"/>
      <c r="AA42" s="197"/>
      <c r="AB42" s="197"/>
      <c r="AC42" s="6">
        <f>(I41*100)/$I$41</f>
        <v>100</v>
      </c>
      <c r="AD42" s="6">
        <f>(J41*100)/$I$41</f>
        <v>103.56690392983701</v>
      </c>
      <c r="AE42" s="6">
        <f>(K41*100)/$I$41</f>
        <v>102.22186860557395</v>
      </c>
      <c r="AF42" s="6">
        <f>(L41*100)/$I$41</f>
        <v>101.33259073837196</v>
      </c>
      <c r="AG42" s="6">
        <f>(M41*100)/$I$41</f>
        <v>90.201010663582039</v>
      </c>
      <c r="AH42" s="72">
        <f t="shared" si="12"/>
        <v>-9.7989893364179612E-2</v>
      </c>
      <c r="AI42" t="s">
        <v>196</v>
      </c>
      <c r="AJ42" s="72">
        <f t="shared" si="13"/>
        <v>-0.10985192418034852</v>
      </c>
      <c r="AK42" t="s">
        <v>196</v>
      </c>
    </row>
    <row r="43" spans="1:38" ht="15.75" x14ac:dyDescent="0.25">
      <c r="A43" s="216" t="s">
        <v>29</v>
      </c>
      <c r="B43" s="216"/>
      <c r="C43" s="216"/>
      <c r="D43" s="216"/>
      <c r="E43" s="216"/>
      <c r="F43" s="216"/>
      <c r="G43" s="216"/>
      <c r="H43" s="43"/>
      <c r="I43" s="12"/>
      <c r="J43" s="12"/>
      <c r="K43" s="12"/>
      <c r="L43" s="14"/>
      <c r="M43" s="14"/>
      <c r="N43" s="42"/>
      <c r="X43" s="197" t="s">
        <v>27</v>
      </c>
      <c r="Y43" s="197"/>
      <c r="Z43" s="197"/>
      <c r="AA43" s="197"/>
      <c r="AB43" s="197"/>
      <c r="AC43" s="6">
        <f>(I36*100)/$I$36</f>
        <v>100</v>
      </c>
      <c r="AD43" s="6">
        <f>(J36*100)/$I$36</f>
        <v>99.999773344394129</v>
      </c>
      <c r="AE43" s="6">
        <f>(K36*100)/$I$36</f>
        <v>99.319353215563083</v>
      </c>
      <c r="AF43" s="6">
        <f>(L36*100)/$I$36</f>
        <v>99.840887764677078</v>
      </c>
      <c r="AG43" s="6">
        <f>(M36*100)/$I$36</f>
        <v>90.140027833308395</v>
      </c>
      <c r="AH43" s="72">
        <f t="shared" si="12"/>
        <v>-9.8599721666916051E-2</v>
      </c>
      <c r="AI43" t="s">
        <v>196</v>
      </c>
      <c r="AJ43" s="72">
        <f t="shared" si="13"/>
        <v>-9.7163197849696722E-2</v>
      </c>
      <c r="AK43" t="s">
        <v>196</v>
      </c>
    </row>
    <row r="44" spans="1:38" x14ac:dyDescent="0.25">
      <c r="A44" s="209" t="s">
        <v>30</v>
      </c>
      <c r="B44" s="209"/>
      <c r="C44" s="209"/>
      <c r="D44" s="209"/>
      <c r="E44" s="209"/>
      <c r="F44" s="209"/>
      <c r="G44" s="209"/>
      <c r="H44" s="16">
        <v>21524</v>
      </c>
      <c r="I44" s="16">
        <v>27066</v>
      </c>
      <c r="J44" s="16">
        <v>40281</v>
      </c>
      <c r="K44" s="16">
        <v>26282</v>
      </c>
      <c r="L44" s="16">
        <v>31638</v>
      </c>
      <c r="M44" s="23">
        <v>35109</v>
      </c>
      <c r="N44" s="42"/>
      <c r="X44" s="197" t="s">
        <v>31</v>
      </c>
      <c r="Y44" s="197"/>
      <c r="Z44" s="197"/>
      <c r="AA44" s="197"/>
      <c r="AB44" s="197"/>
      <c r="AC44" s="6">
        <f>(I45*100)/$I$45</f>
        <v>100</v>
      </c>
      <c r="AD44" s="6">
        <f>(J45*100)/$I$45</f>
        <v>163.81269592476488</v>
      </c>
      <c r="AE44" s="6">
        <f>(K45*100)/$I$45</f>
        <v>314.48863636363637</v>
      </c>
      <c r="AF44" s="6">
        <f>(L45*100)/$I$45</f>
        <v>384.8550156739812</v>
      </c>
      <c r="AG44" s="6">
        <f>(M45*100)/$I$45</f>
        <v>372.1394984326019</v>
      </c>
      <c r="AH44" s="72">
        <f t="shared" si="12"/>
        <v>2.721394984326019</v>
      </c>
      <c r="AI44" t="s">
        <v>195</v>
      </c>
      <c r="AJ44" s="72">
        <f t="shared" si="13"/>
        <v>-3.3039759710838446E-2</v>
      </c>
      <c r="AK44" t="s">
        <v>196</v>
      </c>
    </row>
    <row r="45" spans="1:38" x14ac:dyDescent="0.25">
      <c r="A45" s="209" t="s">
        <v>31</v>
      </c>
      <c r="B45" s="209"/>
      <c r="C45" s="209"/>
      <c r="D45" s="209"/>
      <c r="E45" s="209"/>
      <c r="F45" s="209"/>
      <c r="G45" s="209"/>
      <c r="H45" s="16">
        <v>18417</v>
      </c>
      <c r="I45" s="16">
        <v>10208</v>
      </c>
      <c r="J45" s="16">
        <v>16722</v>
      </c>
      <c r="K45" s="16">
        <v>32103</v>
      </c>
      <c r="L45" s="16">
        <v>39286</v>
      </c>
      <c r="M45" s="23">
        <v>37988</v>
      </c>
      <c r="N45" s="42"/>
      <c r="X45" s="197" t="s">
        <v>53</v>
      </c>
      <c r="Y45" s="197"/>
      <c r="Z45" s="197"/>
      <c r="AA45" s="197"/>
      <c r="AB45" s="197"/>
      <c r="AC45" s="6">
        <f>(I72*100)/$I$72</f>
        <v>100</v>
      </c>
      <c r="AD45" s="6">
        <f>(J72*100)/$I$72</f>
        <v>115.62911967189102</v>
      </c>
      <c r="AE45" s="6">
        <f>(K72*100)/$I$72</f>
        <v>136.70133294272742</v>
      </c>
      <c r="AF45" s="6">
        <f>(L72*100)/$I$72</f>
        <v>202.37586055368391</v>
      </c>
      <c r="AG45" s="6">
        <f>(M72*100)/$I$72</f>
        <v>125.08861871978907</v>
      </c>
      <c r="AH45" s="72">
        <f t="shared" si="12"/>
        <v>0.25088618719789069</v>
      </c>
      <c r="AI45" t="s">
        <v>195</v>
      </c>
      <c r="AJ45" s="72">
        <f t="shared" si="13"/>
        <v>-0.38189950927172456</v>
      </c>
      <c r="AK45" t="s">
        <v>196</v>
      </c>
    </row>
    <row r="46" spans="1:38" x14ac:dyDescent="0.25">
      <c r="A46" s="209" t="s">
        <v>32</v>
      </c>
      <c r="B46" s="209"/>
      <c r="C46" s="209"/>
      <c r="D46" s="209"/>
      <c r="E46" s="209"/>
      <c r="F46" s="209"/>
      <c r="G46" s="209"/>
      <c r="H46" s="16">
        <v>316</v>
      </c>
      <c r="I46" s="25">
        <v>314</v>
      </c>
      <c r="J46" s="25">
        <v>1206</v>
      </c>
      <c r="K46" s="25">
        <v>269</v>
      </c>
      <c r="L46" s="25">
        <v>4445</v>
      </c>
      <c r="M46" s="23">
        <v>6194</v>
      </c>
      <c r="N46" s="42"/>
      <c r="X46" s="197" t="s">
        <v>40</v>
      </c>
      <c r="Y46" s="197"/>
      <c r="Z46" s="197"/>
      <c r="AA46" s="197"/>
      <c r="AB46" s="197"/>
      <c r="AC46" s="6">
        <f>(I56*100)/$I$56</f>
        <v>100</v>
      </c>
      <c r="AD46" s="6">
        <f>(J56*100)/$I$56</f>
        <v>99.389556653227331</v>
      </c>
      <c r="AE46" s="6">
        <f>(K56*100)/$I$56</f>
        <v>98.388036218125706</v>
      </c>
      <c r="AF46" s="6">
        <f>(L56*100)/$I$56</f>
        <v>90.213239131914762</v>
      </c>
      <c r="AG46" s="6">
        <f>(M56*100)/$I$56</f>
        <v>66.35829317922223</v>
      </c>
      <c r="AH46" s="72">
        <f t="shared" si="12"/>
        <v>-0.33641706820777773</v>
      </c>
      <c r="AI46" t="s">
        <v>195</v>
      </c>
      <c r="AJ46" s="72">
        <f t="shared" si="13"/>
        <v>-0.26442843846689196</v>
      </c>
      <c r="AK46" t="s">
        <v>195</v>
      </c>
    </row>
    <row r="47" spans="1:38" x14ac:dyDescent="0.25">
      <c r="A47" s="209" t="s">
        <v>33</v>
      </c>
      <c r="B47" s="209"/>
      <c r="C47" s="209"/>
      <c r="D47" s="209"/>
      <c r="E47" s="209"/>
      <c r="F47" s="209"/>
      <c r="G47" s="209"/>
      <c r="H47" s="16">
        <v>40406</v>
      </c>
      <c r="I47" s="23">
        <f>I44+I45+I46</f>
        <v>37588</v>
      </c>
      <c r="J47" s="23">
        <f>J44+J45+J46</f>
        <v>58209</v>
      </c>
      <c r="K47" s="23">
        <f>K44+K45+K46</f>
        <v>58654</v>
      </c>
      <c r="L47" s="23">
        <f>L44+L45+L46</f>
        <v>75369</v>
      </c>
      <c r="M47" s="23">
        <f>M44+M45+M46</f>
        <v>79291</v>
      </c>
      <c r="N47" s="22"/>
      <c r="X47" s="197" t="s">
        <v>57</v>
      </c>
      <c r="Y47" s="197"/>
      <c r="Z47" s="197"/>
      <c r="AA47" s="197"/>
      <c r="AB47" s="197"/>
      <c r="AC47" s="6">
        <f>(I75*100)/$I$75</f>
        <v>100</v>
      </c>
      <c r="AD47" s="6">
        <f>(J75*100)/$I$75</f>
        <v>109.83769845282637</v>
      </c>
      <c r="AE47" s="6">
        <f>(K75*100)/$I$75</f>
        <v>108.61790878754171</v>
      </c>
      <c r="AF47" s="6">
        <f>(L75*100)/$I$75</f>
        <v>114.47391040550106</v>
      </c>
      <c r="AG47" s="6">
        <f>(M75*100)/$I$75</f>
        <v>109.64379613712205</v>
      </c>
      <c r="AH47" s="72">
        <f t="shared" si="12"/>
        <v>9.6437961371220529E-2</v>
      </c>
      <c r="AI47" t="s">
        <v>195</v>
      </c>
      <c r="AJ47" s="72">
        <f t="shared" si="13"/>
        <v>-4.2194018281277251E-2</v>
      </c>
      <c r="AK47" t="s">
        <v>196</v>
      </c>
    </row>
    <row r="48" spans="1:38" x14ac:dyDescent="0.25">
      <c r="A48" s="215"/>
      <c r="B48" s="215"/>
      <c r="C48" s="215"/>
      <c r="D48" s="215"/>
      <c r="E48" s="215"/>
      <c r="F48" s="215"/>
      <c r="G48" s="215"/>
      <c r="H48" s="30"/>
      <c r="I48" s="21"/>
      <c r="J48" s="21"/>
      <c r="K48" s="21"/>
      <c r="L48" s="22"/>
      <c r="M48" s="22"/>
      <c r="N48" s="31"/>
      <c r="X48" s="198"/>
      <c r="Y48" s="198"/>
      <c r="Z48" s="198"/>
      <c r="AA48" s="198"/>
      <c r="AB48" s="198"/>
      <c r="AC48" s="12"/>
      <c r="AD48" s="12"/>
      <c r="AE48" s="12"/>
      <c r="AF48" s="12"/>
      <c r="AG48" s="12"/>
    </row>
    <row r="49" spans="1:38" ht="16.5" thickBot="1" x14ac:dyDescent="0.3">
      <c r="A49" s="214" t="s">
        <v>34</v>
      </c>
      <c r="B49" s="214"/>
      <c r="C49" s="214"/>
      <c r="D49" s="214"/>
      <c r="E49" s="214"/>
      <c r="F49" s="214"/>
      <c r="G49" s="214"/>
      <c r="H49" s="24">
        <f t="shared" ref="H49:M49" si="14">H41+H47</f>
        <v>503675</v>
      </c>
      <c r="I49" s="24">
        <f t="shared" si="14"/>
        <v>527761</v>
      </c>
      <c r="J49" s="24">
        <f t="shared" si="14"/>
        <v>565866</v>
      </c>
      <c r="K49" s="24">
        <f t="shared" si="14"/>
        <v>559718</v>
      </c>
      <c r="L49" s="24">
        <f t="shared" si="14"/>
        <v>572074</v>
      </c>
      <c r="M49" s="24">
        <f t="shared" si="14"/>
        <v>521432</v>
      </c>
      <c r="X49" s="199" t="s">
        <v>114</v>
      </c>
      <c r="Y49" s="199"/>
      <c r="Z49" s="199"/>
      <c r="AA49" s="199"/>
      <c r="AB49" s="199"/>
      <c r="AL49" s="27" t="s">
        <v>143</v>
      </c>
    </row>
    <row r="50" spans="1:38" ht="15.75" thickTop="1" x14ac:dyDescent="0.25">
      <c r="N50" s="29"/>
      <c r="X50" s="197" t="s">
        <v>116</v>
      </c>
      <c r="Y50" s="197"/>
      <c r="Z50" s="197"/>
      <c r="AA50" s="197"/>
      <c r="AB50" s="197"/>
      <c r="AC50" s="44">
        <f>I56/I49</f>
        <v>0.25049027874359797</v>
      </c>
      <c r="AD50" s="44">
        <f>J56/J49</f>
        <v>0.23219631502864635</v>
      </c>
      <c r="AE50" s="44">
        <f>K56/K49</f>
        <v>0.23238130630067283</v>
      </c>
      <c r="AF50" s="44">
        <f>L56/L49</f>
        <v>0.20847128168733414</v>
      </c>
      <c r="AG50" s="44">
        <f>M56/M49</f>
        <v>0.16823861980085611</v>
      </c>
      <c r="AH50" s="71">
        <f>(AG50-AC50)/AC50</f>
        <v>-0.32836267880453246</v>
      </c>
      <c r="AI50" t="s">
        <v>195</v>
      </c>
      <c r="AJ50" s="72">
        <f>(AG50-AF50)/AF50</f>
        <v>-0.19298898899091099</v>
      </c>
      <c r="AK50" t="s">
        <v>195</v>
      </c>
    </row>
    <row r="51" spans="1:38" ht="19.5" thickBot="1" x14ac:dyDescent="0.35">
      <c r="A51" s="212" t="s">
        <v>35</v>
      </c>
      <c r="B51" s="212"/>
      <c r="C51" s="212"/>
      <c r="D51" s="212"/>
      <c r="E51" s="212"/>
      <c r="F51" s="212"/>
      <c r="G51" s="212"/>
      <c r="H51" s="5">
        <v>2009</v>
      </c>
      <c r="I51" s="5">
        <f>I27</f>
        <v>2010</v>
      </c>
      <c r="J51" s="5">
        <f>J27</f>
        <v>2011</v>
      </c>
      <c r="K51" s="5">
        <f>K27</f>
        <v>2012</v>
      </c>
      <c r="L51" s="5">
        <f>L27</f>
        <v>2013</v>
      </c>
      <c r="M51" s="5">
        <f>M27</f>
        <v>2014</v>
      </c>
      <c r="N51" s="2"/>
      <c r="X51" s="187" t="s">
        <v>117</v>
      </c>
      <c r="Y51" s="187"/>
      <c r="Z51" s="187"/>
      <c r="AA51" s="187"/>
      <c r="AB51" s="187"/>
      <c r="AC51" s="55">
        <f>(I47-I44)/I74</f>
        <v>5.4870385531990341E-2</v>
      </c>
      <c r="AD51" s="55">
        <f>(J47-J44)/J74</f>
        <v>7.8733794751080347E-2</v>
      </c>
      <c r="AE51" s="55">
        <f>(K47-K44)/K74</f>
        <v>0.13163523393596344</v>
      </c>
      <c r="AF51" s="55">
        <f>(L47-L44)/L74</f>
        <v>0.1494116601978899</v>
      </c>
      <c r="AG51" s="55">
        <f>(M47-M44)/M74</f>
        <v>0.22204464815205702</v>
      </c>
      <c r="AH51" s="71">
        <f>(AG51-AC51)/AC51</f>
        <v>3.0467120104815253</v>
      </c>
      <c r="AI51" t="s">
        <v>196</v>
      </c>
      <c r="AJ51" s="72">
        <f>(AG51-AF51)/AF51</f>
        <v>0.48612663735860751</v>
      </c>
      <c r="AK51" t="s">
        <v>196</v>
      </c>
    </row>
    <row r="52" spans="1:38" ht="15.75" x14ac:dyDescent="0.25">
      <c r="A52" s="213" t="s">
        <v>36</v>
      </c>
      <c r="B52" s="213"/>
      <c r="C52" s="213"/>
      <c r="D52" s="213"/>
      <c r="E52" s="213"/>
      <c r="F52" s="213"/>
      <c r="G52" s="213"/>
      <c r="H52" s="26"/>
      <c r="I52" s="2"/>
      <c r="J52" s="2"/>
      <c r="K52" s="2"/>
      <c r="L52" s="2"/>
      <c r="M52" s="2"/>
      <c r="X52" s="187" t="s">
        <v>118</v>
      </c>
      <c r="Y52" s="187"/>
      <c r="Z52" s="187"/>
      <c r="AA52" s="187"/>
      <c r="AB52" s="187"/>
      <c r="AC52" s="55">
        <f>I47/I74</f>
        <v>0.19601483096145722</v>
      </c>
      <c r="AD52" s="55">
        <f>J47/J74</f>
        <v>0.25563450795769949</v>
      </c>
      <c r="AE52" s="55">
        <f>K47/K74</f>
        <v>0.23850651832694919</v>
      </c>
      <c r="AF52" s="55">
        <f>L47/L74</f>
        <v>0.25750628655769969</v>
      </c>
      <c r="AG52" s="55">
        <f>M47/M74</f>
        <v>0.3984912904944265</v>
      </c>
      <c r="AH52" s="71">
        <f>(AG52-AC52)/AC52</f>
        <v>1.032964998310677</v>
      </c>
      <c r="AI52" t="s">
        <v>196</v>
      </c>
      <c r="AJ52" s="72">
        <f>(AG52-AF52)/AF52</f>
        <v>0.54750121180104139</v>
      </c>
      <c r="AK52" t="s">
        <v>196</v>
      </c>
    </row>
    <row r="53" spans="1:38" x14ac:dyDescent="0.25">
      <c r="A53" s="194" t="s">
        <v>37</v>
      </c>
      <c r="B53" s="194"/>
      <c r="C53" s="194"/>
      <c r="D53" s="194"/>
      <c r="E53" s="194"/>
      <c r="F53" s="194"/>
      <c r="G53" s="194"/>
      <c r="H53" s="2">
        <v>21000</v>
      </c>
      <c r="I53" s="2">
        <v>21000</v>
      </c>
      <c r="J53" s="2">
        <v>21000</v>
      </c>
      <c r="K53" s="2">
        <v>21000</v>
      </c>
      <c r="L53" s="2">
        <v>21000</v>
      </c>
      <c r="M53" s="2">
        <v>21000</v>
      </c>
      <c r="N53" s="27" t="s">
        <v>60</v>
      </c>
      <c r="X53" s="197" t="s">
        <v>119</v>
      </c>
      <c r="Y53" s="197"/>
      <c r="Z53" s="197"/>
      <c r="AA53" s="197"/>
      <c r="AB53" s="197"/>
      <c r="AG53" s="55">
        <f>V12/M6</f>
        <v>-1.0024439126671511E-2</v>
      </c>
    </row>
    <row r="54" spans="1:38" x14ac:dyDescent="0.25">
      <c r="A54" s="194" t="s">
        <v>38</v>
      </c>
      <c r="B54" s="194"/>
      <c r="C54" s="194"/>
      <c r="D54" s="194"/>
      <c r="E54" s="194"/>
      <c r="F54" s="194"/>
      <c r="G54" s="194"/>
      <c r="H54" s="2">
        <v>9329</v>
      </c>
      <c r="I54" s="2">
        <v>23836</v>
      </c>
      <c r="J54" s="2">
        <v>23836</v>
      </c>
      <c r="K54" s="2">
        <v>23836</v>
      </c>
      <c r="L54" s="2">
        <v>13192</v>
      </c>
      <c r="M54" s="2">
        <v>11413</v>
      </c>
      <c r="N54" s="2"/>
      <c r="X54" s="197" t="s">
        <v>88</v>
      </c>
      <c r="Y54" s="197"/>
      <c r="Z54" s="197"/>
      <c r="AA54" s="197"/>
      <c r="AB54" s="197"/>
      <c r="AG54" s="55">
        <f>AG8</f>
        <v>-1.7539007715913667E-2</v>
      </c>
    </row>
    <row r="55" spans="1:38" x14ac:dyDescent="0.25">
      <c r="A55" s="194" t="s">
        <v>39</v>
      </c>
      <c r="B55" s="194"/>
      <c r="C55" s="194"/>
      <c r="D55" s="194"/>
      <c r="E55" s="194"/>
      <c r="F55" s="194"/>
      <c r="G55" s="194"/>
      <c r="H55" s="2">
        <v>81247</v>
      </c>
      <c r="I55" s="2">
        <v>87363</v>
      </c>
      <c r="J55" s="2">
        <v>86556</v>
      </c>
      <c r="K55" s="2">
        <v>85232</v>
      </c>
      <c r="L55" s="2">
        <v>85069</v>
      </c>
      <c r="M55" s="2">
        <v>55312</v>
      </c>
      <c r="N55" s="31"/>
      <c r="X55" s="197" t="s">
        <v>120</v>
      </c>
      <c r="Y55" s="197"/>
      <c r="Z55" s="197"/>
      <c r="AA55" s="197"/>
      <c r="AB55" s="197"/>
      <c r="AG55" s="57">
        <f>V12/V20</f>
        <v>0.65086401202103683</v>
      </c>
      <c r="AK55" s="48"/>
    </row>
    <row r="56" spans="1:38" x14ac:dyDescent="0.25">
      <c r="A56" s="209" t="s">
        <v>40</v>
      </c>
      <c r="B56" s="209"/>
      <c r="C56" s="209"/>
      <c r="D56" s="209"/>
      <c r="E56" s="209"/>
      <c r="F56" s="209"/>
      <c r="G56" s="209"/>
      <c r="H56" s="15">
        <f t="shared" ref="H56:M56" si="15">H53+H54+H55</f>
        <v>111576</v>
      </c>
      <c r="I56" s="15">
        <f t="shared" si="15"/>
        <v>132199</v>
      </c>
      <c r="J56" s="15">
        <f t="shared" si="15"/>
        <v>131392</v>
      </c>
      <c r="K56" s="15">
        <f t="shared" si="15"/>
        <v>130068</v>
      </c>
      <c r="L56" s="15">
        <f t="shared" si="15"/>
        <v>119261</v>
      </c>
      <c r="M56" s="15">
        <f t="shared" si="15"/>
        <v>87725</v>
      </c>
      <c r="N56" s="31"/>
      <c r="X56" s="197" t="s">
        <v>121</v>
      </c>
      <c r="Y56" s="197"/>
      <c r="Z56" s="197"/>
      <c r="AA56" s="197"/>
      <c r="AB56" s="197"/>
      <c r="AG56" s="56">
        <f>V12/V23</f>
        <v>-0.10149613956158542</v>
      </c>
      <c r="AI56" s="96"/>
      <c r="AJ56" s="44"/>
    </row>
    <row r="57" spans="1:38" x14ac:dyDescent="0.25">
      <c r="A57" s="210"/>
      <c r="B57" s="210"/>
      <c r="C57" s="210"/>
      <c r="D57" s="210"/>
      <c r="E57" s="210"/>
      <c r="F57" s="210"/>
      <c r="G57" s="210"/>
      <c r="H57" s="30"/>
      <c r="I57" s="31"/>
      <c r="J57" s="31"/>
      <c r="K57" s="31"/>
      <c r="L57" s="31"/>
      <c r="M57" s="31"/>
      <c r="N57" s="2"/>
      <c r="X57" s="197" t="s">
        <v>122</v>
      </c>
      <c r="Y57" s="197"/>
      <c r="Z57" s="197"/>
      <c r="AA57" s="197"/>
      <c r="AB57" s="197"/>
      <c r="AG57" s="56">
        <f>M75/V12</f>
        <v>-50.064296433106314</v>
      </c>
    </row>
    <row r="58" spans="1:38" ht="15.75" x14ac:dyDescent="0.25">
      <c r="A58" s="213" t="s">
        <v>41</v>
      </c>
      <c r="B58" s="213"/>
      <c r="C58" s="213"/>
      <c r="D58" s="213"/>
      <c r="E58" s="213"/>
      <c r="F58" s="213"/>
      <c r="G58" s="213"/>
      <c r="H58" s="26"/>
      <c r="I58" s="2"/>
      <c r="J58" s="2"/>
      <c r="K58" s="2"/>
      <c r="L58" s="2"/>
      <c r="M58" s="2"/>
      <c r="N58" s="2"/>
      <c r="X58" s="198"/>
      <c r="Y58" s="198"/>
      <c r="Z58" s="198"/>
      <c r="AA58" s="198"/>
      <c r="AB58" s="198"/>
      <c r="AC58" s="12"/>
      <c r="AD58" s="12"/>
      <c r="AE58" s="12"/>
      <c r="AF58" s="12"/>
      <c r="AG58" s="12"/>
    </row>
    <row r="59" spans="1:38" ht="15.75" customHeight="1" x14ac:dyDescent="0.25">
      <c r="A59" s="198" t="s">
        <v>42</v>
      </c>
      <c r="B59" s="198"/>
      <c r="C59" s="198"/>
      <c r="D59" s="198"/>
      <c r="E59" s="198"/>
      <c r="F59" s="198"/>
      <c r="G59" s="198"/>
      <c r="H59" s="2">
        <v>14660</v>
      </c>
      <c r="I59" s="2">
        <v>20423</v>
      </c>
      <c r="J59" s="2">
        <v>21963</v>
      </c>
      <c r="K59" s="2">
        <v>23952</v>
      </c>
      <c r="L59" s="2">
        <v>18530</v>
      </c>
      <c r="M59" s="2">
        <v>15006</v>
      </c>
      <c r="N59" s="31"/>
      <c r="X59" s="199" t="s">
        <v>115</v>
      </c>
      <c r="Y59" s="199"/>
      <c r="Z59" s="199"/>
      <c r="AA59" s="199"/>
      <c r="AB59" s="199"/>
    </row>
    <row r="60" spans="1:38" x14ac:dyDescent="0.25">
      <c r="A60" s="209" t="s">
        <v>43</v>
      </c>
      <c r="B60" s="209"/>
      <c r="C60" s="209"/>
      <c r="D60" s="209"/>
      <c r="E60" s="209"/>
      <c r="F60" s="209"/>
      <c r="G60" s="209"/>
      <c r="H60" s="15">
        <f t="shared" ref="H60:M60" si="16">H59</f>
        <v>14660</v>
      </c>
      <c r="I60" s="15">
        <f t="shared" si="16"/>
        <v>20423</v>
      </c>
      <c r="J60" s="15">
        <f t="shared" si="16"/>
        <v>21963</v>
      </c>
      <c r="K60" s="15">
        <f t="shared" si="16"/>
        <v>23952</v>
      </c>
      <c r="L60" s="15">
        <f t="shared" si="16"/>
        <v>18530</v>
      </c>
      <c r="M60" s="15">
        <f t="shared" si="16"/>
        <v>15006</v>
      </c>
      <c r="N60" s="21"/>
      <c r="X60" s="200" t="s">
        <v>189</v>
      </c>
      <c r="Y60" s="200"/>
      <c r="Z60" s="200"/>
      <c r="AA60" s="200"/>
      <c r="AB60" s="200"/>
      <c r="AC60" s="48"/>
      <c r="AD60" s="48"/>
      <c r="AE60" s="48"/>
      <c r="AF60" s="48"/>
      <c r="AG60" s="48"/>
    </row>
    <row r="61" spans="1:38" x14ac:dyDescent="0.25">
      <c r="A61" s="210"/>
      <c r="B61" s="210"/>
      <c r="C61" s="210"/>
      <c r="D61" s="210"/>
      <c r="E61" s="210"/>
      <c r="F61" s="210"/>
      <c r="G61" s="210"/>
      <c r="H61" s="30"/>
      <c r="I61" s="21"/>
      <c r="J61" s="21"/>
      <c r="K61" s="21"/>
      <c r="L61" s="21"/>
      <c r="M61" s="21"/>
      <c r="N61" s="2"/>
      <c r="X61" s="197" t="s">
        <v>116</v>
      </c>
      <c r="Y61" s="197"/>
      <c r="Z61" s="197"/>
      <c r="AA61" s="197"/>
      <c r="AB61" s="197"/>
      <c r="AC61" s="44">
        <f>AC50</f>
        <v>0.25049027874359797</v>
      </c>
      <c r="AD61" s="44">
        <f>AD50</f>
        <v>0.23219631502864635</v>
      </c>
      <c r="AE61" s="44">
        <f>AE50</f>
        <v>0.23238130630067283</v>
      </c>
      <c r="AF61" s="44">
        <f>AF50</f>
        <v>0.20847128168733414</v>
      </c>
      <c r="AG61" s="44">
        <f>AG50</f>
        <v>0.16823861980085611</v>
      </c>
      <c r="AH61" s="71">
        <f t="shared" ref="AH61:AH67" si="17">(AG61-AC61)/AC61</f>
        <v>-0.32836267880453246</v>
      </c>
      <c r="AI61" t="s">
        <v>195</v>
      </c>
      <c r="AJ61" s="72">
        <f>(AG61-AF61)/AF61</f>
        <v>-0.19298898899091099</v>
      </c>
      <c r="AK61" t="s">
        <v>195</v>
      </c>
    </row>
    <row r="62" spans="1:38" ht="15.75" x14ac:dyDescent="0.25">
      <c r="A62" s="213" t="s">
        <v>44</v>
      </c>
      <c r="B62" s="213"/>
      <c r="C62" s="213"/>
      <c r="D62" s="213"/>
      <c r="E62" s="213"/>
      <c r="F62" s="213"/>
      <c r="G62" s="213"/>
      <c r="H62" s="26"/>
      <c r="I62" s="2"/>
      <c r="J62" s="2"/>
      <c r="K62" s="2"/>
      <c r="L62" s="2"/>
      <c r="M62" s="2"/>
      <c r="N62" s="2"/>
      <c r="X62" s="187" t="s">
        <v>123</v>
      </c>
      <c r="Y62" s="187"/>
      <c r="Z62" s="187"/>
      <c r="AA62" s="187"/>
      <c r="AB62" s="187"/>
      <c r="AC62" s="55">
        <f>I75/I77</f>
        <v>0.74950877199630894</v>
      </c>
      <c r="AD62" s="55">
        <f>J75/J77</f>
        <v>0.76780368497135365</v>
      </c>
      <c r="AE62" s="55">
        <f>K75/K77</f>
        <v>0.76761827852289644</v>
      </c>
      <c r="AF62" s="55">
        <f>L75/L77</f>
        <v>0.7915287183126658</v>
      </c>
      <c r="AG62" s="55">
        <f>M75/M77</f>
        <v>0.83176138019914392</v>
      </c>
      <c r="AH62" s="71">
        <f t="shared" si="17"/>
        <v>0.10974202207634741</v>
      </c>
      <c r="AI62" t="s">
        <v>195</v>
      </c>
      <c r="AJ62" s="72">
        <f>(AG62-AF62)/AF62</f>
        <v>5.082906148022491E-2</v>
      </c>
      <c r="AK62" t="s">
        <v>195</v>
      </c>
    </row>
    <row r="63" spans="1:38" x14ac:dyDescent="0.25">
      <c r="A63" s="200" t="s">
        <v>50</v>
      </c>
      <c r="B63" s="200"/>
      <c r="C63" s="200"/>
      <c r="D63" s="200"/>
      <c r="E63" s="200"/>
      <c r="F63" s="200"/>
      <c r="G63" s="200"/>
      <c r="H63" s="1"/>
      <c r="I63" s="2"/>
      <c r="J63" s="2"/>
      <c r="K63" s="2"/>
      <c r="L63" s="2"/>
      <c r="M63" s="2"/>
      <c r="N63" s="2"/>
      <c r="X63" s="197" t="s">
        <v>92</v>
      </c>
      <c r="Y63" s="197"/>
      <c r="Z63" s="197"/>
      <c r="AA63" s="197"/>
      <c r="AB63" s="197"/>
      <c r="AC63" s="45">
        <f>AC13</f>
        <v>3.2310942467439236</v>
      </c>
      <c r="AD63" s="45">
        <f>AD13</f>
        <v>3.1489466635810781</v>
      </c>
      <c r="AE63" s="45">
        <f>AE13</f>
        <v>3.304991203243326</v>
      </c>
      <c r="AF63" s="45">
        <f>AF13</f>
        <v>3.5393476089825091</v>
      </c>
      <c r="AG63" s="45">
        <f>AG13</f>
        <v>4.2829949851680791</v>
      </c>
      <c r="AH63" s="71">
        <f t="shared" si="17"/>
        <v>0.32555557284786391</v>
      </c>
      <c r="AI63" t="s">
        <v>196</v>
      </c>
      <c r="AJ63" s="72">
        <f>(AG63-AF63)/AF63</f>
        <v>0.21010860145476176</v>
      </c>
      <c r="AK63" t="s">
        <v>196</v>
      </c>
    </row>
    <row r="64" spans="1:38" x14ac:dyDescent="0.25">
      <c r="A64" s="211" t="s">
        <v>45</v>
      </c>
      <c r="B64" s="211"/>
      <c r="C64" s="211"/>
      <c r="D64" s="211"/>
      <c r="E64" s="211"/>
      <c r="F64" s="211"/>
      <c r="G64" s="211"/>
      <c r="H64" s="2">
        <v>5714</v>
      </c>
      <c r="I64" s="2">
        <v>5714</v>
      </c>
      <c r="J64" s="2">
        <v>5714</v>
      </c>
      <c r="K64" s="2">
        <v>4571</v>
      </c>
      <c r="L64" s="2">
        <v>1434</v>
      </c>
      <c r="M64" s="2">
        <v>7153</v>
      </c>
      <c r="X64" s="197" t="s">
        <v>87</v>
      </c>
      <c r="Y64" s="197"/>
      <c r="Z64" s="197"/>
      <c r="AA64" s="197"/>
      <c r="AB64" s="197"/>
      <c r="AC64" s="44">
        <f>AC7</f>
        <v>3.727428291651922E-2</v>
      </c>
      <c r="AD64" s="44">
        <f>AD7</f>
        <v>3.9699165618927876E-2</v>
      </c>
      <c r="AE64" s="44">
        <f>AE7</f>
        <v>4.8744517285708826E-2</v>
      </c>
      <c r="AF64" s="44">
        <f>AF7</f>
        <v>2.4663564209293058E-2</v>
      </c>
      <c r="AG64" s="44">
        <f>AG7</f>
        <v>-2.7721841489667182E-2</v>
      </c>
      <c r="AH64" s="71">
        <f t="shared" si="17"/>
        <v>-1.7437256821748652</v>
      </c>
      <c r="AI64" t="s">
        <v>195</v>
      </c>
      <c r="AJ64" s="72">
        <f>(AG64-AF64)/AF64</f>
        <v>-2.1239998101824145</v>
      </c>
      <c r="AK64" t="s">
        <v>195</v>
      </c>
    </row>
    <row r="65" spans="1:42" x14ac:dyDescent="0.25">
      <c r="A65" s="211" t="s">
        <v>46</v>
      </c>
      <c r="B65" s="211"/>
      <c r="C65" s="211"/>
      <c r="D65" s="211"/>
      <c r="E65" s="211"/>
      <c r="F65" s="211"/>
      <c r="G65" s="211"/>
      <c r="H65" s="2">
        <v>75188</v>
      </c>
      <c r="I65" s="2">
        <v>68373</v>
      </c>
      <c r="J65" s="2">
        <v>66668</v>
      </c>
      <c r="K65" s="2">
        <v>65013</v>
      </c>
      <c r="L65" s="2">
        <v>74203</v>
      </c>
      <c r="M65" s="2">
        <v>72259</v>
      </c>
      <c r="N65" s="27" t="s">
        <v>59</v>
      </c>
      <c r="X65" s="197" t="s">
        <v>89</v>
      </c>
      <c r="Y65" s="197"/>
      <c r="Z65" s="197"/>
      <c r="AA65" s="197"/>
      <c r="AB65" s="197"/>
      <c r="AC65" s="44">
        <f t="shared" ref="AC65:AG67" si="18">AC10</f>
        <v>8.2051071684955387E-2</v>
      </c>
      <c r="AD65" s="44">
        <f t="shared" si="18"/>
        <v>7.7764415325257685E-2</v>
      </c>
      <c r="AE65" s="44">
        <f t="shared" si="18"/>
        <v>8.1947525434100818E-2</v>
      </c>
      <c r="AF65" s="44">
        <f t="shared" si="18"/>
        <v>-0.1175956266619607</v>
      </c>
      <c r="AG65" s="44">
        <f t="shared" si="18"/>
        <v>-0.2968799822210198</v>
      </c>
      <c r="AH65" s="71">
        <f t="shared" si="17"/>
        <v>-4.6182340598904661</v>
      </c>
      <c r="AI65" t="s">
        <v>195</v>
      </c>
      <c r="AJ65" s="72">
        <f>(AG65-AF65)/-AF65</f>
        <v>-1.5245835295765566</v>
      </c>
      <c r="AK65" t="s">
        <v>195</v>
      </c>
    </row>
    <row r="66" spans="1:42" x14ac:dyDescent="0.25">
      <c r="A66" s="211" t="s">
        <v>47</v>
      </c>
      <c r="B66" s="211"/>
      <c r="C66" s="211"/>
      <c r="D66" s="211"/>
      <c r="E66" s="211"/>
      <c r="F66" s="211"/>
      <c r="G66" s="211"/>
      <c r="H66" s="2">
        <v>118150</v>
      </c>
      <c r="I66" s="2">
        <v>102366</v>
      </c>
      <c r="J66" s="2">
        <v>106147</v>
      </c>
      <c r="K66" s="2">
        <v>83971</v>
      </c>
      <c r="L66" s="2">
        <v>61014</v>
      </c>
      <c r="M66" s="2">
        <v>135489</v>
      </c>
      <c r="N66" s="27" t="s">
        <v>61</v>
      </c>
      <c r="X66" s="197" t="s">
        <v>90</v>
      </c>
      <c r="Y66" s="197"/>
      <c r="Z66" s="197"/>
      <c r="AA66" s="197"/>
      <c r="AB66" s="197"/>
      <c r="AC66" s="44">
        <f t="shared" si="18"/>
        <v>4.7552045944005743E-2</v>
      </c>
      <c r="AD66" s="44">
        <f t="shared" si="18"/>
        <v>4.8833230269622253E-2</v>
      </c>
      <c r="AE66" s="44">
        <f t="shared" si="18"/>
        <v>5.0424539126443818E-2</v>
      </c>
      <c r="AF66" s="44">
        <f t="shared" si="18"/>
        <v>-8.6022885424479306E-2</v>
      </c>
      <c r="AG66" s="44">
        <f t="shared" si="18"/>
        <v>-0.28889876610012272</v>
      </c>
      <c r="AH66" s="71">
        <f t="shared" si="17"/>
        <v>-7.0754224211574721</v>
      </c>
      <c r="AI66" t="s">
        <v>195</v>
      </c>
      <c r="AJ66" s="72">
        <f>(AG66-AF66)/-AF66</f>
        <v>-2.3583942769944746</v>
      </c>
      <c r="AK66" t="s">
        <v>195</v>
      </c>
    </row>
    <row r="67" spans="1:42" x14ac:dyDescent="0.25">
      <c r="A67" s="198" t="s">
        <v>48</v>
      </c>
      <c r="B67" s="198"/>
      <c r="C67" s="198"/>
      <c r="D67" s="198"/>
      <c r="E67" s="198"/>
      <c r="F67" s="198"/>
      <c r="G67" s="198"/>
      <c r="H67" s="2">
        <f>7460+83</f>
        <v>7543</v>
      </c>
      <c r="I67" s="2">
        <f>6840+83</f>
        <v>6923</v>
      </c>
      <c r="J67" s="2">
        <f>6195+83</f>
        <v>6278</v>
      </c>
      <c r="K67" s="2">
        <f>6192+28</f>
        <v>6220</v>
      </c>
      <c r="L67" s="2">
        <v>4944</v>
      </c>
      <c r="M67" s="2">
        <v>4822</v>
      </c>
      <c r="N67" s="27" t="s">
        <v>54</v>
      </c>
      <c r="X67" s="197" t="s">
        <v>91</v>
      </c>
      <c r="Y67" s="197"/>
      <c r="Z67" s="197"/>
      <c r="AA67" s="197"/>
      <c r="AB67" s="197"/>
      <c r="AC67" s="44">
        <f t="shared" si="18"/>
        <v>2.3416194804865044E-2</v>
      </c>
      <c r="AD67" s="44">
        <f t="shared" si="18"/>
        <v>2.7610917143153172E-2</v>
      </c>
      <c r="AE67" s="44">
        <f t="shared" si="18"/>
        <v>3.8698194585724488E-2</v>
      </c>
      <c r="AF67" s="44">
        <f t="shared" si="18"/>
        <v>6.4857183652100595E-2</v>
      </c>
      <c r="AG67" s="44">
        <f t="shared" si="18"/>
        <v>3.5121599061498893E-2</v>
      </c>
      <c r="AH67" s="71">
        <f t="shared" si="17"/>
        <v>0.49988498789743097</v>
      </c>
      <c r="AI67" t="s">
        <v>195</v>
      </c>
      <c r="AJ67" s="72">
        <f>(AG67-AF67)/AF67</f>
        <v>-0.45847788812579171</v>
      </c>
      <c r="AK67" t="s">
        <v>196</v>
      </c>
      <c r="AL67" t="s">
        <v>140</v>
      </c>
      <c r="AP67" t="s">
        <v>139</v>
      </c>
    </row>
    <row r="68" spans="1:42" x14ac:dyDescent="0.25">
      <c r="A68" s="218" t="s">
        <v>49</v>
      </c>
      <c r="B68" s="218"/>
      <c r="C68" s="218"/>
      <c r="D68" s="218"/>
      <c r="E68" s="218"/>
      <c r="F68" s="218"/>
      <c r="G68" s="218"/>
      <c r="H68" s="15">
        <f t="shared" ref="H68:M68" si="19">H64+H65+H66+H67</f>
        <v>206595</v>
      </c>
      <c r="I68" s="15">
        <f t="shared" si="19"/>
        <v>183376</v>
      </c>
      <c r="J68" s="15">
        <f t="shared" si="19"/>
        <v>184807</v>
      </c>
      <c r="K68" s="15">
        <f t="shared" si="19"/>
        <v>159775</v>
      </c>
      <c r="L68" s="15">
        <f t="shared" si="19"/>
        <v>141595</v>
      </c>
      <c r="M68" s="15">
        <f t="shared" si="19"/>
        <v>219723</v>
      </c>
      <c r="N68" s="2"/>
      <c r="X68" s="200" t="s">
        <v>190</v>
      </c>
      <c r="Y68" s="200"/>
      <c r="Z68" s="200"/>
      <c r="AA68" s="200"/>
      <c r="AB68" s="200"/>
      <c r="AH68" s="71"/>
      <c r="AJ68" s="72"/>
    </row>
    <row r="69" spans="1:42" x14ac:dyDescent="0.25">
      <c r="A69" s="200" t="s">
        <v>51</v>
      </c>
      <c r="B69" s="200"/>
      <c r="C69" s="200"/>
      <c r="D69" s="200"/>
      <c r="E69" s="200"/>
      <c r="F69" s="200"/>
      <c r="G69" s="200"/>
      <c r="H69" s="1"/>
      <c r="I69" s="2"/>
      <c r="J69" s="2"/>
      <c r="K69" s="2"/>
      <c r="L69" s="2"/>
      <c r="M69" s="2"/>
      <c r="N69" s="2"/>
      <c r="X69" s="187" t="s">
        <v>124</v>
      </c>
      <c r="Y69" s="187"/>
      <c r="Z69" s="187"/>
      <c r="AA69" s="187"/>
      <c r="AB69" s="187"/>
      <c r="AC69" s="55">
        <f>I41/(I56+I68)</f>
        <v>1.5532694288204072</v>
      </c>
      <c r="AD69" s="55">
        <f>J41/(J56+J68)</f>
        <v>1.6054984361114362</v>
      </c>
      <c r="AE69" s="55">
        <f>K41/(K56+K68)</f>
        <v>1.7287428021377091</v>
      </c>
      <c r="AF69" s="55">
        <f>L41/(L56+L68)</f>
        <v>1.9041348483454472</v>
      </c>
      <c r="AG69" s="55">
        <f>M41/(M56+M68)</f>
        <v>1.4381001014805757</v>
      </c>
      <c r="AH69" s="71">
        <f>(AG69-AC69)/AC69</f>
        <v>-7.4146394181783454E-2</v>
      </c>
      <c r="AI69" t="s">
        <v>196</v>
      </c>
      <c r="AJ69" s="72">
        <f>(AG69-AF69)/AF69</f>
        <v>-0.24474881454421224</v>
      </c>
      <c r="AK69" t="s">
        <v>196</v>
      </c>
    </row>
    <row r="70" spans="1:42" x14ac:dyDescent="0.25">
      <c r="A70" s="197" t="s">
        <v>52</v>
      </c>
      <c r="B70" s="197"/>
      <c r="C70" s="197"/>
      <c r="D70" s="197"/>
      <c r="E70" s="197"/>
      <c r="F70" s="197"/>
      <c r="G70" s="197"/>
      <c r="H70" s="2">
        <v>18093</v>
      </c>
      <c r="I70" s="2">
        <v>20142</v>
      </c>
      <c r="J70" s="2">
        <v>23971</v>
      </c>
      <c r="K70" s="2">
        <v>26173</v>
      </c>
      <c r="L70" s="2">
        <v>24693</v>
      </c>
      <c r="M70" s="2">
        <v>31957</v>
      </c>
      <c r="X70" s="197" t="s">
        <v>117</v>
      </c>
      <c r="Y70" s="197"/>
      <c r="Z70" s="197"/>
      <c r="AA70" s="197"/>
      <c r="AB70" s="197"/>
      <c r="AC70" s="44">
        <f t="shared" ref="AC70:AG71" si="20">AC51</f>
        <v>5.4870385531990341E-2</v>
      </c>
      <c r="AD70" s="44">
        <f t="shared" si="20"/>
        <v>7.8733794751080347E-2</v>
      </c>
      <c r="AE70" s="44">
        <f t="shared" si="20"/>
        <v>0.13163523393596344</v>
      </c>
      <c r="AF70" s="44">
        <f t="shared" si="20"/>
        <v>0.1494116601978899</v>
      </c>
      <c r="AG70" s="44">
        <f t="shared" si="20"/>
        <v>0.22204464815205702</v>
      </c>
      <c r="AH70" s="71">
        <f>(AG70-AC70)/AC70</f>
        <v>3.0467120104815253</v>
      </c>
      <c r="AI70" t="s">
        <v>196</v>
      </c>
      <c r="AJ70" s="72">
        <f>(AG70-AF70)/AF70</f>
        <v>0.48612663735860751</v>
      </c>
      <c r="AK70" t="s">
        <v>196</v>
      </c>
    </row>
    <row r="71" spans="1:42" x14ac:dyDescent="0.25">
      <c r="A71" s="197" t="s">
        <v>47</v>
      </c>
      <c r="B71" s="197"/>
      <c r="C71" s="197"/>
      <c r="D71" s="197"/>
      <c r="E71" s="197"/>
      <c r="F71" s="197"/>
      <c r="G71" s="197"/>
      <c r="H71" s="2">
        <v>45873</v>
      </c>
      <c r="I71" s="2">
        <v>72464</v>
      </c>
      <c r="J71" s="2">
        <v>90069</v>
      </c>
      <c r="K71" s="2">
        <v>93106</v>
      </c>
      <c r="L71" s="2">
        <v>121783</v>
      </c>
      <c r="M71" s="2">
        <v>62897</v>
      </c>
      <c r="N71" s="27" t="s">
        <v>61</v>
      </c>
      <c r="X71" s="197" t="s">
        <v>118</v>
      </c>
      <c r="Y71" s="197"/>
      <c r="Z71" s="197"/>
      <c r="AA71" s="197"/>
      <c r="AB71" s="197"/>
      <c r="AC71" s="44">
        <f t="shared" si="20"/>
        <v>0.19601483096145722</v>
      </c>
      <c r="AD71" s="44">
        <f t="shared" si="20"/>
        <v>0.25563450795769949</v>
      </c>
      <c r="AE71" s="44">
        <f t="shared" si="20"/>
        <v>0.23850651832694919</v>
      </c>
      <c r="AF71" s="44">
        <f t="shared" si="20"/>
        <v>0.25750628655769969</v>
      </c>
      <c r="AG71" s="44">
        <f t="shared" si="20"/>
        <v>0.3984912904944265</v>
      </c>
      <c r="AH71" s="71">
        <f>(AG71-AC71)/AC71</f>
        <v>1.032964998310677</v>
      </c>
      <c r="AI71" t="s">
        <v>196</v>
      </c>
      <c r="AJ71" s="72">
        <f>(AG71-AF71)/AF71</f>
        <v>0.54750121180104139</v>
      </c>
      <c r="AK71" t="s">
        <v>196</v>
      </c>
    </row>
    <row r="72" spans="1:42" x14ac:dyDescent="0.25">
      <c r="A72" s="197" t="s">
        <v>53</v>
      </c>
      <c r="B72" s="197"/>
      <c r="C72" s="197"/>
      <c r="D72" s="197"/>
      <c r="E72" s="197"/>
      <c r="F72" s="197"/>
      <c r="G72" s="197"/>
      <c r="H72" s="2">
        <v>39600</v>
      </c>
      <c r="I72" s="2">
        <v>34135</v>
      </c>
      <c r="J72" s="2">
        <v>39470</v>
      </c>
      <c r="K72" s="2">
        <v>46663</v>
      </c>
      <c r="L72" s="2">
        <v>69081</v>
      </c>
      <c r="M72" s="2">
        <v>42699</v>
      </c>
      <c r="X72" s="189" t="s">
        <v>125</v>
      </c>
      <c r="Y72" s="189"/>
      <c r="Z72" s="189"/>
      <c r="AA72" s="189"/>
      <c r="AB72" s="189"/>
      <c r="AC72" s="49">
        <f>AC64+(AC64-AC67)*AC63</f>
        <v>8.2051071684955401E-2</v>
      </c>
      <c r="AD72" s="49">
        <f>AD64+(AD64-AD67)*AD63</f>
        <v>7.7764415325257685E-2</v>
      </c>
      <c r="AE72" s="49">
        <f>AE64+(AE64-AE67)*AE63</f>
        <v>8.1947525434100804E-2</v>
      </c>
      <c r="AF72" s="49">
        <f>AF64+(AF64-AF67)*AF63</f>
        <v>-0.11759562666196072</v>
      </c>
      <c r="AG72" s="49">
        <f>AG64+(AG64-AG67)*AG63</f>
        <v>-0.29687998222101974</v>
      </c>
    </row>
    <row r="73" spans="1:42" x14ac:dyDescent="0.25">
      <c r="A73" s="197" t="s">
        <v>48</v>
      </c>
      <c r="B73" s="197"/>
      <c r="C73" s="197"/>
      <c r="D73" s="197"/>
      <c r="E73" s="197"/>
      <c r="F73" s="197"/>
      <c r="G73" s="197"/>
      <c r="H73" s="2">
        <f>67255+24</f>
        <v>67279</v>
      </c>
      <c r="I73" s="2">
        <v>65020</v>
      </c>
      <c r="J73" s="2">
        <v>74194</v>
      </c>
      <c r="K73" s="2">
        <v>79980</v>
      </c>
      <c r="L73" s="2">
        <f>72617+4514</f>
        <v>77131</v>
      </c>
      <c r="M73" s="2">
        <f>59422+2003</f>
        <v>61425</v>
      </c>
      <c r="N73" s="27" t="s">
        <v>55</v>
      </c>
    </row>
    <row r="74" spans="1:42" x14ac:dyDescent="0.25">
      <c r="A74" s="209" t="s">
        <v>56</v>
      </c>
      <c r="B74" s="209"/>
      <c r="C74" s="209"/>
      <c r="D74" s="209"/>
      <c r="E74" s="209"/>
      <c r="F74" s="209"/>
      <c r="G74" s="209"/>
      <c r="H74" s="15">
        <f t="shared" ref="H74:M74" si="21">H70+H71+H72+H73</f>
        <v>170845</v>
      </c>
      <c r="I74" s="15">
        <f t="shared" si="21"/>
        <v>191761</v>
      </c>
      <c r="J74" s="15">
        <f t="shared" si="21"/>
        <v>227704</v>
      </c>
      <c r="K74" s="15">
        <f t="shared" si="21"/>
        <v>245922</v>
      </c>
      <c r="L74" s="15">
        <f t="shared" si="21"/>
        <v>292688</v>
      </c>
      <c r="M74" s="15">
        <f t="shared" si="21"/>
        <v>198978</v>
      </c>
    </row>
    <row r="75" spans="1:42" x14ac:dyDescent="0.25">
      <c r="A75" s="209" t="s">
        <v>57</v>
      </c>
      <c r="B75" s="209"/>
      <c r="C75" s="209"/>
      <c r="D75" s="209"/>
      <c r="E75" s="209"/>
      <c r="F75" s="209"/>
      <c r="G75" s="209"/>
      <c r="H75" s="15">
        <f t="shared" ref="H75:M75" si="22">H68+H74+H60</f>
        <v>392100</v>
      </c>
      <c r="I75" s="15">
        <f t="shared" si="22"/>
        <v>395560</v>
      </c>
      <c r="J75" s="15">
        <f t="shared" si="22"/>
        <v>434474</v>
      </c>
      <c r="K75" s="15">
        <f t="shared" si="22"/>
        <v>429649</v>
      </c>
      <c r="L75" s="15">
        <f t="shared" si="22"/>
        <v>452813</v>
      </c>
      <c r="M75" s="15">
        <f t="shared" si="22"/>
        <v>433707</v>
      </c>
      <c r="N75" s="39" t="s">
        <v>343</v>
      </c>
    </row>
    <row r="76" spans="1:42" x14ac:dyDescent="0.25">
      <c r="A76" s="217"/>
      <c r="B76" s="217"/>
      <c r="C76" s="217"/>
      <c r="D76" s="217"/>
      <c r="E76" s="217"/>
      <c r="F76" s="217"/>
      <c r="G76" s="217"/>
      <c r="H76" s="37"/>
      <c r="I76" s="2"/>
      <c r="J76" s="2"/>
      <c r="K76" s="2"/>
      <c r="L76" s="2"/>
      <c r="M76" s="2"/>
      <c r="N76" s="31"/>
    </row>
    <row r="77" spans="1:42" ht="16.5" thickBot="1" x14ac:dyDescent="0.3">
      <c r="A77" s="214" t="s">
        <v>58</v>
      </c>
      <c r="B77" s="214"/>
      <c r="C77" s="214"/>
      <c r="D77" s="214"/>
      <c r="E77" s="214"/>
      <c r="F77" s="214"/>
      <c r="G77" s="214"/>
      <c r="H77" s="24">
        <f t="shared" ref="H77:M77" si="23">H56+H75</f>
        <v>503676</v>
      </c>
      <c r="I77" s="24">
        <f t="shared" si="23"/>
        <v>527759</v>
      </c>
      <c r="J77" s="24">
        <f t="shared" si="23"/>
        <v>565866</v>
      </c>
      <c r="K77" s="24">
        <f t="shared" si="23"/>
        <v>559717</v>
      </c>
      <c r="L77" s="24">
        <f t="shared" si="23"/>
        <v>572074</v>
      </c>
      <c r="M77" s="24">
        <f t="shared" si="23"/>
        <v>521432</v>
      </c>
    </row>
    <row r="78" spans="1:42" ht="15.75" thickTop="1" x14ac:dyDescent="0.25">
      <c r="N78" s="38"/>
    </row>
    <row r="79" spans="1:42" x14ac:dyDescent="0.25">
      <c r="A79" s="27" t="s">
        <v>129</v>
      </c>
      <c r="B79" s="27"/>
      <c r="C79" s="27"/>
      <c r="D79" s="27"/>
      <c r="E79" s="27"/>
      <c r="F79" s="27"/>
      <c r="G79" s="27"/>
      <c r="H79" s="27"/>
      <c r="I79" s="38">
        <f>(H77+I77)/2</f>
        <v>515717.5</v>
      </c>
      <c r="J79" s="38">
        <f>(I77+J77)/2</f>
        <v>546812.5</v>
      </c>
      <c r="K79" s="38">
        <f>(J77+K77)/2</f>
        <v>562791.5</v>
      </c>
      <c r="L79" s="38">
        <f>(K77+L77)/2</f>
        <v>565895.5</v>
      </c>
      <c r="M79" s="38">
        <f>(L77+M77)/2</f>
        <v>546753</v>
      </c>
      <c r="N79" s="38"/>
    </row>
    <row r="80" spans="1:42" x14ac:dyDescent="0.25">
      <c r="A80" s="27" t="s">
        <v>130</v>
      </c>
      <c r="B80" s="27"/>
      <c r="C80" s="27"/>
      <c r="D80" s="27"/>
      <c r="E80" s="27"/>
      <c r="F80" s="27"/>
      <c r="G80" s="27"/>
      <c r="H80" s="27"/>
      <c r="I80" s="38">
        <f>(H56+I56)/2</f>
        <v>121887.5</v>
      </c>
      <c r="J80" s="38">
        <f>(I56+J56)/2</f>
        <v>131795.5</v>
      </c>
      <c r="K80" s="38">
        <f>(J56+K56)/2</f>
        <v>130730</v>
      </c>
      <c r="L80" s="38">
        <f>(K56+L56)/2</f>
        <v>124664.5</v>
      </c>
      <c r="M80" s="38">
        <f>(L56+M56)/2</f>
        <v>103493</v>
      </c>
      <c r="N80" s="38"/>
    </row>
    <row r="81" spans="1:13" x14ac:dyDescent="0.25">
      <c r="A81" s="27" t="s">
        <v>131</v>
      </c>
      <c r="B81" s="27"/>
      <c r="C81" s="27"/>
      <c r="D81" s="27"/>
      <c r="E81" s="27"/>
      <c r="F81" s="27"/>
      <c r="G81" s="27"/>
      <c r="H81" s="27"/>
      <c r="I81" s="38">
        <f>(H75+I75)/2</f>
        <v>393830</v>
      </c>
      <c r="J81" s="38">
        <f>(I75+J75)/2</f>
        <v>415017</v>
      </c>
      <c r="K81" s="38">
        <f>(J75+K75)/2</f>
        <v>432061.5</v>
      </c>
      <c r="L81" s="38">
        <f>(K75+L75)/2</f>
        <v>441231</v>
      </c>
      <c r="M81" s="38">
        <f>(L75+M75)/2</f>
        <v>443260</v>
      </c>
    </row>
    <row r="82" spans="1:13" x14ac:dyDescent="0.25">
      <c r="A82" s="27" t="s">
        <v>138</v>
      </c>
      <c r="I82" s="38">
        <v>887</v>
      </c>
      <c r="J82" s="38">
        <v>570</v>
      </c>
      <c r="K82" s="38">
        <v>14020</v>
      </c>
      <c r="L82" s="38">
        <v>14292</v>
      </c>
      <c r="M82" s="38">
        <v>17634</v>
      </c>
    </row>
    <row r="83" spans="1:13" x14ac:dyDescent="0.25">
      <c r="A83" s="27" t="s">
        <v>240</v>
      </c>
      <c r="M83">
        <v>2003</v>
      </c>
    </row>
  </sheetData>
  <mergeCells count="168">
    <mergeCell ref="A27:G27"/>
    <mergeCell ref="A28:G28"/>
    <mergeCell ref="A29:G29"/>
    <mergeCell ref="A30:G30"/>
    <mergeCell ref="A45:G45"/>
    <mergeCell ref="A36:G36"/>
    <mergeCell ref="A37:G37"/>
    <mergeCell ref="A38:G38"/>
    <mergeCell ref="A39:G39"/>
    <mergeCell ref="A40:G40"/>
    <mergeCell ref="A31:G31"/>
    <mergeCell ref="A32:G32"/>
    <mergeCell ref="A33:G33"/>
    <mergeCell ref="A34:G34"/>
    <mergeCell ref="A35:G35"/>
    <mergeCell ref="A76:G76"/>
    <mergeCell ref="A77:G77"/>
    <mergeCell ref="A69:G69"/>
    <mergeCell ref="A74:G74"/>
    <mergeCell ref="A70:G70"/>
    <mergeCell ref="A71:G71"/>
    <mergeCell ref="A72:G72"/>
    <mergeCell ref="A73:G73"/>
    <mergeCell ref="A56:G56"/>
    <mergeCell ref="A58:G58"/>
    <mergeCell ref="A60:G60"/>
    <mergeCell ref="A62:G62"/>
    <mergeCell ref="A68:G68"/>
    <mergeCell ref="A59:G59"/>
    <mergeCell ref="A64:G64"/>
    <mergeCell ref="A65:G65"/>
    <mergeCell ref="A66:G66"/>
    <mergeCell ref="A67:G67"/>
    <mergeCell ref="A63:G63"/>
    <mergeCell ref="P10:T10"/>
    <mergeCell ref="P11:T11"/>
    <mergeCell ref="P12:T12"/>
    <mergeCell ref="P13:T13"/>
    <mergeCell ref="P6:T6"/>
    <mergeCell ref="P7:T7"/>
    <mergeCell ref="P8:T8"/>
    <mergeCell ref="P9:T9"/>
    <mergeCell ref="A75:G75"/>
    <mergeCell ref="A57:G57"/>
    <mergeCell ref="A61:G61"/>
    <mergeCell ref="A51:G51"/>
    <mergeCell ref="A52:G52"/>
    <mergeCell ref="A53:G53"/>
    <mergeCell ref="A54:G54"/>
    <mergeCell ref="A55:G55"/>
    <mergeCell ref="A46:G46"/>
    <mergeCell ref="A47:G47"/>
    <mergeCell ref="A49:G49"/>
    <mergeCell ref="A42:G42"/>
    <mergeCell ref="A48:G48"/>
    <mergeCell ref="A41:G41"/>
    <mergeCell ref="A43:G43"/>
    <mergeCell ref="A44:G44"/>
    <mergeCell ref="P20:T20"/>
    <mergeCell ref="P21:T21"/>
    <mergeCell ref="P22:T22"/>
    <mergeCell ref="P23:T23"/>
    <mergeCell ref="P14:T14"/>
    <mergeCell ref="P15:T15"/>
    <mergeCell ref="P16:T16"/>
    <mergeCell ref="P17:T17"/>
    <mergeCell ref="P18:T18"/>
    <mergeCell ref="X36:AB36"/>
    <mergeCell ref="X37:AB37"/>
    <mergeCell ref="P5:T5"/>
    <mergeCell ref="A4:M4"/>
    <mergeCell ref="A26:M26"/>
    <mergeCell ref="A11:H11"/>
    <mergeCell ref="A12:H12"/>
    <mergeCell ref="A13:H13"/>
    <mergeCell ref="A14:H14"/>
    <mergeCell ref="A15:H15"/>
    <mergeCell ref="A16:H16"/>
    <mergeCell ref="A17:H17"/>
    <mergeCell ref="A18:H18"/>
    <mergeCell ref="A19:H19"/>
    <mergeCell ref="P29:T29"/>
    <mergeCell ref="P30:T30"/>
    <mergeCell ref="P31:T31"/>
    <mergeCell ref="P32:T32"/>
    <mergeCell ref="P28:T28"/>
    <mergeCell ref="P24:T24"/>
    <mergeCell ref="P25:T25"/>
    <mergeCell ref="P26:T26"/>
    <mergeCell ref="P27:T27"/>
    <mergeCell ref="P19:T19"/>
    <mergeCell ref="X45:AB45"/>
    <mergeCell ref="X46:AB46"/>
    <mergeCell ref="X47:AB47"/>
    <mergeCell ref="X48:AB48"/>
    <mergeCell ref="X49:AB49"/>
    <mergeCell ref="X50:AB50"/>
    <mergeCell ref="X40:AB40"/>
    <mergeCell ref="X41:AB41"/>
    <mergeCell ref="X42:AB42"/>
    <mergeCell ref="X43:AB43"/>
    <mergeCell ref="X44:AB44"/>
    <mergeCell ref="X56:AB56"/>
    <mergeCell ref="X57:AB57"/>
    <mergeCell ref="X58:AB58"/>
    <mergeCell ref="X59:AB59"/>
    <mergeCell ref="X60:AB60"/>
    <mergeCell ref="X61:AB61"/>
    <mergeCell ref="X51:AB51"/>
    <mergeCell ref="X52:AB52"/>
    <mergeCell ref="X53:AB53"/>
    <mergeCell ref="X54:AB54"/>
    <mergeCell ref="X55:AB55"/>
    <mergeCell ref="X67:AB67"/>
    <mergeCell ref="X68:AB68"/>
    <mergeCell ref="X69:AB69"/>
    <mergeCell ref="X70:AB70"/>
    <mergeCell ref="X71:AB71"/>
    <mergeCell ref="X62:AB62"/>
    <mergeCell ref="X63:AB63"/>
    <mergeCell ref="X64:AB64"/>
    <mergeCell ref="X65:AB65"/>
    <mergeCell ref="X66:AB66"/>
    <mergeCell ref="X30:AB30"/>
    <mergeCell ref="X21:AB21"/>
    <mergeCell ref="X22:AB22"/>
    <mergeCell ref="X23:AB23"/>
    <mergeCell ref="X24:AB24"/>
    <mergeCell ref="X25:AB25"/>
    <mergeCell ref="X6:AB6"/>
    <mergeCell ref="X7:AB7"/>
    <mergeCell ref="X8:AB8"/>
    <mergeCell ref="X9:AB9"/>
    <mergeCell ref="X10:AB10"/>
    <mergeCell ref="X11:AB11"/>
    <mergeCell ref="X12:AB12"/>
    <mergeCell ref="X13:AB13"/>
    <mergeCell ref="X14:AB14"/>
    <mergeCell ref="X15:AB15"/>
    <mergeCell ref="X16:AB16"/>
    <mergeCell ref="X17:AB17"/>
    <mergeCell ref="X18:AB18"/>
    <mergeCell ref="X19:AB19"/>
    <mergeCell ref="X20:AB20"/>
    <mergeCell ref="X38:AB38"/>
    <mergeCell ref="X39:AB39"/>
    <mergeCell ref="X4:AG4"/>
    <mergeCell ref="P4:V4"/>
    <mergeCell ref="X72:AB72"/>
    <mergeCell ref="X5:AB5"/>
    <mergeCell ref="A21:H21"/>
    <mergeCell ref="A22:H22"/>
    <mergeCell ref="A23:H23"/>
    <mergeCell ref="A5:H5"/>
    <mergeCell ref="A6:H6"/>
    <mergeCell ref="A9:H9"/>
    <mergeCell ref="A7:H7"/>
    <mergeCell ref="A10:H10"/>
    <mergeCell ref="A8:H8"/>
    <mergeCell ref="X31:AB31"/>
    <mergeCell ref="X32:AB32"/>
    <mergeCell ref="X33:AB33"/>
    <mergeCell ref="X34:AB34"/>
    <mergeCell ref="X35:AB35"/>
    <mergeCell ref="X26:AB26"/>
    <mergeCell ref="X27:AB27"/>
    <mergeCell ref="X28:AB28"/>
    <mergeCell ref="X29:AB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Normal="100"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9.7109375" customWidth="1"/>
    <col min="3" max="3" width="11.85546875" bestFit="1" customWidth="1"/>
    <col min="4" max="4" width="10.28515625" bestFit="1" customWidth="1"/>
    <col min="5" max="5" width="11.42578125" bestFit="1" customWidth="1"/>
    <col min="6" max="6" width="11.42578125" customWidth="1"/>
    <col min="7" max="7" width="28.140625" customWidth="1"/>
    <col min="8" max="8" width="17.85546875" customWidth="1"/>
    <col min="9" max="9" width="13.140625" customWidth="1"/>
    <col min="12" max="12" width="34.140625" bestFit="1" customWidth="1"/>
    <col min="13" max="13" width="9.85546875" bestFit="1" customWidth="1"/>
  </cols>
  <sheetData>
    <row r="1" spans="2:14" ht="18" x14ac:dyDescent="0.25">
      <c r="B1" s="219" t="s">
        <v>336</v>
      </c>
      <c r="C1" s="219"/>
      <c r="D1" s="219"/>
    </row>
    <row r="2" spans="2:14" x14ac:dyDescent="0.25">
      <c r="C2" s="96"/>
    </row>
    <row r="3" spans="2:14" x14ac:dyDescent="0.25">
      <c r="B3" t="s">
        <v>226</v>
      </c>
      <c r="C3" s="114">
        <v>-10000</v>
      </c>
      <c r="D3" t="s">
        <v>227</v>
      </c>
      <c r="E3" s="75"/>
      <c r="F3" s="75"/>
    </row>
    <row r="4" spans="2:14" x14ac:dyDescent="0.25">
      <c r="B4" t="s">
        <v>238</v>
      </c>
      <c r="C4" s="114">
        <f>-12000</f>
        <v>-12000</v>
      </c>
      <c r="D4" t="s">
        <v>227</v>
      </c>
      <c r="E4" s="75"/>
      <c r="F4" s="75"/>
    </row>
    <row r="5" spans="2:14" x14ac:dyDescent="0.25">
      <c r="B5" t="s">
        <v>237</v>
      </c>
      <c r="C5" s="74">
        <v>60000</v>
      </c>
      <c r="D5" t="s">
        <v>227</v>
      </c>
      <c r="E5" s="75"/>
      <c r="F5" s="75"/>
    </row>
    <row r="6" spans="2:14" x14ac:dyDescent="0.25">
      <c r="B6" t="s">
        <v>233</v>
      </c>
      <c r="C6" s="98">
        <v>0.02</v>
      </c>
      <c r="E6" s="75"/>
      <c r="F6" s="75"/>
    </row>
    <row r="7" spans="2:14" x14ac:dyDescent="0.25">
      <c r="B7" t="s">
        <v>232</v>
      </c>
      <c r="C7" s="99">
        <v>2</v>
      </c>
      <c r="D7" t="s">
        <v>234</v>
      </c>
      <c r="E7" s="75"/>
      <c r="F7" s="75"/>
    </row>
    <row r="8" spans="2:14" x14ac:dyDescent="0.25">
      <c r="B8" t="s">
        <v>235</v>
      </c>
      <c r="C8" s="100">
        <v>40000</v>
      </c>
      <c r="D8" t="s">
        <v>227</v>
      </c>
      <c r="E8" s="75"/>
      <c r="F8" s="75"/>
    </row>
    <row r="9" spans="2:14" x14ac:dyDescent="0.25">
      <c r="B9" t="s">
        <v>236</v>
      </c>
      <c r="C9" s="98">
        <v>0.05</v>
      </c>
      <c r="E9" s="75"/>
      <c r="F9" s="75"/>
    </row>
    <row r="10" spans="2:14" x14ac:dyDescent="0.25">
      <c r="B10" t="s">
        <v>334</v>
      </c>
      <c r="C10" s="48">
        <f>'Finansielle omkostninger'!H13</f>
        <v>0.06</v>
      </c>
      <c r="E10" s="75"/>
      <c r="F10" s="75"/>
    </row>
    <row r="11" spans="2:14" x14ac:dyDescent="0.25">
      <c r="B11" t="s">
        <v>228</v>
      </c>
      <c r="C11" s="104">
        <f>'Regnskab og nøgletal'!AG34</f>
        <v>49.006918452988543</v>
      </c>
      <c r="D11" t="s">
        <v>229</v>
      </c>
    </row>
    <row r="12" spans="2:14" x14ac:dyDescent="0.25">
      <c r="B12" t="s">
        <v>230</v>
      </c>
      <c r="C12" s="57">
        <f>'Regnskab og nøgletal'!AG38+0.5</f>
        <v>9.6226750975533335</v>
      </c>
      <c r="D12" t="s">
        <v>229</v>
      </c>
    </row>
    <row r="13" spans="2:14" x14ac:dyDescent="0.25">
      <c r="B13" t="s">
        <v>231</v>
      </c>
      <c r="C13" s="97">
        <f>'Regnskab og nøgletal'!AG36+1</f>
        <v>8.5823555586781879</v>
      </c>
      <c r="D13" t="s">
        <v>229</v>
      </c>
    </row>
    <row r="15" spans="2:14" ht="15.75" x14ac:dyDescent="0.25">
      <c r="B15" s="93" t="s">
        <v>221</v>
      </c>
      <c r="C15" s="18"/>
      <c r="D15" s="18"/>
      <c r="G15" s="73" t="s">
        <v>222</v>
      </c>
      <c r="H15" s="75"/>
      <c r="I15" s="75"/>
      <c r="J15" s="75"/>
      <c r="L15" s="93" t="s">
        <v>86</v>
      </c>
    </row>
    <row r="16" spans="2:14" ht="15" customHeight="1" x14ac:dyDescent="0.25">
      <c r="B16" s="85"/>
      <c r="C16" s="94">
        <v>2014</v>
      </c>
      <c r="D16" s="94">
        <v>2015</v>
      </c>
      <c r="E16" t="s">
        <v>242</v>
      </c>
      <c r="G16" s="75"/>
      <c r="H16" s="76" t="s">
        <v>200</v>
      </c>
      <c r="I16" s="76" t="s">
        <v>201</v>
      </c>
      <c r="J16" s="75"/>
      <c r="L16" s="105" t="s">
        <v>95</v>
      </c>
      <c r="M16" s="108">
        <v>2014</v>
      </c>
      <c r="N16" s="108">
        <v>2015</v>
      </c>
    </row>
    <row r="17" spans="1:17" ht="15" customHeight="1" x14ac:dyDescent="0.25">
      <c r="B17" s="85" t="s">
        <v>202</v>
      </c>
      <c r="C17" s="78">
        <v>864188</v>
      </c>
      <c r="D17" s="95">
        <f>C17*(1+C6)</f>
        <v>881471.76</v>
      </c>
      <c r="E17" s="44">
        <f>(D17-C17)/C17</f>
        <v>2.0000000000000011E-2</v>
      </c>
      <c r="G17" s="75" t="s">
        <v>203</v>
      </c>
      <c r="H17" s="75"/>
      <c r="I17" s="75"/>
      <c r="J17" s="77">
        <f>D23</f>
        <v>-14614.859455999918</v>
      </c>
      <c r="L17" s="106" t="s">
        <v>96</v>
      </c>
      <c r="M17" s="44">
        <f>C19/C17</f>
        <v>0.62937694112855069</v>
      </c>
      <c r="N17" s="44">
        <f>D19/D17</f>
        <v>0.60940000000000005</v>
      </c>
      <c r="O17" s="44"/>
      <c r="P17" s="44"/>
      <c r="Q17" s="44"/>
    </row>
    <row r="18" spans="1:17" ht="15" customHeight="1" x14ac:dyDescent="0.25">
      <c r="B18" s="85" t="s">
        <v>204</v>
      </c>
      <c r="C18" s="78">
        <v>320288</v>
      </c>
      <c r="D18" s="109">
        <v>344302.86945599999</v>
      </c>
      <c r="E18" s="44">
        <f>(D18-C18)/C18</f>
        <v>7.4978985962633582E-2</v>
      </c>
      <c r="F18" s="44"/>
      <c r="G18" s="75" t="s">
        <v>205</v>
      </c>
      <c r="H18" s="80">
        <f>'Regnskab og nøgletal'!M44</f>
        <v>35109</v>
      </c>
      <c r="I18" s="80">
        <f>D18/C12</f>
        <v>35780.36938434538</v>
      </c>
      <c r="J18" s="81">
        <f>H18-I18</f>
        <v>-671.36938434538024</v>
      </c>
      <c r="K18" s="115"/>
      <c r="L18" s="106"/>
      <c r="M18" s="6"/>
      <c r="N18" s="6"/>
      <c r="O18" s="44"/>
      <c r="P18" s="44"/>
      <c r="Q18" s="44"/>
    </row>
    <row r="19" spans="1:17" ht="15" customHeight="1" x14ac:dyDescent="0.25">
      <c r="B19" s="101" t="s">
        <v>206</v>
      </c>
      <c r="C19" s="102">
        <f>C17-C18</f>
        <v>543900</v>
      </c>
      <c r="D19" s="103">
        <f>D17-D18</f>
        <v>537168.89054400008</v>
      </c>
      <c r="G19" s="75" t="s">
        <v>207</v>
      </c>
      <c r="H19" s="80">
        <f>'Regnskab og nøgletal'!M82</f>
        <v>17634</v>
      </c>
      <c r="I19" s="80">
        <f>D17/'Regnskab og nøgletal'!AG34</f>
        <v>17986.68</v>
      </c>
      <c r="J19" s="81">
        <f>H19-I19</f>
        <v>-352.68000000000029</v>
      </c>
      <c r="L19" s="107"/>
      <c r="M19" s="55"/>
      <c r="N19" s="55"/>
      <c r="O19" s="6"/>
      <c r="P19" s="6"/>
      <c r="Q19" s="6"/>
    </row>
    <row r="20" spans="1:17" ht="15" customHeight="1" x14ac:dyDescent="0.25">
      <c r="B20" s="85" t="s">
        <v>2</v>
      </c>
      <c r="C20" s="78">
        <v>1618</v>
      </c>
      <c r="D20" s="91">
        <f t="shared" ref="D20:D26" si="0">C20</f>
        <v>1618</v>
      </c>
      <c r="G20" s="75" t="s">
        <v>208</v>
      </c>
      <c r="H20" s="80">
        <f>'Regnskab og nøgletal'!M72</f>
        <v>42699</v>
      </c>
      <c r="I20" s="80">
        <f>(D18+I18-H18)/C13</f>
        <v>40195.752376108336</v>
      </c>
      <c r="J20" s="81">
        <f>I20-H20</f>
        <v>-2503.2476238916643</v>
      </c>
      <c r="L20" s="106"/>
      <c r="M20" s="45"/>
      <c r="N20" s="45"/>
      <c r="O20" s="55"/>
      <c r="P20" s="55"/>
      <c r="Q20" s="55"/>
    </row>
    <row r="21" spans="1:17" x14ac:dyDescent="0.25">
      <c r="B21" s="89" t="s">
        <v>224</v>
      </c>
      <c r="C21" s="78">
        <v>222284</v>
      </c>
      <c r="D21" s="91">
        <f>C21+C8</f>
        <v>262284</v>
      </c>
      <c r="E21" s="44">
        <f>(D21-C21)/C21</f>
        <v>0.17994997390725379</v>
      </c>
      <c r="F21" s="44"/>
      <c r="G21" s="112" t="s">
        <v>209</v>
      </c>
      <c r="H21" s="75"/>
      <c r="I21" s="75"/>
      <c r="J21" s="113">
        <f>-D27+D26</f>
        <v>-19168</v>
      </c>
      <c r="L21" s="85"/>
      <c r="O21" s="45"/>
      <c r="P21" s="45"/>
      <c r="Q21" s="45"/>
    </row>
    <row r="22" spans="1:17" x14ac:dyDescent="0.25">
      <c r="A22" s="27"/>
      <c r="B22" s="89" t="s">
        <v>223</v>
      </c>
      <c r="C22" s="78">
        <v>277255</v>
      </c>
      <c r="D22" s="91">
        <f>C22*(1+C9)</f>
        <v>291117.75</v>
      </c>
      <c r="E22" s="44">
        <f>(D22-C22)/C22</f>
        <v>0.05</v>
      </c>
      <c r="F22" s="44"/>
      <c r="G22" s="75" t="s">
        <v>210</v>
      </c>
      <c r="H22" s="75"/>
      <c r="I22" s="75"/>
      <c r="J22" s="77">
        <f>SUM(J17:J21)</f>
        <v>-37310.156464236963</v>
      </c>
      <c r="L22" s="85"/>
    </row>
    <row r="23" spans="1:17" x14ac:dyDescent="0.25">
      <c r="A23" s="27" t="s">
        <v>203</v>
      </c>
      <c r="B23" s="101" t="s">
        <v>5</v>
      </c>
      <c r="C23" s="103">
        <f>C19+C20-C21-C22</f>
        <v>45979</v>
      </c>
      <c r="D23" s="103">
        <f>D19+D20-D21-D22</f>
        <v>-14614.859455999918</v>
      </c>
      <c r="G23" s="75" t="s">
        <v>211</v>
      </c>
      <c r="H23" s="75"/>
      <c r="I23" s="75"/>
      <c r="J23" s="77">
        <f>C3*70%</f>
        <v>-7000</v>
      </c>
      <c r="L23" s="85"/>
    </row>
    <row r="24" spans="1:17" x14ac:dyDescent="0.25">
      <c r="A24" s="27"/>
      <c r="B24" s="89" t="s">
        <v>225</v>
      </c>
      <c r="C24" s="78">
        <v>61136</v>
      </c>
      <c r="D24" s="91">
        <f t="shared" si="0"/>
        <v>61136</v>
      </c>
      <c r="G24" s="75" t="s">
        <v>212</v>
      </c>
      <c r="H24" s="75"/>
      <c r="I24" s="75"/>
      <c r="J24" s="77"/>
      <c r="L24" s="85"/>
    </row>
    <row r="25" spans="1:17" x14ac:dyDescent="0.25">
      <c r="A25" s="27" t="s">
        <v>335</v>
      </c>
      <c r="B25" s="88" t="s">
        <v>6</v>
      </c>
      <c r="C25" s="92">
        <f>C23-C24</f>
        <v>-15157</v>
      </c>
      <c r="D25" s="92">
        <f>D23-D24</f>
        <v>-75750.859455999918</v>
      </c>
      <c r="G25" s="75" t="s">
        <v>213</v>
      </c>
      <c r="H25" s="75"/>
      <c r="I25" s="75"/>
      <c r="J25" s="77">
        <f>C5</f>
        <v>60000</v>
      </c>
      <c r="L25" s="85"/>
    </row>
    <row r="26" spans="1:17" x14ac:dyDescent="0.25">
      <c r="B26" s="75" t="s">
        <v>7</v>
      </c>
      <c r="C26" s="78">
        <v>4281</v>
      </c>
      <c r="D26" s="91">
        <f t="shared" si="0"/>
        <v>4281</v>
      </c>
      <c r="G26" s="75" t="s">
        <v>241</v>
      </c>
      <c r="H26" s="75"/>
      <c r="I26" s="75"/>
      <c r="J26" s="77">
        <f>C4</f>
        <v>-12000</v>
      </c>
      <c r="L26" s="85"/>
    </row>
    <row r="27" spans="1:17" x14ac:dyDescent="0.25">
      <c r="B27" s="87" t="s">
        <v>239</v>
      </c>
      <c r="C27" s="79">
        <v>19849</v>
      </c>
      <c r="D27" s="179">
        <f>C27+(C5*C10)</f>
        <v>23449</v>
      </c>
      <c r="G27" s="75" t="s">
        <v>214</v>
      </c>
      <c r="H27" s="75"/>
      <c r="I27" s="75"/>
      <c r="J27" s="77"/>
      <c r="L27" s="86"/>
    </row>
    <row r="28" spans="1:17" x14ac:dyDescent="0.25">
      <c r="B28" s="88" t="s">
        <v>8</v>
      </c>
      <c r="C28" s="92">
        <f>C25+C26-C27</f>
        <v>-30725</v>
      </c>
      <c r="D28" s="92">
        <f>D25+D26-D27</f>
        <v>-94918.859455999918</v>
      </c>
      <c r="G28" s="75" t="s">
        <v>215</v>
      </c>
      <c r="H28" s="75"/>
      <c r="I28" s="75"/>
      <c r="J28" s="77">
        <f>-D29</f>
        <v>0</v>
      </c>
      <c r="L28" s="85"/>
    </row>
    <row r="29" spans="1:17" x14ac:dyDescent="0.25">
      <c r="B29" s="75" t="s">
        <v>9</v>
      </c>
      <c r="C29" s="79">
        <v>826</v>
      </c>
      <c r="D29" s="95">
        <v>0</v>
      </c>
      <c r="G29" s="75" t="s">
        <v>216</v>
      </c>
      <c r="H29" s="75"/>
      <c r="I29" s="75"/>
      <c r="J29" s="82">
        <v>0</v>
      </c>
      <c r="L29" s="85"/>
    </row>
    <row r="30" spans="1:17" ht="15.75" thickBot="1" x14ac:dyDescent="0.3">
      <c r="B30" s="90" t="s">
        <v>10</v>
      </c>
      <c r="C30" s="83">
        <f>C28+C29</f>
        <v>-29899</v>
      </c>
      <c r="D30" s="83">
        <f>D28+D29</f>
        <v>-94918.859455999918</v>
      </c>
      <c r="E30" s="72">
        <f>-(D30-C30)/C30</f>
        <v>-2.1746499700993316</v>
      </c>
      <c r="G30" s="75" t="s">
        <v>217</v>
      </c>
      <c r="H30" s="75"/>
      <c r="I30" s="75"/>
      <c r="J30" s="77">
        <f>SUM(J22:J29)</f>
        <v>3689.8435357630369</v>
      </c>
      <c r="L30" s="85"/>
    </row>
    <row r="31" spans="1:17" ht="15.75" thickTop="1" x14ac:dyDescent="0.25">
      <c r="G31" s="75" t="s">
        <v>218</v>
      </c>
      <c r="H31" s="75"/>
      <c r="I31" s="75"/>
      <c r="J31" s="77">
        <f>'Regnskab og nøgletal'!V27</f>
        <v>-56702</v>
      </c>
      <c r="L31" s="85"/>
    </row>
    <row r="32" spans="1:17" x14ac:dyDescent="0.25">
      <c r="B32" s="111"/>
      <c r="G32" s="75" t="s">
        <v>219</v>
      </c>
      <c r="H32" s="75"/>
      <c r="I32" s="75"/>
      <c r="J32" s="82">
        <v>0</v>
      </c>
      <c r="L32" s="85"/>
    </row>
    <row r="33" spans="1:12" ht="15.75" thickBot="1" x14ac:dyDescent="0.3">
      <c r="A33" s="48"/>
      <c r="B33" s="110"/>
      <c r="C33" s="18"/>
      <c r="G33" s="75" t="s">
        <v>220</v>
      </c>
      <c r="H33" s="75"/>
      <c r="I33" s="75"/>
      <c r="J33" s="84">
        <f>SUM(J30:J32)</f>
        <v>-53012.156464236963</v>
      </c>
      <c r="L33" s="85"/>
    </row>
    <row r="34" spans="1:12" ht="15.75" thickTop="1" x14ac:dyDescent="0.25">
      <c r="B34" s="110"/>
      <c r="C34" s="18"/>
      <c r="L34" s="85"/>
    </row>
    <row r="35" spans="1:12" x14ac:dyDescent="0.25">
      <c r="A35" s="96"/>
      <c r="B35" s="110"/>
      <c r="C35" s="18"/>
      <c r="L35" s="85"/>
    </row>
    <row r="36" spans="1:12" x14ac:dyDescent="0.25">
      <c r="A36" s="48"/>
      <c r="B36" s="110"/>
      <c r="C36" s="18"/>
      <c r="L36" s="85"/>
    </row>
    <row r="37" spans="1:12" x14ac:dyDescent="0.25">
      <c r="B37" s="110"/>
      <c r="C37" s="18"/>
      <c r="L37" s="85"/>
    </row>
    <row r="38" spans="1:12" x14ac:dyDescent="0.25">
      <c r="L38" s="85"/>
    </row>
    <row r="39" spans="1:12" x14ac:dyDescent="0.25">
      <c r="L39" s="85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L6" sqref="L6"/>
    </sheetView>
  </sheetViews>
  <sheetFormatPr defaultRowHeight="15" x14ac:dyDescent="0.25"/>
  <cols>
    <col min="1" max="1" width="10.42578125" customWidth="1"/>
    <col min="6" max="6" width="14.28515625" customWidth="1"/>
    <col min="10" max="10" width="16.85546875" customWidth="1"/>
    <col min="11" max="11" width="8.85546875" customWidth="1"/>
    <col min="12" max="12" width="12.140625" bestFit="1" customWidth="1"/>
  </cols>
  <sheetData>
    <row r="2" spans="1:13" ht="18.75" x14ac:dyDescent="0.3">
      <c r="A2" s="221" t="s">
        <v>243</v>
      </c>
      <c r="B2" s="221"/>
      <c r="C2" s="221"/>
      <c r="D2" s="178"/>
      <c r="F2" s="221" t="s">
        <v>256</v>
      </c>
      <c r="G2" s="220"/>
      <c r="H2" s="220"/>
    </row>
    <row r="3" spans="1:13" x14ac:dyDescent="0.25">
      <c r="A3" s="197" t="s">
        <v>244</v>
      </c>
      <c r="B3" s="197"/>
      <c r="C3" s="121">
        <v>334861</v>
      </c>
      <c r="F3" s="197" t="s">
        <v>244</v>
      </c>
      <c r="G3" s="197"/>
      <c r="H3" s="121">
        <v>334861</v>
      </c>
      <c r="M3" s="116"/>
    </row>
    <row r="4" spans="1:13" x14ac:dyDescent="0.25">
      <c r="A4" s="197" t="s">
        <v>247</v>
      </c>
      <c r="B4" s="197"/>
      <c r="C4" s="121">
        <v>2695</v>
      </c>
      <c r="F4" s="197" t="s">
        <v>247</v>
      </c>
      <c r="G4" s="197"/>
      <c r="H4" s="121">
        <v>2695</v>
      </c>
      <c r="M4" s="116"/>
    </row>
    <row r="5" spans="1:13" x14ac:dyDescent="0.25">
      <c r="A5" s="197" t="s">
        <v>245</v>
      </c>
      <c r="B5" s="197"/>
      <c r="C5" s="121">
        <v>-19652</v>
      </c>
      <c r="F5" s="197" t="s">
        <v>245</v>
      </c>
      <c r="G5" s="197"/>
      <c r="H5" s="121">
        <v>-19652</v>
      </c>
      <c r="M5" s="116"/>
    </row>
    <row r="6" spans="1:13" x14ac:dyDescent="0.25">
      <c r="A6" s="197" t="s">
        <v>246</v>
      </c>
      <c r="B6" s="197"/>
      <c r="C6" s="121">
        <v>0</v>
      </c>
      <c r="F6" s="197" t="s">
        <v>246</v>
      </c>
      <c r="G6" s="197"/>
      <c r="H6" s="121">
        <v>0</v>
      </c>
      <c r="M6" s="116"/>
    </row>
    <row r="7" spans="1:13" x14ac:dyDescent="0.25">
      <c r="A7" s="197" t="s">
        <v>252</v>
      </c>
      <c r="B7" s="197"/>
      <c r="C7" s="121">
        <v>1549178</v>
      </c>
      <c r="F7" s="197" t="s">
        <v>252</v>
      </c>
      <c r="G7" s="197"/>
      <c r="H7" s="121">
        <v>1549178</v>
      </c>
      <c r="M7" s="116"/>
    </row>
    <row r="8" spans="1:13" x14ac:dyDescent="0.25">
      <c r="A8" s="220"/>
      <c r="B8" s="220"/>
      <c r="F8" s="197" t="s">
        <v>327</v>
      </c>
      <c r="G8" s="197"/>
      <c r="H8" s="121">
        <v>1989696</v>
      </c>
    </row>
    <row r="9" spans="1:13" x14ac:dyDescent="0.25">
      <c r="A9" s="197" t="s">
        <v>248</v>
      </c>
      <c r="B9" s="197"/>
      <c r="C9" s="45">
        <f>1/(C3/C4)</f>
        <v>8.0481154867243429E-3</v>
      </c>
      <c r="F9" s="197" t="s">
        <v>328</v>
      </c>
      <c r="G9" s="197"/>
      <c r="H9" s="121">
        <v>287700</v>
      </c>
    </row>
    <row r="10" spans="1:13" x14ac:dyDescent="0.25">
      <c r="A10" s="197" t="s">
        <v>249</v>
      </c>
      <c r="B10" s="197"/>
      <c r="C10" s="45">
        <f>C5/C4</f>
        <v>-7.2920222634508347</v>
      </c>
      <c r="F10" s="131" t="s">
        <v>333</v>
      </c>
      <c r="G10" s="131"/>
      <c r="H10" s="121">
        <v>60000</v>
      </c>
    </row>
    <row r="11" spans="1:13" x14ac:dyDescent="0.25">
      <c r="A11" s="197" t="s">
        <v>250</v>
      </c>
      <c r="B11" s="197"/>
      <c r="C11" s="45">
        <f>(C5-C6)/C5</f>
        <v>1</v>
      </c>
      <c r="F11" s="220"/>
      <c r="G11" s="220"/>
      <c r="H11" s="106"/>
    </row>
    <row r="12" spans="1:13" x14ac:dyDescent="0.25">
      <c r="A12" s="194" t="s">
        <v>251</v>
      </c>
      <c r="B12" s="194"/>
      <c r="C12" s="122">
        <f>C9*C10*C11</f>
        <v>-5.8687037308017359E-2</v>
      </c>
      <c r="F12" s="194" t="s">
        <v>329</v>
      </c>
      <c r="G12" s="194"/>
      <c r="H12" s="44">
        <f>H9/H8</f>
        <v>0.14459495319888063</v>
      </c>
    </row>
    <row r="13" spans="1:13" x14ac:dyDescent="0.25">
      <c r="A13" s="200" t="s">
        <v>253</v>
      </c>
      <c r="B13" s="200"/>
      <c r="C13" s="117">
        <f>C12</f>
        <v>-5.8687037308017359E-2</v>
      </c>
      <c r="F13" s="197" t="s">
        <v>332</v>
      </c>
      <c r="G13" s="197"/>
      <c r="H13" s="44">
        <v>0.11700000000000001</v>
      </c>
    </row>
    <row r="14" spans="1:13" x14ac:dyDescent="0.25">
      <c r="A14" s="200" t="s">
        <v>254</v>
      </c>
      <c r="B14" s="200"/>
      <c r="C14" s="120">
        <f>C7*C13</f>
        <v>-90916.667082759712</v>
      </c>
      <c r="F14" s="194" t="s">
        <v>257</v>
      </c>
      <c r="G14" s="194"/>
      <c r="H14" s="177">
        <f>H12-H13</f>
        <v>2.7594953198880626E-2</v>
      </c>
    </row>
    <row r="15" spans="1:13" x14ac:dyDescent="0.25">
      <c r="F15" s="194" t="s">
        <v>330</v>
      </c>
      <c r="G15" s="194"/>
      <c r="H15" s="44">
        <f>H9/(H8+H10)</f>
        <v>0.14036227811343732</v>
      </c>
    </row>
    <row r="16" spans="1:13" x14ac:dyDescent="0.25">
      <c r="F16" s="194" t="s">
        <v>331</v>
      </c>
      <c r="G16" s="194"/>
      <c r="H16" s="44">
        <f>H12-H15</f>
        <v>4.2326750854433104E-3</v>
      </c>
    </row>
    <row r="21" spans="1:12" x14ac:dyDescent="0.25">
      <c r="J21" s="11"/>
      <c r="L21" s="117"/>
    </row>
    <row r="22" spans="1:12" x14ac:dyDescent="0.25">
      <c r="A22" s="118" t="s">
        <v>181</v>
      </c>
      <c r="B22" s="119" t="s">
        <v>255</v>
      </c>
      <c r="J22" s="11"/>
      <c r="L22" s="120"/>
    </row>
    <row r="23" spans="1:12" x14ac:dyDescent="0.25">
      <c r="L23" s="116"/>
    </row>
  </sheetData>
  <mergeCells count="27">
    <mergeCell ref="F7:G7"/>
    <mergeCell ref="A7:B7"/>
    <mergeCell ref="F2:H2"/>
    <mergeCell ref="F3:G3"/>
    <mergeCell ref="F4:G4"/>
    <mergeCell ref="F5:G5"/>
    <mergeCell ref="F6:G6"/>
    <mergeCell ref="A3:B3"/>
    <mergeCell ref="A4:B4"/>
    <mergeCell ref="A5:B5"/>
    <mergeCell ref="A6:B6"/>
    <mergeCell ref="A2:C2"/>
    <mergeCell ref="F14:G14"/>
    <mergeCell ref="F15:G15"/>
    <mergeCell ref="F16:G16"/>
    <mergeCell ref="F11:G11"/>
    <mergeCell ref="A8:B8"/>
    <mergeCell ref="A9:B9"/>
    <mergeCell ref="A10:B10"/>
    <mergeCell ref="A11:B11"/>
    <mergeCell ref="A12:B12"/>
    <mergeCell ref="A13:B13"/>
    <mergeCell ref="A14:B14"/>
    <mergeCell ref="F9:G9"/>
    <mergeCell ref="F8:G8"/>
    <mergeCell ref="F12:G12"/>
    <mergeCell ref="F13:G13"/>
  </mergeCells>
  <hyperlinks>
    <hyperlink ref="B2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D9" sqref="D9"/>
    </sheetView>
  </sheetViews>
  <sheetFormatPr defaultRowHeight="15" x14ac:dyDescent="0.25"/>
  <cols>
    <col min="1" max="1" width="26.85546875" style="124" customWidth="1"/>
    <col min="2" max="7" width="8.7109375" style="124" customWidth="1"/>
    <col min="8" max="16384" width="9.140625" style="124"/>
  </cols>
  <sheetData>
    <row r="1" spans="1:10" ht="17.25" x14ac:dyDescent="0.3">
      <c r="A1" s="123" t="s">
        <v>258</v>
      </c>
    </row>
    <row r="2" spans="1:10" x14ac:dyDescent="0.25">
      <c r="A2" s="125" t="s">
        <v>259</v>
      </c>
    </row>
    <row r="3" spans="1:10" x14ac:dyDescent="0.25">
      <c r="B3" s="126">
        <v>2009</v>
      </c>
      <c r="C3" s="126">
        <v>2010</v>
      </c>
      <c r="D3" s="126">
        <v>2011</v>
      </c>
      <c r="E3" s="126">
        <v>2012</v>
      </c>
      <c r="F3" s="126">
        <v>2013</v>
      </c>
      <c r="G3" s="126">
        <v>2014</v>
      </c>
    </row>
    <row r="4" spans="1:10" x14ac:dyDescent="0.25">
      <c r="A4" s="126" t="s">
        <v>260</v>
      </c>
      <c r="B4" s="127">
        <v>-9.1</v>
      </c>
      <c r="C4" s="127">
        <v>1.1000000000000001</v>
      </c>
      <c r="D4" s="127">
        <v>3.3</v>
      </c>
      <c r="E4" s="127">
        <v>-7</v>
      </c>
      <c r="F4" s="127">
        <v>-2.7</v>
      </c>
      <c r="G4" s="127">
        <v>6.3</v>
      </c>
    </row>
    <row r="6" spans="1:10" x14ac:dyDescent="0.25">
      <c r="A6" s="124" t="s">
        <v>261</v>
      </c>
    </row>
    <row r="11" spans="1:10" ht="15.75" thickBot="1" x14ac:dyDescent="0.3">
      <c r="D11" s="222" t="s">
        <v>258</v>
      </c>
      <c r="E11" s="222"/>
      <c r="F11" s="222"/>
      <c r="G11" s="222"/>
      <c r="H11" s="222"/>
      <c r="I11" s="222"/>
      <c r="J11" s="222"/>
    </row>
    <row r="12" spans="1:10" x14ac:dyDescent="0.25">
      <c r="D12" s="128" t="s">
        <v>262</v>
      </c>
    </row>
  </sheetData>
  <mergeCells count="1">
    <mergeCell ref="D11:J11"/>
  </mergeCells>
  <hyperlinks>
    <hyperlink ref="D12" r:id="rId1"/>
  </hyperlinks>
  <pageMargins left="0.75" right="0.75" top="0.75" bottom="0.5" header="0.5" footer="0.75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workbookViewId="0">
      <selection activeCell="L14" sqref="L14"/>
    </sheetView>
  </sheetViews>
  <sheetFormatPr defaultRowHeight="15" x14ac:dyDescent="0.25"/>
  <cols>
    <col min="10" max="10" width="11.140625" customWidth="1"/>
    <col min="11" max="15" width="10" bestFit="1" customWidth="1"/>
  </cols>
  <sheetData>
    <row r="3" spans="2:12" x14ac:dyDescent="0.25">
      <c r="E3" t="s">
        <v>181</v>
      </c>
      <c r="F3" t="s">
        <v>337</v>
      </c>
    </row>
    <row r="4" spans="2:12" x14ac:dyDescent="0.25">
      <c r="E4" s="119" t="s">
        <v>262</v>
      </c>
    </row>
    <row r="6" spans="2:12" ht="18" thickBot="1" x14ac:dyDescent="0.35">
      <c r="B6" s="123" t="s">
        <v>338</v>
      </c>
    </row>
    <row r="7" spans="2:12" ht="16.5" thickTop="1" thickBot="1" x14ac:dyDescent="0.3">
      <c r="F7" s="180" t="s">
        <v>339</v>
      </c>
      <c r="G7" s="181" t="s">
        <v>149</v>
      </c>
      <c r="H7" s="181" t="s">
        <v>150</v>
      </c>
      <c r="I7" s="181" t="s">
        <v>151</v>
      </c>
      <c r="J7" s="181" t="s">
        <v>152</v>
      </c>
      <c r="K7" s="181" t="s">
        <v>153</v>
      </c>
      <c r="L7" s="181" t="s">
        <v>154</v>
      </c>
    </row>
    <row r="8" spans="2:12" ht="16.5" thickTop="1" thickBot="1" x14ac:dyDescent="0.3">
      <c r="F8" s="182" t="s">
        <v>340</v>
      </c>
      <c r="G8" s="183">
        <v>310.39999999999998</v>
      </c>
      <c r="H8" s="183">
        <v>324.2</v>
      </c>
      <c r="I8" s="183">
        <v>329.1</v>
      </c>
      <c r="J8" s="183">
        <v>333.9</v>
      </c>
      <c r="K8" s="183">
        <v>336.1</v>
      </c>
      <c r="L8" s="183">
        <v>340.5</v>
      </c>
    </row>
    <row r="9" spans="2:12" ht="46.5" thickTop="1" thickBot="1" x14ac:dyDescent="0.3">
      <c r="F9" s="184" t="s">
        <v>341</v>
      </c>
      <c r="G9" s="185">
        <f>(G8*100)/G8</f>
        <v>100</v>
      </c>
      <c r="H9" s="185">
        <f>(H8*100)/G8</f>
        <v>104.4458762886598</v>
      </c>
      <c r="I9" s="185">
        <f t="shared" ref="I9:L9" si="0">(I8*100)/H8</f>
        <v>101.51141270820482</v>
      </c>
      <c r="J9" s="185">
        <f t="shared" si="0"/>
        <v>101.45852324521421</v>
      </c>
      <c r="K9" s="185">
        <f t="shared" si="0"/>
        <v>100.65887990416293</v>
      </c>
      <c r="L9" s="185">
        <f t="shared" si="0"/>
        <v>101.30913418625408</v>
      </c>
    </row>
    <row r="10" spans="2:12" ht="46.5" thickTop="1" thickBot="1" x14ac:dyDescent="0.3">
      <c r="F10" s="184" t="s">
        <v>342</v>
      </c>
      <c r="G10" s="184"/>
      <c r="H10" s="186">
        <f>(H8-G8)/G8</f>
        <v>4.4458762886597981E-2</v>
      </c>
      <c r="I10" s="186">
        <f>(I8-H8)/H8</f>
        <v>1.5114127082048224E-2</v>
      </c>
      <c r="J10" s="186">
        <f t="shared" ref="J10:L10" si="1">(J8-I8)/I8</f>
        <v>1.4585232452142067E-2</v>
      </c>
      <c r="K10" s="186">
        <f t="shared" si="1"/>
        <v>6.5887990416293668E-3</v>
      </c>
      <c r="L10" s="186">
        <f t="shared" si="1"/>
        <v>1.3091341862540842E-2</v>
      </c>
    </row>
    <row r="11" spans="2:12" ht="15.75" thickTop="1" x14ac:dyDescent="0.25"/>
  </sheetData>
  <hyperlinks>
    <hyperlink ref="E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25" sqref="B25"/>
    </sheetView>
  </sheetViews>
  <sheetFormatPr defaultRowHeight="12.75" x14ac:dyDescent="0.25"/>
  <cols>
    <col min="1" max="1" width="85.140625" style="64" customWidth="1"/>
    <col min="2" max="2" width="22.7109375" style="64" customWidth="1"/>
    <col min="3" max="3" width="21.140625" style="64" customWidth="1"/>
    <col min="4" max="4" width="29.5703125" style="64" customWidth="1"/>
    <col min="5" max="10" width="9.7109375" style="64" customWidth="1"/>
    <col min="11" max="256" width="9.140625" style="64"/>
    <col min="257" max="257" width="85.140625" style="64" customWidth="1"/>
    <col min="258" max="258" width="22.7109375" style="64" customWidth="1"/>
    <col min="259" max="259" width="21.140625" style="64" customWidth="1"/>
    <col min="260" max="260" width="29.5703125" style="64" customWidth="1"/>
    <col min="261" max="266" width="9.7109375" style="64" customWidth="1"/>
    <col min="267" max="512" width="9.140625" style="64"/>
    <col min="513" max="513" width="85.140625" style="64" customWidth="1"/>
    <col min="514" max="514" width="22.7109375" style="64" customWidth="1"/>
    <col min="515" max="515" width="21.140625" style="64" customWidth="1"/>
    <col min="516" max="516" width="29.5703125" style="64" customWidth="1"/>
    <col min="517" max="522" width="9.7109375" style="64" customWidth="1"/>
    <col min="523" max="768" width="9.140625" style="64"/>
    <col min="769" max="769" width="85.140625" style="64" customWidth="1"/>
    <col min="770" max="770" width="22.7109375" style="64" customWidth="1"/>
    <col min="771" max="771" width="21.140625" style="64" customWidth="1"/>
    <col min="772" max="772" width="29.5703125" style="64" customWidth="1"/>
    <col min="773" max="778" width="9.7109375" style="64" customWidth="1"/>
    <col min="779" max="1024" width="9.140625" style="64"/>
    <col min="1025" max="1025" width="85.140625" style="64" customWidth="1"/>
    <col min="1026" max="1026" width="22.7109375" style="64" customWidth="1"/>
    <col min="1027" max="1027" width="21.140625" style="64" customWidth="1"/>
    <col min="1028" max="1028" width="29.5703125" style="64" customWidth="1"/>
    <col min="1029" max="1034" width="9.7109375" style="64" customWidth="1"/>
    <col min="1035" max="1280" width="9.140625" style="64"/>
    <col min="1281" max="1281" width="85.140625" style="64" customWidth="1"/>
    <col min="1282" max="1282" width="22.7109375" style="64" customWidth="1"/>
    <col min="1283" max="1283" width="21.140625" style="64" customWidth="1"/>
    <col min="1284" max="1284" width="29.5703125" style="64" customWidth="1"/>
    <col min="1285" max="1290" width="9.7109375" style="64" customWidth="1"/>
    <col min="1291" max="1536" width="9.140625" style="64"/>
    <col min="1537" max="1537" width="85.140625" style="64" customWidth="1"/>
    <col min="1538" max="1538" width="22.7109375" style="64" customWidth="1"/>
    <col min="1539" max="1539" width="21.140625" style="64" customWidth="1"/>
    <col min="1540" max="1540" width="29.5703125" style="64" customWidth="1"/>
    <col min="1541" max="1546" width="9.7109375" style="64" customWidth="1"/>
    <col min="1547" max="1792" width="9.140625" style="64"/>
    <col min="1793" max="1793" width="85.140625" style="64" customWidth="1"/>
    <col min="1794" max="1794" width="22.7109375" style="64" customWidth="1"/>
    <col min="1795" max="1795" width="21.140625" style="64" customWidth="1"/>
    <col min="1796" max="1796" width="29.5703125" style="64" customWidth="1"/>
    <col min="1797" max="1802" width="9.7109375" style="64" customWidth="1"/>
    <col min="1803" max="2048" width="9.140625" style="64"/>
    <col min="2049" max="2049" width="85.140625" style="64" customWidth="1"/>
    <col min="2050" max="2050" width="22.7109375" style="64" customWidth="1"/>
    <col min="2051" max="2051" width="21.140625" style="64" customWidth="1"/>
    <col min="2052" max="2052" width="29.5703125" style="64" customWidth="1"/>
    <col min="2053" max="2058" width="9.7109375" style="64" customWidth="1"/>
    <col min="2059" max="2304" width="9.140625" style="64"/>
    <col min="2305" max="2305" width="85.140625" style="64" customWidth="1"/>
    <col min="2306" max="2306" width="22.7109375" style="64" customWidth="1"/>
    <col min="2307" max="2307" width="21.140625" style="64" customWidth="1"/>
    <col min="2308" max="2308" width="29.5703125" style="64" customWidth="1"/>
    <col min="2309" max="2314" width="9.7109375" style="64" customWidth="1"/>
    <col min="2315" max="2560" width="9.140625" style="64"/>
    <col min="2561" max="2561" width="85.140625" style="64" customWidth="1"/>
    <col min="2562" max="2562" width="22.7109375" style="64" customWidth="1"/>
    <col min="2563" max="2563" width="21.140625" style="64" customWidth="1"/>
    <col min="2564" max="2564" width="29.5703125" style="64" customWidth="1"/>
    <col min="2565" max="2570" width="9.7109375" style="64" customWidth="1"/>
    <col min="2571" max="2816" width="9.140625" style="64"/>
    <col min="2817" max="2817" width="85.140625" style="64" customWidth="1"/>
    <col min="2818" max="2818" width="22.7109375" style="64" customWidth="1"/>
    <col min="2819" max="2819" width="21.140625" style="64" customWidth="1"/>
    <col min="2820" max="2820" width="29.5703125" style="64" customWidth="1"/>
    <col min="2821" max="2826" width="9.7109375" style="64" customWidth="1"/>
    <col min="2827" max="3072" width="9.140625" style="64"/>
    <col min="3073" max="3073" width="85.140625" style="64" customWidth="1"/>
    <col min="3074" max="3074" width="22.7109375" style="64" customWidth="1"/>
    <col min="3075" max="3075" width="21.140625" style="64" customWidth="1"/>
    <col min="3076" max="3076" width="29.5703125" style="64" customWidth="1"/>
    <col min="3077" max="3082" width="9.7109375" style="64" customWidth="1"/>
    <col min="3083" max="3328" width="9.140625" style="64"/>
    <col min="3329" max="3329" width="85.140625" style="64" customWidth="1"/>
    <col min="3330" max="3330" width="22.7109375" style="64" customWidth="1"/>
    <col min="3331" max="3331" width="21.140625" style="64" customWidth="1"/>
    <col min="3332" max="3332" width="29.5703125" style="64" customWidth="1"/>
    <col min="3333" max="3338" width="9.7109375" style="64" customWidth="1"/>
    <col min="3339" max="3584" width="9.140625" style="64"/>
    <col min="3585" max="3585" width="85.140625" style="64" customWidth="1"/>
    <col min="3586" max="3586" width="22.7109375" style="64" customWidth="1"/>
    <col min="3587" max="3587" width="21.140625" style="64" customWidth="1"/>
    <col min="3588" max="3588" width="29.5703125" style="64" customWidth="1"/>
    <col min="3589" max="3594" width="9.7109375" style="64" customWidth="1"/>
    <col min="3595" max="3840" width="9.140625" style="64"/>
    <col min="3841" max="3841" width="85.140625" style="64" customWidth="1"/>
    <col min="3842" max="3842" width="22.7109375" style="64" customWidth="1"/>
    <col min="3843" max="3843" width="21.140625" style="64" customWidth="1"/>
    <col min="3844" max="3844" width="29.5703125" style="64" customWidth="1"/>
    <col min="3845" max="3850" width="9.7109375" style="64" customWidth="1"/>
    <col min="3851" max="4096" width="9.140625" style="64"/>
    <col min="4097" max="4097" width="85.140625" style="64" customWidth="1"/>
    <col min="4098" max="4098" width="22.7109375" style="64" customWidth="1"/>
    <col min="4099" max="4099" width="21.140625" style="64" customWidth="1"/>
    <col min="4100" max="4100" width="29.5703125" style="64" customWidth="1"/>
    <col min="4101" max="4106" width="9.7109375" style="64" customWidth="1"/>
    <col min="4107" max="4352" width="9.140625" style="64"/>
    <col min="4353" max="4353" width="85.140625" style="64" customWidth="1"/>
    <col min="4354" max="4354" width="22.7109375" style="64" customWidth="1"/>
    <col min="4355" max="4355" width="21.140625" style="64" customWidth="1"/>
    <col min="4356" max="4356" width="29.5703125" style="64" customWidth="1"/>
    <col min="4357" max="4362" width="9.7109375" style="64" customWidth="1"/>
    <col min="4363" max="4608" width="9.140625" style="64"/>
    <col min="4609" max="4609" width="85.140625" style="64" customWidth="1"/>
    <col min="4610" max="4610" width="22.7109375" style="64" customWidth="1"/>
    <col min="4611" max="4611" width="21.140625" style="64" customWidth="1"/>
    <col min="4612" max="4612" width="29.5703125" style="64" customWidth="1"/>
    <col min="4613" max="4618" width="9.7109375" style="64" customWidth="1"/>
    <col min="4619" max="4864" width="9.140625" style="64"/>
    <col min="4865" max="4865" width="85.140625" style="64" customWidth="1"/>
    <col min="4866" max="4866" width="22.7109375" style="64" customWidth="1"/>
    <col min="4867" max="4867" width="21.140625" style="64" customWidth="1"/>
    <col min="4868" max="4868" width="29.5703125" style="64" customWidth="1"/>
    <col min="4869" max="4874" width="9.7109375" style="64" customWidth="1"/>
    <col min="4875" max="5120" width="9.140625" style="64"/>
    <col min="5121" max="5121" width="85.140625" style="64" customWidth="1"/>
    <col min="5122" max="5122" width="22.7109375" style="64" customWidth="1"/>
    <col min="5123" max="5123" width="21.140625" style="64" customWidth="1"/>
    <col min="5124" max="5124" width="29.5703125" style="64" customWidth="1"/>
    <col min="5125" max="5130" width="9.7109375" style="64" customWidth="1"/>
    <col min="5131" max="5376" width="9.140625" style="64"/>
    <col min="5377" max="5377" width="85.140625" style="64" customWidth="1"/>
    <col min="5378" max="5378" width="22.7109375" style="64" customWidth="1"/>
    <col min="5379" max="5379" width="21.140625" style="64" customWidth="1"/>
    <col min="5380" max="5380" width="29.5703125" style="64" customWidth="1"/>
    <col min="5381" max="5386" width="9.7109375" style="64" customWidth="1"/>
    <col min="5387" max="5632" width="9.140625" style="64"/>
    <col min="5633" max="5633" width="85.140625" style="64" customWidth="1"/>
    <col min="5634" max="5634" width="22.7109375" style="64" customWidth="1"/>
    <col min="5635" max="5635" width="21.140625" style="64" customWidth="1"/>
    <col min="5636" max="5636" width="29.5703125" style="64" customWidth="1"/>
    <col min="5637" max="5642" width="9.7109375" style="64" customWidth="1"/>
    <col min="5643" max="5888" width="9.140625" style="64"/>
    <col min="5889" max="5889" width="85.140625" style="64" customWidth="1"/>
    <col min="5890" max="5890" width="22.7109375" style="64" customWidth="1"/>
    <col min="5891" max="5891" width="21.140625" style="64" customWidth="1"/>
    <col min="5892" max="5892" width="29.5703125" style="64" customWidth="1"/>
    <col min="5893" max="5898" width="9.7109375" style="64" customWidth="1"/>
    <col min="5899" max="6144" width="9.140625" style="64"/>
    <col min="6145" max="6145" width="85.140625" style="64" customWidth="1"/>
    <col min="6146" max="6146" width="22.7109375" style="64" customWidth="1"/>
    <col min="6147" max="6147" width="21.140625" style="64" customWidth="1"/>
    <col min="6148" max="6148" width="29.5703125" style="64" customWidth="1"/>
    <col min="6149" max="6154" width="9.7109375" style="64" customWidth="1"/>
    <col min="6155" max="6400" width="9.140625" style="64"/>
    <col min="6401" max="6401" width="85.140625" style="64" customWidth="1"/>
    <col min="6402" max="6402" width="22.7109375" style="64" customWidth="1"/>
    <col min="6403" max="6403" width="21.140625" style="64" customWidth="1"/>
    <col min="6404" max="6404" width="29.5703125" style="64" customWidth="1"/>
    <col min="6405" max="6410" width="9.7109375" style="64" customWidth="1"/>
    <col min="6411" max="6656" width="9.140625" style="64"/>
    <col min="6657" max="6657" width="85.140625" style="64" customWidth="1"/>
    <col min="6658" max="6658" width="22.7109375" style="64" customWidth="1"/>
    <col min="6659" max="6659" width="21.140625" style="64" customWidth="1"/>
    <col min="6660" max="6660" width="29.5703125" style="64" customWidth="1"/>
    <col min="6661" max="6666" width="9.7109375" style="64" customWidth="1"/>
    <col min="6667" max="6912" width="9.140625" style="64"/>
    <col min="6913" max="6913" width="85.140625" style="64" customWidth="1"/>
    <col min="6914" max="6914" width="22.7109375" style="64" customWidth="1"/>
    <col min="6915" max="6915" width="21.140625" style="64" customWidth="1"/>
    <col min="6916" max="6916" width="29.5703125" style="64" customWidth="1"/>
    <col min="6917" max="6922" width="9.7109375" style="64" customWidth="1"/>
    <col min="6923" max="7168" width="9.140625" style="64"/>
    <col min="7169" max="7169" width="85.140625" style="64" customWidth="1"/>
    <col min="7170" max="7170" width="22.7109375" style="64" customWidth="1"/>
    <col min="7171" max="7171" width="21.140625" style="64" customWidth="1"/>
    <col min="7172" max="7172" width="29.5703125" style="64" customWidth="1"/>
    <col min="7173" max="7178" width="9.7109375" style="64" customWidth="1"/>
    <col min="7179" max="7424" width="9.140625" style="64"/>
    <col min="7425" max="7425" width="85.140625" style="64" customWidth="1"/>
    <col min="7426" max="7426" width="22.7109375" style="64" customWidth="1"/>
    <col min="7427" max="7427" width="21.140625" style="64" customWidth="1"/>
    <col min="7428" max="7428" width="29.5703125" style="64" customWidth="1"/>
    <col min="7429" max="7434" width="9.7109375" style="64" customWidth="1"/>
    <col min="7435" max="7680" width="9.140625" style="64"/>
    <col min="7681" max="7681" width="85.140625" style="64" customWidth="1"/>
    <col min="7682" max="7682" width="22.7109375" style="64" customWidth="1"/>
    <col min="7683" max="7683" width="21.140625" style="64" customWidth="1"/>
    <col min="7684" max="7684" width="29.5703125" style="64" customWidth="1"/>
    <col min="7685" max="7690" width="9.7109375" style="64" customWidth="1"/>
    <col min="7691" max="7936" width="9.140625" style="64"/>
    <col min="7937" max="7937" width="85.140625" style="64" customWidth="1"/>
    <col min="7938" max="7938" width="22.7109375" style="64" customWidth="1"/>
    <col min="7939" max="7939" width="21.140625" style="64" customWidth="1"/>
    <col min="7940" max="7940" width="29.5703125" style="64" customWidth="1"/>
    <col min="7941" max="7946" width="9.7109375" style="64" customWidth="1"/>
    <col min="7947" max="8192" width="9.140625" style="64"/>
    <col min="8193" max="8193" width="85.140625" style="64" customWidth="1"/>
    <col min="8194" max="8194" width="22.7109375" style="64" customWidth="1"/>
    <col min="8195" max="8195" width="21.140625" style="64" customWidth="1"/>
    <col min="8196" max="8196" width="29.5703125" style="64" customWidth="1"/>
    <col min="8197" max="8202" width="9.7109375" style="64" customWidth="1"/>
    <col min="8203" max="8448" width="9.140625" style="64"/>
    <col min="8449" max="8449" width="85.140625" style="64" customWidth="1"/>
    <col min="8450" max="8450" width="22.7109375" style="64" customWidth="1"/>
    <col min="8451" max="8451" width="21.140625" style="64" customWidth="1"/>
    <col min="8452" max="8452" width="29.5703125" style="64" customWidth="1"/>
    <col min="8453" max="8458" width="9.7109375" style="64" customWidth="1"/>
    <col min="8459" max="8704" width="9.140625" style="64"/>
    <col min="8705" max="8705" width="85.140625" style="64" customWidth="1"/>
    <col min="8706" max="8706" width="22.7109375" style="64" customWidth="1"/>
    <col min="8707" max="8707" width="21.140625" style="64" customWidth="1"/>
    <col min="8708" max="8708" width="29.5703125" style="64" customWidth="1"/>
    <col min="8709" max="8714" width="9.7109375" style="64" customWidth="1"/>
    <col min="8715" max="8960" width="9.140625" style="64"/>
    <col min="8961" max="8961" width="85.140625" style="64" customWidth="1"/>
    <col min="8962" max="8962" width="22.7109375" style="64" customWidth="1"/>
    <col min="8963" max="8963" width="21.140625" style="64" customWidth="1"/>
    <col min="8964" max="8964" width="29.5703125" style="64" customWidth="1"/>
    <col min="8965" max="8970" width="9.7109375" style="64" customWidth="1"/>
    <col min="8971" max="9216" width="9.140625" style="64"/>
    <col min="9217" max="9217" width="85.140625" style="64" customWidth="1"/>
    <col min="9218" max="9218" width="22.7109375" style="64" customWidth="1"/>
    <col min="9219" max="9219" width="21.140625" style="64" customWidth="1"/>
    <col min="9220" max="9220" width="29.5703125" style="64" customWidth="1"/>
    <col min="9221" max="9226" width="9.7109375" style="64" customWidth="1"/>
    <col min="9227" max="9472" width="9.140625" style="64"/>
    <col min="9473" max="9473" width="85.140625" style="64" customWidth="1"/>
    <col min="9474" max="9474" width="22.7109375" style="64" customWidth="1"/>
    <col min="9475" max="9475" width="21.140625" style="64" customWidth="1"/>
    <col min="9476" max="9476" width="29.5703125" style="64" customWidth="1"/>
    <col min="9477" max="9482" width="9.7109375" style="64" customWidth="1"/>
    <col min="9483" max="9728" width="9.140625" style="64"/>
    <col min="9729" max="9729" width="85.140625" style="64" customWidth="1"/>
    <col min="9730" max="9730" width="22.7109375" style="64" customWidth="1"/>
    <col min="9731" max="9731" width="21.140625" style="64" customWidth="1"/>
    <col min="9732" max="9732" width="29.5703125" style="64" customWidth="1"/>
    <col min="9733" max="9738" width="9.7109375" style="64" customWidth="1"/>
    <col min="9739" max="9984" width="9.140625" style="64"/>
    <col min="9985" max="9985" width="85.140625" style="64" customWidth="1"/>
    <col min="9986" max="9986" width="22.7109375" style="64" customWidth="1"/>
    <col min="9987" max="9987" width="21.140625" style="64" customWidth="1"/>
    <col min="9988" max="9988" width="29.5703125" style="64" customWidth="1"/>
    <col min="9989" max="9994" width="9.7109375" style="64" customWidth="1"/>
    <col min="9995" max="10240" width="9.140625" style="64"/>
    <col min="10241" max="10241" width="85.140625" style="64" customWidth="1"/>
    <col min="10242" max="10242" width="22.7109375" style="64" customWidth="1"/>
    <col min="10243" max="10243" width="21.140625" style="64" customWidth="1"/>
    <col min="10244" max="10244" width="29.5703125" style="64" customWidth="1"/>
    <col min="10245" max="10250" width="9.7109375" style="64" customWidth="1"/>
    <col min="10251" max="10496" width="9.140625" style="64"/>
    <col min="10497" max="10497" width="85.140625" style="64" customWidth="1"/>
    <col min="10498" max="10498" width="22.7109375" style="64" customWidth="1"/>
    <col min="10499" max="10499" width="21.140625" style="64" customWidth="1"/>
    <col min="10500" max="10500" width="29.5703125" style="64" customWidth="1"/>
    <col min="10501" max="10506" width="9.7109375" style="64" customWidth="1"/>
    <col min="10507" max="10752" width="9.140625" style="64"/>
    <col min="10753" max="10753" width="85.140625" style="64" customWidth="1"/>
    <col min="10754" max="10754" width="22.7109375" style="64" customWidth="1"/>
    <col min="10755" max="10755" width="21.140625" style="64" customWidth="1"/>
    <col min="10756" max="10756" width="29.5703125" style="64" customWidth="1"/>
    <col min="10757" max="10762" width="9.7109375" style="64" customWidth="1"/>
    <col min="10763" max="11008" width="9.140625" style="64"/>
    <col min="11009" max="11009" width="85.140625" style="64" customWidth="1"/>
    <col min="11010" max="11010" width="22.7109375" style="64" customWidth="1"/>
    <col min="11011" max="11011" width="21.140625" style="64" customWidth="1"/>
    <col min="11012" max="11012" width="29.5703125" style="64" customWidth="1"/>
    <col min="11013" max="11018" width="9.7109375" style="64" customWidth="1"/>
    <col min="11019" max="11264" width="9.140625" style="64"/>
    <col min="11265" max="11265" width="85.140625" style="64" customWidth="1"/>
    <col min="11266" max="11266" width="22.7109375" style="64" customWidth="1"/>
    <col min="11267" max="11267" width="21.140625" style="64" customWidth="1"/>
    <col min="11268" max="11268" width="29.5703125" style="64" customWidth="1"/>
    <col min="11269" max="11274" width="9.7109375" style="64" customWidth="1"/>
    <col min="11275" max="11520" width="9.140625" style="64"/>
    <col min="11521" max="11521" width="85.140625" style="64" customWidth="1"/>
    <col min="11522" max="11522" width="22.7109375" style="64" customWidth="1"/>
    <col min="11523" max="11523" width="21.140625" style="64" customWidth="1"/>
    <col min="11524" max="11524" width="29.5703125" style="64" customWidth="1"/>
    <col min="11525" max="11530" width="9.7109375" style="64" customWidth="1"/>
    <col min="11531" max="11776" width="9.140625" style="64"/>
    <col min="11777" max="11777" width="85.140625" style="64" customWidth="1"/>
    <col min="11778" max="11778" width="22.7109375" style="64" customWidth="1"/>
    <col min="11779" max="11779" width="21.140625" style="64" customWidth="1"/>
    <col min="11780" max="11780" width="29.5703125" style="64" customWidth="1"/>
    <col min="11781" max="11786" width="9.7109375" style="64" customWidth="1"/>
    <col min="11787" max="12032" width="9.140625" style="64"/>
    <col min="12033" max="12033" width="85.140625" style="64" customWidth="1"/>
    <col min="12034" max="12034" width="22.7109375" style="64" customWidth="1"/>
    <col min="12035" max="12035" width="21.140625" style="64" customWidth="1"/>
    <col min="12036" max="12036" width="29.5703125" style="64" customWidth="1"/>
    <col min="12037" max="12042" width="9.7109375" style="64" customWidth="1"/>
    <col min="12043" max="12288" width="9.140625" style="64"/>
    <col min="12289" max="12289" width="85.140625" style="64" customWidth="1"/>
    <col min="12290" max="12290" width="22.7109375" style="64" customWidth="1"/>
    <col min="12291" max="12291" width="21.140625" style="64" customWidth="1"/>
    <col min="12292" max="12292" width="29.5703125" style="64" customWidth="1"/>
    <col min="12293" max="12298" width="9.7109375" style="64" customWidth="1"/>
    <col min="12299" max="12544" width="9.140625" style="64"/>
    <col min="12545" max="12545" width="85.140625" style="64" customWidth="1"/>
    <col min="12546" max="12546" width="22.7109375" style="64" customWidth="1"/>
    <col min="12547" max="12547" width="21.140625" style="64" customWidth="1"/>
    <col min="12548" max="12548" width="29.5703125" style="64" customWidth="1"/>
    <col min="12549" max="12554" width="9.7109375" style="64" customWidth="1"/>
    <col min="12555" max="12800" width="9.140625" style="64"/>
    <col min="12801" max="12801" width="85.140625" style="64" customWidth="1"/>
    <col min="12802" max="12802" width="22.7109375" style="64" customWidth="1"/>
    <col min="12803" max="12803" width="21.140625" style="64" customWidth="1"/>
    <col min="12804" max="12804" width="29.5703125" style="64" customWidth="1"/>
    <col min="12805" max="12810" width="9.7109375" style="64" customWidth="1"/>
    <col min="12811" max="13056" width="9.140625" style="64"/>
    <col min="13057" max="13057" width="85.140625" style="64" customWidth="1"/>
    <col min="13058" max="13058" width="22.7109375" style="64" customWidth="1"/>
    <col min="13059" max="13059" width="21.140625" style="64" customWidth="1"/>
    <col min="13060" max="13060" width="29.5703125" style="64" customWidth="1"/>
    <col min="13061" max="13066" width="9.7109375" style="64" customWidth="1"/>
    <col min="13067" max="13312" width="9.140625" style="64"/>
    <col min="13313" max="13313" width="85.140625" style="64" customWidth="1"/>
    <col min="13314" max="13314" width="22.7109375" style="64" customWidth="1"/>
    <col min="13315" max="13315" width="21.140625" style="64" customWidth="1"/>
    <col min="13316" max="13316" width="29.5703125" style="64" customWidth="1"/>
    <col min="13317" max="13322" width="9.7109375" style="64" customWidth="1"/>
    <col min="13323" max="13568" width="9.140625" style="64"/>
    <col min="13569" max="13569" width="85.140625" style="64" customWidth="1"/>
    <col min="13570" max="13570" width="22.7109375" style="64" customWidth="1"/>
    <col min="13571" max="13571" width="21.140625" style="64" customWidth="1"/>
    <col min="13572" max="13572" width="29.5703125" style="64" customWidth="1"/>
    <col min="13573" max="13578" width="9.7109375" style="64" customWidth="1"/>
    <col min="13579" max="13824" width="9.140625" style="64"/>
    <col min="13825" max="13825" width="85.140625" style="64" customWidth="1"/>
    <col min="13826" max="13826" width="22.7109375" style="64" customWidth="1"/>
    <col min="13827" max="13827" width="21.140625" style="64" customWidth="1"/>
    <col min="13828" max="13828" width="29.5703125" style="64" customWidth="1"/>
    <col min="13829" max="13834" width="9.7109375" style="64" customWidth="1"/>
    <col min="13835" max="14080" width="9.140625" style="64"/>
    <col min="14081" max="14081" width="85.140625" style="64" customWidth="1"/>
    <col min="14082" max="14082" width="22.7109375" style="64" customWidth="1"/>
    <col min="14083" max="14083" width="21.140625" style="64" customWidth="1"/>
    <col min="14084" max="14084" width="29.5703125" style="64" customWidth="1"/>
    <col min="14085" max="14090" width="9.7109375" style="64" customWidth="1"/>
    <col min="14091" max="14336" width="9.140625" style="64"/>
    <col min="14337" max="14337" width="85.140625" style="64" customWidth="1"/>
    <col min="14338" max="14338" width="22.7109375" style="64" customWidth="1"/>
    <col min="14339" max="14339" width="21.140625" style="64" customWidth="1"/>
    <col min="14340" max="14340" width="29.5703125" style="64" customWidth="1"/>
    <col min="14341" max="14346" width="9.7109375" style="64" customWidth="1"/>
    <col min="14347" max="14592" width="9.140625" style="64"/>
    <col min="14593" max="14593" width="85.140625" style="64" customWidth="1"/>
    <col min="14594" max="14594" width="22.7109375" style="64" customWidth="1"/>
    <col min="14595" max="14595" width="21.140625" style="64" customWidth="1"/>
    <col min="14596" max="14596" width="29.5703125" style="64" customWidth="1"/>
    <col min="14597" max="14602" width="9.7109375" style="64" customWidth="1"/>
    <col min="14603" max="14848" width="9.140625" style="64"/>
    <col min="14849" max="14849" width="85.140625" style="64" customWidth="1"/>
    <col min="14850" max="14850" width="22.7109375" style="64" customWidth="1"/>
    <col min="14851" max="14851" width="21.140625" style="64" customWidth="1"/>
    <col min="14852" max="14852" width="29.5703125" style="64" customWidth="1"/>
    <col min="14853" max="14858" width="9.7109375" style="64" customWidth="1"/>
    <col min="14859" max="15104" width="9.140625" style="64"/>
    <col min="15105" max="15105" width="85.140625" style="64" customWidth="1"/>
    <col min="15106" max="15106" width="22.7109375" style="64" customWidth="1"/>
    <col min="15107" max="15107" width="21.140625" style="64" customWidth="1"/>
    <col min="15108" max="15108" width="29.5703125" style="64" customWidth="1"/>
    <col min="15109" max="15114" width="9.7109375" style="64" customWidth="1"/>
    <col min="15115" max="15360" width="9.140625" style="64"/>
    <col min="15361" max="15361" width="85.140625" style="64" customWidth="1"/>
    <col min="15362" max="15362" width="22.7109375" style="64" customWidth="1"/>
    <col min="15363" max="15363" width="21.140625" style="64" customWidth="1"/>
    <col min="15364" max="15364" width="29.5703125" style="64" customWidth="1"/>
    <col min="15365" max="15370" width="9.7109375" style="64" customWidth="1"/>
    <col min="15371" max="15616" width="9.140625" style="64"/>
    <col min="15617" max="15617" width="85.140625" style="64" customWidth="1"/>
    <col min="15618" max="15618" width="22.7109375" style="64" customWidth="1"/>
    <col min="15619" max="15619" width="21.140625" style="64" customWidth="1"/>
    <col min="15620" max="15620" width="29.5703125" style="64" customWidth="1"/>
    <col min="15621" max="15626" width="9.7109375" style="64" customWidth="1"/>
    <col min="15627" max="15872" width="9.140625" style="64"/>
    <col min="15873" max="15873" width="85.140625" style="64" customWidth="1"/>
    <col min="15874" max="15874" width="22.7109375" style="64" customWidth="1"/>
    <col min="15875" max="15875" width="21.140625" style="64" customWidth="1"/>
    <col min="15876" max="15876" width="29.5703125" style="64" customWidth="1"/>
    <col min="15877" max="15882" width="9.7109375" style="64" customWidth="1"/>
    <col min="15883" max="16128" width="9.140625" style="64"/>
    <col min="16129" max="16129" width="85.140625" style="64" customWidth="1"/>
    <col min="16130" max="16130" width="22.7109375" style="64" customWidth="1"/>
    <col min="16131" max="16131" width="21.140625" style="64" customWidth="1"/>
    <col min="16132" max="16132" width="29.5703125" style="64" customWidth="1"/>
    <col min="16133" max="16138" width="9.7109375" style="64" customWidth="1"/>
    <col min="16139" max="16384" width="9.140625" style="64"/>
  </cols>
  <sheetData>
    <row r="1" spans="1:11" s="61" customFormat="1" x14ac:dyDescent="0.25"/>
    <row r="2" spans="1:11" s="62" customFormat="1" x14ac:dyDescent="0.25"/>
    <row r="3" spans="1:11" s="62" customFormat="1" x14ac:dyDescent="0.25"/>
    <row r="4" spans="1:11" s="62" customFormat="1" x14ac:dyDescent="0.25"/>
    <row r="5" spans="1:11" x14ac:dyDescent="0.25">
      <c r="A5" s="63" t="s">
        <v>144</v>
      </c>
    </row>
    <row r="6" spans="1:11" s="66" customFormat="1" x14ac:dyDescent="0.25">
      <c r="A6" s="65" t="s">
        <v>145</v>
      </c>
      <c r="B6" s="65" t="s">
        <v>146</v>
      </c>
      <c r="C6" s="65" t="s">
        <v>147</v>
      </c>
      <c r="D6" s="65" t="s">
        <v>148</v>
      </c>
      <c r="E6" s="65" t="s">
        <v>149</v>
      </c>
      <c r="F6" s="65" t="s">
        <v>150</v>
      </c>
      <c r="G6" s="65" t="s">
        <v>151</v>
      </c>
      <c r="H6" s="65" t="s">
        <v>152</v>
      </c>
      <c r="I6" s="65" t="s">
        <v>153</v>
      </c>
      <c r="J6" s="65" t="s">
        <v>154</v>
      </c>
    </row>
    <row r="7" spans="1:11" x14ac:dyDescent="0.25">
      <c r="A7" s="64" t="s">
        <v>155</v>
      </c>
      <c r="B7" s="64" t="s">
        <v>156</v>
      </c>
      <c r="C7" s="64" t="s">
        <v>157</v>
      </c>
      <c r="D7" s="64" t="s">
        <v>158</v>
      </c>
      <c r="E7" s="67">
        <v>3.4</v>
      </c>
      <c r="F7" s="67">
        <v>3.4</v>
      </c>
      <c r="G7" s="67">
        <v>3.4</v>
      </c>
      <c r="H7" s="67">
        <v>3.4</v>
      </c>
      <c r="I7" s="67">
        <v>3.1</v>
      </c>
      <c r="J7" s="67">
        <v>2.9</v>
      </c>
    </row>
    <row r="8" spans="1:11" x14ac:dyDescent="0.25">
      <c r="A8" s="64" t="s">
        <v>155</v>
      </c>
      <c r="B8" s="64" t="s">
        <v>156</v>
      </c>
      <c r="C8" s="64" t="s">
        <v>159</v>
      </c>
      <c r="D8" s="64" t="s">
        <v>160</v>
      </c>
      <c r="E8" s="67">
        <v>1.2</v>
      </c>
      <c r="F8" s="67">
        <v>1.2</v>
      </c>
      <c r="G8" s="67">
        <v>1.3</v>
      </c>
      <c r="H8" s="67">
        <v>1.7</v>
      </c>
      <c r="I8" s="67">
        <v>1.8</v>
      </c>
      <c r="J8" s="67">
        <v>1.9</v>
      </c>
    </row>
    <row r="9" spans="1:11" x14ac:dyDescent="0.25">
      <c r="A9" s="64" t="s">
        <v>155</v>
      </c>
      <c r="B9" s="64" t="s">
        <v>156</v>
      </c>
      <c r="C9" s="64" t="s">
        <v>161</v>
      </c>
      <c r="D9" s="64" t="s">
        <v>162</v>
      </c>
      <c r="E9" s="67">
        <v>1.3</v>
      </c>
      <c r="F9" s="67">
        <v>1.3</v>
      </c>
      <c r="G9" s="67">
        <v>1.3</v>
      </c>
      <c r="H9" s="67">
        <v>1.4</v>
      </c>
      <c r="I9" s="67">
        <v>1.3</v>
      </c>
      <c r="J9" s="67">
        <v>1.5</v>
      </c>
    </row>
    <row r="10" spans="1:11" x14ac:dyDescent="0.25">
      <c r="A10" s="64" t="s">
        <v>155</v>
      </c>
      <c r="B10" s="64" t="s">
        <v>156</v>
      </c>
      <c r="C10" s="64" t="s">
        <v>163</v>
      </c>
      <c r="D10" s="64" t="s">
        <v>164</v>
      </c>
      <c r="E10" s="67">
        <v>0.7</v>
      </c>
      <c r="F10" s="67">
        <v>0.7</v>
      </c>
      <c r="G10" s="67">
        <v>0.8</v>
      </c>
      <c r="H10" s="67">
        <v>0.8</v>
      </c>
      <c r="I10" s="67">
        <v>0.8</v>
      </c>
      <c r="J10" s="67">
        <v>0.8</v>
      </c>
    </row>
    <row r="11" spans="1:11" x14ac:dyDescent="0.25">
      <c r="A11" s="64" t="s">
        <v>155</v>
      </c>
      <c r="B11" s="64" t="s">
        <v>156</v>
      </c>
      <c r="C11" s="64" t="s">
        <v>165</v>
      </c>
      <c r="D11" s="64" t="s">
        <v>166</v>
      </c>
      <c r="E11" s="67">
        <v>0.4</v>
      </c>
      <c r="F11" s="67">
        <v>0.5</v>
      </c>
      <c r="G11" s="67">
        <v>0.6</v>
      </c>
      <c r="H11" s="67">
        <v>0.6</v>
      </c>
      <c r="I11" s="67">
        <v>0.6</v>
      </c>
      <c r="J11" s="67">
        <v>0.4</v>
      </c>
    </row>
    <row r="12" spans="1:11" x14ac:dyDescent="0.25">
      <c r="A12" s="64" t="s">
        <v>155</v>
      </c>
      <c r="B12" s="64" t="s">
        <v>156</v>
      </c>
      <c r="C12" s="64" t="s">
        <v>167</v>
      </c>
      <c r="D12" s="64" t="s">
        <v>168</v>
      </c>
      <c r="E12" s="67">
        <v>0.3</v>
      </c>
      <c r="F12" s="67">
        <v>0.3</v>
      </c>
      <c r="G12" s="67">
        <v>0.3</v>
      </c>
      <c r="H12" s="67">
        <v>0.3</v>
      </c>
      <c r="I12" s="67">
        <v>0.3</v>
      </c>
      <c r="J12" s="67">
        <v>0.3</v>
      </c>
    </row>
    <row r="13" spans="1:11" x14ac:dyDescent="0.25">
      <c r="A13" s="64" t="s">
        <v>155</v>
      </c>
      <c r="B13" s="64" t="s">
        <v>156</v>
      </c>
      <c r="C13" s="64" t="s">
        <v>169</v>
      </c>
      <c r="D13" s="64" t="s">
        <v>170</v>
      </c>
      <c r="E13" s="67">
        <v>0</v>
      </c>
      <c r="F13" s="67" t="s">
        <v>171</v>
      </c>
      <c r="G13" s="67" t="s">
        <v>171</v>
      </c>
      <c r="H13" s="67" t="s">
        <v>171</v>
      </c>
      <c r="I13" s="67" t="s">
        <v>171</v>
      </c>
      <c r="J13" s="67" t="s">
        <v>171</v>
      </c>
    </row>
    <row r="14" spans="1:11" x14ac:dyDescent="0.25">
      <c r="A14" s="64" t="s">
        <v>155</v>
      </c>
      <c r="B14" s="64" t="s">
        <v>156</v>
      </c>
      <c r="C14" s="64" t="s">
        <v>167</v>
      </c>
      <c r="D14" s="64" t="s">
        <v>172</v>
      </c>
      <c r="E14" s="67" t="s">
        <v>171</v>
      </c>
      <c r="F14" s="67" t="s">
        <v>171</v>
      </c>
      <c r="G14" s="67" t="s">
        <v>171</v>
      </c>
      <c r="H14" s="67" t="s">
        <v>171</v>
      </c>
      <c r="I14" s="67" t="s">
        <v>171</v>
      </c>
      <c r="J14" s="67" t="s">
        <v>171</v>
      </c>
    </row>
    <row r="15" spans="1:11" x14ac:dyDescent="0.25">
      <c r="A15" s="64" t="s">
        <v>155</v>
      </c>
      <c r="B15" s="64" t="s">
        <v>156</v>
      </c>
      <c r="C15" s="64" t="s">
        <v>173</v>
      </c>
      <c r="D15" s="64" t="s">
        <v>173</v>
      </c>
      <c r="E15" s="67">
        <v>92.6</v>
      </c>
      <c r="F15" s="67">
        <v>92.5</v>
      </c>
      <c r="G15" s="67">
        <v>92.3</v>
      </c>
      <c r="H15" s="67">
        <v>91.9</v>
      </c>
      <c r="I15" s="67">
        <v>92.1</v>
      </c>
      <c r="J15" s="67">
        <v>92.3</v>
      </c>
    </row>
    <row r="16" spans="1:11" x14ac:dyDescent="0.25">
      <c r="A16" s="64" t="s">
        <v>155</v>
      </c>
      <c r="B16" s="64" t="s">
        <v>156</v>
      </c>
      <c r="C16" s="64" t="s">
        <v>174</v>
      </c>
      <c r="D16" s="64" t="s">
        <v>174</v>
      </c>
      <c r="E16" s="67">
        <v>100</v>
      </c>
      <c r="F16" s="67">
        <v>100</v>
      </c>
      <c r="G16" s="67">
        <v>100</v>
      </c>
      <c r="H16" s="67">
        <v>100</v>
      </c>
      <c r="I16" s="67">
        <v>100</v>
      </c>
      <c r="J16" s="67">
        <v>100</v>
      </c>
      <c r="K16" s="68"/>
    </row>
    <row r="18" spans="1:10" x14ac:dyDescent="0.25">
      <c r="A18" s="63" t="s">
        <v>175</v>
      </c>
      <c r="D18" s="64" t="s">
        <v>176</v>
      </c>
      <c r="J18" s="68">
        <f>J15+J12</f>
        <v>92.6</v>
      </c>
    </row>
    <row r="19" spans="1:10" x14ac:dyDescent="0.25">
      <c r="A19" s="64" t="s">
        <v>177</v>
      </c>
      <c r="D19" s="64" t="s">
        <v>174</v>
      </c>
      <c r="J19" s="68">
        <f>J7+J8+J9+J10+J11+J18</f>
        <v>100.1</v>
      </c>
    </row>
    <row r="20" spans="1:10" x14ac:dyDescent="0.25">
      <c r="A20" s="64" t="s">
        <v>178</v>
      </c>
    </row>
    <row r="22" spans="1:10" x14ac:dyDescent="0.25">
      <c r="A22" s="64" t="s">
        <v>179</v>
      </c>
    </row>
    <row r="23" spans="1:10" x14ac:dyDescent="0.25">
      <c r="A23" s="64" t="s">
        <v>180</v>
      </c>
    </row>
    <row r="25" spans="1:10" ht="15" x14ac:dyDescent="0.25">
      <c r="A25" s="27" t="s">
        <v>181</v>
      </c>
    </row>
    <row r="26" spans="1:10" ht="15" x14ac:dyDescent="0.25">
      <c r="A26" s="27" t="s">
        <v>182</v>
      </c>
    </row>
    <row r="27" spans="1:10" ht="15" x14ac:dyDescent="0.25">
      <c r="A27" s="27" t="s">
        <v>183</v>
      </c>
    </row>
  </sheetData>
  <hyperlinks>
    <hyperlink ref="A26" r:id="rId1"/>
    <hyperlink ref="A27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2" sqref="B22"/>
    </sheetView>
  </sheetViews>
  <sheetFormatPr defaultRowHeight="12.75" x14ac:dyDescent="0.25"/>
  <cols>
    <col min="1" max="1" width="69.28515625" style="64" customWidth="1"/>
    <col min="2" max="2" width="26" style="64" customWidth="1"/>
    <col min="3" max="8" width="10.28515625" style="64" customWidth="1"/>
    <col min="9" max="256" width="9.140625" style="64"/>
    <col min="257" max="257" width="69.28515625" style="64" customWidth="1"/>
    <col min="258" max="258" width="26" style="64" customWidth="1"/>
    <col min="259" max="264" width="10.28515625" style="64" customWidth="1"/>
    <col min="265" max="512" width="9.140625" style="64"/>
    <col min="513" max="513" width="69.28515625" style="64" customWidth="1"/>
    <col min="514" max="514" width="26" style="64" customWidth="1"/>
    <col min="515" max="520" width="10.28515625" style="64" customWidth="1"/>
    <col min="521" max="768" width="9.140625" style="64"/>
    <col min="769" max="769" width="69.28515625" style="64" customWidth="1"/>
    <col min="770" max="770" width="26" style="64" customWidth="1"/>
    <col min="771" max="776" width="10.28515625" style="64" customWidth="1"/>
    <col min="777" max="1024" width="9.140625" style="64"/>
    <col min="1025" max="1025" width="69.28515625" style="64" customWidth="1"/>
    <col min="1026" max="1026" width="26" style="64" customWidth="1"/>
    <col min="1027" max="1032" width="10.28515625" style="64" customWidth="1"/>
    <col min="1033" max="1280" width="9.140625" style="64"/>
    <col min="1281" max="1281" width="69.28515625" style="64" customWidth="1"/>
    <col min="1282" max="1282" width="26" style="64" customWidth="1"/>
    <col min="1283" max="1288" width="10.28515625" style="64" customWidth="1"/>
    <col min="1289" max="1536" width="9.140625" style="64"/>
    <col min="1537" max="1537" width="69.28515625" style="64" customWidth="1"/>
    <col min="1538" max="1538" width="26" style="64" customWidth="1"/>
    <col min="1539" max="1544" width="10.28515625" style="64" customWidth="1"/>
    <col min="1545" max="1792" width="9.140625" style="64"/>
    <col min="1793" max="1793" width="69.28515625" style="64" customWidth="1"/>
    <col min="1794" max="1794" width="26" style="64" customWidth="1"/>
    <col min="1795" max="1800" width="10.28515625" style="64" customWidth="1"/>
    <col min="1801" max="2048" width="9.140625" style="64"/>
    <col min="2049" max="2049" width="69.28515625" style="64" customWidth="1"/>
    <col min="2050" max="2050" width="26" style="64" customWidth="1"/>
    <col min="2051" max="2056" width="10.28515625" style="64" customWidth="1"/>
    <col min="2057" max="2304" width="9.140625" style="64"/>
    <col min="2305" max="2305" width="69.28515625" style="64" customWidth="1"/>
    <col min="2306" max="2306" width="26" style="64" customWidth="1"/>
    <col min="2307" max="2312" width="10.28515625" style="64" customWidth="1"/>
    <col min="2313" max="2560" width="9.140625" style="64"/>
    <col min="2561" max="2561" width="69.28515625" style="64" customWidth="1"/>
    <col min="2562" max="2562" width="26" style="64" customWidth="1"/>
    <col min="2563" max="2568" width="10.28515625" style="64" customWidth="1"/>
    <col min="2569" max="2816" width="9.140625" style="64"/>
    <col min="2817" max="2817" width="69.28515625" style="64" customWidth="1"/>
    <col min="2818" max="2818" width="26" style="64" customWidth="1"/>
    <col min="2819" max="2824" width="10.28515625" style="64" customWidth="1"/>
    <col min="2825" max="3072" width="9.140625" style="64"/>
    <col min="3073" max="3073" width="69.28515625" style="64" customWidth="1"/>
    <col min="3074" max="3074" width="26" style="64" customWidth="1"/>
    <col min="3075" max="3080" width="10.28515625" style="64" customWidth="1"/>
    <col min="3081" max="3328" width="9.140625" style="64"/>
    <col min="3329" max="3329" width="69.28515625" style="64" customWidth="1"/>
    <col min="3330" max="3330" width="26" style="64" customWidth="1"/>
    <col min="3331" max="3336" width="10.28515625" style="64" customWidth="1"/>
    <col min="3337" max="3584" width="9.140625" style="64"/>
    <col min="3585" max="3585" width="69.28515625" style="64" customWidth="1"/>
    <col min="3586" max="3586" width="26" style="64" customWidth="1"/>
    <col min="3587" max="3592" width="10.28515625" style="64" customWidth="1"/>
    <col min="3593" max="3840" width="9.140625" style="64"/>
    <col min="3841" max="3841" width="69.28515625" style="64" customWidth="1"/>
    <col min="3842" max="3842" width="26" style="64" customWidth="1"/>
    <col min="3843" max="3848" width="10.28515625" style="64" customWidth="1"/>
    <col min="3849" max="4096" width="9.140625" style="64"/>
    <col min="4097" max="4097" width="69.28515625" style="64" customWidth="1"/>
    <col min="4098" max="4098" width="26" style="64" customWidth="1"/>
    <col min="4099" max="4104" width="10.28515625" style="64" customWidth="1"/>
    <col min="4105" max="4352" width="9.140625" style="64"/>
    <col min="4353" max="4353" width="69.28515625" style="64" customWidth="1"/>
    <col min="4354" max="4354" width="26" style="64" customWidth="1"/>
    <col min="4355" max="4360" width="10.28515625" style="64" customWidth="1"/>
    <col min="4361" max="4608" width="9.140625" style="64"/>
    <col min="4609" max="4609" width="69.28515625" style="64" customWidth="1"/>
    <col min="4610" max="4610" width="26" style="64" customWidth="1"/>
    <col min="4611" max="4616" width="10.28515625" style="64" customWidth="1"/>
    <col min="4617" max="4864" width="9.140625" style="64"/>
    <col min="4865" max="4865" width="69.28515625" style="64" customWidth="1"/>
    <col min="4866" max="4866" width="26" style="64" customWidth="1"/>
    <col min="4867" max="4872" width="10.28515625" style="64" customWidth="1"/>
    <col min="4873" max="5120" width="9.140625" style="64"/>
    <col min="5121" max="5121" width="69.28515625" style="64" customWidth="1"/>
    <col min="5122" max="5122" width="26" style="64" customWidth="1"/>
    <col min="5123" max="5128" width="10.28515625" style="64" customWidth="1"/>
    <col min="5129" max="5376" width="9.140625" style="64"/>
    <col min="5377" max="5377" width="69.28515625" style="64" customWidth="1"/>
    <col min="5378" max="5378" width="26" style="64" customWidth="1"/>
    <col min="5379" max="5384" width="10.28515625" style="64" customWidth="1"/>
    <col min="5385" max="5632" width="9.140625" style="64"/>
    <col min="5633" max="5633" width="69.28515625" style="64" customWidth="1"/>
    <col min="5634" max="5634" width="26" style="64" customWidth="1"/>
    <col min="5635" max="5640" width="10.28515625" style="64" customWidth="1"/>
    <col min="5641" max="5888" width="9.140625" style="64"/>
    <col min="5889" max="5889" width="69.28515625" style="64" customWidth="1"/>
    <col min="5890" max="5890" width="26" style="64" customWidth="1"/>
    <col min="5891" max="5896" width="10.28515625" style="64" customWidth="1"/>
    <col min="5897" max="6144" width="9.140625" style="64"/>
    <col min="6145" max="6145" width="69.28515625" style="64" customWidth="1"/>
    <col min="6146" max="6146" width="26" style="64" customWidth="1"/>
    <col min="6147" max="6152" width="10.28515625" style="64" customWidth="1"/>
    <col min="6153" max="6400" width="9.140625" style="64"/>
    <col min="6401" max="6401" width="69.28515625" style="64" customWidth="1"/>
    <col min="6402" max="6402" width="26" style="64" customWidth="1"/>
    <col min="6403" max="6408" width="10.28515625" style="64" customWidth="1"/>
    <col min="6409" max="6656" width="9.140625" style="64"/>
    <col min="6657" max="6657" width="69.28515625" style="64" customWidth="1"/>
    <col min="6658" max="6658" width="26" style="64" customWidth="1"/>
    <col min="6659" max="6664" width="10.28515625" style="64" customWidth="1"/>
    <col min="6665" max="6912" width="9.140625" style="64"/>
    <col min="6913" max="6913" width="69.28515625" style="64" customWidth="1"/>
    <col min="6914" max="6914" width="26" style="64" customWidth="1"/>
    <col min="6915" max="6920" width="10.28515625" style="64" customWidth="1"/>
    <col min="6921" max="7168" width="9.140625" style="64"/>
    <col min="7169" max="7169" width="69.28515625" style="64" customWidth="1"/>
    <col min="7170" max="7170" width="26" style="64" customWidth="1"/>
    <col min="7171" max="7176" width="10.28515625" style="64" customWidth="1"/>
    <col min="7177" max="7424" width="9.140625" style="64"/>
    <col min="7425" max="7425" width="69.28515625" style="64" customWidth="1"/>
    <col min="7426" max="7426" width="26" style="64" customWidth="1"/>
    <col min="7427" max="7432" width="10.28515625" style="64" customWidth="1"/>
    <col min="7433" max="7680" width="9.140625" style="64"/>
    <col min="7681" max="7681" width="69.28515625" style="64" customWidth="1"/>
    <col min="7682" max="7682" width="26" style="64" customWidth="1"/>
    <col min="7683" max="7688" width="10.28515625" style="64" customWidth="1"/>
    <col min="7689" max="7936" width="9.140625" style="64"/>
    <col min="7937" max="7937" width="69.28515625" style="64" customWidth="1"/>
    <col min="7938" max="7938" width="26" style="64" customWidth="1"/>
    <col min="7939" max="7944" width="10.28515625" style="64" customWidth="1"/>
    <col min="7945" max="8192" width="9.140625" style="64"/>
    <col min="8193" max="8193" width="69.28515625" style="64" customWidth="1"/>
    <col min="8194" max="8194" width="26" style="64" customWidth="1"/>
    <col min="8195" max="8200" width="10.28515625" style="64" customWidth="1"/>
    <col min="8201" max="8448" width="9.140625" style="64"/>
    <col min="8449" max="8449" width="69.28515625" style="64" customWidth="1"/>
    <col min="8450" max="8450" width="26" style="64" customWidth="1"/>
    <col min="8451" max="8456" width="10.28515625" style="64" customWidth="1"/>
    <col min="8457" max="8704" width="9.140625" style="64"/>
    <col min="8705" max="8705" width="69.28515625" style="64" customWidth="1"/>
    <col min="8706" max="8706" width="26" style="64" customWidth="1"/>
    <col min="8707" max="8712" width="10.28515625" style="64" customWidth="1"/>
    <col min="8713" max="8960" width="9.140625" style="64"/>
    <col min="8961" max="8961" width="69.28515625" style="64" customWidth="1"/>
    <col min="8962" max="8962" width="26" style="64" customWidth="1"/>
    <col min="8963" max="8968" width="10.28515625" style="64" customWidth="1"/>
    <col min="8969" max="9216" width="9.140625" style="64"/>
    <col min="9217" max="9217" width="69.28515625" style="64" customWidth="1"/>
    <col min="9218" max="9218" width="26" style="64" customWidth="1"/>
    <col min="9219" max="9224" width="10.28515625" style="64" customWidth="1"/>
    <col min="9225" max="9472" width="9.140625" style="64"/>
    <col min="9473" max="9473" width="69.28515625" style="64" customWidth="1"/>
    <col min="9474" max="9474" width="26" style="64" customWidth="1"/>
    <col min="9475" max="9480" width="10.28515625" style="64" customWidth="1"/>
    <col min="9481" max="9728" width="9.140625" style="64"/>
    <col min="9729" max="9729" width="69.28515625" style="64" customWidth="1"/>
    <col min="9730" max="9730" width="26" style="64" customWidth="1"/>
    <col min="9731" max="9736" width="10.28515625" style="64" customWidth="1"/>
    <col min="9737" max="9984" width="9.140625" style="64"/>
    <col min="9985" max="9985" width="69.28515625" style="64" customWidth="1"/>
    <col min="9986" max="9986" width="26" style="64" customWidth="1"/>
    <col min="9987" max="9992" width="10.28515625" style="64" customWidth="1"/>
    <col min="9993" max="10240" width="9.140625" style="64"/>
    <col min="10241" max="10241" width="69.28515625" style="64" customWidth="1"/>
    <col min="10242" max="10242" width="26" style="64" customWidth="1"/>
    <col min="10243" max="10248" width="10.28515625" style="64" customWidth="1"/>
    <col min="10249" max="10496" width="9.140625" style="64"/>
    <col min="10497" max="10497" width="69.28515625" style="64" customWidth="1"/>
    <col min="10498" max="10498" width="26" style="64" customWidth="1"/>
    <col min="10499" max="10504" width="10.28515625" style="64" customWidth="1"/>
    <col min="10505" max="10752" width="9.140625" style="64"/>
    <col min="10753" max="10753" width="69.28515625" style="64" customWidth="1"/>
    <col min="10754" max="10754" width="26" style="64" customWidth="1"/>
    <col min="10755" max="10760" width="10.28515625" style="64" customWidth="1"/>
    <col min="10761" max="11008" width="9.140625" style="64"/>
    <col min="11009" max="11009" width="69.28515625" style="64" customWidth="1"/>
    <col min="11010" max="11010" width="26" style="64" customWidth="1"/>
    <col min="11011" max="11016" width="10.28515625" style="64" customWidth="1"/>
    <col min="11017" max="11264" width="9.140625" style="64"/>
    <col min="11265" max="11265" width="69.28515625" style="64" customWidth="1"/>
    <col min="11266" max="11266" width="26" style="64" customWidth="1"/>
    <col min="11267" max="11272" width="10.28515625" style="64" customWidth="1"/>
    <col min="11273" max="11520" width="9.140625" style="64"/>
    <col min="11521" max="11521" width="69.28515625" style="64" customWidth="1"/>
    <col min="11522" max="11522" width="26" style="64" customWidth="1"/>
    <col min="11523" max="11528" width="10.28515625" style="64" customWidth="1"/>
    <col min="11529" max="11776" width="9.140625" style="64"/>
    <col min="11777" max="11777" width="69.28515625" style="64" customWidth="1"/>
    <col min="11778" max="11778" width="26" style="64" customWidth="1"/>
    <col min="11779" max="11784" width="10.28515625" style="64" customWidth="1"/>
    <col min="11785" max="12032" width="9.140625" style="64"/>
    <col min="12033" max="12033" width="69.28515625" style="64" customWidth="1"/>
    <col min="12034" max="12034" width="26" style="64" customWidth="1"/>
    <col min="12035" max="12040" width="10.28515625" style="64" customWidth="1"/>
    <col min="12041" max="12288" width="9.140625" style="64"/>
    <col min="12289" max="12289" width="69.28515625" style="64" customWidth="1"/>
    <col min="12290" max="12290" width="26" style="64" customWidth="1"/>
    <col min="12291" max="12296" width="10.28515625" style="64" customWidth="1"/>
    <col min="12297" max="12544" width="9.140625" style="64"/>
    <col min="12545" max="12545" width="69.28515625" style="64" customWidth="1"/>
    <col min="12546" max="12546" width="26" style="64" customWidth="1"/>
    <col min="12547" max="12552" width="10.28515625" style="64" customWidth="1"/>
    <col min="12553" max="12800" width="9.140625" style="64"/>
    <col min="12801" max="12801" width="69.28515625" style="64" customWidth="1"/>
    <col min="12802" max="12802" width="26" style="64" customWidth="1"/>
    <col min="12803" max="12808" width="10.28515625" style="64" customWidth="1"/>
    <col min="12809" max="13056" width="9.140625" style="64"/>
    <col min="13057" max="13057" width="69.28515625" style="64" customWidth="1"/>
    <col min="13058" max="13058" width="26" style="64" customWidth="1"/>
    <col min="13059" max="13064" width="10.28515625" style="64" customWidth="1"/>
    <col min="13065" max="13312" width="9.140625" style="64"/>
    <col min="13313" max="13313" width="69.28515625" style="64" customWidth="1"/>
    <col min="13314" max="13314" width="26" style="64" customWidth="1"/>
    <col min="13315" max="13320" width="10.28515625" style="64" customWidth="1"/>
    <col min="13321" max="13568" width="9.140625" style="64"/>
    <col min="13569" max="13569" width="69.28515625" style="64" customWidth="1"/>
    <col min="13570" max="13570" width="26" style="64" customWidth="1"/>
    <col min="13571" max="13576" width="10.28515625" style="64" customWidth="1"/>
    <col min="13577" max="13824" width="9.140625" style="64"/>
    <col min="13825" max="13825" width="69.28515625" style="64" customWidth="1"/>
    <col min="13826" max="13826" width="26" style="64" customWidth="1"/>
    <col min="13827" max="13832" width="10.28515625" style="64" customWidth="1"/>
    <col min="13833" max="14080" width="9.140625" style="64"/>
    <col min="14081" max="14081" width="69.28515625" style="64" customWidth="1"/>
    <col min="14082" max="14082" width="26" style="64" customWidth="1"/>
    <col min="14083" max="14088" width="10.28515625" style="64" customWidth="1"/>
    <col min="14089" max="14336" width="9.140625" style="64"/>
    <col min="14337" max="14337" width="69.28515625" style="64" customWidth="1"/>
    <col min="14338" max="14338" width="26" style="64" customWidth="1"/>
    <col min="14339" max="14344" width="10.28515625" style="64" customWidth="1"/>
    <col min="14345" max="14592" width="9.140625" style="64"/>
    <col min="14593" max="14593" width="69.28515625" style="64" customWidth="1"/>
    <col min="14594" max="14594" width="26" style="64" customWidth="1"/>
    <col min="14595" max="14600" width="10.28515625" style="64" customWidth="1"/>
    <col min="14601" max="14848" width="9.140625" style="64"/>
    <col min="14849" max="14849" width="69.28515625" style="64" customWidth="1"/>
    <col min="14850" max="14850" width="26" style="64" customWidth="1"/>
    <col min="14851" max="14856" width="10.28515625" style="64" customWidth="1"/>
    <col min="14857" max="15104" width="9.140625" style="64"/>
    <col min="15105" max="15105" width="69.28515625" style="64" customWidth="1"/>
    <col min="15106" max="15106" width="26" style="64" customWidth="1"/>
    <col min="15107" max="15112" width="10.28515625" style="64" customWidth="1"/>
    <col min="15113" max="15360" width="9.140625" style="64"/>
    <col min="15361" max="15361" width="69.28515625" style="64" customWidth="1"/>
    <col min="15362" max="15362" width="26" style="64" customWidth="1"/>
    <col min="15363" max="15368" width="10.28515625" style="64" customWidth="1"/>
    <col min="15369" max="15616" width="9.140625" style="64"/>
    <col min="15617" max="15617" width="69.28515625" style="64" customWidth="1"/>
    <col min="15618" max="15618" width="26" style="64" customWidth="1"/>
    <col min="15619" max="15624" width="10.28515625" style="64" customWidth="1"/>
    <col min="15625" max="15872" width="9.140625" style="64"/>
    <col min="15873" max="15873" width="69.28515625" style="64" customWidth="1"/>
    <col min="15874" max="15874" width="26" style="64" customWidth="1"/>
    <col min="15875" max="15880" width="10.28515625" style="64" customWidth="1"/>
    <col min="15881" max="16128" width="9.140625" style="64"/>
    <col min="16129" max="16129" width="69.28515625" style="64" customWidth="1"/>
    <col min="16130" max="16130" width="26" style="64" customWidth="1"/>
    <col min="16131" max="16136" width="10.28515625" style="64" customWidth="1"/>
    <col min="16137" max="16384" width="9.140625" style="64"/>
  </cols>
  <sheetData>
    <row r="1" spans="1:10" s="61" customFormat="1" x14ac:dyDescent="0.25"/>
    <row r="2" spans="1:10" s="62" customFormat="1" x14ac:dyDescent="0.25"/>
    <row r="3" spans="1:10" s="62" customFormat="1" x14ac:dyDescent="0.25"/>
    <row r="4" spans="1:10" s="62" customFormat="1" x14ac:dyDescent="0.25"/>
    <row r="5" spans="1:10" x14ac:dyDescent="0.25">
      <c r="A5" s="63" t="s">
        <v>184</v>
      </c>
    </row>
    <row r="6" spans="1:10" s="66" customFormat="1" x14ac:dyDescent="0.25">
      <c r="A6" s="65" t="s">
        <v>145</v>
      </c>
      <c r="B6" s="65" t="s">
        <v>146</v>
      </c>
      <c r="C6" s="65" t="s">
        <v>149</v>
      </c>
      <c r="D6" s="65" t="s">
        <v>150</v>
      </c>
      <c r="E6" s="65" t="s">
        <v>151</v>
      </c>
      <c r="F6" s="65" t="s">
        <v>152</v>
      </c>
      <c r="G6" s="65" t="s">
        <v>153</v>
      </c>
      <c r="H6" s="65" t="s">
        <v>154</v>
      </c>
      <c r="J6" s="66" t="s">
        <v>188</v>
      </c>
    </row>
    <row r="7" spans="1:10" x14ac:dyDescent="0.25">
      <c r="A7" s="64" t="s">
        <v>155</v>
      </c>
      <c r="B7" s="64" t="s">
        <v>185</v>
      </c>
      <c r="C7" s="69">
        <v>14686.1</v>
      </c>
      <c r="D7" s="69">
        <v>14893.1</v>
      </c>
      <c r="E7" s="69">
        <v>15944.1</v>
      </c>
      <c r="F7" s="69">
        <v>16809.900000000001</v>
      </c>
      <c r="G7" s="69">
        <v>17565.900000000001</v>
      </c>
      <c r="H7" s="69">
        <v>18293.5</v>
      </c>
      <c r="J7" s="70">
        <f>(H7-C7)/C7</f>
        <v>0.2456336263541716</v>
      </c>
    </row>
    <row r="9" spans="1:10" x14ac:dyDescent="0.25">
      <c r="A9" s="63" t="s">
        <v>175</v>
      </c>
    </row>
    <row r="10" spans="1:10" x14ac:dyDescent="0.25">
      <c r="A10" s="64" t="s">
        <v>177</v>
      </c>
    </row>
    <row r="11" spans="1:10" x14ac:dyDescent="0.25">
      <c r="A11" s="64" t="s">
        <v>178</v>
      </c>
    </row>
    <row r="13" spans="1:10" x14ac:dyDescent="0.25">
      <c r="A13" s="64" t="s">
        <v>186</v>
      </c>
    </row>
    <row r="14" spans="1:10" x14ac:dyDescent="0.25">
      <c r="A14" s="64" t="s">
        <v>180</v>
      </c>
    </row>
    <row r="16" spans="1:10" ht="15" x14ac:dyDescent="0.25">
      <c r="A16" s="27" t="s">
        <v>181</v>
      </c>
    </row>
    <row r="17" spans="1:1" ht="15" x14ac:dyDescent="0.25">
      <c r="A17" s="27" t="s">
        <v>187</v>
      </c>
    </row>
  </sheetData>
  <hyperlinks>
    <hyperlink ref="A17" r:id="rId1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K10" sqref="K10"/>
    </sheetView>
  </sheetViews>
  <sheetFormatPr defaultColWidth="12.5703125" defaultRowHeight="15.75" x14ac:dyDescent="0.25"/>
  <cols>
    <col min="1" max="1" width="23.85546875" style="132" customWidth="1"/>
    <col min="2" max="2" width="13.85546875" style="132" customWidth="1"/>
    <col min="3" max="6" width="12.5703125" style="132"/>
    <col min="7" max="7" width="13.85546875" style="132" customWidth="1"/>
    <col min="8" max="8" width="13.28515625" style="132" customWidth="1"/>
    <col min="9" max="16384" width="12.5703125" style="132"/>
  </cols>
  <sheetData>
    <row r="1" spans="1:9" ht="23.25" x14ac:dyDescent="0.35">
      <c r="A1" s="223" t="s">
        <v>263</v>
      </c>
      <c r="B1" s="223"/>
      <c r="C1" s="223"/>
      <c r="D1" s="223"/>
      <c r="E1" s="223"/>
      <c r="F1" s="223"/>
      <c r="G1" s="223"/>
      <c r="H1" s="223"/>
      <c r="I1" s="223"/>
    </row>
    <row r="3" spans="1:9" x14ac:dyDescent="0.25">
      <c r="A3" s="133"/>
      <c r="B3" s="224" t="s">
        <v>264</v>
      </c>
      <c r="C3" s="225"/>
      <c r="D3" s="225"/>
      <c r="E3" s="226"/>
      <c r="F3" s="133"/>
      <c r="G3" s="133"/>
      <c r="H3" s="230"/>
      <c r="I3" s="232"/>
    </row>
    <row r="4" spans="1:9" x14ac:dyDescent="0.25">
      <c r="A4" s="134" t="s">
        <v>265</v>
      </c>
      <c r="B4" s="227"/>
      <c r="C4" s="228"/>
      <c r="D4" s="228"/>
      <c r="E4" s="229"/>
      <c r="F4" s="134"/>
      <c r="G4" s="134"/>
      <c r="H4" s="231"/>
      <c r="I4" s="233"/>
    </row>
    <row r="5" spans="1:9" x14ac:dyDescent="0.25">
      <c r="A5" s="135"/>
      <c r="B5" s="234" t="s">
        <v>266</v>
      </c>
      <c r="C5" s="235"/>
      <c r="D5" s="235" t="s">
        <v>267</v>
      </c>
      <c r="E5" s="236"/>
      <c r="F5" s="136" t="s">
        <v>268</v>
      </c>
      <c r="G5" s="136" t="s">
        <v>269</v>
      </c>
      <c r="H5" s="136" t="s">
        <v>270</v>
      </c>
      <c r="I5" s="137" t="s">
        <v>271</v>
      </c>
    </row>
    <row r="6" spans="1:9" ht="15" customHeight="1" x14ac:dyDescent="0.25">
      <c r="A6" s="250" t="s">
        <v>272</v>
      </c>
      <c r="B6" s="253" t="s">
        <v>273</v>
      </c>
      <c r="C6" s="254"/>
      <c r="D6" s="254"/>
      <c r="E6" s="255"/>
      <c r="F6" s="259"/>
      <c r="G6" s="239"/>
      <c r="H6" s="237" t="s">
        <v>274</v>
      </c>
      <c r="I6" s="239"/>
    </row>
    <row r="7" spans="1:9" x14ac:dyDescent="0.25">
      <c r="A7" s="251"/>
      <c r="B7" s="241"/>
      <c r="C7" s="242"/>
      <c r="D7" s="242"/>
      <c r="E7" s="243"/>
      <c r="F7" s="260"/>
      <c r="G7" s="240"/>
      <c r="H7" s="238"/>
      <c r="I7" s="240"/>
    </row>
    <row r="8" spans="1:9" x14ac:dyDescent="0.25">
      <c r="A8" s="251"/>
      <c r="B8" s="241" t="s">
        <v>275</v>
      </c>
      <c r="C8" s="242"/>
      <c r="D8" s="242"/>
      <c r="E8" s="243"/>
      <c r="F8" s="138"/>
      <c r="G8" s="139"/>
      <c r="H8" s="139"/>
      <c r="I8" s="140" t="s">
        <v>274</v>
      </c>
    </row>
    <row r="9" spans="1:9" x14ac:dyDescent="0.25">
      <c r="A9" s="251"/>
      <c r="B9" s="244" t="s">
        <v>276</v>
      </c>
      <c r="C9" s="245"/>
      <c r="D9" s="245"/>
      <c r="E9" s="246"/>
      <c r="F9" s="141"/>
      <c r="G9" s="141"/>
      <c r="H9" s="139"/>
      <c r="I9" s="140" t="s">
        <v>274</v>
      </c>
    </row>
    <row r="10" spans="1:9" x14ac:dyDescent="0.25">
      <c r="A10" s="251"/>
      <c r="B10" s="244" t="s">
        <v>277</v>
      </c>
      <c r="C10" s="245"/>
      <c r="D10" s="245"/>
      <c r="E10" s="246"/>
      <c r="F10" s="141"/>
      <c r="G10" s="139" t="s">
        <v>274</v>
      </c>
      <c r="H10" s="139"/>
      <c r="I10" s="140"/>
    </row>
    <row r="11" spans="1:9" ht="18" customHeight="1" x14ac:dyDescent="0.25">
      <c r="A11" s="251"/>
      <c r="B11" s="244" t="s">
        <v>278</v>
      </c>
      <c r="C11" s="245"/>
      <c r="D11" s="245"/>
      <c r="E11" s="246"/>
      <c r="F11" s="141"/>
      <c r="G11" s="139"/>
      <c r="H11" s="139" t="s">
        <v>274</v>
      </c>
      <c r="I11" s="140"/>
    </row>
    <row r="12" spans="1:9" ht="18" customHeight="1" x14ac:dyDescent="0.25">
      <c r="A12" s="252"/>
      <c r="B12" s="247" t="s">
        <v>279</v>
      </c>
      <c r="C12" s="248"/>
      <c r="D12" s="248"/>
      <c r="E12" s="249"/>
      <c r="F12" s="142"/>
      <c r="G12" s="139"/>
      <c r="H12" s="143" t="s">
        <v>274</v>
      </c>
      <c r="I12" s="139"/>
    </row>
    <row r="13" spans="1:9" ht="15.75" customHeight="1" x14ac:dyDescent="0.25">
      <c r="A13" s="250" t="s">
        <v>280</v>
      </c>
      <c r="B13" s="253" t="s">
        <v>281</v>
      </c>
      <c r="C13" s="254"/>
      <c r="D13" s="254"/>
      <c r="E13" s="255"/>
      <c r="F13" s="239"/>
      <c r="G13" s="239"/>
      <c r="H13" s="239"/>
      <c r="I13" s="261" t="s">
        <v>274</v>
      </c>
    </row>
    <row r="14" spans="1:9" ht="15" customHeight="1" x14ac:dyDescent="0.25">
      <c r="A14" s="251"/>
      <c r="B14" s="241"/>
      <c r="C14" s="242"/>
      <c r="D14" s="242"/>
      <c r="E14" s="243"/>
      <c r="F14" s="240"/>
      <c r="G14" s="240"/>
      <c r="H14" s="240"/>
      <c r="I14" s="262"/>
    </row>
    <row r="15" spans="1:9" x14ac:dyDescent="0.25">
      <c r="A15" s="251"/>
      <c r="B15" s="241" t="s">
        <v>282</v>
      </c>
      <c r="C15" s="242"/>
      <c r="D15" s="242"/>
      <c r="E15" s="243"/>
      <c r="F15" s="240"/>
      <c r="G15" s="240"/>
      <c r="H15" s="240"/>
      <c r="I15" s="263" t="s">
        <v>274</v>
      </c>
    </row>
    <row r="16" spans="1:9" ht="15.75" customHeight="1" x14ac:dyDescent="0.25">
      <c r="A16" s="251"/>
      <c r="B16" s="241"/>
      <c r="C16" s="242"/>
      <c r="D16" s="242"/>
      <c r="E16" s="243"/>
      <c r="F16" s="240"/>
      <c r="G16" s="240"/>
      <c r="H16" s="240"/>
      <c r="I16" s="263"/>
    </row>
    <row r="17" spans="1:9" ht="18.75" customHeight="1" x14ac:dyDescent="0.25">
      <c r="A17" s="252"/>
      <c r="B17" s="256" t="s">
        <v>279</v>
      </c>
      <c r="C17" s="257"/>
      <c r="D17" s="257"/>
      <c r="E17" s="258"/>
      <c r="F17" s="144"/>
      <c r="G17" s="145"/>
      <c r="H17" s="144"/>
      <c r="I17" s="146" t="s">
        <v>274</v>
      </c>
    </row>
    <row r="18" spans="1:9" x14ac:dyDescent="0.25">
      <c r="A18" s="250" t="s">
        <v>283</v>
      </c>
      <c r="B18" s="264" t="s">
        <v>284</v>
      </c>
      <c r="C18" s="265"/>
      <c r="D18" s="265"/>
      <c r="E18" s="266"/>
      <c r="F18" s="147"/>
      <c r="G18" s="148" t="s">
        <v>274</v>
      </c>
      <c r="H18" s="147"/>
      <c r="I18" s="147"/>
    </row>
    <row r="19" spans="1:9" x14ac:dyDescent="0.25">
      <c r="A19" s="251"/>
      <c r="B19" s="244" t="s">
        <v>285</v>
      </c>
      <c r="C19" s="245"/>
      <c r="D19" s="245"/>
      <c r="E19" s="246"/>
      <c r="F19" s="139"/>
      <c r="G19" s="139"/>
      <c r="H19" s="149" t="s">
        <v>274</v>
      </c>
      <c r="I19" s="139"/>
    </row>
    <row r="20" spans="1:9" x14ac:dyDescent="0.25">
      <c r="A20" s="251"/>
      <c r="B20" s="244" t="s">
        <v>286</v>
      </c>
      <c r="C20" s="245"/>
      <c r="D20" s="245"/>
      <c r="E20" s="246"/>
      <c r="F20" s="139"/>
      <c r="G20" s="139"/>
      <c r="H20" s="139"/>
      <c r="I20" s="139" t="s">
        <v>274</v>
      </c>
    </row>
    <row r="21" spans="1:9" x14ac:dyDescent="0.25">
      <c r="A21" s="251"/>
      <c r="B21" s="267" t="s">
        <v>287</v>
      </c>
      <c r="C21" s="268"/>
      <c r="D21" s="268"/>
      <c r="E21" s="269"/>
      <c r="F21" s="142"/>
      <c r="G21" s="142"/>
      <c r="H21" s="149" t="s">
        <v>274</v>
      </c>
      <c r="I21" s="142"/>
    </row>
    <row r="22" spans="1:9" ht="15" customHeight="1" x14ac:dyDescent="0.25">
      <c r="A22" s="252"/>
      <c r="B22" s="270" t="s">
        <v>288</v>
      </c>
      <c r="C22" s="271"/>
      <c r="D22" s="271"/>
      <c r="E22" s="272"/>
      <c r="F22" s="150"/>
      <c r="G22" s="150"/>
      <c r="H22" s="151" t="s">
        <v>274</v>
      </c>
      <c r="I22" s="150"/>
    </row>
    <row r="23" spans="1:9" x14ac:dyDescent="0.25">
      <c r="A23" s="250" t="s">
        <v>289</v>
      </c>
      <c r="B23" s="273" t="s">
        <v>290</v>
      </c>
      <c r="C23" s="274"/>
      <c r="D23" s="274"/>
      <c r="E23" s="275"/>
      <c r="F23" s="152"/>
      <c r="G23" s="152"/>
      <c r="H23" s="152"/>
      <c r="I23" s="152" t="s">
        <v>274</v>
      </c>
    </row>
    <row r="24" spans="1:9" ht="15" customHeight="1" x14ac:dyDescent="0.25">
      <c r="A24" s="252"/>
      <c r="B24" s="247" t="s">
        <v>288</v>
      </c>
      <c r="C24" s="248"/>
      <c r="D24" s="248"/>
      <c r="E24" s="249"/>
      <c r="F24" s="140"/>
      <c r="G24" s="139"/>
      <c r="H24" s="139"/>
      <c r="I24" s="153" t="s">
        <v>274</v>
      </c>
    </row>
    <row r="25" spans="1:9" ht="15" customHeight="1" x14ac:dyDescent="0.25">
      <c r="A25" s="250" t="s">
        <v>291</v>
      </c>
      <c r="B25" s="276" t="s">
        <v>292</v>
      </c>
      <c r="C25" s="277"/>
      <c r="D25" s="277"/>
      <c r="E25" s="277"/>
      <c r="F25" s="152"/>
      <c r="G25" s="152" t="s">
        <v>274</v>
      </c>
      <c r="H25" s="152"/>
      <c r="I25" s="154"/>
    </row>
    <row r="26" spans="1:9" ht="15.75" customHeight="1" x14ac:dyDescent="0.25">
      <c r="A26" s="251"/>
      <c r="B26" s="278" t="s">
        <v>293</v>
      </c>
      <c r="C26" s="279"/>
      <c r="D26" s="279"/>
      <c r="E26" s="280"/>
      <c r="F26" s="139"/>
      <c r="G26" s="149"/>
      <c r="H26" s="139" t="s">
        <v>274</v>
      </c>
      <c r="I26" s="140"/>
    </row>
    <row r="27" spans="1:9" x14ac:dyDescent="0.25">
      <c r="A27" s="251"/>
      <c r="B27" s="244" t="s">
        <v>294</v>
      </c>
      <c r="C27" s="245"/>
      <c r="D27" s="245"/>
      <c r="E27" s="246"/>
      <c r="F27" s="139"/>
      <c r="G27" s="139" t="s">
        <v>274</v>
      </c>
      <c r="H27" s="139"/>
      <c r="I27" s="140"/>
    </row>
    <row r="28" spans="1:9" x14ac:dyDescent="0.25">
      <c r="A28" s="252"/>
      <c r="B28" s="270" t="s">
        <v>288</v>
      </c>
      <c r="C28" s="271"/>
      <c r="D28" s="271"/>
      <c r="E28" s="272"/>
      <c r="F28" s="150"/>
      <c r="G28" s="155" t="s">
        <v>274</v>
      </c>
      <c r="H28" s="150"/>
      <c r="I28" s="156"/>
    </row>
    <row r="29" spans="1:9" x14ac:dyDescent="0.25">
      <c r="A29" s="250" t="s">
        <v>295</v>
      </c>
      <c r="B29" s="281" t="s">
        <v>296</v>
      </c>
      <c r="C29" s="282"/>
      <c r="D29" s="282"/>
      <c r="E29" s="283"/>
      <c r="F29" s="140"/>
      <c r="G29" s="139"/>
      <c r="H29" s="139"/>
      <c r="I29" s="140" t="s">
        <v>274</v>
      </c>
    </row>
    <row r="30" spans="1:9" x14ac:dyDescent="0.25">
      <c r="A30" s="251"/>
      <c r="B30" s="284" t="s">
        <v>297</v>
      </c>
      <c r="C30" s="285"/>
      <c r="D30" s="285"/>
      <c r="E30" s="286"/>
      <c r="F30" s="140"/>
      <c r="G30" s="139"/>
      <c r="H30" s="139"/>
      <c r="I30" s="157" t="s">
        <v>274</v>
      </c>
    </row>
    <row r="31" spans="1:9" x14ac:dyDescent="0.25">
      <c r="A31" s="252"/>
      <c r="B31" s="256" t="s">
        <v>288</v>
      </c>
      <c r="C31" s="257"/>
      <c r="D31" s="257"/>
      <c r="E31" s="258"/>
      <c r="F31" s="150"/>
      <c r="G31" s="150"/>
      <c r="H31" s="150"/>
      <c r="I31" s="146" t="s">
        <v>274</v>
      </c>
    </row>
    <row r="32" spans="1:9" x14ac:dyDescent="0.25">
      <c r="A32" s="250" t="s">
        <v>298</v>
      </c>
      <c r="B32" s="264" t="s">
        <v>299</v>
      </c>
      <c r="C32" s="265"/>
      <c r="D32" s="265"/>
      <c r="E32" s="266"/>
      <c r="F32" s="140"/>
      <c r="G32" s="139"/>
      <c r="H32" s="139" t="s">
        <v>274</v>
      </c>
      <c r="I32" s="140"/>
    </row>
    <row r="33" spans="1:9" x14ac:dyDescent="0.25">
      <c r="A33" s="251"/>
      <c r="B33" s="244" t="s">
        <v>300</v>
      </c>
      <c r="C33" s="245"/>
      <c r="D33" s="245"/>
      <c r="E33" s="246"/>
      <c r="F33" s="139"/>
      <c r="G33" s="139"/>
      <c r="H33" s="139"/>
      <c r="I33" s="140" t="s">
        <v>274</v>
      </c>
    </row>
    <row r="34" spans="1:9" x14ac:dyDescent="0.25">
      <c r="A34" s="251"/>
      <c r="B34" s="244" t="s">
        <v>301</v>
      </c>
      <c r="C34" s="245"/>
      <c r="D34" s="245"/>
      <c r="E34" s="246"/>
      <c r="F34" s="139"/>
      <c r="G34" s="139" t="s">
        <v>274</v>
      </c>
      <c r="H34" s="139"/>
      <c r="I34" s="140"/>
    </row>
    <row r="35" spans="1:9" ht="15" customHeight="1" x14ac:dyDescent="0.25">
      <c r="A35" s="252"/>
      <c r="B35" s="287" t="s">
        <v>288</v>
      </c>
      <c r="C35" s="288"/>
      <c r="D35" s="288"/>
      <c r="E35" s="289"/>
      <c r="F35" s="150"/>
      <c r="G35" s="145"/>
      <c r="H35" s="158" t="s">
        <v>274</v>
      </c>
      <c r="I35" s="156"/>
    </row>
    <row r="36" spans="1:9" x14ac:dyDescent="0.25">
      <c r="A36" s="295" t="s">
        <v>302</v>
      </c>
      <c r="B36" s="298" t="s">
        <v>303</v>
      </c>
      <c r="C36" s="293"/>
      <c r="D36" s="293"/>
      <c r="E36" s="294"/>
      <c r="F36" s="152" t="s">
        <v>274</v>
      </c>
      <c r="G36" s="152"/>
      <c r="H36" s="152"/>
      <c r="I36" s="154"/>
    </row>
    <row r="37" spans="1:9" x14ac:dyDescent="0.25">
      <c r="A37" s="296"/>
      <c r="B37" s="290" t="s">
        <v>304</v>
      </c>
      <c r="C37" s="291"/>
      <c r="D37" s="291"/>
      <c r="E37" s="292"/>
      <c r="F37" s="139"/>
      <c r="G37" s="159" t="s">
        <v>274</v>
      </c>
      <c r="H37" s="139"/>
      <c r="I37" s="140"/>
    </row>
    <row r="38" spans="1:9" x14ac:dyDescent="0.25">
      <c r="A38" s="296"/>
      <c r="B38" s="290" t="s">
        <v>305</v>
      </c>
      <c r="C38" s="291"/>
      <c r="D38" s="291"/>
      <c r="E38" s="292"/>
      <c r="F38" s="139" t="s">
        <v>274</v>
      </c>
      <c r="G38" s="139"/>
      <c r="H38" s="139"/>
      <c r="I38" s="140"/>
    </row>
    <row r="39" spans="1:9" x14ac:dyDescent="0.25">
      <c r="A39" s="297"/>
      <c r="B39" s="287" t="s">
        <v>288</v>
      </c>
      <c r="C39" s="288"/>
      <c r="D39" s="288"/>
      <c r="E39" s="289"/>
      <c r="F39" s="151" t="s">
        <v>274</v>
      </c>
      <c r="G39" s="150"/>
      <c r="H39" s="145"/>
      <c r="I39" s="156"/>
    </row>
    <row r="40" spans="1:9" ht="15.75" customHeight="1" x14ac:dyDescent="0.25">
      <c r="A40" s="250" t="s">
        <v>306</v>
      </c>
      <c r="B40" s="293" t="s">
        <v>307</v>
      </c>
      <c r="C40" s="293"/>
      <c r="D40" s="293"/>
      <c r="E40" s="294"/>
      <c r="F40" s="160"/>
      <c r="G40" s="160"/>
      <c r="H40" s="160"/>
      <c r="I40" s="154" t="s">
        <v>274</v>
      </c>
    </row>
    <row r="41" spans="1:9" x14ac:dyDescent="0.25">
      <c r="A41" s="251"/>
      <c r="B41" s="244" t="s">
        <v>308</v>
      </c>
      <c r="C41" s="245"/>
      <c r="D41" s="245"/>
      <c r="E41" s="246"/>
      <c r="F41" s="141"/>
      <c r="G41" s="141"/>
      <c r="H41" s="149" t="s">
        <v>274</v>
      </c>
      <c r="I41" s="161"/>
    </row>
    <row r="42" spans="1:9" x14ac:dyDescent="0.25">
      <c r="A42" s="252"/>
      <c r="B42" s="256" t="s">
        <v>288</v>
      </c>
      <c r="C42" s="257"/>
      <c r="D42" s="257"/>
      <c r="E42" s="258"/>
      <c r="F42" s="144"/>
      <c r="G42" s="144"/>
      <c r="H42" s="144"/>
      <c r="I42" s="146" t="s">
        <v>274</v>
      </c>
    </row>
  </sheetData>
  <mergeCells count="61">
    <mergeCell ref="B38:E38"/>
    <mergeCell ref="B39:E39"/>
    <mergeCell ref="A40:A42"/>
    <mergeCell ref="B40:E40"/>
    <mergeCell ref="B41:E41"/>
    <mergeCell ref="B42:E42"/>
    <mergeCell ref="A36:A39"/>
    <mergeCell ref="B36:E36"/>
    <mergeCell ref="B37:E37"/>
    <mergeCell ref="A29:A31"/>
    <mergeCell ref="B29:E29"/>
    <mergeCell ref="B30:E30"/>
    <mergeCell ref="B31:E31"/>
    <mergeCell ref="A32:A35"/>
    <mergeCell ref="B32:E32"/>
    <mergeCell ref="B33:E33"/>
    <mergeCell ref="B34:E34"/>
    <mergeCell ref="B35:E35"/>
    <mergeCell ref="A23:A24"/>
    <mergeCell ref="B23:E23"/>
    <mergeCell ref="B24:E24"/>
    <mergeCell ref="A25:A28"/>
    <mergeCell ref="B25:E25"/>
    <mergeCell ref="B26:E26"/>
    <mergeCell ref="B27:E27"/>
    <mergeCell ref="B28:E28"/>
    <mergeCell ref="A18:A22"/>
    <mergeCell ref="B18:E18"/>
    <mergeCell ref="B19:E19"/>
    <mergeCell ref="B20:E20"/>
    <mergeCell ref="B21:E21"/>
    <mergeCell ref="B22:E22"/>
    <mergeCell ref="I13:I14"/>
    <mergeCell ref="B15:E16"/>
    <mergeCell ref="F15:F16"/>
    <mergeCell ref="G15:G16"/>
    <mergeCell ref="H15:H16"/>
    <mergeCell ref="I15:I16"/>
    <mergeCell ref="H13:H14"/>
    <mergeCell ref="B12:E12"/>
    <mergeCell ref="A13:A17"/>
    <mergeCell ref="B13:E14"/>
    <mergeCell ref="F13:F14"/>
    <mergeCell ref="G13:G14"/>
    <mergeCell ref="B17:E17"/>
    <mergeCell ref="A6:A12"/>
    <mergeCell ref="B6:E7"/>
    <mergeCell ref="F6:F7"/>
    <mergeCell ref="G6:G7"/>
    <mergeCell ref="B11:E11"/>
    <mergeCell ref="H6:H7"/>
    <mergeCell ref="I6:I7"/>
    <mergeCell ref="B8:E8"/>
    <mergeCell ref="B9:E9"/>
    <mergeCell ref="B10:E10"/>
    <mergeCell ref="B3:E4"/>
    <mergeCell ref="H3:H4"/>
    <mergeCell ref="I3:I4"/>
    <mergeCell ref="B5:C5"/>
    <mergeCell ref="D5:E5"/>
    <mergeCell ref="A1:I1"/>
  </mergeCells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19" sqref="B19"/>
    </sheetView>
  </sheetViews>
  <sheetFormatPr defaultRowHeight="15" x14ac:dyDescent="0.25"/>
  <cols>
    <col min="1" max="1" width="14.5703125" customWidth="1"/>
    <col min="2" max="2" width="35.7109375" customWidth="1"/>
    <col min="3" max="3" width="14.7109375" customWidth="1"/>
    <col min="4" max="4" width="11.28515625" bestFit="1" customWidth="1"/>
    <col min="6" max="6" width="19.28515625" customWidth="1"/>
    <col min="8" max="8" width="26.5703125" bestFit="1" customWidth="1"/>
  </cols>
  <sheetData>
    <row r="1" spans="2:16" x14ac:dyDescent="0.25">
      <c r="D1" s="129" t="s">
        <v>309</v>
      </c>
      <c r="F1" s="129" t="s">
        <v>310</v>
      </c>
      <c r="H1" s="11" t="s">
        <v>311</v>
      </c>
    </row>
    <row r="2" spans="2:16" x14ac:dyDescent="0.25">
      <c r="F2" s="130"/>
    </row>
    <row r="3" spans="2:16" x14ac:dyDescent="0.25">
      <c r="B3" t="s">
        <v>312</v>
      </c>
      <c r="D3" s="162">
        <v>7.5999999999999998E-2</v>
      </c>
      <c r="F3" s="162">
        <v>7.5999999999999998E-2</v>
      </c>
      <c r="H3" s="162">
        <v>7.5999999999999998E-2</v>
      </c>
    </row>
    <row r="4" spans="2:16" x14ac:dyDescent="0.25">
      <c r="B4" t="s">
        <v>313</v>
      </c>
      <c r="D4" s="162">
        <v>0.11700000000000001</v>
      </c>
      <c r="F4" s="162">
        <v>0.11700000000000001</v>
      </c>
      <c r="H4" s="162">
        <v>0.11700000000000001</v>
      </c>
    </row>
    <row r="5" spans="2:16" x14ac:dyDescent="0.25">
      <c r="B5" t="s">
        <v>314</v>
      </c>
      <c r="D5" s="162">
        <v>1</v>
      </c>
      <c r="F5" s="162">
        <v>0.6</v>
      </c>
      <c r="H5" s="162">
        <v>0.35</v>
      </c>
    </row>
    <row r="6" spans="2:16" x14ac:dyDescent="0.25">
      <c r="D6" s="163"/>
      <c r="F6" s="163"/>
      <c r="H6" s="163"/>
    </row>
    <row r="7" spans="2:16" x14ac:dyDescent="0.25">
      <c r="B7" t="s">
        <v>315</v>
      </c>
      <c r="D7" s="162">
        <v>2.575E-3</v>
      </c>
      <c r="F7" s="162">
        <v>2.5999999999999999E-3</v>
      </c>
      <c r="H7" s="162">
        <v>2.5999999999999999E-3</v>
      </c>
      <c r="I7" t="s">
        <v>316</v>
      </c>
    </row>
    <row r="8" spans="2:16" x14ac:dyDescent="0.25">
      <c r="B8" t="s">
        <v>317</v>
      </c>
      <c r="D8" s="48">
        <f>D3*D4*D5</f>
        <v>8.8920000000000006E-3</v>
      </c>
      <c r="F8" s="48">
        <f>F3*F4*F5</f>
        <v>5.3352E-3</v>
      </c>
      <c r="G8" s="48"/>
      <c r="H8" s="48">
        <f t="shared" ref="H8" si="0">H3*H4*H5</f>
        <v>3.1121999999999999E-3</v>
      </c>
    </row>
    <row r="9" spans="2:16" x14ac:dyDescent="0.25">
      <c r="B9" t="s">
        <v>318</v>
      </c>
      <c r="D9" s="44">
        <v>3.5000000000000003E-2</v>
      </c>
      <c r="F9" s="44">
        <v>3.5000000000000003E-2</v>
      </c>
      <c r="H9" s="44">
        <v>3.5000000000000003E-2</v>
      </c>
      <c r="I9" t="s">
        <v>319</v>
      </c>
      <c r="J9" t="s">
        <v>320</v>
      </c>
    </row>
    <row r="10" spans="2:16" x14ac:dyDescent="0.25">
      <c r="B10" s="12" t="s">
        <v>321</v>
      </c>
      <c r="C10" s="12"/>
      <c r="D10" s="164">
        <v>1.6E-2</v>
      </c>
      <c r="E10" s="49"/>
      <c r="F10" s="164">
        <v>1.6E-2</v>
      </c>
      <c r="G10" s="49"/>
      <c r="H10" s="164">
        <v>1.6E-2</v>
      </c>
      <c r="I10" s="18" t="s">
        <v>322</v>
      </c>
      <c r="J10" s="18"/>
      <c r="K10" s="18"/>
      <c r="L10" s="18"/>
      <c r="M10" s="18"/>
      <c r="N10" s="18"/>
      <c r="O10" s="18"/>
      <c r="P10" s="18"/>
    </row>
    <row r="11" spans="2:16" x14ac:dyDescent="0.25">
      <c r="B11" s="165" t="s">
        <v>323</v>
      </c>
      <c r="C11" s="166"/>
      <c r="D11" s="167">
        <f>D7+D8+D9+D10</f>
        <v>6.2467000000000009E-2</v>
      </c>
      <c r="E11" s="166"/>
      <c r="F11" s="167">
        <f>F7+F8+F9+F10</f>
        <v>5.8935200000000007E-2</v>
      </c>
      <c r="G11" s="166"/>
      <c r="H11" s="167">
        <f>H7+H8+H9+H10</f>
        <v>5.6712200000000004E-2</v>
      </c>
    </row>
    <row r="12" spans="2:16" x14ac:dyDescent="0.25">
      <c r="D12" s="168"/>
      <c r="E12" s="27"/>
      <c r="F12" s="168"/>
      <c r="G12" s="27"/>
      <c r="H12" s="168"/>
    </row>
    <row r="13" spans="2:16" x14ac:dyDescent="0.25">
      <c r="B13" t="s">
        <v>324</v>
      </c>
      <c r="D13" s="44">
        <v>0.09</v>
      </c>
      <c r="F13" s="44">
        <v>6.8000000000000005E-2</v>
      </c>
      <c r="G13" s="72"/>
      <c r="H13" s="44">
        <v>0.06</v>
      </c>
    </row>
    <row r="14" spans="2:16" x14ac:dyDescent="0.25">
      <c r="B14" t="s">
        <v>325</v>
      </c>
      <c r="D14" s="116">
        <f>60000*D5</f>
        <v>60000</v>
      </c>
      <c r="E14" s="116"/>
      <c r="F14" s="116">
        <f>60000*F5</f>
        <v>36000</v>
      </c>
      <c r="G14" s="116"/>
      <c r="H14" s="116">
        <f>60000*H5</f>
        <v>21000</v>
      </c>
    </row>
    <row r="15" spans="2:16" x14ac:dyDescent="0.25">
      <c r="B15" t="s">
        <v>326</v>
      </c>
      <c r="D15" s="176">
        <f>(D13-D11)*D14</f>
        <v>1651.9799999999993</v>
      </c>
      <c r="E15" s="176"/>
      <c r="F15" s="176">
        <f t="shared" ref="F15:H15" si="1">(F13-F11)*F14</f>
        <v>326.33279999999991</v>
      </c>
      <c r="G15" s="176"/>
      <c r="H15" s="176">
        <f t="shared" si="1"/>
        <v>69.043799999999862</v>
      </c>
    </row>
    <row r="16" spans="2:16" x14ac:dyDescent="0.25">
      <c r="D16" s="116"/>
      <c r="F16" s="116"/>
      <c r="H16" s="116"/>
    </row>
    <row r="17" spans="1:13" x14ac:dyDescent="0.25">
      <c r="D17" s="116"/>
      <c r="F17" s="116"/>
      <c r="H17" s="116"/>
    </row>
    <row r="18" spans="1:13" x14ac:dyDescent="0.25">
      <c r="A18" s="18"/>
      <c r="B18" s="169"/>
      <c r="C18" s="18"/>
      <c r="D18" s="18"/>
      <c r="E18" s="18"/>
      <c r="F18" s="18"/>
      <c r="G18" s="18"/>
      <c r="H18" s="18"/>
      <c r="I18" s="18"/>
      <c r="J18" s="18"/>
    </row>
    <row r="19" spans="1:13" x14ac:dyDescent="0.25">
      <c r="A19" s="18"/>
      <c r="B19" s="169"/>
      <c r="C19" s="170"/>
      <c r="D19" s="169"/>
      <c r="E19" s="170"/>
      <c r="F19" s="18"/>
      <c r="G19" s="18"/>
      <c r="H19" s="18"/>
      <c r="I19" s="18"/>
      <c r="J19" s="18"/>
    </row>
    <row r="20" spans="1:13" x14ac:dyDescent="0.25">
      <c r="A20" s="18"/>
      <c r="B20" s="169"/>
      <c r="C20" s="170"/>
      <c r="D20" s="169"/>
      <c r="E20" s="170"/>
      <c r="F20" s="37"/>
      <c r="G20" s="171"/>
      <c r="H20" s="37"/>
      <c r="I20" s="18"/>
      <c r="J20" s="18"/>
      <c r="K20" s="18"/>
      <c r="L20" s="18"/>
      <c r="M20" s="18"/>
    </row>
    <row r="21" spans="1:13" x14ac:dyDescent="0.25">
      <c r="A21" s="18"/>
      <c r="B21" s="169"/>
      <c r="C21" s="170"/>
      <c r="D21" s="18"/>
      <c r="E21" s="172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8"/>
      <c r="B22" s="173"/>
      <c r="C22" s="174"/>
      <c r="D22" s="18"/>
      <c r="E22" s="171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18"/>
      <c r="B23" s="169"/>
      <c r="C23" s="170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18"/>
      <c r="B25" s="169"/>
      <c r="C25" s="18"/>
      <c r="D25" s="18"/>
      <c r="E25" s="175"/>
      <c r="F25" s="18"/>
      <c r="G25" s="175"/>
      <c r="H25" s="18"/>
      <c r="I25" s="175"/>
      <c r="J25" s="18"/>
      <c r="K25" s="18"/>
      <c r="L25" s="18"/>
      <c r="M25" s="18"/>
    </row>
    <row r="26" spans="1:13" x14ac:dyDescent="0.25">
      <c r="A26" s="18"/>
      <c r="B26" s="16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5">
      <c r="A27" s="18"/>
      <c r="B27" s="169"/>
      <c r="C27" s="18"/>
      <c r="D27" s="18"/>
      <c r="E27" s="18"/>
      <c r="F27" s="18"/>
      <c r="G27" s="18"/>
      <c r="H27" s="18"/>
      <c r="I27" s="18"/>
      <c r="J27" s="18"/>
    </row>
    <row r="28" spans="1:13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3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Regnskab og nøgletal</vt:lpstr>
      <vt:lpstr>Budgetter</vt:lpstr>
      <vt:lpstr>ICGR</vt:lpstr>
      <vt:lpstr>Forbrugertillidsindikator</vt:lpstr>
      <vt:lpstr>BNP pr. indbygger</vt:lpstr>
      <vt:lpstr>Markedsandele</vt:lpstr>
      <vt:lpstr>Udvikling i branchen</vt:lpstr>
      <vt:lpstr>Styrkeprofil</vt:lpstr>
      <vt:lpstr>Finansielle omkostninger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Davidsen</dc:creator>
  <cp:lastModifiedBy>Kia Ehrenreich</cp:lastModifiedBy>
  <dcterms:created xsi:type="dcterms:W3CDTF">2015-11-17T08:55:53Z</dcterms:created>
  <dcterms:modified xsi:type="dcterms:W3CDTF">2015-11-27T05:31:48Z</dcterms:modified>
</cp:coreProperties>
</file>