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m362168\OneDrive\Projetos\Ilhas\"/>
    </mc:Choice>
  </mc:AlternateContent>
  <bookViews>
    <workbookView xWindow="0" yWindow="0" windowWidth="28800" windowHeight="12360" tabRatio="739" activeTab="3"/>
  </bookViews>
  <sheets>
    <sheet name="CONFIG" sheetId="9" r:id="rId1"/>
    <sheet name="CAESB" sheetId="1" r:id="rId2"/>
    <sheet name="Conta - CAESB" sheetId="17" r:id="rId3"/>
    <sheet name="ANÁLISE" sheetId="19" r:id="rId4"/>
    <sheet name="Distribuição" sheetId="14" r:id="rId5"/>
    <sheet name="Leitura de Hidrômetro" sheetId="2" r:id="rId6"/>
    <sheet name="Dezembro (Anterior)" sheetId="8" r:id="rId7"/>
    <sheet name="Janeiro" sheetId="10" r:id="rId8"/>
    <sheet name="Fevereiro" sheetId="11" r:id="rId9"/>
    <sheet name="Março" sheetId="12" r:id="rId10"/>
    <sheet name="Abril" sheetId="20" r:id="rId11"/>
    <sheet name="Maio" sheetId="21" r:id="rId12"/>
    <sheet name="Junho" sheetId="22" r:id="rId13"/>
    <sheet name="Julho" sheetId="23" r:id="rId14"/>
    <sheet name="Agosto" sheetId="24" r:id="rId15"/>
    <sheet name="Setembro" sheetId="25" r:id="rId16"/>
    <sheet name="Outubro" sheetId="26" r:id="rId17"/>
    <sheet name="Novembro" sheetId="27" r:id="rId18"/>
    <sheet name="Dezembro" sheetId="29" r:id="rId19"/>
  </sheets>
  <definedNames>
    <definedName name="ALERTA_GERAL">CONFIG!$B$4</definedName>
    <definedName name="ALERTA_INDIVIDUAL">CONFIG!$B$3</definedName>
    <definedName name="lst_mes">#REF!</definedName>
    <definedName name="lst_mesreferencia">tbl_contacaesb[Mês Referencia]</definedName>
    <definedName name="MINIMO_CAESB">CONFIG!$B$5</definedName>
    <definedName name="QTD_APTO">CONFIG!$B$2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7" l="1"/>
  <c r="E6" i="17"/>
  <c r="E7" i="17"/>
  <c r="E8" i="17"/>
  <c r="E9" i="17"/>
  <c r="E10" i="17"/>
  <c r="E11" i="17"/>
  <c r="E12" i="17"/>
  <c r="E13" i="17"/>
  <c r="E14" i="17"/>
  <c r="E4" i="17"/>
  <c r="E3" i="17"/>
  <c r="C2" i="9" l="1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46" i="26"/>
  <c r="G45" i="26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46" i="29"/>
  <c r="G45" i="29"/>
  <c r="G44" i="29"/>
  <c r="G43" i="29"/>
  <c r="G42" i="29"/>
  <c r="G41" i="29"/>
  <c r="G40" i="29"/>
  <c r="G39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E46" i="29"/>
  <c r="D46" i="29"/>
  <c r="C46" i="29"/>
  <c r="B46" i="29"/>
  <c r="A46" i="29"/>
  <c r="E45" i="29"/>
  <c r="D45" i="29"/>
  <c r="C45" i="29"/>
  <c r="B45" i="29"/>
  <c r="A45" i="29"/>
  <c r="E44" i="29"/>
  <c r="D44" i="29"/>
  <c r="C44" i="29"/>
  <c r="B44" i="29"/>
  <c r="A44" i="29"/>
  <c r="E43" i="29"/>
  <c r="D43" i="29"/>
  <c r="C43" i="29"/>
  <c r="B43" i="29"/>
  <c r="A43" i="29"/>
  <c r="E42" i="29"/>
  <c r="D42" i="29"/>
  <c r="C42" i="29"/>
  <c r="B42" i="29"/>
  <c r="A42" i="29"/>
  <c r="E41" i="29"/>
  <c r="D41" i="29"/>
  <c r="C41" i="29"/>
  <c r="B41" i="29"/>
  <c r="A41" i="29"/>
  <c r="E40" i="29"/>
  <c r="D40" i="29"/>
  <c r="C40" i="29"/>
  <c r="B40" i="29"/>
  <c r="A40" i="29"/>
  <c r="E39" i="29"/>
  <c r="D39" i="29"/>
  <c r="C39" i="29"/>
  <c r="B39" i="29"/>
  <c r="A39" i="29"/>
  <c r="E38" i="29"/>
  <c r="D38" i="29"/>
  <c r="C38" i="29"/>
  <c r="B38" i="29"/>
  <c r="A38" i="29"/>
  <c r="E37" i="29"/>
  <c r="D37" i="29"/>
  <c r="C37" i="29"/>
  <c r="B37" i="29"/>
  <c r="A37" i="29"/>
  <c r="E36" i="29"/>
  <c r="D36" i="29"/>
  <c r="C36" i="29"/>
  <c r="B36" i="29"/>
  <c r="A36" i="29"/>
  <c r="E35" i="29"/>
  <c r="D35" i="29"/>
  <c r="C35" i="29"/>
  <c r="B35" i="29"/>
  <c r="A35" i="29"/>
  <c r="E34" i="29"/>
  <c r="D34" i="29"/>
  <c r="C34" i="29"/>
  <c r="B34" i="29"/>
  <c r="A34" i="29"/>
  <c r="E33" i="29"/>
  <c r="D33" i="29"/>
  <c r="C33" i="29"/>
  <c r="B33" i="29"/>
  <c r="A33" i="29"/>
  <c r="E32" i="29"/>
  <c r="D32" i="29"/>
  <c r="C32" i="29"/>
  <c r="B32" i="29"/>
  <c r="A32" i="29"/>
  <c r="E31" i="29"/>
  <c r="D31" i="29"/>
  <c r="C31" i="29"/>
  <c r="B31" i="29"/>
  <c r="A31" i="29"/>
  <c r="E30" i="29"/>
  <c r="D30" i="29"/>
  <c r="C30" i="29"/>
  <c r="B30" i="29"/>
  <c r="A30" i="29"/>
  <c r="E29" i="29"/>
  <c r="D29" i="29"/>
  <c r="C29" i="29"/>
  <c r="B29" i="29"/>
  <c r="A29" i="29"/>
  <c r="E28" i="29"/>
  <c r="D28" i="29"/>
  <c r="C28" i="29"/>
  <c r="B28" i="29"/>
  <c r="A28" i="29"/>
  <c r="E27" i="29"/>
  <c r="D27" i="29"/>
  <c r="C27" i="29"/>
  <c r="B27" i="29"/>
  <c r="A27" i="29"/>
  <c r="E26" i="29"/>
  <c r="D26" i="29"/>
  <c r="C26" i="29"/>
  <c r="B26" i="29"/>
  <c r="A26" i="29"/>
  <c r="E25" i="29"/>
  <c r="D25" i="29"/>
  <c r="C25" i="29"/>
  <c r="B25" i="29"/>
  <c r="A25" i="29"/>
  <c r="E24" i="29"/>
  <c r="D24" i="29"/>
  <c r="C24" i="29"/>
  <c r="B24" i="29"/>
  <c r="A24" i="29"/>
  <c r="E23" i="29"/>
  <c r="D23" i="29"/>
  <c r="C23" i="29"/>
  <c r="B23" i="29"/>
  <c r="A23" i="29"/>
  <c r="E22" i="29"/>
  <c r="D22" i="29"/>
  <c r="C22" i="29"/>
  <c r="B22" i="29"/>
  <c r="A22" i="29"/>
  <c r="E21" i="29"/>
  <c r="D21" i="29"/>
  <c r="C21" i="29"/>
  <c r="B21" i="29"/>
  <c r="A21" i="29"/>
  <c r="E20" i="29"/>
  <c r="D20" i="29"/>
  <c r="C20" i="29"/>
  <c r="B20" i="29"/>
  <c r="A20" i="29"/>
  <c r="E19" i="29"/>
  <c r="D19" i="29"/>
  <c r="C19" i="29"/>
  <c r="B19" i="29"/>
  <c r="A19" i="29"/>
  <c r="E18" i="29"/>
  <c r="D18" i="29"/>
  <c r="C18" i="29"/>
  <c r="B18" i="29"/>
  <c r="A18" i="29"/>
  <c r="E17" i="29"/>
  <c r="D17" i="29"/>
  <c r="C17" i="29"/>
  <c r="B17" i="29"/>
  <c r="A17" i="29"/>
  <c r="E16" i="29"/>
  <c r="D16" i="29"/>
  <c r="C16" i="29"/>
  <c r="B16" i="29"/>
  <c r="A16" i="29"/>
  <c r="E15" i="29"/>
  <c r="D15" i="29"/>
  <c r="C15" i="29"/>
  <c r="B15" i="29"/>
  <c r="A15" i="29"/>
  <c r="E14" i="29"/>
  <c r="D14" i="29"/>
  <c r="C14" i="29"/>
  <c r="B14" i="29"/>
  <c r="A14" i="29"/>
  <c r="E13" i="29"/>
  <c r="D13" i="29"/>
  <c r="C13" i="29"/>
  <c r="B13" i="29"/>
  <c r="A13" i="29"/>
  <c r="E12" i="29"/>
  <c r="D12" i="29"/>
  <c r="C12" i="29"/>
  <c r="B12" i="29"/>
  <c r="A12" i="29"/>
  <c r="E11" i="29"/>
  <c r="D11" i="29"/>
  <c r="C11" i="29"/>
  <c r="B11" i="29"/>
  <c r="A11" i="29"/>
  <c r="E10" i="29"/>
  <c r="D10" i="29"/>
  <c r="C10" i="29"/>
  <c r="B10" i="29"/>
  <c r="A10" i="29"/>
  <c r="E9" i="29"/>
  <c r="D9" i="29"/>
  <c r="C9" i="29"/>
  <c r="B9" i="29"/>
  <c r="A9" i="29"/>
  <c r="E8" i="29"/>
  <c r="D8" i="29"/>
  <c r="C8" i="29"/>
  <c r="B8" i="29"/>
  <c r="A8" i="29"/>
  <c r="E7" i="29"/>
  <c r="D7" i="29"/>
  <c r="C7" i="29"/>
  <c r="B7" i="29"/>
  <c r="A7" i="29"/>
  <c r="E6" i="29"/>
  <c r="D6" i="29"/>
  <c r="C6" i="29"/>
  <c r="B6" i="29"/>
  <c r="A6" i="29"/>
  <c r="E5" i="29"/>
  <c r="D5" i="29"/>
  <c r="Q6" i="2" s="1"/>
  <c r="C5" i="29"/>
  <c r="B5" i="29"/>
  <c r="A5" i="29"/>
  <c r="E4" i="29"/>
  <c r="D4" i="29"/>
  <c r="C4" i="29"/>
  <c r="B4" i="29"/>
  <c r="A4" i="29"/>
  <c r="E3" i="29"/>
  <c r="D3" i="29"/>
  <c r="C3" i="29"/>
  <c r="B3" i="29"/>
  <c r="A3" i="29"/>
  <c r="E46" i="27"/>
  <c r="D46" i="27"/>
  <c r="C46" i="27"/>
  <c r="B46" i="27"/>
  <c r="A46" i="27"/>
  <c r="E45" i="27"/>
  <c r="D45" i="27"/>
  <c r="C45" i="27"/>
  <c r="B45" i="27"/>
  <c r="A45" i="27"/>
  <c r="E44" i="27"/>
  <c r="D44" i="27"/>
  <c r="C44" i="27"/>
  <c r="B44" i="27"/>
  <c r="A44" i="27"/>
  <c r="E43" i="27"/>
  <c r="D43" i="27"/>
  <c r="C43" i="27"/>
  <c r="B43" i="27"/>
  <c r="A43" i="27"/>
  <c r="E42" i="27"/>
  <c r="D42" i="27"/>
  <c r="C42" i="27"/>
  <c r="B42" i="27"/>
  <c r="A42" i="27"/>
  <c r="E41" i="27"/>
  <c r="D41" i="27"/>
  <c r="C41" i="27"/>
  <c r="B41" i="27"/>
  <c r="A41" i="27"/>
  <c r="E40" i="27"/>
  <c r="D40" i="27"/>
  <c r="C40" i="27"/>
  <c r="B40" i="27"/>
  <c r="A40" i="27"/>
  <c r="E39" i="27"/>
  <c r="D39" i="27"/>
  <c r="C39" i="27"/>
  <c r="B39" i="27"/>
  <c r="A39" i="27"/>
  <c r="E38" i="27"/>
  <c r="D38" i="27"/>
  <c r="C38" i="27"/>
  <c r="B38" i="27"/>
  <c r="A38" i="27"/>
  <c r="E37" i="27"/>
  <c r="D37" i="27"/>
  <c r="C37" i="27"/>
  <c r="B37" i="27"/>
  <c r="A37" i="27"/>
  <c r="E36" i="27"/>
  <c r="D36" i="27"/>
  <c r="C36" i="27"/>
  <c r="B36" i="27"/>
  <c r="A36" i="27"/>
  <c r="E35" i="27"/>
  <c r="D35" i="27"/>
  <c r="C35" i="27"/>
  <c r="B35" i="27"/>
  <c r="A35" i="27"/>
  <c r="E34" i="27"/>
  <c r="D34" i="27"/>
  <c r="C34" i="27"/>
  <c r="B34" i="27"/>
  <c r="A34" i="27"/>
  <c r="E33" i="27"/>
  <c r="D33" i="27"/>
  <c r="C33" i="27"/>
  <c r="B33" i="27"/>
  <c r="A33" i="27"/>
  <c r="E32" i="27"/>
  <c r="D32" i="27"/>
  <c r="C32" i="27"/>
  <c r="B32" i="27"/>
  <c r="A32" i="27"/>
  <c r="E31" i="27"/>
  <c r="D31" i="27"/>
  <c r="C31" i="27"/>
  <c r="B31" i="27"/>
  <c r="A31" i="27"/>
  <c r="E30" i="27"/>
  <c r="D30" i="27"/>
  <c r="C30" i="27"/>
  <c r="B30" i="27"/>
  <c r="A30" i="27"/>
  <c r="E29" i="27"/>
  <c r="D29" i="27"/>
  <c r="C29" i="27"/>
  <c r="B29" i="27"/>
  <c r="A29" i="27"/>
  <c r="E28" i="27"/>
  <c r="D28" i="27"/>
  <c r="C28" i="27"/>
  <c r="B28" i="27"/>
  <c r="A28" i="27"/>
  <c r="E27" i="27"/>
  <c r="D27" i="27"/>
  <c r="C27" i="27"/>
  <c r="B27" i="27"/>
  <c r="A27" i="27"/>
  <c r="E26" i="27"/>
  <c r="D26" i="27"/>
  <c r="C26" i="27"/>
  <c r="B26" i="27"/>
  <c r="A26" i="27"/>
  <c r="E25" i="27"/>
  <c r="D25" i="27"/>
  <c r="C25" i="27"/>
  <c r="B25" i="27"/>
  <c r="A25" i="27"/>
  <c r="E24" i="27"/>
  <c r="D24" i="27"/>
  <c r="C24" i="27"/>
  <c r="B24" i="27"/>
  <c r="A24" i="27"/>
  <c r="E23" i="27"/>
  <c r="D23" i="27"/>
  <c r="C23" i="27"/>
  <c r="B23" i="27"/>
  <c r="A23" i="27"/>
  <c r="E22" i="27"/>
  <c r="D22" i="27"/>
  <c r="C22" i="27"/>
  <c r="B22" i="27"/>
  <c r="A22" i="27"/>
  <c r="E21" i="27"/>
  <c r="D21" i="27"/>
  <c r="C21" i="27"/>
  <c r="B21" i="27"/>
  <c r="A21" i="27"/>
  <c r="E20" i="27"/>
  <c r="D20" i="27"/>
  <c r="C20" i="27"/>
  <c r="B20" i="27"/>
  <c r="A20" i="27"/>
  <c r="E19" i="27"/>
  <c r="D19" i="27"/>
  <c r="C19" i="27"/>
  <c r="B19" i="27"/>
  <c r="A19" i="27"/>
  <c r="E18" i="27"/>
  <c r="D18" i="27"/>
  <c r="C18" i="27"/>
  <c r="B18" i="27"/>
  <c r="A18" i="27"/>
  <c r="E17" i="27"/>
  <c r="D17" i="27"/>
  <c r="C17" i="27"/>
  <c r="B17" i="27"/>
  <c r="A17" i="27"/>
  <c r="E16" i="27"/>
  <c r="D16" i="27"/>
  <c r="C16" i="27"/>
  <c r="B16" i="27"/>
  <c r="A16" i="27"/>
  <c r="E15" i="27"/>
  <c r="D15" i="27"/>
  <c r="C15" i="27"/>
  <c r="B15" i="27"/>
  <c r="A15" i="27"/>
  <c r="E14" i="27"/>
  <c r="D14" i="27"/>
  <c r="C14" i="27"/>
  <c r="B14" i="27"/>
  <c r="A14" i="27"/>
  <c r="E13" i="27"/>
  <c r="D13" i="27"/>
  <c r="C13" i="27"/>
  <c r="B13" i="27"/>
  <c r="A13" i="27"/>
  <c r="E12" i="27"/>
  <c r="D12" i="27"/>
  <c r="C12" i="27"/>
  <c r="B12" i="27"/>
  <c r="A12" i="27"/>
  <c r="E11" i="27"/>
  <c r="D11" i="27"/>
  <c r="C11" i="27"/>
  <c r="B11" i="27"/>
  <c r="A11" i="27"/>
  <c r="E10" i="27"/>
  <c r="D10" i="27"/>
  <c r="C10" i="27"/>
  <c r="B10" i="27"/>
  <c r="A10" i="27"/>
  <c r="E9" i="27"/>
  <c r="D9" i="27"/>
  <c r="C9" i="27"/>
  <c r="B9" i="27"/>
  <c r="A9" i="27"/>
  <c r="E8" i="27"/>
  <c r="D8" i="27"/>
  <c r="C8" i="27"/>
  <c r="B8" i="27"/>
  <c r="A8" i="27"/>
  <c r="E7" i="27"/>
  <c r="D7" i="27"/>
  <c r="C7" i="27"/>
  <c r="B7" i="27"/>
  <c r="A7" i="27"/>
  <c r="E6" i="27"/>
  <c r="D6" i="27"/>
  <c r="C6" i="27"/>
  <c r="B6" i="27"/>
  <c r="A6" i="27"/>
  <c r="E5" i="27"/>
  <c r="D5" i="27"/>
  <c r="P5" i="2" s="1"/>
  <c r="C5" i="27"/>
  <c r="B5" i="27"/>
  <c r="A5" i="27"/>
  <c r="E4" i="27"/>
  <c r="D4" i="27"/>
  <c r="C4" i="27"/>
  <c r="B4" i="27"/>
  <c r="A4" i="27"/>
  <c r="E3" i="27"/>
  <c r="D3" i="27"/>
  <c r="C3" i="27"/>
  <c r="B3" i="27"/>
  <c r="A3" i="27"/>
  <c r="I43" i="29"/>
  <c r="J43" i="29" s="1"/>
  <c r="K43" i="29" s="1"/>
  <c r="I39" i="29"/>
  <c r="J39" i="29" s="1"/>
  <c r="K39" i="29" s="1"/>
  <c r="I35" i="29"/>
  <c r="J35" i="29" s="1"/>
  <c r="K35" i="29" s="1"/>
  <c r="I31" i="29"/>
  <c r="J31" i="29" s="1"/>
  <c r="K31" i="29" s="1"/>
  <c r="I27" i="29"/>
  <c r="J27" i="29" s="1"/>
  <c r="K27" i="29" s="1"/>
  <c r="I23" i="29"/>
  <c r="J23" i="29" s="1"/>
  <c r="K23" i="29" s="1"/>
  <c r="I19" i="29"/>
  <c r="J19" i="29" s="1"/>
  <c r="K19" i="29" s="1"/>
  <c r="I15" i="29"/>
  <c r="J15" i="29" s="1"/>
  <c r="K15" i="29" s="1"/>
  <c r="I11" i="29"/>
  <c r="J11" i="29" s="1"/>
  <c r="K11" i="29" s="1"/>
  <c r="I7" i="29"/>
  <c r="J7" i="29" s="1"/>
  <c r="K7" i="29" s="1"/>
  <c r="I3" i="29"/>
  <c r="J3" i="29" s="1"/>
  <c r="K3" i="29" s="1"/>
  <c r="E46" i="26"/>
  <c r="D46" i="26"/>
  <c r="C46" i="26"/>
  <c r="B46" i="26"/>
  <c r="A46" i="26"/>
  <c r="E45" i="26"/>
  <c r="D45" i="26"/>
  <c r="C45" i="26"/>
  <c r="B45" i="26"/>
  <c r="A45" i="26"/>
  <c r="E44" i="26"/>
  <c r="D44" i="26"/>
  <c r="C44" i="26"/>
  <c r="B44" i="26"/>
  <c r="A44" i="26"/>
  <c r="E43" i="26"/>
  <c r="D43" i="26"/>
  <c r="C43" i="26"/>
  <c r="B43" i="26"/>
  <c r="A43" i="26"/>
  <c r="E42" i="26"/>
  <c r="D42" i="26"/>
  <c r="C42" i="26"/>
  <c r="B42" i="26"/>
  <c r="A42" i="26"/>
  <c r="E41" i="26"/>
  <c r="D41" i="26"/>
  <c r="C41" i="26"/>
  <c r="B41" i="26"/>
  <c r="A41" i="26"/>
  <c r="E40" i="26"/>
  <c r="D40" i="26"/>
  <c r="C40" i="26"/>
  <c r="B40" i="26"/>
  <c r="A40" i="26"/>
  <c r="E39" i="26"/>
  <c r="D39" i="26"/>
  <c r="C39" i="26"/>
  <c r="B39" i="26"/>
  <c r="A39" i="26"/>
  <c r="E38" i="26"/>
  <c r="D38" i="26"/>
  <c r="C38" i="26"/>
  <c r="B38" i="26"/>
  <c r="A38" i="26"/>
  <c r="E37" i="26"/>
  <c r="D37" i="26"/>
  <c r="C37" i="26"/>
  <c r="B37" i="26"/>
  <c r="A37" i="26"/>
  <c r="E36" i="26"/>
  <c r="D36" i="26"/>
  <c r="C36" i="26"/>
  <c r="B36" i="26"/>
  <c r="A36" i="26"/>
  <c r="E35" i="26"/>
  <c r="D35" i="26"/>
  <c r="C35" i="26"/>
  <c r="B35" i="26"/>
  <c r="A35" i="26"/>
  <c r="E34" i="26"/>
  <c r="D34" i="26"/>
  <c r="C34" i="26"/>
  <c r="B34" i="26"/>
  <c r="A34" i="26"/>
  <c r="E33" i="26"/>
  <c r="D33" i="26"/>
  <c r="C33" i="26"/>
  <c r="B33" i="26"/>
  <c r="A33" i="26"/>
  <c r="E32" i="26"/>
  <c r="D32" i="26"/>
  <c r="C32" i="26"/>
  <c r="B32" i="26"/>
  <c r="A32" i="26"/>
  <c r="E31" i="26"/>
  <c r="D31" i="26"/>
  <c r="C31" i="26"/>
  <c r="B31" i="26"/>
  <c r="A31" i="26"/>
  <c r="E30" i="26"/>
  <c r="D30" i="26"/>
  <c r="C30" i="26"/>
  <c r="B30" i="26"/>
  <c r="A30" i="26"/>
  <c r="E29" i="26"/>
  <c r="D29" i="26"/>
  <c r="C29" i="26"/>
  <c r="B29" i="26"/>
  <c r="A29" i="26"/>
  <c r="E28" i="26"/>
  <c r="D28" i="26"/>
  <c r="C28" i="26"/>
  <c r="B28" i="26"/>
  <c r="A28" i="26"/>
  <c r="E27" i="26"/>
  <c r="D27" i="26"/>
  <c r="C27" i="26"/>
  <c r="B27" i="26"/>
  <c r="A27" i="26"/>
  <c r="E26" i="26"/>
  <c r="D26" i="26"/>
  <c r="C26" i="26"/>
  <c r="B26" i="26"/>
  <c r="A26" i="26"/>
  <c r="E25" i="26"/>
  <c r="D25" i="26"/>
  <c r="C25" i="26"/>
  <c r="B25" i="26"/>
  <c r="A25" i="26"/>
  <c r="E24" i="26"/>
  <c r="D24" i="26"/>
  <c r="C24" i="26"/>
  <c r="B24" i="26"/>
  <c r="A24" i="26"/>
  <c r="E23" i="26"/>
  <c r="D23" i="26"/>
  <c r="C23" i="26"/>
  <c r="B23" i="26"/>
  <c r="A23" i="26"/>
  <c r="E22" i="26"/>
  <c r="D22" i="26"/>
  <c r="C22" i="26"/>
  <c r="B22" i="26"/>
  <c r="A22" i="26"/>
  <c r="E21" i="26"/>
  <c r="D21" i="26"/>
  <c r="C21" i="26"/>
  <c r="B21" i="26"/>
  <c r="A21" i="26"/>
  <c r="E20" i="26"/>
  <c r="D20" i="26"/>
  <c r="C20" i="26"/>
  <c r="B20" i="26"/>
  <c r="A20" i="26"/>
  <c r="E19" i="26"/>
  <c r="D19" i="26"/>
  <c r="C19" i="26"/>
  <c r="B19" i="26"/>
  <c r="A19" i="26"/>
  <c r="E18" i="26"/>
  <c r="D18" i="26"/>
  <c r="C18" i="26"/>
  <c r="B18" i="26"/>
  <c r="A18" i="26"/>
  <c r="E17" i="26"/>
  <c r="D17" i="26"/>
  <c r="C17" i="26"/>
  <c r="B17" i="26"/>
  <c r="A17" i="26"/>
  <c r="E16" i="26"/>
  <c r="D16" i="26"/>
  <c r="C16" i="26"/>
  <c r="B16" i="26"/>
  <c r="A16" i="26"/>
  <c r="E15" i="26"/>
  <c r="D15" i="26"/>
  <c r="C15" i="26"/>
  <c r="B15" i="26"/>
  <c r="A15" i="26"/>
  <c r="E14" i="26"/>
  <c r="D14" i="26"/>
  <c r="C14" i="26"/>
  <c r="B14" i="26"/>
  <c r="A14" i="26"/>
  <c r="E13" i="26"/>
  <c r="D13" i="26"/>
  <c r="C13" i="26"/>
  <c r="B13" i="26"/>
  <c r="A13" i="26"/>
  <c r="E12" i="26"/>
  <c r="D12" i="26"/>
  <c r="C12" i="26"/>
  <c r="B12" i="26"/>
  <c r="A12" i="26"/>
  <c r="E11" i="26"/>
  <c r="D11" i="26"/>
  <c r="C11" i="26"/>
  <c r="B11" i="26"/>
  <c r="A11" i="26"/>
  <c r="E10" i="26"/>
  <c r="D10" i="26"/>
  <c r="C10" i="26"/>
  <c r="B10" i="26"/>
  <c r="A10" i="26"/>
  <c r="E9" i="26"/>
  <c r="D9" i="26"/>
  <c r="C9" i="26"/>
  <c r="B9" i="26"/>
  <c r="A9" i="26"/>
  <c r="E8" i="26"/>
  <c r="D8" i="26"/>
  <c r="C8" i="26"/>
  <c r="B8" i="26"/>
  <c r="A8" i="26"/>
  <c r="E7" i="26"/>
  <c r="D7" i="26"/>
  <c r="C7" i="26"/>
  <c r="B7" i="26"/>
  <c r="A7" i="26"/>
  <c r="E6" i="26"/>
  <c r="D6" i="26"/>
  <c r="C6" i="26"/>
  <c r="B6" i="26"/>
  <c r="A6" i="26"/>
  <c r="E5" i="26"/>
  <c r="D5" i="26"/>
  <c r="O7" i="2" s="1"/>
  <c r="C5" i="26"/>
  <c r="B5" i="26"/>
  <c r="A5" i="26"/>
  <c r="E4" i="26"/>
  <c r="D4" i="26"/>
  <c r="C4" i="26"/>
  <c r="B4" i="26"/>
  <c r="A4" i="26"/>
  <c r="E3" i="26"/>
  <c r="D3" i="26"/>
  <c r="C3" i="26"/>
  <c r="B3" i="26"/>
  <c r="A3" i="26"/>
  <c r="E46" i="25"/>
  <c r="D46" i="25"/>
  <c r="C46" i="25"/>
  <c r="B46" i="25"/>
  <c r="A46" i="25"/>
  <c r="E45" i="25"/>
  <c r="D45" i="25"/>
  <c r="C45" i="25"/>
  <c r="B45" i="25"/>
  <c r="A45" i="25"/>
  <c r="E44" i="25"/>
  <c r="D44" i="25"/>
  <c r="C44" i="25"/>
  <c r="B44" i="25"/>
  <c r="A44" i="25"/>
  <c r="E43" i="25"/>
  <c r="D43" i="25"/>
  <c r="C43" i="25"/>
  <c r="B43" i="25"/>
  <c r="A43" i="25"/>
  <c r="E42" i="25"/>
  <c r="D42" i="25"/>
  <c r="C42" i="25"/>
  <c r="B42" i="25"/>
  <c r="A42" i="25"/>
  <c r="E41" i="25"/>
  <c r="D41" i="25"/>
  <c r="C41" i="25"/>
  <c r="B41" i="25"/>
  <c r="A41" i="25"/>
  <c r="E40" i="25"/>
  <c r="D40" i="25"/>
  <c r="C40" i="25"/>
  <c r="B40" i="25"/>
  <c r="A40" i="25"/>
  <c r="E39" i="25"/>
  <c r="D39" i="25"/>
  <c r="C39" i="25"/>
  <c r="B39" i="25"/>
  <c r="A39" i="25"/>
  <c r="E38" i="25"/>
  <c r="D38" i="25"/>
  <c r="C38" i="25"/>
  <c r="B38" i="25"/>
  <c r="A38" i="25"/>
  <c r="E37" i="25"/>
  <c r="D37" i="25"/>
  <c r="C37" i="25"/>
  <c r="B37" i="25"/>
  <c r="A37" i="25"/>
  <c r="E36" i="25"/>
  <c r="D36" i="25"/>
  <c r="C36" i="25"/>
  <c r="B36" i="25"/>
  <c r="A36" i="25"/>
  <c r="E35" i="25"/>
  <c r="D35" i="25"/>
  <c r="C35" i="25"/>
  <c r="B35" i="25"/>
  <c r="A35" i="25"/>
  <c r="E34" i="25"/>
  <c r="D34" i="25"/>
  <c r="C34" i="25"/>
  <c r="B34" i="25"/>
  <c r="A34" i="25"/>
  <c r="E33" i="25"/>
  <c r="D33" i="25"/>
  <c r="C33" i="25"/>
  <c r="B33" i="25"/>
  <c r="A33" i="25"/>
  <c r="E32" i="25"/>
  <c r="D32" i="25"/>
  <c r="C32" i="25"/>
  <c r="B32" i="25"/>
  <c r="A32" i="25"/>
  <c r="E31" i="25"/>
  <c r="D31" i="25"/>
  <c r="C31" i="25"/>
  <c r="B31" i="25"/>
  <c r="A31" i="25"/>
  <c r="E30" i="25"/>
  <c r="D30" i="25"/>
  <c r="C30" i="25"/>
  <c r="B30" i="25"/>
  <c r="A30" i="25"/>
  <c r="E29" i="25"/>
  <c r="D29" i="25"/>
  <c r="C29" i="25"/>
  <c r="B29" i="25"/>
  <c r="A29" i="25"/>
  <c r="E28" i="25"/>
  <c r="D28" i="25"/>
  <c r="C28" i="25"/>
  <c r="B28" i="25"/>
  <c r="A28" i="25"/>
  <c r="E27" i="25"/>
  <c r="D27" i="25"/>
  <c r="C27" i="25"/>
  <c r="B27" i="25"/>
  <c r="A27" i="25"/>
  <c r="E26" i="25"/>
  <c r="D26" i="25"/>
  <c r="C26" i="25"/>
  <c r="B26" i="25"/>
  <c r="A26" i="25"/>
  <c r="E25" i="25"/>
  <c r="D25" i="25"/>
  <c r="C25" i="25"/>
  <c r="B25" i="25"/>
  <c r="A25" i="25"/>
  <c r="E24" i="25"/>
  <c r="D24" i="25"/>
  <c r="C24" i="25"/>
  <c r="B24" i="25"/>
  <c r="A24" i="25"/>
  <c r="E23" i="25"/>
  <c r="D23" i="25"/>
  <c r="C23" i="25"/>
  <c r="B23" i="25"/>
  <c r="A23" i="25"/>
  <c r="E22" i="25"/>
  <c r="D22" i="25"/>
  <c r="C22" i="25"/>
  <c r="B22" i="25"/>
  <c r="A22" i="25"/>
  <c r="E21" i="25"/>
  <c r="D21" i="25"/>
  <c r="C21" i="25"/>
  <c r="B21" i="25"/>
  <c r="A21" i="25"/>
  <c r="E20" i="25"/>
  <c r="D20" i="25"/>
  <c r="C20" i="25"/>
  <c r="B20" i="25"/>
  <c r="A20" i="25"/>
  <c r="E19" i="25"/>
  <c r="D19" i="25"/>
  <c r="C19" i="25"/>
  <c r="B19" i="25"/>
  <c r="A19" i="25"/>
  <c r="E18" i="25"/>
  <c r="D18" i="25"/>
  <c r="C18" i="25"/>
  <c r="B18" i="25"/>
  <c r="A18" i="25"/>
  <c r="E17" i="25"/>
  <c r="D17" i="25"/>
  <c r="C17" i="25"/>
  <c r="B17" i="25"/>
  <c r="A17" i="25"/>
  <c r="E16" i="25"/>
  <c r="D16" i="25"/>
  <c r="C16" i="25"/>
  <c r="B16" i="25"/>
  <c r="A16" i="25"/>
  <c r="E15" i="25"/>
  <c r="D15" i="25"/>
  <c r="C15" i="25"/>
  <c r="B15" i="25"/>
  <c r="A15" i="25"/>
  <c r="E14" i="25"/>
  <c r="D14" i="25"/>
  <c r="C14" i="25"/>
  <c r="B14" i="25"/>
  <c r="A14" i="25"/>
  <c r="E13" i="25"/>
  <c r="D13" i="25"/>
  <c r="C13" i="25"/>
  <c r="B13" i="25"/>
  <c r="A13" i="25"/>
  <c r="E12" i="25"/>
  <c r="D12" i="25"/>
  <c r="C12" i="25"/>
  <c r="B12" i="25"/>
  <c r="A12" i="25"/>
  <c r="E11" i="25"/>
  <c r="D11" i="25"/>
  <c r="C11" i="25"/>
  <c r="B11" i="25"/>
  <c r="A11" i="25"/>
  <c r="E10" i="25"/>
  <c r="D10" i="25"/>
  <c r="C10" i="25"/>
  <c r="B10" i="25"/>
  <c r="A10" i="25"/>
  <c r="E9" i="25"/>
  <c r="D9" i="25"/>
  <c r="C9" i="25"/>
  <c r="B9" i="25"/>
  <c r="A9" i="25"/>
  <c r="E8" i="25"/>
  <c r="D8" i="25"/>
  <c r="C8" i="25"/>
  <c r="B8" i="25"/>
  <c r="A8" i="25"/>
  <c r="E7" i="25"/>
  <c r="D7" i="25"/>
  <c r="C7" i="25"/>
  <c r="B7" i="25"/>
  <c r="A7" i="25"/>
  <c r="E6" i="25"/>
  <c r="D6" i="25"/>
  <c r="C6" i="25"/>
  <c r="B6" i="25"/>
  <c r="A6" i="25"/>
  <c r="E5" i="25"/>
  <c r="D5" i="25"/>
  <c r="C5" i="25"/>
  <c r="B5" i="25"/>
  <c r="A5" i="25"/>
  <c r="E4" i="25"/>
  <c r="D4" i="25"/>
  <c r="C4" i="25"/>
  <c r="B4" i="25"/>
  <c r="A4" i="25"/>
  <c r="E3" i="25"/>
  <c r="D3" i="25"/>
  <c r="N5" i="2" s="1"/>
  <c r="C3" i="25"/>
  <c r="B3" i="25"/>
  <c r="A3" i="25"/>
  <c r="E46" i="24"/>
  <c r="D46" i="24"/>
  <c r="C46" i="24"/>
  <c r="B46" i="24"/>
  <c r="A46" i="24"/>
  <c r="E45" i="24"/>
  <c r="D45" i="24"/>
  <c r="C45" i="24"/>
  <c r="B45" i="24"/>
  <c r="A45" i="24"/>
  <c r="E44" i="24"/>
  <c r="D44" i="24"/>
  <c r="C44" i="24"/>
  <c r="B44" i="24"/>
  <c r="A44" i="24"/>
  <c r="E43" i="24"/>
  <c r="D43" i="24"/>
  <c r="C43" i="24"/>
  <c r="B43" i="24"/>
  <c r="A43" i="24"/>
  <c r="E42" i="24"/>
  <c r="D42" i="24"/>
  <c r="C42" i="24"/>
  <c r="B42" i="24"/>
  <c r="A42" i="24"/>
  <c r="E41" i="24"/>
  <c r="D41" i="24"/>
  <c r="C41" i="24"/>
  <c r="B41" i="24"/>
  <c r="A41" i="24"/>
  <c r="E40" i="24"/>
  <c r="D40" i="24"/>
  <c r="C40" i="24"/>
  <c r="B40" i="24"/>
  <c r="A40" i="24"/>
  <c r="E39" i="24"/>
  <c r="D39" i="24"/>
  <c r="C39" i="24"/>
  <c r="B39" i="24"/>
  <c r="A39" i="24"/>
  <c r="E38" i="24"/>
  <c r="D38" i="24"/>
  <c r="C38" i="24"/>
  <c r="B38" i="24"/>
  <c r="A38" i="24"/>
  <c r="E37" i="24"/>
  <c r="D37" i="24"/>
  <c r="C37" i="24"/>
  <c r="B37" i="24"/>
  <c r="A37" i="24"/>
  <c r="E36" i="24"/>
  <c r="D36" i="24"/>
  <c r="C36" i="24"/>
  <c r="B36" i="24"/>
  <c r="A36" i="24"/>
  <c r="E35" i="24"/>
  <c r="D35" i="24"/>
  <c r="C35" i="24"/>
  <c r="B35" i="24"/>
  <c r="A35" i="24"/>
  <c r="E34" i="24"/>
  <c r="D34" i="24"/>
  <c r="C34" i="24"/>
  <c r="B34" i="24"/>
  <c r="A34" i="24"/>
  <c r="E33" i="24"/>
  <c r="D33" i="24"/>
  <c r="C33" i="24"/>
  <c r="B33" i="24"/>
  <c r="A33" i="24"/>
  <c r="E32" i="24"/>
  <c r="D32" i="24"/>
  <c r="C32" i="24"/>
  <c r="B32" i="24"/>
  <c r="A32" i="24"/>
  <c r="E31" i="24"/>
  <c r="D31" i="24"/>
  <c r="C31" i="24"/>
  <c r="B31" i="24"/>
  <c r="A31" i="24"/>
  <c r="E30" i="24"/>
  <c r="D30" i="24"/>
  <c r="C30" i="24"/>
  <c r="B30" i="24"/>
  <c r="A30" i="24"/>
  <c r="E29" i="24"/>
  <c r="D29" i="24"/>
  <c r="C29" i="24"/>
  <c r="B29" i="24"/>
  <c r="A29" i="24"/>
  <c r="E28" i="24"/>
  <c r="D28" i="24"/>
  <c r="C28" i="24"/>
  <c r="B28" i="24"/>
  <c r="A28" i="24"/>
  <c r="E27" i="24"/>
  <c r="D27" i="24"/>
  <c r="C27" i="24"/>
  <c r="B27" i="24"/>
  <c r="A27" i="24"/>
  <c r="E26" i="24"/>
  <c r="D26" i="24"/>
  <c r="C26" i="24"/>
  <c r="B26" i="24"/>
  <c r="A26" i="24"/>
  <c r="E25" i="24"/>
  <c r="D25" i="24"/>
  <c r="C25" i="24"/>
  <c r="B25" i="24"/>
  <c r="A25" i="24"/>
  <c r="E24" i="24"/>
  <c r="D24" i="24"/>
  <c r="C24" i="24"/>
  <c r="B24" i="24"/>
  <c r="A24" i="24"/>
  <c r="E23" i="24"/>
  <c r="D23" i="24"/>
  <c r="C23" i="24"/>
  <c r="B23" i="24"/>
  <c r="A23" i="24"/>
  <c r="E22" i="24"/>
  <c r="D22" i="24"/>
  <c r="C22" i="24"/>
  <c r="B22" i="24"/>
  <c r="A22" i="24"/>
  <c r="E21" i="24"/>
  <c r="D21" i="24"/>
  <c r="C21" i="24"/>
  <c r="B21" i="24"/>
  <c r="A21" i="24"/>
  <c r="E20" i="24"/>
  <c r="D20" i="24"/>
  <c r="C20" i="24"/>
  <c r="B20" i="24"/>
  <c r="A20" i="24"/>
  <c r="E19" i="24"/>
  <c r="D19" i="24"/>
  <c r="C19" i="24"/>
  <c r="B19" i="24"/>
  <c r="A19" i="24"/>
  <c r="E18" i="24"/>
  <c r="D18" i="24"/>
  <c r="C18" i="24"/>
  <c r="B18" i="24"/>
  <c r="A18" i="24"/>
  <c r="E17" i="24"/>
  <c r="D17" i="24"/>
  <c r="C17" i="24"/>
  <c r="B17" i="24"/>
  <c r="A17" i="24"/>
  <c r="E16" i="24"/>
  <c r="D16" i="24"/>
  <c r="C16" i="24"/>
  <c r="B16" i="24"/>
  <c r="A16" i="24"/>
  <c r="E15" i="24"/>
  <c r="D15" i="24"/>
  <c r="C15" i="24"/>
  <c r="B15" i="24"/>
  <c r="A15" i="24"/>
  <c r="E14" i="24"/>
  <c r="D14" i="24"/>
  <c r="C14" i="24"/>
  <c r="B14" i="24"/>
  <c r="A14" i="24"/>
  <c r="E13" i="24"/>
  <c r="D13" i="24"/>
  <c r="C13" i="24"/>
  <c r="B13" i="24"/>
  <c r="A13" i="24"/>
  <c r="E12" i="24"/>
  <c r="D12" i="24"/>
  <c r="C12" i="24"/>
  <c r="B12" i="24"/>
  <c r="A12" i="24"/>
  <c r="E11" i="24"/>
  <c r="D11" i="24"/>
  <c r="C11" i="24"/>
  <c r="B11" i="24"/>
  <c r="A11" i="24"/>
  <c r="E10" i="24"/>
  <c r="D10" i="24"/>
  <c r="C10" i="24"/>
  <c r="B10" i="24"/>
  <c r="A10" i="24"/>
  <c r="E9" i="24"/>
  <c r="D9" i="24"/>
  <c r="C9" i="24"/>
  <c r="B9" i="24"/>
  <c r="A9" i="24"/>
  <c r="E8" i="24"/>
  <c r="D8" i="24"/>
  <c r="C8" i="24"/>
  <c r="B8" i="24"/>
  <c r="A8" i="24"/>
  <c r="E7" i="24"/>
  <c r="D7" i="24"/>
  <c r="C7" i="24"/>
  <c r="B7" i="24"/>
  <c r="A7" i="24"/>
  <c r="E6" i="24"/>
  <c r="D6" i="24"/>
  <c r="C6" i="24"/>
  <c r="B6" i="24"/>
  <c r="A6" i="24"/>
  <c r="E5" i="24"/>
  <c r="D5" i="24"/>
  <c r="C5" i="24"/>
  <c r="B5" i="24"/>
  <c r="A5" i="24"/>
  <c r="E4" i="24"/>
  <c r="D4" i="24"/>
  <c r="C4" i="24"/>
  <c r="B4" i="24"/>
  <c r="A4" i="24"/>
  <c r="E3" i="24"/>
  <c r="D3" i="24"/>
  <c r="C3" i="24"/>
  <c r="B3" i="24"/>
  <c r="A3" i="24"/>
  <c r="E46" i="23"/>
  <c r="D46" i="23"/>
  <c r="C46" i="23"/>
  <c r="B46" i="23"/>
  <c r="A46" i="23"/>
  <c r="E45" i="23"/>
  <c r="D45" i="23"/>
  <c r="C45" i="23"/>
  <c r="B45" i="23"/>
  <c r="A45" i="23"/>
  <c r="E44" i="23"/>
  <c r="D44" i="23"/>
  <c r="C44" i="23"/>
  <c r="B44" i="23"/>
  <c r="A44" i="23"/>
  <c r="E43" i="23"/>
  <c r="D43" i="23"/>
  <c r="C43" i="23"/>
  <c r="B43" i="23"/>
  <c r="A43" i="23"/>
  <c r="E42" i="23"/>
  <c r="D42" i="23"/>
  <c r="C42" i="23"/>
  <c r="B42" i="23"/>
  <c r="A42" i="23"/>
  <c r="E41" i="23"/>
  <c r="D41" i="23"/>
  <c r="C41" i="23"/>
  <c r="B41" i="23"/>
  <c r="A41" i="23"/>
  <c r="E40" i="23"/>
  <c r="D40" i="23"/>
  <c r="C40" i="23"/>
  <c r="B40" i="23"/>
  <c r="A40" i="23"/>
  <c r="E39" i="23"/>
  <c r="D39" i="23"/>
  <c r="C39" i="23"/>
  <c r="B39" i="23"/>
  <c r="A39" i="23"/>
  <c r="E38" i="23"/>
  <c r="D38" i="23"/>
  <c r="C38" i="23"/>
  <c r="B38" i="23"/>
  <c r="A38" i="23"/>
  <c r="E37" i="23"/>
  <c r="D37" i="23"/>
  <c r="C37" i="23"/>
  <c r="B37" i="23"/>
  <c r="A37" i="23"/>
  <c r="E36" i="23"/>
  <c r="D36" i="23"/>
  <c r="C36" i="23"/>
  <c r="B36" i="23"/>
  <c r="A36" i="23"/>
  <c r="E35" i="23"/>
  <c r="D35" i="23"/>
  <c r="C35" i="23"/>
  <c r="B35" i="23"/>
  <c r="A35" i="23"/>
  <c r="E34" i="23"/>
  <c r="D34" i="23"/>
  <c r="C34" i="23"/>
  <c r="B34" i="23"/>
  <c r="A34" i="23"/>
  <c r="E33" i="23"/>
  <c r="D33" i="23"/>
  <c r="C33" i="23"/>
  <c r="B33" i="23"/>
  <c r="A33" i="23"/>
  <c r="E32" i="23"/>
  <c r="D32" i="23"/>
  <c r="C32" i="23"/>
  <c r="B32" i="23"/>
  <c r="A32" i="23"/>
  <c r="E31" i="23"/>
  <c r="D31" i="23"/>
  <c r="C31" i="23"/>
  <c r="B31" i="23"/>
  <c r="A31" i="23"/>
  <c r="E30" i="23"/>
  <c r="D30" i="23"/>
  <c r="C30" i="23"/>
  <c r="B30" i="23"/>
  <c r="A30" i="23"/>
  <c r="E29" i="23"/>
  <c r="D29" i="23"/>
  <c r="C29" i="23"/>
  <c r="B29" i="23"/>
  <c r="A29" i="23"/>
  <c r="E28" i="23"/>
  <c r="D28" i="23"/>
  <c r="C28" i="23"/>
  <c r="B28" i="23"/>
  <c r="A28" i="23"/>
  <c r="E27" i="23"/>
  <c r="D27" i="23"/>
  <c r="C27" i="23"/>
  <c r="B27" i="23"/>
  <c r="A27" i="23"/>
  <c r="E26" i="23"/>
  <c r="D26" i="23"/>
  <c r="C26" i="23"/>
  <c r="B26" i="23"/>
  <c r="A26" i="23"/>
  <c r="E25" i="23"/>
  <c r="D25" i="23"/>
  <c r="C25" i="23"/>
  <c r="B25" i="23"/>
  <c r="A25" i="23"/>
  <c r="E24" i="23"/>
  <c r="D24" i="23"/>
  <c r="C24" i="23"/>
  <c r="B24" i="23"/>
  <c r="A24" i="23"/>
  <c r="E23" i="23"/>
  <c r="D23" i="23"/>
  <c r="C23" i="23"/>
  <c r="B23" i="23"/>
  <c r="A23" i="23"/>
  <c r="E22" i="23"/>
  <c r="D22" i="23"/>
  <c r="C22" i="23"/>
  <c r="B22" i="23"/>
  <c r="A22" i="23"/>
  <c r="E21" i="23"/>
  <c r="D21" i="23"/>
  <c r="C21" i="23"/>
  <c r="B21" i="23"/>
  <c r="A21" i="23"/>
  <c r="E20" i="23"/>
  <c r="D20" i="23"/>
  <c r="C20" i="23"/>
  <c r="B20" i="23"/>
  <c r="A20" i="23"/>
  <c r="E19" i="23"/>
  <c r="D19" i="23"/>
  <c r="C19" i="23"/>
  <c r="B19" i="23"/>
  <c r="A19" i="23"/>
  <c r="E18" i="23"/>
  <c r="D18" i="23"/>
  <c r="C18" i="23"/>
  <c r="B18" i="23"/>
  <c r="A18" i="23"/>
  <c r="E17" i="23"/>
  <c r="D17" i="23"/>
  <c r="C17" i="23"/>
  <c r="B17" i="23"/>
  <c r="A17" i="23"/>
  <c r="E16" i="23"/>
  <c r="D16" i="23"/>
  <c r="C16" i="23"/>
  <c r="B16" i="23"/>
  <c r="A16" i="23"/>
  <c r="E15" i="23"/>
  <c r="D15" i="23"/>
  <c r="C15" i="23"/>
  <c r="B15" i="23"/>
  <c r="A15" i="23"/>
  <c r="E14" i="23"/>
  <c r="D14" i="23"/>
  <c r="C14" i="23"/>
  <c r="B14" i="23"/>
  <c r="A14" i="23"/>
  <c r="E13" i="23"/>
  <c r="D13" i="23"/>
  <c r="C13" i="23"/>
  <c r="B13" i="23"/>
  <c r="A13" i="23"/>
  <c r="E12" i="23"/>
  <c r="D12" i="23"/>
  <c r="C12" i="23"/>
  <c r="B12" i="23"/>
  <c r="A12" i="23"/>
  <c r="E11" i="23"/>
  <c r="D11" i="23"/>
  <c r="C11" i="23"/>
  <c r="B11" i="23"/>
  <c r="A11" i="23"/>
  <c r="E10" i="23"/>
  <c r="D10" i="23"/>
  <c r="C10" i="23"/>
  <c r="B10" i="23"/>
  <c r="A10" i="23"/>
  <c r="E9" i="23"/>
  <c r="D9" i="23"/>
  <c r="C9" i="23"/>
  <c r="B9" i="23"/>
  <c r="A9" i="23"/>
  <c r="E8" i="23"/>
  <c r="D8" i="23"/>
  <c r="C8" i="23"/>
  <c r="B8" i="23"/>
  <c r="A8" i="23"/>
  <c r="E7" i="23"/>
  <c r="D7" i="23"/>
  <c r="C7" i="23"/>
  <c r="B7" i="23"/>
  <c r="A7" i="23"/>
  <c r="E6" i="23"/>
  <c r="D6" i="23"/>
  <c r="C6" i="23"/>
  <c r="B6" i="23"/>
  <c r="A6" i="23"/>
  <c r="E5" i="23"/>
  <c r="D5" i="23"/>
  <c r="L7" i="2" s="1"/>
  <c r="C5" i="23"/>
  <c r="B5" i="23"/>
  <c r="A5" i="23"/>
  <c r="E4" i="23"/>
  <c r="D4" i="23"/>
  <c r="C4" i="23"/>
  <c r="B4" i="23"/>
  <c r="A4" i="23"/>
  <c r="E3" i="23"/>
  <c r="D3" i="23"/>
  <c r="C3" i="23"/>
  <c r="B3" i="23"/>
  <c r="A3" i="23"/>
  <c r="E46" i="22"/>
  <c r="D46" i="22"/>
  <c r="C46" i="22"/>
  <c r="B46" i="22"/>
  <c r="A46" i="22"/>
  <c r="E45" i="22"/>
  <c r="D45" i="22"/>
  <c r="C45" i="22"/>
  <c r="B45" i="22"/>
  <c r="A45" i="22"/>
  <c r="E44" i="22"/>
  <c r="D44" i="22"/>
  <c r="C44" i="22"/>
  <c r="B44" i="22"/>
  <c r="A44" i="22"/>
  <c r="E43" i="22"/>
  <c r="D43" i="22"/>
  <c r="C43" i="22"/>
  <c r="B43" i="22"/>
  <c r="A43" i="22"/>
  <c r="E42" i="22"/>
  <c r="D42" i="22"/>
  <c r="C42" i="22"/>
  <c r="B42" i="22"/>
  <c r="A42" i="22"/>
  <c r="E41" i="22"/>
  <c r="D41" i="22"/>
  <c r="C41" i="22"/>
  <c r="B41" i="22"/>
  <c r="A41" i="22"/>
  <c r="E40" i="22"/>
  <c r="D40" i="22"/>
  <c r="C40" i="22"/>
  <c r="B40" i="22"/>
  <c r="A40" i="22"/>
  <c r="E39" i="22"/>
  <c r="D39" i="22"/>
  <c r="C39" i="22"/>
  <c r="B39" i="22"/>
  <c r="A39" i="22"/>
  <c r="E38" i="22"/>
  <c r="D38" i="22"/>
  <c r="C38" i="22"/>
  <c r="B38" i="22"/>
  <c r="A38" i="22"/>
  <c r="E37" i="22"/>
  <c r="D37" i="22"/>
  <c r="C37" i="22"/>
  <c r="B37" i="22"/>
  <c r="A37" i="22"/>
  <c r="E36" i="22"/>
  <c r="D36" i="22"/>
  <c r="C36" i="22"/>
  <c r="B36" i="22"/>
  <c r="A36" i="22"/>
  <c r="E35" i="22"/>
  <c r="D35" i="22"/>
  <c r="C35" i="22"/>
  <c r="B35" i="22"/>
  <c r="A35" i="22"/>
  <c r="E34" i="22"/>
  <c r="D34" i="22"/>
  <c r="C34" i="22"/>
  <c r="B34" i="22"/>
  <c r="A34" i="22"/>
  <c r="E33" i="22"/>
  <c r="D33" i="22"/>
  <c r="C33" i="22"/>
  <c r="B33" i="22"/>
  <c r="A33" i="22"/>
  <c r="E32" i="22"/>
  <c r="D32" i="22"/>
  <c r="C32" i="22"/>
  <c r="B32" i="22"/>
  <c r="A32" i="22"/>
  <c r="E31" i="22"/>
  <c r="D31" i="22"/>
  <c r="C31" i="22"/>
  <c r="B31" i="22"/>
  <c r="A31" i="22"/>
  <c r="E30" i="22"/>
  <c r="D30" i="22"/>
  <c r="C30" i="22"/>
  <c r="B30" i="22"/>
  <c r="A30" i="22"/>
  <c r="E29" i="22"/>
  <c r="D29" i="22"/>
  <c r="C29" i="22"/>
  <c r="B29" i="22"/>
  <c r="A29" i="22"/>
  <c r="E28" i="22"/>
  <c r="D28" i="22"/>
  <c r="C28" i="22"/>
  <c r="B28" i="22"/>
  <c r="A28" i="22"/>
  <c r="E27" i="22"/>
  <c r="D27" i="22"/>
  <c r="C27" i="22"/>
  <c r="B27" i="22"/>
  <c r="A27" i="22"/>
  <c r="E26" i="22"/>
  <c r="D26" i="22"/>
  <c r="C26" i="22"/>
  <c r="B26" i="22"/>
  <c r="A26" i="22"/>
  <c r="E25" i="22"/>
  <c r="D25" i="22"/>
  <c r="C25" i="22"/>
  <c r="B25" i="22"/>
  <c r="A25" i="22"/>
  <c r="E24" i="22"/>
  <c r="D24" i="22"/>
  <c r="C24" i="22"/>
  <c r="B24" i="22"/>
  <c r="A24" i="22"/>
  <c r="E23" i="22"/>
  <c r="D23" i="22"/>
  <c r="C23" i="22"/>
  <c r="B23" i="22"/>
  <c r="A23" i="22"/>
  <c r="E22" i="22"/>
  <c r="D22" i="22"/>
  <c r="C22" i="22"/>
  <c r="B22" i="22"/>
  <c r="A22" i="22"/>
  <c r="E21" i="22"/>
  <c r="D21" i="22"/>
  <c r="C21" i="22"/>
  <c r="B21" i="22"/>
  <c r="A21" i="22"/>
  <c r="E20" i="22"/>
  <c r="D20" i="22"/>
  <c r="C20" i="22"/>
  <c r="B20" i="22"/>
  <c r="A20" i="22"/>
  <c r="E19" i="22"/>
  <c r="D19" i="22"/>
  <c r="C19" i="22"/>
  <c r="B19" i="22"/>
  <c r="A19" i="22"/>
  <c r="E18" i="22"/>
  <c r="D18" i="22"/>
  <c r="C18" i="22"/>
  <c r="B18" i="22"/>
  <c r="A18" i="22"/>
  <c r="E17" i="22"/>
  <c r="D17" i="22"/>
  <c r="C17" i="22"/>
  <c r="B17" i="22"/>
  <c r="A17" i="22"/>
  <c r="E16" i="22"/>
  <c r="D16" i="22"/>
  <c r="C16" i="22"/>
  <c r="B16" i="22"/>
  <c r="A16" i="22"/>
  <c r="E15" i="22"/>
  <c r="D15" i="22"/>
  <c r="C15" i="22"/>
  <c r="B15" i="22"/>
  <c r="A15" i="22"/>
  <c r="E14" i="22"/>
  <c r="D14" i="22"/>
  <c r="C14" i="22"/>
  <c r="B14" i="22"/>
  <c r="A14" i="22"/>
  <c r="E13" i="22"/>
  <c r="D13" i="22"/>
  <c r="C13" i="22"/>
  <c r="B13" i="22"/>
  <c r="A13" i="22"/>
  <c r="E12" i="22"/>
  <c r="D12" i="22"/>
  <c r="C12" i="22"/>
  <c r="B12" i="22"/>
  <c r="A12" i="22"/>
  <c r="E11" i="22"/>
  <c r="D11" i="22"/>
  <c r="C11" i="22"/>
  <c r="B11" i="22"/>
  <c r="A11" i="22"/>
  <c r="E10" i="22"/>
  <c r="D10" i="22"/>
  <c r="C10" i="22"/>
  <c r="B10" i="22"/>
  <c r="A10" i="22"/>
  <c r="E9" i="22"/>
  <c r="D9" i="22"/>
  <c r="C9" i="22"/>
  <c r="B9" i="22"/>
  <c r="A9" i="22"/>
  <c r="E8" i="22"/>
  <c r="D8" i="22"/>
  <c r="C8" i="22"/>
  <c r="B8" i="22"/>
  <c r="A8" i="22"/>
  <c r="E7" i="22"/>
  <c r="D7" i="22"/>
  <c r="C7" i="22"/>
  <c r="B7" i="22"/>
  <c r="A7" i="22"/>
  <c r="E6" i="22"/>
  <c r="D6" i="22"/>
  <c r="C6" i="22"/>
  <c r="B6" i="22"/>
  <c r="A6" i="22"/>
  <c r="E5" i="22"/>
  <c r="D5" i="22"/>
  <c r="C5" i="22"/>
  <c r="B5" i="22"/>
  <c r="A5" i="22"/>
  <c r="E4" i="22"/>
  <c r="D4" i="22"/>
  <c r="C4" i="22"/>
  <c r="B4" i="22"/>
  <c r="A4" i="22"/>
  <c r="E3" i="22"/>
  <c r="D3" i="22"/>
  <c r="C3" i="22"/>
  <c r="B3" i="22"/>
  <c r="A3" i="22"/>
  <c r="E46" i="21"/>
  <c r="D46" i="21"/>
  <c r="C46" i="21"/>
  <c r="B46" i="21"/>
  <c r="A46" i="21"/>
  <c r="E45" i="21"/>
  <c r="D45" i="21"/>
  <c r="C45" i="21"/>
  <c r="B45" i="21"/>
  <c r="A45" i="21"/>
  <c r="E44" i="21"/>
  <c r="D44" i="21"/>
  <c r="C44" i="21"/>
  <c r="B44" i="21"/>
  <c r="A44" i="21"/>
  <c r="E43" i="21"/>
  <c r="D43" i="21"/>
  <c r="C43" i="21"/>
  <c r="B43" i="21"/>
  <c r="A43" i="21"/>
  <c r="E42" i="21"/>
  <c r="D42" i="21"/>
  <c r="C42" i="21"/>
  <c r="B42" i="21"/>
  <c r="A42" i="21"/>
  <c r="E41" i="21"/>
  <c r="D41" i="21"/>
  <c r="C41" i="21"/>
  <c r="B41" i="21"/>
  <c r="A41" i="21"/>
  <c r="E40" i="21"/>
  <c r="D40" i="21"/>
  <c r="C40" i="21"/>
  <c r="B40" i="21"/>
  <c r="A40" i="21"/>
  <c r="E39" i="21"/>
  <c r="D39" i="21"/>
  <c r="C39" i="21"/>
  <c r="B39" i="21"/>
  <c r="A39" i="21"/>
  <c r="E38" i="21"/>
  <c r="D38" i="21"/>
  <c r="C38" i="21"/>
  <c r="B38" i="21"/>
  <c r="A38" i="21"/>
  <c r="E37" i="21"/>
  <c r="D37" i="21"/>
  <c r="C37" i="21"/>
  <c r="B37" i="21"/>
  <c r="A37" i="21"/>
  <c r="E36" i="21"/>
  <c r="D36" i="21"/>
  <c r="C36" i="21"/>
  <c r="B36" i="21"/>
  <c r="A36" i="21"/>
  <c r="E35" i="21"/>
  <c r="D35" i="21"/>
  <c r="C35" i="21"/>
  <c r="B35" i="21"/>
  <c r="A35" i="21"/>
  <c r="E34" i="21"/>
  <c r="D34" i="21"/>
  <c r="C34" i="21"/>
  <c r="B34" i="21"/>
  <c r="A34" i="21"/>
  <c r="E33" i="21"/>
  <c r="D33" i="21"/>
  <c r="C33" i="21"/>
  <c r="B33" i="21"/>
  <c r="A33" i="21"/>
  <c r="E32" i="21"/>
  <c r="D32" i="21"/>
  <c r="C32" i="21"/>
  <c r="B32" i="21"/>
  <c r="A32" i="21"/>
  <c r="E31" i="21"/>
  <c r="D31" i="21"/>
  <c r="C31" i="21"/>
  <c r="B31" i="21"/>
  <c r="A31" i="21"/>
  <c r="E30" i="21"/>
  <c r="D30" i="21"/>
  <c r="C30" i="21"/>
  <c r="B30" i="21"/>
  <c r="A30" i="21"/>
  <c r="E29" i="21"/>
  <c r="D29" i="21"/>
  <c r="C29" i="21"/>
  <c r="B29" i="21"/>
  <c r="A29" i="21"/>
  <c r="E28" i="21"/>
  <c r="D28" i="21"/>
  <c r="C28" i="21"/>
  <c r="B28" i="21"/>
  <c r="A28" i="21"/>
  <c r="E27" i="21"/>
  <c r="D27" i="21"/>
  <c r="C27" i="21"/>
  <c r="B27" i="21"/>
  <c r="A27" i="21"/>
  <c r="E26" i="21"/>
  <c r="D26" i="21"/>
  <c r="C26" i="21"/>
  <c r="B26" i="21"/>
  <c r="A26" i="21"/>
  <c r="E25" i="21"/>
  <c r="D25" i="21"/>
  <c r="C25" i="21"/>
  <c r="B25" i="21"/>
  <c r="A25" i="21"/>
  <c r="E24" i="21"/>
  <c r="D24" i="21"/>
  <c r="C24" i="21"/>
  <c r="B24" i="21"/>
  <c r="A24" i="21"/>
  <c r="E23" i="21"/>
  <c r="D23" i="21"/>
  <c r="C23" i="21"/>
  <c r="B23" i="21"/>
  <c r="A23" i="21"/>
  <c r="E22" i="21"/>
  <c r="D22" i="21"/>
  <c r="C22" i="21"/>
  <c r="B22" i="21"/>
  <c r="A22" i="21"/>
  <c r="E21" i="21"/>
  <c r="D21" i="21"/>
  <c r="C21" i="21"/>
  <c r="B21" i="21"/>
  <c r="A21" i="21"/>
  <c r="E20" i="21"/>
  <c r="D20" i="21"/>
  <c r="C20" i="21"/>
  <c r="B20" i="21"/>
  <c r="A20" i="21"/>
  <c r="E19" i="21"/>
  <c r="D19" i="21"/>
  <c r="C19" i="21"/>
  <c r="B19" i="21"/>
  <c r="A19" i="21"/>
  <c r="E18" i="21"/>
  <c r="D18" i="21"/>
  <c r="C18" i="21"/>
  <c r="B18" i="21"/>
  <c r="A18" i="21"/>
  <c r="E17" i="21"/>
  <c r="D17" i="21"/>
  <c r="C17" i="21"/>
  <c r="B17" i="21"/>
  <c r="A17" i="21"/>
  <c r="E16" i="21"/>
  <c r="D16" i="21"/>
  <c r="C16" i="21"/>
  <c r="B16" i="21"/>
  <c r="A16" i="21"/>
  <c r="E15" i="21"/>
  <c r="D15" i="21"/>
  <c r="C15" i="21"/>
  <c r="B15" i="21"/>
  <c r="A15" i="21"/>
  <c r="E14" i="21"/>
  <c r="D14" i="21"/>
  <c r="C14" i="21"/>
  <c r="B14" i="21"/>
  <c r="A14" i="21"/>
  <c r="E13" i="21"/>
  <c r="D13" i="21"/>
  <c r="C13" i="21"/>
  <c r="B13" i="21"/>
  <c r="A13" i="21"/>
  <c r="E12" i="21"/>
  <c r="D12" i="21"/>
  <c r="C12" i="21"/>
  <c r="B12" i="21"/>
  <c r="A12" i="21"/>
  <c r="E11" i="21"/>
  <c r="D11" i="21"/>
  <c r="C11" i="21"/>
  <c r="B11" i="21"/>
  <c r="A11" i="21"/>
  <c r="E10" i="21"/>
  <c r="D10" i="21"/>
  <c r="C10" i="21"/>
  <c r="B10" i="21"/>
  <c r="A10" i="21"/>
  <c r="E9" i="21"/>
  <c r="D9" i="21"/>
  <c r="C9" i="21"/>
  <c r="B9" i="21"/>
  <c r="A9" i="21"/>
  <c r="E8" i="21"/>
  <c r="D8" i="21"/>
  <c r="C8" i="21"/>
  <c r="B8" i="21"/>
  <c r="A8" i="21"/>
  <c r="E7" i="21"/>
  <c r="D7" i="21"/>
  <c r="C7" i="21"/>
  <c r="B7" i="21"/>
  <c r="A7" i="21"/>
  <c r="E6" i="21"/>
  <c r="D6" i="21"/>
  <c r="C6" i="21"/>
  <c r="B6" i="21"/>
  <c r="A6" i="21"/>
  <c r="E5" i="21"/>
  <c r="D5" i="21"/>
  <c r="J6" i="2" s="1"/>
  <c r="C5" i="21"/>
  <c r="B5" i="21"/>
  <c r="A5" i="21"/>
  <c r="E4" i="21"/>
  <c r="D4" i="21"/>
  <c r="C4" i="21"/>
  <c r="B4" i="21"/>
  <c r="A4" i="21"/>
  <c r="E3" i="21"/>
  <c r="D3" i="21"/>
  <c r="C3" i="21"/>
  <c r="B3" i="21"/>
  <c r="A3" i="21"/>
  <c r="E46" i="20"/>
  <c r="D46" i="20"/>
  <c r="C46" i="20"/>
  <c r="B46" i="20"/>
  <c r="A46" i="20"/>
  <c r="E45" i="20"/>
  <c r="D45" i="20"/>
  <c r="C45" i="20"/>
  <c r="B45" i="20"/>
  <c r="A45" i="20"/>
  <c r="E44" i="20"/>
  <c r="D44" i="20"/>
  <c r="C44" i="20"/>
  <c r="B44" i="20"/>
  <c r="A44" i="20"/>
  <c r="E43" i="20"/>
  <c r="D43" i="20"/>
  <c r="C43" i="20"/>
  <c r="B43" i="20"/>
  <c r="A43" i="20"/>
  <c r="E42" i="20"/>
  <c r="D42" i="20"/>
  <c r="C42" i="20"/>
  <c r="B42" i="20"/>
  <c r="A42" i="20"/>
  <c r="E41" i="20"/>
  <c r="D41" i="20"/>
  <c r="C41" i="20"/>
  <c r="B41" i="20"/>
  <c r="A41" i="20"/>
  <c r="E40" i="20"/>
  <c r="D40" i="20"/>
  <c r="C40" i="20"/>
  <c r="B40" i="20"/>
  <c r="A40" i="20"/>
  <c r="E39" i="20"/>
  <c r="D39" i="20"/>
  <c r="C39" i="20"/>
  <c r="B39" i="20"/>
  <c r="A39" i="20"/>
  <c r="E38" i="20"/>
  <c r="D38" i="20"/>
  <c r="C38" i="20"/>
  <c r="B38" i="20"/>
  <c r="A38" i="20"/>
  <c r="E37" i="20"/>
  <c r="D37" i="20"/>
  <c r="C37" i="20"/>
  <c r="B37" i="20"/>
  <c r="A37" i="20"/>
  <c r="E36" i="20"/>
  <c r="D36" i="20"/>
  <c r="C36" i="20"/>
  <c r="B36" i="20"/>
  <c r="A36" i="20"/>
  <c r="E35" i="20"/>
  <c r="D35" i="20"/>
  <c r="C35" i="20"/>
  <c r="B35" i="20"/>
  <c r="A35" i="20"/>
  <c r="E34" i="20"/>
  <c r="D34" i="20"/>
  <c r="C34" i="20"/>
  <c r="B34" i="20"/>
  <c r="A34" i="20"/>
  <c r="E33" i="20"/>
  <c r="D33" i="20"/>
  <c r="C33" i="20"/>
  <c r="B33" i="20"/>
  <c r="A33" i="20"/>
  <c r="E32" i="20"/>
  <c r="D32" i="20"/>
  <c r="C32" i="20"/>
  <c r="B32" i="20"/>
  <c r="A32" i="20"/>
  <c r="E31" i="20"/>
  <c r="D31" i="20"/>
  <c r="C31" i="20"/>
  <c r="B31" i="20"/>
  <c r="A31" i="20"/>
  <c r="E30" i="20"/>
  <c r="D30" i="20"/>
  <c r="C30" i="20"/>
  <c r="B30" i="20"/>
  <c r="A30" i="20"/>
  <c r="E29" i="20"/>
  <c r="D29" i="20"/>
  <c r="C29" i="20"/>
  <c r="B29" i="20"/>
  <c r="A29" i="20"/>
  <c r="E28" i="20"/>
  <c r="D28" i="20"/>
  <c r="C28" i="20"/>
  <c r="B28" i="20"/>
  <c r="A28" i="20"/>
  <c r="E27" i="20"/>
  <c r="D27" i="20"/>
  <c r="C27" i="20"/>
  <c r="B27" i="20"/>
  <c r="A27" i="20"/>
  <c r="E26" i="20"/>
  <c r="D26" i="20"/>
  <c r="C26" i="20"/>
  <c r="B26" i="20"/>
  <c r="A26" i="20"/>
  <c r="E25" i="20"/>
  <c r="D25" i="20"/>
  <c r="C25" i="20"/>
  <c r="B25" i="20"/>
  <c r="A25" i="20"/>
  <c r="E24" i="20"/>
  <c r="D24" i="20"/>
  <c r="C24" i="20"/>
  <c r="B24" i="20"/>
  <c r="A24" i="20"/>
  <c r="E23" i="20"/>
  <c r="D23" i="20"/>
  <c r="C23" i="20"/>
  <c r="B23" i="20"/>
  <c r="A23" i="20"/>
  <c r="E22" i="20"/>
  <c r="D22" i="20"/>
  <c r="C22" i="20"/>
  <c r="B22" i="20"/>
  <c r="A22" i="20"/>
  <c r="E21" i="20"/>
  <c r="D21" i="20"/>
  <c r="C21" i="20"/>
  <c r="B21" i="20"/>
  <c r="A21" i="20"/>
  <c r="E20" i="20"/>
  <c r="D20" i="20"/>
  <c r="C20" i="20"/>
  <c r="B20" i="20"/>
  <c r="A20" i="20"/>
  <c r="E19" i="20"/>
  <c r="D19" i="20"/>
  <c r="C19" i="20"/>
  <c r="B19" i="20"/>
  <c r="A19" i="20"/>
  <c r="E18" i="20"/>
  <c r="D18" i="20"/>
  <c r="C18" i="20"/>
  <c r="B18" i="20"/>
  <c r="A18" i="20"/>
  <c r="E17" i="20"/>
  <c r="D17" i="20"/>
  <c r="C17" i="20"/>
  <c r="B17" i="20"/>
  <c r="A17" i="20"/>
  <c r="E16" i="20"/>
  <c r="D16" i="20"/>
  <c r="C16" i="20"/>
  <c r="B16" i="20"/>
  <c r="A16" i="20"/>
  <c r="E15" i="20"/>
  <c r="D15" i="20"/>
  <c r="C15" i="20"/>
  <c r="B15" i="20"/>
  <c r="A15" i="20"/>
  <c r="E14" i="20"/>
  <c r="D14" i="20"/>
  <c r="C14" i="20"/>
  <c r="B14" i="20"/>
  <c r="A14" i="20"/>
  <c r="E13" i="20"/>
  <c r="D13" i="20"/>
  <c r="C13" i="20"/>
  <c r="B13" i="20"/>
  <c r="A13" i="20"/>
  <c r="E12" i="20"/>
  <c r="D12" i="20"/>
  <c r="C12" i="20"/>
  <c r="B12" i="20"/>
  <c r="A12" i="20"/>
  <c r="E11" i="20"/>
  <c r="D11" i="20"/>
  <c r="C11" i="20"/>
  <c r="B11" i="20"/>
  <c r="A11" i="20"/>
  <c r="E10" i="20"/>
  <c r="D10" i="20"/>
  <c r="C10" i="20"/>
  <c r="B10" i="20"/>
  <c r="A10" i="20"/>
  <c r="E9" i="20"/>
  <c r="D9" i="20"/>
  <c r="C9" i="20"/>
  <c r="B9" i="20"/>
  <c r="A9" i="20"/>
  <c r="E8" i="20"/>
  <c r="D8" i="20"/>
  <c r="C8" i="20"/>
  <c r="B8" i="20"/>
  <c r="A8" i="20"/>
  <c r="E7" i="20"/>
  <c r="D7" i="20"/>
  <c r="C7" i="20"/>
  <c r="B7" i="20"/>
  <c r="A7" i="20"/>
  <c r="E6" i="20"/>
  <c r="D6" i="20"/>
  <c r="I7" i="2" s="1"/>
  <c r="C6" i="20"/>
  <c r="B6" i="20"/>
  <c r="A6" i="20"/>
  <c r="E5" i="20"/>
  <c r="D5" i="20"/>
  <c r="C5" i="20"/>
  <c r="B5" i="20"/>
  <c r="A5" i="20"/>
  <c r="E4" i="20"/>
  <c r="D4" i="20"/>
  <c r="C4" i="20"/>
  <c r="B4" i="20"/>
  <c r="A4" i="20"/>
  <c r="E3" i="20"/>
  <c r="D3" i="20"/>
  <c r="C3" i="20"/>
  <c r="B3" i="20"/>
  <c r="A3" i="20"/>
  <c r="E46" i="12"/>
  <c r="D46" i="12"/>
  <c r="C46" i="12"/>
  <c r="B46" i="12"/>
  <c r="A46" i="12"/>
  <c r="E45" i="12"/>
  <c r="D45" i="12"/>
  <c r="C45" i="12"/>
  <c r="B45" i="12"/>
  <c r="A45" i="12"/>
  <c r="E44" i="12"/>
  <c r="D44" i="12"/>
  <c r="C44" i="12"/>
  <c r="B44" i="12"/>
  <c r="A44" i="12"/>
  <c r="E43" i="12"/>
  <c r="D43" i="12"/>
  <c r="C43" i="12"/>
  <c r="B43" i="12"/>
  <c r="A43" i="12"/>
  <c r="E42" i="12"/>
  <c r="D42" i="12"/>
  <c r="C42" i="12"/>
  <c r="B42" i="12"/>
  <c r="A42" i="12"/>
  <c r="E41" i="12"/>
  <c r="D41" i="12"/>
  <c r="C41" i="12"/>
  <c r="B41" i="12"/>
  <c r="A41" i="12"/>
  <c r="E40" i="12"/>
  <c r="D40" i="12"/>
  <c r="C40" i="12"/>
  <c r="B40" i="12"/>
  <c r="A40" i="12"/>
  <c r="E39" i="12"/>
  <c r="D39" i="12"/>
  <c r="C39" i="12"/>
  <c r="B39" i="12"/>
  <c r="A39" i="12"/>
  <c r="E38" i="12"/>
  <c r="D38" i="12"/>
  <c r="C38" i="12"/>
  <c r="B38" i="12"/>
  <c r="A38" i="12"/>
  <c r="E37" i="12"/>
  <c r="D37" i="12"/>
  <c r="C37" i="12"/>
  <c r="B37" i="12"/>
  <c r="A37" i="12"/>
  <c r="E36" i="12"/>
  <c r="D36" i="12"/>
  <c r="C36" i="12"/>
  <c r="B36" i="12"/>
  <c r="A36" i="12"/>
  <c r="E35" i="12"/>
  <c r="D35" i="12"/>
  <c r="C35" i="12"/>
  <c r="B35" i="12"/>
  <c r="A35" i="12"/>
  <c r="E34" i="12"/>
  <c r="D34" i="12"/>
  <c r="C34" i="12"/>
  <c r="B34" i="12"/>
  <c r="A34" i="12"/>
  <c r="E33" i="12"/>
  <c r="D33" i="12"/>
  <c r="C33" i="12"/>
  <c r="B33" i="12"/>
  <c r="A33" i="12"/>
  <c r="E32" i="12"/>
  <c r="D32" i="12"/>
  <c r="C32" i="12"/>
  <c r="B32" i="12"/>
  <c r="A32" i="12"/>
  <c r="E31" i="12"/>
  <c r="D31" i="12"/>
  <c r="C31" i="12"/>
  <c r="B31" i="12"/>
  <c r="A31" i="12"/>
  <c r="E30" i="12"/>
  <c r="D30" i="12"/>
  <c r="C30" i="12"/>
  <c r="B30" i="12"/>
  <c r="A30" i="12"/>
  <c r="E29" i="12"/>
  <c r="D29" i="12"/>
  <c r="C29" i="12"/>
  <c r="B29" i="12"/>
  <c r="A29" i="12"/>
  <c r="E28" i="12"/>
  <c r="D28" i="12"/>
  <c r="C28" i="12"/>
  <c r="B28" i="12"/>
  <c r="A28" i="12"/>
  <c r="E27" i="12"/>
  <c r="D27" i="12"/>
  <c r="C27" i="12"/>
  <c r="B27" i="12"/>
  <c r="A27" i="12"/>
  <c r="E26" i="12"/>
  <c r="D26" i="12"/>
  <c r="C26" i="12"/>
  <c r="B26" i="12"/>
  <c r="A26" i="12"/>
  <c r="E25" i="12"/>
  <c r="D25" i="12"/>
  <c r="C25" i="12"/>
  <c r="B25" i="12"/>
  <c r="A25" i="12"/>
  <c r="E24" i="12"/>
  <c r="D24" i="12"/>
  <c r="C24" i="12"/>
  <c r="B24" i="12"/>
  <c r="A24" i="12"/>
  <c r="E23" i="12"/>
  <c r="D23" i="12"/>
  <c r="C23" i="12"/>
  <c r="B23" i="12"/>
  <c r="A23" i="12"/>
  <c r="E22" i="12"/>
  <c r="D22" i="12"/>
  <c r="C22" i="12"/>
  <c r="B22" i="12"/>
  <c r="A22" i="12"/>
  <c r="E21" i="12"/>
  <c r="D21" i="12"/>
  <c r="C21" i="12"/>
  <c r="B21" i="12"/>
  <c r="A21" i="12"/>
  <c r="E20" i="12"/>
  <c r="D20" i="12"/>
  <c r="C20" i="12"/>
  <c r="B20" i="12"/>
  <c r="A20" i="12"/>
  <c r="E19" i="12"/>
  <c r="D19" i="12"/>
  <c r="C19" i="12"/>
  <c r="B19" i="12"/>
  <c r="A19" i="12"/>
  <c r="E18" i="12"/>
  <c r="D18" i="12"/>
  <c r="C18" i="12"/>
  <c r="B18" i="12"/>
  <c r="A18" i="12"/>
  <c r="E17" i="12"/>
  <c r="D17" i="12"/>
  <c r="C17" i="12"/>
  <c r="B17" i="12"/>
  <c r="A17" i="12"/>
  <c r="E16" i="12"/>
  <c r="D16" i="12"/>
  <c r="C16" i="12"/>
  <c r="B16" i="12"/>
  <c r="A16" i="12"/>
  <c r="E15" i="12"/>
  <c r="D15" i="12"/>
  <c r="C15" i="12"/>
  <c r="B15" i="12"/>
  <c r="A15" i="12"/>
  <c r="E14" i="12"/>
  <c r="D14" i="12"/>
  <c r="C14" i="12"/>
  <c r="B14" i="12"/>
  <c r="A14" i="12"/>
  <c r="E13" i="12"/>
  <c r="D13" i="12"/>
  <c r="C13" i="12"/>
  <c r="B13" i="12"/>
  <c r="A13" i="12"/>
  <c r="E12" i="12"/>
  <c r="D12" i="12"/>
  <c r="C12" i="12"/>
  <c r="B12" i="12"/>
  <c r="A12" i="12"/>
  <c r="E11" i="12"/>
  <c r="D11" i="12"/>
  <c r="C11" i="12"/>
  <c r="B11" i="12"/>
  <c r="A11" i="12"/>
  <c r="E10" i="12"/>
  <c r="D10" i="12"/>
  <c r="C10" i="12"/>
  <c r="B10" i="12"/>
  <c r="A10" i="12"/>
  <c r="E9" i="12"/>
  <c r="D9" i="12"/>
  <c r="C9" i="12"/>
  <c r="B9" i="12"/>
  <c r="A9" i="12"/>
  <c r="E8" i="12"/>
  <c r="D8" i="12"/>
  <c r="C8" i="12"/>
  <c r="B8" i="12"/>
  <c r="A8" i="12"/>
  <c r="E7" i="12"/>
  <c r="D7" i="12"/>
  <c r="C7" i="12"/>
  <c r="B7" i="12"/>
  <c r="A7" i="12"/>
  <c r="E6" i="12"/>
  <c r="D6" i="12"/>
  <c r="C6" i="12"/>
  <c r="B6" i="12"/>
  <c r="A6" i="12"/>
  <c r="E5" i="12"/>
  <c r="D5" i="12"/>
  <c r="C5" i="12"/>
  <c r="B5" i="12"/>
  <c r="A5" i="12"/>
  <c r="E4" i="12"/>
  <c r="D4" i="12"/>
  <c r="C4" i="12"/>
  <c r="B4" i="12"/>
  <c r="A4" i="12"/>
  <c r="E3" i="12"/>
  <c r="D3" i="12"/>
  <c r="C3" i="12"/>
  <c r="B3" i="12"/>
  <c r="A3" i="12"/>
  <c r="E46" i="11"/>
  <c r="D46" i="11"/>
  <c r="C46" i="11"/>
  <c r="B46" i="11"/>
  <c r="A46" i="11"/>
  <c r="E45" i="11"/>
  <c r="D45" i="11"/>
  <c r="C45" i="11"/>
  <c r="B45" i="11"/>
  <c r="A45" i="11"/>
  <c r="E44" i="11"/>
  <c r="D44" i="11"/>
  <c r="C44" i="11"/>
  <c r="B44" i="11"/>
  <c r="A44" i="11"/>
  <c r="E43" i="11"/>
  <c r="D43" i="11"/>
  <c r="C43" i="11"/>
  <c r="B43" i="11"/>
  <c r="A43" i="11"/>
  <c r="E42" i="11"/>
  <c r="D42" i="11"/>
  <c r="C42" i="11"/>
  <c r="B42" i="11"/>
  <c r="A42" i="11"/>
  <c r="E41" i="11"/>
  <c r="D41" i="11"/>
  <c r="C41" i="11"/>
  <c r="B41" i="11"/>
  <c r="A41" i="11"/>
  <c r="E40" i="11"/>
  <c r="D40" i="11"/>
  <c r="C40" i="11"/>
  <c r="B40" i="11"/>
  <c r="A40" i="11"/>
  <c r="E39" i="11"/>
  <c r="D39" i="11"/>
  <c r="C39" i="11"/>
  <c r="B39" i="11"/>
  <c r="A39" i="11"/>
  <c r="E38" i="11"/>
  <c r="D38" i="11"/>
  <c r="C38" i="11"/>
  <c r="B38" i="11"/>
  <c r="A38" i="11"/>
  <c r="E37" i="11"/>
  <c r="D37" i="11"/>
  <c r="C37" i="11"/>
  <c r="B37" i="11"/>
  <c r="A37" i="11"/>
  <c r="E36" i="11"/>
  <c r="D36" i="11"/>
  <c r="C36" i="11"/>
  <c r="B36" i="11"/>
  <c r="A36" i="11"/>
  <c r="E35" i="11"/>
  <c r="D35" i="11"/>
  <c r="C35" i="11"/>
  <c r="B35" i="11"/>
  <c r="A35" i="11"/>
  <c r="E34" i="11"/>
  <c r="D34" i="11"/>
  <c r="C34" i="11"/>
  <c r="B34" i="11"/>
  <c r="A34" i="11"/>
  <c r="E33" i="11"/>
  <c r="D33" i="11"/>
  <c r="C33" i="11"/>
  <c r="B33" i="11"/>
  <c r="A33" i="11"/>
  <c r="E32" i="11"/>
  <c r="D32" i="11"/>
  <c r="C32" i="11"/>
  <c r="B32" i="11"/>
  <c r="A32" i="11"/>
  <c r="E31" i="11"/>
  <c r="D31" i="11"/>
  <c r="C31" i="11"/>
  <c r="B31" i="11"/>
  <c r="A31" i="11"/>
  <c r="E30" i="11"/>
  <c r="D30" i="11"/>
  <c r="C30" i="11"/>
  <c r="B30" i="11"/>
  <c r="A30" i="11"/>
  <c r="E29" i="11"/>
  <c r="D29" i="11"/>
  <c r="C29" i="11"/>
  <c r="B29" i="11"/>
  <c r="A29" i="11"/>
  <c r="E28" i="11"/>
  <c r="D28" i="11"/>
  <c r="C28" i="11"/>
  <c r="B28" i="11"/>
  <c r="A28" i="11"/>
  <c r="E27" i="11"/>
  <c r="D27" i="11"/>
  <c r="C27" i="11"/>
  <c r="B27" i="11"/>
  <c r="A27" i="11"/>
  <c r="E26" i="11"/>
  <c r="D26" i="11"/>
  <c r="C26" i="11"/>
  <c r="B26" i="11"/>
  <c r="A26" i="11"/>
  <c r="E25" i="11"/>
  <c r="D25" i="11"/>
  <c r="C25" i="11"/>
  <c r="B25" i="11"/>
  <c r="A25" i="11"/>
  <c r="E24" i="11"/>
  <c r="D24" i="11"/>
  <c r="C24" i="11"/>
  <c r="B24" i="11"/>
  <c r="A24" i="11"/>
  <c r="E23" i="11"/>
  <c r="D23" i="11"/>
  <c r="C23" i="11"/>
  <c r="B23" i="11"/>
  <c r="A23" i="11"/>
  <c r="E22" i="11"/>
  <c r="D22" i="11"/>
  <c r="C22" i="11"/>
  <c r="B22" i="11"/>
  <c r="A22" i="11"/>
  <c r="E21" i="11"/>
  <c r="D21" i="11"/>
  <c r="C21" i="11"/>
  <c r="B21" i="11"/>
  <c r="A21" i="11"/>
  <c r="E20" i="11"/>
  <c r="D20" i="11"/>
  <c r="C20" i="11"/>
  <c r="B20" i="11"/>
  <c r="A20" i="11"/>
  <c r="E19" i="11"/>
  <c r="D19" i="11"/>
  <c r="C19" i="11"/>
  <c r="B19" i="11"/>
  <c r="A19" i="11"/>
  <c r="E18" i="11"/>
  <c r="D18" i="11"/>
  <c r="C18" i="11"/>
  <c r="B18" i="11"/>
  <c r="A18" i="11"/>
  <c r="E17" i="11"/>
  <c r="D17" i="11"/>
  <c r="C17" i="11"/>
  <c r="B17" i="11"/>
  <c r="A17" i="11"/>
  <c r="E16" i="11"/>
  <c r="D16" i="11"/>
  <c r="C16" i="11"/>
  <c r="B16" i="11"/>
  <c r="A16" i="11"/>
  <c r="E15" i="11"/>
  <c r="D15" i="11"/>
  <c r="C15" i="11"/>
  <c r="B15" i="11"/>
  <c r="A15" i="11"/>
  <c r="E14" i="11"/>
  <c r="D14" i="11"/>
  <c r="C14" i="11"/>
  <c r="B14" i="11"/>
  <c r="A14" i="11"/>
  <c r="E13" i="11"/>
  <c r="D13" i="11"/>
  <c r="C13" i="11"/>
  <c r="B13" i="11"/>
  <c r="A13" i="11"/>
  <c r="E12" i="11"/>
  <c r="D12" i="11"/>
  <c r="C12" i="11"/>
  <c r="B12" i="11"/>
  <c r="A12" i="11"/>
  <c r="E11" i="11"/>
  <c r="D11" i="11"/>
  <c r="C11" i="11"/>
  <c r="B11" i="11"/>
  <c r="A11" i="11"/>
  <c r="E10" i="11"/>
  <c r="D10" i="11"/>
  <c r="C10" i="11"/>
  <c r="B10" i="11"/>
  <c r="A10" i="11"/>
  <c r="E9" i="11"/>
  <c r="D9" i="11"/>
  <c r="C9" i="11"/>
  <c r="B9" i="11"/>
  <c r="A9" i="11"/>
  <c r="E8" i="11"/>
  <c r="D8" i="11"/>
  <c r="C8" i="11"/>
  <c r="B8" i="11"/>
  <c r="A8" i="11"/>
  <c r="E7" i="11"/>
  <c r="D7" i="11"/>
  <c r="C7" i="11"/>
  <c r="B7" i="11"/>
  <c r="A7" i="11"/>
  <c r="E6" i="11"/>
  <c r="D6" i="11"/>
  <c r="C6" i="11"/>
  <c r="B6" i="11"/>
  <c r="A6" i="11"/>
  <c r="E5" i="11"/>
  <c r="D5" i="11"/>
  <c r="C5" i="11"/>
  <c r="B5" i="11"/>
  <c r="A5" i="11"/>
  <c r="E4" i="11"/>
  <c r="D4" i="11"/>
  <c r="C4" i="11"/>
  <c r="B4" i="11"/>
  <c r="A4" i="11"/>
  <c r="E3" i="11"/>
  <c r="D3" i="11"/>
  <c r="C3" i="11"/>
  <c r="B3" i="11"/>
  <c r="A3" i="1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3" i="10"/>
  <c r="D46" i="10"/>
  <c r="C46" i="10"/>
  <c r="B46" i="10"/>
  <c r="A46" i="10"/>
  <c r="D45" i="10"/>
  <c r="C45" i="10"/>
  <c r="B45" i="10"/>
  <c r="A45" i="10"/>
  <c r="D44" i="10"/>
  <c r="C44" i="10"/>
  <c r="B44" i="10"/>
  <c r="A44" i="10"/>
  <c r="D43" i="10"/>
  <c r="C43" i="10"/>
  <c r="B43" i="10"/>
  <c r="A43" i="10"/>
  <c r="D42" i="10"/>
  <c r="C42" i="10"/>
  <c r="B42" i="10"/>
  <c r="A42" i="10"/>
  <c r="D41" i="10"/>
  <c r="C41" i="10"/>
  <c r="B41" i="10"/>
  <c r="A41" i="10"/>
  <c r="D40" i="10"/>
  <c r="C40" i="10"/>
  <c r="B40" i="10"/>
  <c r="A40" i="10"/>
  <c r="D39" i="10"/>
  <c r="C39" i="10"/>
  <c r="B39" i="10"/>
  <c r="A39" i="10"/>
  <c r="D38" i="10"/>
  <c r="C38" i="10"/>
  <c r="B38" i="10"/>
  <c r="A38" i="10"/>
  <c r="D37" i="10"/>
  <c r="C37" i="10"/>
  <c r="B37" i="10"/>
  <c r="A37" i="10"/>
  <c r="D36" i="10"/>
  <c r="C36" i="10"/>
  <c r="B36" i="10"/>
  <c r="A36" i="10"/>
  <c r="D35" i="10"/>
  <c r="C35" i="10"/>
  <c r="B35" i="10"/>
  <c r="A35" i="10"/>
  <c r="D34" i="10"/>
  <c r="C34" i="10"/>
  <c r="B34" i="10"/>
  <c r="A34" i="10"/>
  <c r="D33" i="10"/>
  <c r="C33" i="10"/>
  <c r="B33" i="10"/>
  <c r="A33" i="10"/>
  <c r="D32" i="10"/>
  <c r="C32" i="10"/>
  <c r="B32" i="10"/>
  <c r="A32" i="10"/>
  <c r="D31" i="10"/>
  <c r="C31" i="10"/>
  <c r="B31" i="10"/>
  <c r="A31" i="10"/>
  <c r="D30" i="10"/>
  <c r="C30" i="10"/>
  <c r="B30" i="10"/>
  <c r="A30" i="10"/>
  <c r="D29" i="10"/>
  <c r="C29" i="10"/>
  <c r="B29" i="10"/>
  <c r="A29" i="10"/>
  <c r="D28" i="10"/>
  <c r="C28" i="10"/>
  <c r="B28" i="10"/>
  <c r="A28" i="10"/>
  <c r="D27" i="10"/>
  <c r="C27" i="10"/>
  <c r="B27" i="10"/>
  <c r="A27" i="10"/>
  <c r="D26" i="10"/>
  <c r="C26" i="10"/>
  <c r="B26" i="10"/>
  <c r="A26" i="10"/>
  <c r="D25" i="10"/>
  <c r="C25" i="10"/>
  <c r="B25" i="10"/>
  <c r="A25" i="10"/>
  <c r="D24" i="10"/>
  <c r="C24" i="10"/>
  <c r="B24" i="10"/>
  <c r="A24" i="10"/>
  <c r="D23" i="10"/>
  <c r="C23" i="10"/>
  <c r="B23" i="10"/>
  <c r="A23" i="10"/>
  <c r="D22" i="10"/>
  <c r="C22" i="10"/>
  <c r="B22" i="10"/>
  <c r="A22" i="10"/>
  <c r="D21" i="10"/>
  <c r="C21" i="10"/>
  <c r="B21" i="10"/>
  <c r="A21" i="10"/>
  <c r="D20" i="10"/>
  <c r="C20" i="10"/>
  <c r="B20" i="10"/>
  <c r="A20" i="10"/>
  <c r="D19" i="10"/>
  <c r="C19" i="10"/>
  <c r="B19" i="10"/>
  <c r="A19" i="10"/>
  <c r="D18" i="10"/>
  <c r="C18" i="10"/>
  <c r="B18" i="10"/>
  <c r="A18" i="10"/>
  <c r="D17" i="10"/>
  <c r="C17" i="10"/>
  <c r="B17" i="10"/>
  <c r="A17" i="10"/>
  <c r="D16" i="10"/>
  <c r="C16" i="10"/>
  <c r="B16" i="10"/>
  <c r="A16" i="10"/>
  <c r="D15" i="10"/>
  <c r="C15" i="10"/>
  <c r="B15" i="10"/>
  <c r="A15" i="10"/>
  <c r="D14" i="10"/>
  <c r="C14" i="10"/>
  <c r="B14" i="10"/>
  <c r="A14" i="10"/>
  <c r="D13" i="10"/>
  <c r="C13" i="10"/>
  <c r="B13" i="10"/>
  <c r="A13" i="10"/>
  <c r="D12" i="10"/>
  <c r="C12" i="10"/>
  <c r="B12" i="10"/>
  <c r="A12" i="10"/>
  <c r="D11" i="10"/>
  <c r="C11" i="10"/>
  <c r="B11" i="10"/>
  <c r="A11" i="10"/>
  <c r="D10" i="10"/>
  <c r="C10" i="10"/>
  <c r="B10" i="10"/>
  <c r="A10" i="10"/>
  <c r="D9" i="10"/>
  <c r="C9" i="10"/>
  <c r="B9" i="10"/>
  <c r="A9" i="10"/>
  <c r="D8" i="10"/>
  <c r="C8" i="10"/>
  <c r="B8" i="10"/>
  <c r="A8" i="10"/>
  <c r="D7" i="10"/>
  <c r="C7" i="10"/>
  <c r="B7" i="10"/>
  <c r="A7" i="10"/>
  <c r="D6" i="10"/>
  <c r="C6" i="10"/>
  <c r="B6" i="10"/>
  <c r="A6" i="10"/>
  <c r="D5" i="10"/>
  <c r="C5" i="10"/>
  <c r="B5" i="10"/>
  <c r="A5" i="10"/>
  <c r="D4" i="10"/>
  <c r="C4" i="10"/>
  <c r="B4" i="10"/>
  <c r="A4" i="10"/>
  <c r="D3" i="10"/>
  <c r="C3" i="10"/>
  <c r="B3" i="10"/>
  <c r="A3" i="10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Q34" i="2"/>
  <c r="P3" i="2"/>
  <c r="P4" i="2"/>
  <c r="P41" i="2"/>
  <c r="O3" i="2"/>
  <c r="O4" i="2"/>
  <c r="O5" i="2"/>
  <c r="O9" i="2"/>
  <c r="O13" i="2"/>
  <c r="O17" i="2"/>
  <c r="O21" i="2"/>
  <c r="O25" i="2"/>
  <c r="O29" i="2"/>
  <c r="O33" i="2"/>
  <c r="O37" i="2"/>
  <c r="O41" i="2"/>
  <c r="O45" i="2"/>
  <c r="N3" i="2"/>
  <c r="N4" i="2"/>
  <c r="N7" i="2"/>
  <c r="N8" i="2"/>
  <c r="N11" i="2"/>
  <c r="N12" i="2"/>
  <c r="N15" i="2"/>
  <c r="N16" i="2"/>
  <c r="N19" i="2"/>
  <c r="N20" i="2"/>
  <c r="N23" i="2"/>
  <c r="N24" i="2"/>
  <c r="N27" i="2"/>
  <c r="N28" i="2"/>
  <c r="N31" i="2"/>
  <c r="N32" i="2"/>
  <c r="N35" i="2"/>
  <c r="N36" i="2"/>
  <c r="N39" i="2"/>
  <c r="N40" i="2"/>
  <c r="N43" i="2"/>
  <c r="N44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L3" i="2"/>
  <c r="L4" i="2"/>
  <c r="L5" i="2"/>
  <c r="L9" i="2"/>
  <c r="L13" i="2"/>
  <c r="L17" i="2"/>
  <c r="L21" i="2"/>
  <c r="L25" i="2"/>
  <c r="L29" i="2"/>
  <c r="L33" i="2"/>
  <c r="L37" i="2"/>
  <c r="L41" i="2"/>
  <c r="L4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J3" i="2"/>
  <c r="J4" i="2"/>
  <c r="J5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I3" i="2"/>
  <c r="I4" i="2"/>
  <c r="I5" i="2"/>
  <c r="I8" i="2"/>
  <c r="I12" i="2"/>
  <c r="I16" i="2"/>
  <c r="I20" i="2"/>
  <c r="I24" i="2"/>
  <c r="I28" i="2"/>
  <c r="I32" i="2"/>
  <c r="I36" i="2"/>
  <c r="I40" i="2"/>
  <c r="I44" i="2"/>
  <c r="I46" i="29"/>
  <c r="J46" i="29" s="1"/>
  <c r="K46" i="29" s="1"/>
  <c r="I45" i="29"/>
  <c r="I44" i="29"/>
  <c r="J44" i="29" s="1"/>
  <c r="K44" i="29" s="1"/>
  <c r="I42" i="29"/>
  <c r="J42" i="29" s="1"/>
  <c r="K42" i="29" s="1"/>
  <c r="I41" i="29"/>
  <c r="I40" i="29"/>
  <c r="J40" i="29" s="1"/>
  <c r="K40" i="29" s="1"/>
  <c r="I38" i="29"/>
  <c r="J38" i="29" s="1"/>
  <c r="K38" i="29" s="1"/>
  <c r="I37" i="29"/>
  <c r="I36" i="29"/>
  <c r="J36" i="29" s="1"/>
  <c r="K36" i="29" s="1"/>
  <c r="I34" i="29"/>
  <c r="J34" i="29" s="1"/>
  <c r="K34" i="29" s="1"/>
  <c r="I33" i="29"/>
  <c r="I32" i="29"/>
  <c r="J32" i="29" s="1"/>
  <c r="K32" i="29" s="1"/>
  <c r="I30" i="29"/>
  <c r="J30" i="29" s="1"/>
  <c r="K30" i="29" s="1"/>
  <c r="I29" i="29"/>
  <c r="I28" i="29"/>
  <c r="J28" i="29" s="1"/>
  <c r="K28" i="29" s="1"/>
  <c r="I26" i="29"/>
  <c r="J26" i="29" s="1"/>
  <c r="K26" i="29" s="1"/>
  <c r="I25" i="29"/>
  <c r="I24" i="29"/>
  <c r="J24" i="29" s="1"/>
  <c r="K24" i="29" s="1"/>
  <c r="I22" i="29"/>
  <c r="J22" i="29" s="1"/>
  <c r="K22" i="29" s="1"/>
  <c r="I21" i="29"/>
  <c r="I20" i="29"/>
  <c r="J20" i="29" s="1"/>
  <c r="K20" i="29" s="1"/>
  <c r="I18" i="29"/>
  <c r="J18" i="29" s="1"/>
  <c r="K18" i="29" s="1"/>
  <c r="I17" i="29"/>
  <c r="I16" i="29"/>
  <c r="J16" i="29" s="1"/>
  <c r="K16" i="29" s="1"/>
  <c r="I14" i="29"/>
  <c r="J14" i="29" s="1"/>
  <c r="K14" i="29" s="1"/>
  <c r="I13" i="29"/>
  <c r="I12" i="29"/>
  <c r="J12" i="29" s="1"/>
  <c r="K12" i="29" s="1"/>
  <c r="I10" i="29"/>
  <c r="J10" i="29" s="1"/>
  <c r="K10" i="29" s="1"/>
  <c r="I9" i="29"/>
  <c r="I8" i="29"/>
  <c r="J8" i="29" s="1"/>
  <c r="K8" i="29" s="1"/>
  <c r="I6" i="29"/>
  <c r="J6" i="29" s="1"/>
  <c r="K6" i="29" s="1"/>
  <c r="I5" i="29"/>
  <c r="I4" i="29"/>
  <c r="J4" i="29" s="1"/>
  <c r="K4" i="29" s="1"/>
  <c r="I1" i="29"/>
  <c r="I46" i="27"/>
  <c r="J46" i="27" s="1"/>
  <c r="K46" i="27" s="1"/>
  <c r="I45" i="27"/>
  <c r="J45" i="27" s="1"/>
  <c r="K45" i="27" s="1"/>
  <c r="I44" i="27"/>
  <c r="J44" i="27" s="1"/>
  <c r="K44" i="27" s="1"/>
  <c r="I43" i="27"/>
  <c r="J43" i="27" s="1"/>
  <c r="K43" i="27" s="1"/>
  <c r="I42" i="27"/>
  <c r="J42" i="27" s="1"/>
  <c r="K42" i="27" s="1"/>
  <c r="I41" i="27"/>
  <c r="J41" i="27" s="1"/>
  <c r="K41" i="27" s="1"/>
  <c r="I40" i="27"/>
  <c r="J40" i="27" s="1"/>
  <c r="K40" i="27" s="1"/>
  <c r="I39" i="27"/>
  <c r="J39" i="27" s="1"/>
  <c r="K39" i="27" s="1"/>
  <c r="I38" i="27"/>
  <c r="J38" i="27" s="1"/>
  <c r="K38" i="27" s="1"/>
  <c r="I37" i="27"/>
  <c r="J37" i="27" s="1"/>
  <c r="K37" i="27" s="1"/>
  <c r="I36" i="27"/>
  <c r="J36" i="27" s="1"/>
  <c r="K36" i="27" s="1"/>
  <c r="I35" i="27"/>
  <c r="J35" i="27" s="1"/>
  <c r="K35" i="27" s="1"/>
  <c r="I34" i="27"/>
  <c r="J34" i="27" s="1"/>
  <c r="K34" i="27" s="1"/>
  <c r="I33" i="27"/>
  <c r="J33" i="27" s="1"/>
  <c r="K33" i="27" s="1"/>
  <c r="I32" i="27"/>
  <c r="J32" i="27" s="1"/>
  <c r="K32" i="27" s="1"/>
  <c r="I31" i="27"/>
  <c r="J31" i="27" s="1"/>
  <c r="K31" i="27" s="1"/>
  <c r="I30" i="27"/>
  <c r="J30" i="27" s="1"/>
  <c r="K30" i="27" s="1"/>
  <c r="I29" i="27"/>
  <c r="J29" i="27" s="1"/>
  <c r="K29" i="27" s="1"/>
  <c r="I28" i="27"/>
  <c r="J28" i="27" s="1"/>
  <c r="K28" i="27" s="1"/>
  <c r="I27" i="27"/>
  <c r="J27" i="27" s="1"/>
  <c r="K27" i="27" s="1"/>
  <c r="I26" i="27"/>
  <c r="J26" i="27" s="1"/>
  <c r="K26" i="27" s="1"/>
  <c r="I25" i="27"/>
  <c r="J25" i="27" s="1"/>
  <c r="K25" i="27" s="1"/>
  <c r="I24" i="27"/>
  <c r="J24" i="27" s="1"/>
  <c r="K24" i="27" s="1"/>
  <c r="I23" i="27"/>
  <c r="J23" i="27" s="1"/>
  <c r="K23" i="27" s="1"/>
  <c r="I22" i="27"/>
  <c r="J22" i="27" s="1"/>
  <c r="K22" i="27" s="1"/>
  <c r="I21" i="27"/>
  <c r="J21" i="27" s="1"/>
  <c r="K21" i="27" s="1"/>
  <c r="I20" i="27"/>
  <c r="J20" i="27" s="1"/>
  <c r="K20" i="27" s="1"/>
  <c r="I19" i="27"/>
  <c r="J19" i="27" s="1"/>
  <c r="K19" i="27" s="1"/>
  <c r="I18" i="27"/>
  <c r="J18" i="27" s="1"/>
  <c r="K18" i="27" s="1"/>
  <c r="I17" i="27"/>
  <c r="J17" i="27" s="1"/>
  <c r="K17" i="27" s="1"/>
  <c r="I16" i="27"/>
  <c r="J16" i="27" s="1"/>
  <c r="K16" i="27" s="1"/>
  <c r="I15" i="27"/>
  <c r="J15" i="27" s="1"/>
  <c r="K15" i="27" s="1"/>
  <c r="I14" i="27"/>
  <c r="J14" i="27" s="1"/>
  <c r="K14" i="27" s="1"/>
  <c r="I13" i="27"/>
  <c r="J13" i="27" s="1"/>
  <c r="K13" i="27" s="1"/>
  <c r="I12" i="27"/>
  <c r="J12" i="27" s="1"/>
  <c r="K12" i="27" s="1"/>
  <c r="I11" i="27"/>
  <c r="J11" i="27" s="1"/>
  <c r="K11" i="27" s="1"/>
  <c r="I10" i="27"/>
  <c r="J10" i="27" s="1"/>
  <c r="K10" i="27" s="1"/>
  <c r="I9" i="27"/>
  <c r="J9" i="27" s="1"/>
  <c r="K9" i="27" s="1"/>
  <c r="I8" i="27"/>
  <c r="J8" i="27" s="1"/>
  <c r="K8" i="27" s="1"/>
  <c r="I7" i="27"/>
  <c r="J7" i="27" s="1"/>
  <c r="K7" i="27" s="1"/>
  <c r="I6" i="27"/>
  <c r="J6" i="27" s="1"/>
  <c r="K6" i="27" s="1"/>
  <c r="I5" i="27"/>
  <c r="J5" i="27" s="1"/>
  <c r="K5" i="27" s="1"/>
  <c r="I4" i="27"/>
  <c r="J4" i="27" s="1"/>
  <c r="K4" i="27" s="1"/>
  <c r="I3" i="27"/>
  <c r="J3" i="27" s="1"/>
  <c r="K3" i="27" s="1"/>
  <c r="I1" i="27"/>
  <c r="I46" i="26"/>
  <c r="J46" i="26" s="1"/>
  <c r="K46" i="26" s="1"/>
  <c r="I45" i="26"/>
  <c r="J45" i="26" s="1"/>
  <c r="K45" i="26" s="1"/>
  <c r="I44" i="26"/>
  <c r="J44" i="26" s="1"/>
  <c r="K44" i="26" s="1"/>
  <c r="I43" i="26"/>
  <c r="J43" i="26" s="1"/>
  <c r="K43" i="26" s="1"/>
  <c r="I42" i="26"/>
  <c r="J42" i="26" s="1"/>
  <c r="K42" i="26" s="1"/>
  <c r="I41" i="26"/>
  <c r="J41" i="26" s="1"/>
  <c r="K41" i="26" s="1"/>
  <c r="I40" i="26"/>
  <c r="J40" i="26" s="1"/>
  <c r="K40" i="26" s="1"/>
  <c r="I39" i="26"/>
  <c r="J39" i="26" s="1"/>
  <c r="K39" i="26" s="1"/>
  <c r="I38" i="26"/>
  <c r="J38" i="26" s="1"/>
  <c r="K38" i="26" s="1"/>
  <c r="I37" i="26"/>
  <c r="J37" i="26" s="1"/>
  <c r="K37" i="26" s="1"/>
  <c r="I36" i="26"/>
  <c r="J36" i="26" s="1"/>
  <c r="K36" i="26" s="1"/>
  <c r="I35" i="26"/>
  <c r="J35" i="26" s="1"/>
  <c r="K35" i="26" s="1"/>
  <c r="I34" i="26"/>
  <c r="J34" i="26" s="1"/>
  <c r="K34" i="26" s="1"/>
  <c r="I33" i="26"/>
  <c r="J33" i="26" s="1"/>
  <c r="K33" i="26" s="1"/>
  <c r="I32" i="26"/>
  <c r="J32" i="26" s="1"/>
  <c r="K32" i="26" s="1"/>
  <c r="I31" i="26"/>
  <c r="J31" i="26" s="1"/>
  <c r="K31" i="26" s="1"/>
  <c r="I30" i="26"/>
  <c r="J30" i="26" s="1"/>
  <c r="K30" i="26" s="1"/>
  <c r="I29" i="26"/>
  <c r="J29" i="26" s="1"/>
  <c r="K29" i="26" s="1"/>
  <c r="I28" i="26"/>
  <c r="J28" i="26" s="1"/>
  <c r="K28" i="26" s="1"/>
  <c r="I27" i="26"/>
  <c r="J27" i="26" s="1"/>
  <c r="K27" i="26" s="1"/>
  <c r="I26" i="26"/>
  <c r="J26" i="26" s="1"/>
  <c r="K26" i="26" s="1"/>
  <c r="I25" i="26"/>
  <c r="J25" i="26" s="1"/>
  <c r="K25" i="26" s="1"/>
  <c r="I24" i="26"/>
  <c r="J24" i="26" s="1"/>
  <c r="K24" i="26" s="1"/>
  <c r="I23" i="26"/>
  <c r="J23" i="26" s="1"/>
  <c r="K23" i="26" s="1"/>
  <c r="I22" i="26"/>
  <c r="J22" i="26" s="1"/>
  <c r="K22" i="26" s="1"/>
  <c r="I21" i="26"/>
  <c r="J21" i="26" s="1"/>
  <c r="K21" i="26" s="1"/>
  <c r="I20" i="26"/>
  <c r="J20" i="26" s="1"/>
  <c r="K20" i="26" s="1"/>
  <c r="I19" i="26"/>
  <c r="J19" i="26" s="1"/>
  <c r="K19" i="26" s="1"/>
  <c r="I18" i="26"/>
  <c r="J18" i="26" s="1"/>
  <c r="K18" i="26" s="1"/>
  <c r="I17" i="26"/>
  <c r="J17" i="26" s="1"/>
  <c r="K17" i="26" s="1"/>
  <c r="I16" i="26"/>
  <c r="J16" i="26" s="1"/>
  <c r="K16" i="26" s="1"/>
  <c r="I15" i="26"/>
  <c r="J15" i="26" s="1"/>
  <c r="K15" i="26" s="1"/>
  <c r="I14" i="26"/>
  <c r="J14" i="26" s="1"/>
  <c r="K14" i="26" s="1"/>
  <c r="I13" i="26"/>
  <c r="J13" i="26" s="1"/>
  <c r="K13" i="26" s="1"/>
  <c r="I12" i="26"/>
  <c r="J12" i="26" s="1"/>
  <c r="K12" i="26" s="1"/>
  <c r="I11" i="26"/>
  <c r="J11" i="26" s="1"/>
  <c r="K11" i="26" s="1"/>
  <c r="I10" i="26"/>
  <c r="J10" i="26" s="1"/>
  <c r="K10" i="26" s="1"/>
  <c r="I9" i="26"/>
  <c r="J9" i="26" s="1"/>
  <c r="K9" i="26" s="1"/>
  <c r="I8" i="26"/>
  <c r="J8" i="26" s="1"/>
  <c r="K8" i="26" s="1"/>
  <c r="I7" i="26"/>
  <c r="J7" i="26" s="1"/>
  <c r="K7" i="26" s="1"/>
  <c r="I6" i="26"/>
  <c r="J6" i="26" s="1"/>
  <c r="K6" i="26" s="1"/>
  <c r="I5" i="26"/>
  <c r="J5" i="26" s="1"/>
  <c r="K5" i="26" s="1"/>
  <c r="I4" i="26"/>
  <c r="J4" i="26" s="1"/>
  <c r="K4" i="26" s="1"/>
  <c r="I3" i="26"/>
  <c r="J3" i="26" s="1"/>
  <c r="K3" i="26" s="1"/>
  <c r="I1" i="26"/>
  <c r="J46" i="25"/>
  <c r="K46" i="25" s="1"/>
  <c r="I46" i="25"/>
  <c r="J45" i="25"/>
  <c r="K45" i="25" s="1"/>
  <c r="I45" i="25"/>
  <c r="J44" i="25"/>
  <c r="K44" i="25" s="1"/>
  <c r="I44" i="25"/>
  <c r="J43" i="25"/>
  <c r="K43" i="25" s="1"/>
  <c r="I43" i="25"/>
  <c r="J42" i="25"/>
  <c r="K42" i="25" s="1"/>
  <c r="I42" i="25"/>
  <c r="J41" i="25"/>
  <c r="K41" i="25" s="1"/>
  <c r="I41" i="25"/>
  <c r="J40" i="25"/>
  <c r="K40" i="25" s="1"/>
  <c r="I40" i="25"/>
  <c r="J39" i="25"/>
  <c r="K39" i="25" s="1"/>
  <c r="I39" i="25"/>
  <c r="J38" i="25"/>
  <c r="K38" i="25" s="1"/>
  <c r="I38" i="25"/>
  <c r="J37" i="25"/>
  <c r="K37" i="25" s="1"/>
  <c r="I37" i="25"/>
  <c r="J36" i="25"/>
  <c r="K36" i="25" s="1"/>
  <c r="I36" i="25"/>
  <c r="J35" i="25"/>
  <c r="K35" i="25" s="1"/>
  <c r="I35" i="25"/>
  <c r="J34" i="25"/>
  <c r="K34" i="25" s="1"/>
  <c r="I34" i="25"/>
  <c r="J33" i="25"/>
  <c r="K33" i="25" s="1"/>
  <c r="I33" i="25"/>
  <c r="J32" i="25"/>
  <c r="K32" i="25" s="1"/>
  <c r="I32" i="25"/>
  <c r="J31" i="25"/>
  <c r="K31" i="25" s="1"/>
  <c r="I31" i="25"/>
  <c r="J30" i="25"/>
  <c r="K30" i="25" s="1"/>
  <c r="I30" i="25"/>
  <c r="J29" i="25"/>
  <c r="K29" i="25" s="1"/>
  <c r="I29" i="25"/>
  <c r="J28" i="25"/>
  <c r="K28" i="25" s="1"/>
  <c r="I28" i="25"/>
  <c r="J27" i="25"/>
  <c r="K27" i="25" s="1"/>
  <c r="I27" i="25"/>
  <c r="J26" i="25"/>
  <c r="K26" i="25" s="1"/>
  <c r="I26" i="25"/>
  <c r="J25" i="25"/>
  <c r="K25" i="25" s="1"/>
  <c r="I25" i="25"/>
  <c r="J24" i="25"/>
  <c r="K24" i="25" s="1"/>
  <c r="I24" i="25"/>
  <c r="J23" i="25"/>
  <c r="K23" i="25" s="1"/>
  <c r="I23" i="25"/>
  <c r="J22" i="25"/>
  <c r="K22" i="25" s="1"/>
  <c r="I22" i="25"/>
  <c r="J21" i="25"/>
  <c r="K21" i="25" s="1"/>
  <c r="I21" i="25"/>
  <c r="J20" i="25"/>
  <c r="K20" i="25" s="1"/>
  <c r="I20" i="25"/>
  <c r="J19" i="25"/>
  <c r="K19" i="25" s="1"/>
  <c r="I19" i="25"/>
  <c r="J18" i="25"/>
  <c r="K18" i="25" s="1"/>
  <c r="I18" i="25"/>
  <c r="J17" i="25"/>
  <c r="K17" i="25" s="1"/>
  <c r="I17" i="25"/>
  <c r="J16" i="25"/>
  <c r="K16" i="25" s="1"/>
  <c r="I16" i="25"/>
  <c r="J15" i="25"/>
  <c r="K15" i="25" s="1"/>
  <c r="I15" i="25"/>
  <c r="J14" i="25"/>
  <c r="K14" i="25" s="1"/>
  <c r="I14" i="25"/>
  <c r="J13" i="25"/>
  <c r="K13" i="25" s="1"/>
  <c r="I13" i="25"/>
  <c r="J12" i="25"/>
  <c r="K12" i="25" s="1"/>
  <c r="I12" i="25"/>
  <c r="J11" i="25"/>
  <c r="K11" i="25" s="1"/>
  <c r="I11" i="25"/>
  <c r="J10" i="25"/>
  <c r="K10" i="25" s="1"/>
  <c r="I10" i="25"/>
  <c r="J9" i="25"/>
  <c r="K9" i="25" s="1"/>
  <c r="I9" i="25"/>
  <c r="J8" i="25"/>
  <c r="K8" i="25" s="1"/>
  <c r="I8" i="25"/>
  <c r="J7" i="25"/>
  <c r="K7" i="25" s="1"/>
  <c r="I7" i="25"/>
  <c r="J6" i="25"/>
  <c r="K6" i="25" s="1"/>
  <c r="I6" i="25"/>
  <c r="J5" i="25"/>
  <c r="K5" i="25" s="1"/>
  <c r="I5" i="25"/>
  <c r="J4" i="25"/>
  <c r="K4" i="25" s="1"/>
  <c r="I4" i="25"/>
  <c r="J3" i="25"/>
  <c r="K3" i="25" s="1"/>
  <c r="I3" i="25"/>
  <c r="I1" i="25"/>
  <c r="I46" i="24"/>
  <c r="J46" i="24" s="1"/>
  <c r="K46" i="24" s="1"/>
  <c r="I45" i="24"/>
  <c r="J45" i="24" s="1"/>
  <c r="K45" i="24" s="1"/>
  <c r="I44" i="24"/>
  <c r="J44" i="24" s="1"/>
  <c r="K44" i="24" s="1"/>
  <c r="I43" i="24"/>
  <c r="J43" i="24" s="1"/>
  <c r="K43" i="24" s="1"/>
  <c r="I42" i="24"/>
  <c r="J42" i="24" s="1"/>
  <c r="K42" i="24" s="1"/>
  <c r="I41" i="24"/>
  <c r="J41" i="24" s="1"/>
  <c r="K41" i="24" s="1"/>
  <c r="I40" i="24"/>
  <c r="J40" i="24" s="1"/>
  <c r="K40" i="24" s="1"/>
  <c r="I39" i="24"/>
  <c r="J39" i="24" s="1"/>
  <c r="K39" i="24" s="1"/>
  <c r="I38" i="24"/>
  <c r="J38" i="24" s="1"/>
  <c r="K38" i="24" s="1"/>
  <c r="I37" i="24"/>
  <c r="J37" i="24" s="1"/>
  <c r="K37" i="24" s="1"/>
  <c r="I36" i="24"/>
  <c r="J36" i="24" s="1"/>
  <c r="K36" i="24" s="1"/>
  <c r="I35" i="24"/>
  <c r="J35" i="24" s="1"/>
  <c r="K35" i="24" s="1"/>
  <c r="I34" i="24"/>
  <c r="J34" i="24" s="1"/>
  <c r="K34" i="24" s="1"/>
  <c r="I33" i="24"/>
  <c r="J33" i="24" s="1"/>
  <c r="K33" i="24" s="1"/>
  <c r="I32" i="24"/>
  <c r="J32" i="24" s="1"/>
  <c r="K32" i="24" s="1"/>
  <c r="I31" i="24"/>
  <c r="J31" i="24" s="1"/>
  <c r="K31" i="24" s="1"/>
  <c r="I30" i="24"/>
  <c r="J30" i="24" s="1"/>
  <c r="K30" i="24" s="1"/>
  <c r="I29" i="24"/>
  <c r="J29" i="24" s="1"/>
  <c r="K29" i="24" s="1"/>
  <c r="I28" i="24"/>
  <c r="J28" i="24" s="1"/>
  <c r="K28" i="24" s="1"/>
  <c r="I27" i="24"/>
  <c r="J27" i="24" s="1"/>
  <c r="K27" i="24" s="1"/>
  <c r="I26" i="24"/>
  <c r="J26" i="24" s="1"/>
  <c r="K26" i="24" s="1"/>
  <c r="I25" i="24"/>
  <c r="J25" i="24" s="1"/>
  <c r="K25" i="24" s="1"/>
  <c r="I24" i="24"/>
  <c r="J24" i="24" s="1"/>
  <c r="K24" i="24" s="1"/>
  <c r="I23" i="24"/>
  <c r="J23" i="24" s="1"/>
  <c r="K23" i="24" s="1"/>
  <c r="I22" i="24"/>
  <c r="J22" i="24" s="1"/>
  <c r="K22" i="24" s="1"/>
  <c r="I21" i="24"/>
  <c r="J21" i="24" s="1"/>
  <c r="K21" i="24" s="1"/>
  <c r="I20" i="24"/>
  <c r="J20" i="24" s="1"/>
  <c r="K20" i="24" s="1"/>
  <c r="I19" i="24"/>
  <c r="J19" i="24" s="1"/>
  <c r="K19" i="24" s="1"/>
  <c r="I18" i="24"/>
  <c r="J18" i="24" s="1"/>
  <c r="K18" i="24" s="1"/>
  <c r="I17" i="24"/>
  <c r="J17" i="24" s="1"/>
  <c r="K17" i="24" s="1"/>
  <c r="I16" i="24"/>
  <c r="J16" i="24" s="1"/>
  <c r="K16" i="24" s="1"/>
  <c r="I15" i="24"/>
  <c r="J15" i="24" s="1"/>
  <c r="K15" i="24" s="1"/>
  <c r="I14" i="24"/>
  <c r="J14" i="24" s="1"/>
  <c r="K14" i="24" s="1"/>
  <c r="I13" i="24"/>
  <c r="J13" i="24" s="1"/>
  <c r="K13" i="24" s="1"/>
  <c r="I12" i="24"/>
  <c r="J12" i="24" s="1"/>
  <c r="K12" i="24" s="1"/>
  <c r="I11" i="24"/>
  <c r="J11" i="24" s="1"/>
  <c r="K11" i="24" s="1"/>
  <c r="I10" i="24"/>
  <c r="J10" i="24" s="1"/>
  <c r="K10" i="24" s="1"/>
  <c r="I9" i="24"/>
  <c r="J9" i="24" s="1"/>
  <c r="K9" i="24" s="1"/>
  <c r="I8" i="24"/>
  <c r="J8" i="24" s="1"/>
  <c r="K8" i="24" s="1"/>
  <c r="I7" i="24"/>
  <c r="J7" i="24" s="1"/>
  <c r="K7" i="24" s="1"/>
  <c r="I6" i="24"/>
  <c r="J6" i="24" s="1"/>
  <c r="K6" i="24" s="1"/>
  <c r="I5" i="24"/>
  <c r="J5" i="24" s="1"/>
  <c r="K5" i="24" s="1"/>
  <c r="I4" i="24"/>
  <c r="J4" i="24" s="1"/>
  <c r="K4" i="24" s="1"/>
  <c r="I3" i="24"/>
  <c r="J3" i="24" s="1"/>
  <c r="K3" i="24" s="1"/>
  <c r="I1" i="24"/>
  <c r="I46" i="23"/>
  <c r="J46" i="23" s="1"/>
  <c r="K46" i="23" s="1"/>
  <c r="I45" i="23"/>
  <c r="J45" i="23" s="1"/>
  <c r="K45" i="23" s="1"/>
  <c r="I44" i="23"/>
  <c r="J44" i="23" s="1"/>
  <c r="K44" i="23" s="1"/>
  <c r="I43" i="23"/>
  <c r="J43" i="23" s="1"/>
  <c r="K43" i="23" s="1"/>
  <c r="I42" i="23"/>
  <c r="J42" i="23" s="1"/>
  <c r="K42" i="23" s="1"/>
  <c r="I41" i="23"/>
  <c r="J41" i="23" s="1"/>
  <c r="K41" i="23" s="1"/>
  <c r="I40" i="23"/>
  <c r="J40" i="23" s="1"/>
  <c r="K40" i="23" s="1"/>
  <c r="I39" i="23"/>
  <c r="J39" i="23" s="1"/>
  <c r="K39" i="23" s="1"/>
  <c r="I38" i="23"/>
  <c r="J38" i="23" s="1"/>
  <c r="K38" i="23" s="1"/>
  <c r="I37" i="23"/>
  <c r="J37" i="23" s="1"/>
  <c r="K37" i="23" s="1"/>
  <c r="I36" i="23"/>
  <c r="J36" i="23" s="1"/>
  <c r="K36" i="23" s="1"/>
  <c r="I35" i="23"/>
  <c r="J35" i="23" s="1"/>
  <c r="K35" i="23" s="1"/>
  <c r="I34" i="23"/>
  <c r="J34" i="23" s="1"/>
  <c r="K34" i="23" s="1"/>
  <c r="I33" i="23"/>
  <c r="J33" i="23" s="1"/>
  <c r="K33" i="23" s="1"/>
  <c r="I32" i="23"/>
  <c r="J32" i="23" s="1"/>
  <c r="K32" i="23" s="1"/>
  <c r="I31" i="23"/>
  <c r="J31" i="23" s="1"/>
  <c r="K31" i="23" s="1"/>
  <c r="I30" i="23"/>
  <c r="J30" i="23" s="1"/>
  <c r="K30" i="23" s="1"/>
  <c r="I29" i="23"/>
  <c r="J29" i="23" s="1"/>
  <c r="K29" i="23" s="1"/>
  <c r="I28" i="23"/>
  <c r="J28" i="23" s="1"/>
  <c r="K28" i="23" s="1"/>
  <c r="I27" i="23"/>
  <c r="J27" i="23" s="1"/>
  <c r="K27" i="23" s="1"/>
  <c r="I26" i="23"/>
  <c r="J26" i="23" s="1"/>
  <c r="K26" i="23" s="1"/>
  <c r="I25" i="23"/>
  <c r="J25" i="23" s="1"/>
  <c r="K25" i="23" s="1"/>
  <c r="I24" i="23"/>
  <c r="J24" i="23" s="1"/>
  <c r="K24" i="23" s="1"/>
  <c r="I23" i="23"/>
  <c r="J23" i="23" s="1"/>
  <c r="K23" i="23" s="1"/>
  <c r="I22" i="23"/>
  <c r="J22" i="23" s="1"/>
  <c r="K22" i="23" s="1"/>
  <c r="I21" i="23"/>
  <c r="J21" i="23" s="1"/>
  <c r="K21" i="23" s="1"/>
  <c r="I20" i="23"/>
  <c r="J20" i="23" s="1"/>
  <c r="K20" i="23" s="1"/>
  <c r="I19" i="23"/>
  <c r="J19" i="23" s="1"/>
  <c r="K19" i="23" s="1"/>
  <c r="I18" i="23"/>
  <c r="J18" i="23" s="1"/>
  <c r="K18" i="23" s="1"/>
  <c r="I17" i="23"/>
  <c r="J17" i="23" s="1"/>
  <c r="K17" i="23" s="1"/>
  <c r="I16" i="23"/>
  <c r="J16" i="23" s="1"/>
  <c r="K16" i="23" s="1"/>
  <c r="I15" i="23"/>
  <c r="J15" i="23" s="1"/>
  <c r="K15" i="23" s="1"/>
  <c r="I14" i="23"/>
  <c r="J14" i="23" s="1"/>
  <c r="K14" i="23" s="1"/>
  <c r="I13" i="23"/>
  <c r="J13" i="23" s="1"/>
  <c r="K13" i="23" s="1"/>
  <c r="I12" i="23"/>
  <c r="J12" i="23" s="1"/>
  <c r="K12" i="23" s="1"/>
  <c r="I11" i="23"/>
  <c r="J11" i="23" s="1"/>
  <c r="K11" i="23" s="1"/>
  <c r="I10" i="23"/>
  <c r="J10" i="23" s="1"/>
  <c r="K10" i="23" s="1"/>
  <c r="I9" i="23"/>
  <c r="J9" i="23" s="1"/>
  <c r="K9" i="23" s="1"/>
  <c r="I8" i="23"/>
  <c r="J8" i="23" s="1"/>
  <c r="K8" i="23" s="1"/>
  <c r="I7" i="23"/>
  <c r="J7" i="23" s="1"/>
  <c r="K7" i="23" s="1"/>
  <c r="I6" i="23"/>
  <c r="J6" i="23" s="1"/>
  <c r="K6" i="23" s="1"/>
  <c r="I5" i="23"/>
  <c r="J5" i="23" s="1"/>
  <c r="K5" i="23" s="1"/>
  <c r="I4" i="23"/>
  <c r="J4" i="23" s="1"/>
  <c r="K4" i="23" s="1"/>
  <c r="I3" i="23"/>
  <c r="J3" i="23" s="1"/>
  <c r="K3" i="23" s="1"/>
  <c r="I1" i="23"/>
  <c r="I46" i="22"/>
  <c r="J46" i="22" s="1"/>
  <c r="K46" i="22" s="1"/>
  <c r="I45" i="22"/>
  <c r="J45" i="22" s="1"/>
  <c r="K45" i="22" s="1"/>
  <c r="I44" i="22"/>
  <c r="J44" i="22" s="1"/>
  <c r="K44" i="22" s="1"/>
  <c r="I43" i="22"/>
  <c r="J43" i="22" s="1"/>
  <c r="K43" i="22" s="1"/>
  <c r="I42" i="22"/>
  <c r="J42" i="22" s="1"/>
  <c r="K42" i="22" s="1"/>
  <c r="I41" i="22"/>
  <c r="J41" i="22" s="1"/>
  <c r="K41" i="22" s="1"/>
  <c r="I40" i="22"/>
  <c r="J40" i="22" s="1"/>
  <c r="K40" i="22" s="1"/>
  <c r="I39" i="22"/>
  <c r="J39" i="22" s="1"/>
  <c r="K39" i="22" s="1"/>
  <c r="I38" i="22"/>
  <c r="J38" i="22" s="1"/>
  <c r="K38" i="22" s="1"/>
  <c r="I37" i="22"/>
  <c r="J37" i="22" s="1"/>
  <c r="K37" i="22" s="1"/>
  <c r="I36" i="22"/>
  <c r="J36" i="22" s="1"/>
  <c r="K36" i="22" s="1"/>
  <c r="I35" i="22"/>
  <c r="J35" i="22" s="1"/>
  <c r="K35" i="22" s="1"/>
  <c r="I34" i="22"/>
  <c r="J34" i="22" s="1"/>
  <c r="K34" i="22" s="1"/>
  <c r="I33" i="22"/>
  <c r="J33" i="22" s="1"/>
  <c r="K33" i="22" s="1"/>
  <c r="I32" i="22"/>
  <c r="J32" i="22" s="1"/>
  <c r="K32" i="22" s="1"/>
  <c r="I31" i="22"/>
  <c r="J31" i="22" s="1"/>
  <c r="K31" i="22" s="1"/>
  <c r="I30" i="22"/>
  <c r="J30" i="22" s="1"/>
  <c r="K30" i="22" s="1"/>
  <c r="I29" i="22"/>
  <c r="J29" i="22" s="1"/>
  <c r="K29" i="22" s="1"/>
  <c r="I28" i="22"/>
  <c r="J28" i="22" s="1"/>
  <c r="K28" i="22" s="1"/>
  <c r="I27" i="22"/>
  <c r="J27" i="22" s="1"/>
  <c r="K27" i="22" s="1"/>
  <c r="I26" i="22"/>
  <c r="J26" i="22" s="1"/>
  <c r="K26" i="22" s="1"/>
  <c r="I25" i="22"/>
  <c r="J25" i="22" s="1"/>
  <c r="K25" i="22" s="1"/>
  <c r="I24" i="22"/>
  <c r="J24" i="22" s="1"/>
  <c r="K24" i="22" s="1"/>
  <c r="I23" i="22"/>
  <c r="J23" i="22" s="1"/>
  <c r="K23" i="22" s="1"/>
  <c r="I22" i="22"/>
  <c r="J22" i="22" s="1"/>
  <c r="K22" i="22" s="1"/>
  <c r="I21" i="22"/>
  <c r="J21" i="22" s="1"/>
  <c r="K21" i="22" s="1"/>
  <c r="I20" i="22"/>
  <c r="J20" i="22" s="1"/>
  <c r="K20" i="22" s="1"/>
  <c r="I19" i="22"/>
  <c r="J19" i="22" s="1"/>
  <c r="K19" i="22" s="1"/>
  <c r="I18" i="22"/>
  <c r="J18" i="22" s="1"/>
  <c r="K18" i="22" s="1"/>
  <c r="I17" i="22"/>
  <c r="J17" i="22" s="1"/>
  <c r="K17" i="22" s="1"/>
  <c r="I16" i="22"/>
  <c r="J16" i="22" s="1"/>
  <c r="K16" i="22" s="1"/>
  <c r="I15" i="22"/>
  <c r="J15" i="22" s="1"/>
  <c r="K15" i="22" s="1"/>
  <c r="I14" i="22"/>
  <c r="J14" i="22" s="1"/>
  <c r="K14" i="22" s="1"/>
  <c r="I13" i="22"/>
  <c r="J13" i="22" s="1"/>
  <c r="K13" i="22" s="1"/>
  <c r="I12" i="22"/>
  <c r="J12" i="22" s="1"/>
  <c r="K12" i="22" s="1"/>
  <c r="I11" i="22"/>
  <c r="J11" i="22" s="1"/>
  <c r="K11" i="22" s="1"/>
  <c r="I10" i="22"/>
  <c r="J10" i="22" s="1"/>
  <c r="K10" i="22" s="1"/>
  <c r="I9" i="22"/>
  <c r="J9" i="22" s="1"/>
  <c r="K9" i="22" s="1"/>
  <c r="I8" i="22"/>
  <c r="J8" i="22" s="1"/>
  <c r="K8" i="22" s="1"/>
  <c r="I7" i="22"/>
  <c r="J7" i="22" s="1"/>
  <c r="K7" i="22" s="1"/>
  <c r="I6" i="22"/>
  <c r="J6" i="22" s="1"/>
  <c r="K6" i="22" s="1"/>
  <c r="I5" i="22"/>
  <c r="J5" i="22" s="1"/>
  <c r="K5" i="22" s="1"/>
  <c r="J4" i="22"/>
  <c r="K4" i="22" s="1"/>
  <c r="I4" i="22"/>
  <c r="I3" i="22"/>
  <c r="J3" i="22" s="1"/>
  <c r="K3" i="22" s="1"/>
  <c r="I1" i="22"/>
  <c r="I46" i="21"/>
  <c r="J46" i="21"/>
  <c r="K46" i="21" s="1"/>
  <c r="I45" i="21"/>
  <c r="I44" i="21"/>
  <c r="J44" i="21"/>
  <c r="K44" i="21" s="1"/>
  <c r="I43" i="21"/>
  <c r="I42" i="21"/>
  <c r="J42" i="21"/>
  <c r="K42" i="21" s="1"/>
  <c r="I41" i="21"/>
  <c r="I40" i="21"/>
  <c r="J40" i="21"/>
  <c r="K40" i="21" s="1"/>
  <c r="I39" i="21"/>
  <c r="I38" i="21"/>
  <c r="J38" i="21"/>
  <c r="K38" i="21" s="1"/>
  <c r="I37" i="21"/>
  <c r="I36" i="21"/>
  <c r="J36" i="21"/>
  <c r="K36" i="21" s="1"/>
  <c r="I35" i="21"/>
  <c r="I34" i="21"/>
  <c r="J34" i="21"/>
  <c r="K34" i="21" s="1"/>
  <c r="I33" i="21"/>
  <c r="I32" i="21"/>
  <c r="J32" i="21"/>
  <c r="K32" i="21" s="1"/>
  <c r="I31" i="21"/>
  <c r="I30" i="21"/>
  <c r="J30" i="21"/>
  <c r="K30" i="21" s="1"/>
  <c r="I29" i="21"/>
  <c r="I28" i="21"/>
  <c r="J28" i="21"/>
  <c r="K28" i="21" s="1"/>
  <c r="I27" i="21"/>
  <c r="I26" i="21"/>
  <c r="J26" i="21"/>
  <c r="K26" i="21" s="1"/>
  <c r="I25" i="21"/>
  <c r="I24" i="21"/>
  <c r="J24" i="21"/>
  <c r="K24" i="21" s="1"/>
  <c r="I23" i="21"/>
  <c r="I22" i="21"/>
  <c r="J22" i="21"/>
  <c r="K22" i="21" s="1"/>
  <c r="I21" i="21"/>
  <c r="I20" i="21"/>
  <c r="J20" i="21"/>
  <c r="K20" i="21" s="1"/>
  <c r="I19" i="21"/>
  <c r="I18" i="21"/>
  <c r="J18" i="21"/>
  <c r="K18" i="21" s="1"/>
  <c r="I17" i="21"/>
  <c r="I16" i="21"/>
  <c r="J16" i="21"/>
  <c r="K16" i="21" s="1"/>
  <c r="I15" i="21"/>
  <c r="I14" i="21"/>
  <c r="J14" i="21"/>
  <c r="K14" i="21" s="1"/>
  <c r="I13" i="21"/>
  <c r="I12" i="21"/>
  <c r="J12" i="21"/>
  <c r="K12" i="21" s="1"/>
  <c r="I11" i="21"/>
  <c r="I10" i="21"/>
  <c r="J10" i="21"/>
  <c r="K10" i="21" s="1"/>
  <c r="I9" i="21"/>
  <c r="I8" i="21"/>
  <c r="J8" i="21"/>
  <c r="K8" i="21" s="1"/>
  <c r="I7" i="21"/>
  <c r="I6" i="21"/>
  <c r="J6" i="21"/>
  <c r="K6" i="21" s="1"/>
  <c r="I5" i="21"/>
  <c r="I4" i="21"/>
  <c r="J4" i="21"/>
  <c r="K4" i="21" s="1"/>
  <c r="I3" i="21"/>
  <c r="I1" i="21"/>
  <c r="I46" i="20"/>
  <c r="J46" i="20" s="1"/>
  <c r="K46" i="20" s="1"/>
  <c r="I45" i="20"/>
  <c r="J45" i="20" s="1"/>
  <c r="K45" i="20" s="1"/>
  <c r="I44" i="20"/>
  <c r="J44" i="20" s="1"/>
  <c r="K44" i="20" s="1"/>
  <c r="I43" i="20"/>
  <c r="J43" i="20" s="1"/>
  <c r="K43" i="20" s="1"/>
  <c r="I42" i="20"/>
  <c r="J42" i="20" s="1"/>
  <c r="K42" i="20" s="1"/>
  <c r="I41" i="20"/>
  <c r="J41" i="20" s="1"/>
  <c r="K41" i="20" s="1"/>
  <c r="I40" i="20"/>
  <c r="J40" i="20" s="1"/>
  <c r="K40" i="20" s="1"/>
  <c r="I39" i="20"/>
  <c r="J39" i="20" s="1"/>
  <c r="K39" i="20" s="1"/>
  <c r="I38" i="20"/>
  <c r="J38" i="20" s="1"/>
  <c r="K38" i="20" s="1"/>
  <c r="I37" i="20"/>
  <c r="J37" i="20" s="1"/>
  <c r="K37" i="20" s="1"/>
  <c r="I36" i="20"/>
  <c r="J36" i="20" s="1"/>
  <c r="K36" i="20" s="1"/>
  <c r="I35" i="20"/>
  <c r="J35" i="20" s="1"/>
  <c r="K35" i="20" s="1"/>
  <c r="I34" i="20"/>
  <c r="J34" i="20" s="1"/>
  <c r="K34" i="20" s="1"/>
  <c r="I33" i="20"/>
  <c r="J33" i="20" s="1"/>
  <c r="K33" i="20" s="1"/>
  <c r="I32" i="20"/>
  <c r="J32" i="20" s="1"/>
  <c r="K32" i="20" s="1"/>
  <c r="I31" i="20"/>
  <c r="J31" i="20" s="1"/>
  <c r="K31" i="20" s="1"/>
  <c r="I30" i="20"/>
  <c r="J30" i="20" s="1"/>
  <c r="K30" i="20" s="1"/>
  <c r="I29" i="20"/>
  <c r="J29" i="20" s="1"/>
  <c r="K29" i="20" s="1"/>
  <c r="I28" i="20"/>
  <c r="J28" i="20" s="1"/>
  <c r="K28" i="20" s="1"/>
  <c r="I27" i="20"/>
  <c r="J27" i="20" s="1"/>
  <c r="K27" i="20" s="1"/>
  <c r="I26" i="20"/>
  <c r="J26" i="20" s="1"/>
  <c r="K26" i="20" s="1"/>
  <c r="I25" i="20"/>
  <c r="J25" i="20" s="1"/>
  <c r="K25" i="20" s="1"/>
  <c r="I24" i="20"/>
  <c r="J24" i="20" s="1"/>
  <c r="K24" i="20" s="1"/>
  <c r="I23" i="20"/>
  <c r="J23" i="20" s="1"/>
  <c r="K23" i="20" s="1"/>
  <c r="I22" i="20"/>
  <c r="J22" i="20" s="1"/>
  <c r="K22" i="20" s="1"/>
  <c r="I21" i="20"/>
  <c r="J21" i="20" s="1"/>
  <c r="K21" i="20" s="1"/>
  <c r="I20" i="20"/>
  <c r="J20" i="20" s="1"/>
  <c r="K20" i="20" s="1"/>
  <c r="I19" i="20"/>
  <c r="J19" i="20" s="1"/>
  <c r="K19" i="20" s="1"/>
  <c r="I18" i="20"/>
  <c r="J18" i="20" s="1"/>
  <c r="K18" i="20" s="1"/>
  <c r="I17" i="20"/>
  <c r="J17" i="20" s="1"/>
  <c r="K17" i="20" s="1"/>
  <c r="I16" i="20"/>
  <c r="J16" i="20" s="1"/>
  <c r="K16" i="20" s="1"/>
  <c r="I15" i="20"/>
  <c r="J15" i="20" s="1"/>
  <c r="K15" i="20" s="1"/>
  <c r="I14" i="20"/>
  <c r="J14" i="20" s="1"/>
  <c r="K14" i="20" s="1"/>
  <c r="I13" i="20"/>
  <c r="J13" i="20" s="1"/>
  <c r="K13" i="20" s="1"/>
  <c r="I12" i="20"/>
  <c r="J12" i="20" s="1"/>
  <c r="K12" i="20" s="1"/>
  <c r="I11" i="20"/>
  <c r="J11" i="20" s="1"/>
  <c r="K11" i="20" s="1"/>
  <c r="I10" i="20"/>
  <c r="J10" i="20" s="1"/>
  <c r="K10" i="20" s="1"/>
  <c r="I9" i="20"/>
  <c r="J9" i="20" s="1"/>
  <c r="K9" i="20" s="1"/>
  <c r="I8" i="20"/>
  <c r="J8" i="20" s="1"/>
  <c r="K8" i="20" s="1"/>
  <c r="I7" i="20"/>
  <c r="J7" i="20" s="1"/>
  <c r="K7" i="20" s="1"/>
  <c r="I6" i="20"/>
  <c r="J6" i="20" s="1"/>
  <c r="K6" i="20" s="1"/>
  <c r="I5" i="20"/>
  <c r="J5" i="20" s="1"/>
  <c r="K5" i="20" s="1"/>
  <c r="I4" i="20"/>
  <c r="J4" i="20" s="1"/>
  <c r="K4" i="20" s="1"/>
  <c r="I3" i="20"/>
  <c r="J3" i="20" s="1"/>
  <c r="K3" i="20" s="1"/>
  <c r="I1" i="20"/>
  <c r="Q18" i="2" l="1"/>
  <c r="P25" i="2"/>
  <c r="P9" i="2"/>
  <c r="P7" i="2"/>
  <c r="P33" i="2"/>
  <c r="P17" i="2"/>
  <c r="P45" i="2"/>
  <c r="P29" i="2"/>
  <c r="P13" i="2"/>
  <c r="P37" i="2"/>
  <c r="P21" i="2"/>
  <c r="Q46" i="2"/>
  <c r="Q30" i="2"/>
  <c r="Q14" i="2"/>
  <c r="Q3" i="2"/>
  <c r="Q42" i="2"/>
  <c r="Q26" i="2"/>
  <c r="Q10" i="2"/>
  <c r="Q38" i="2"/>
  <c r="Q22" i="2"/>
  <c r="J5" i="29"/>
  <c r="K5" i="29" s="1"/>
  <c r="J9" i="29"/>
  <c r="K9" i="29" s="1"/>
  <c r="J13" i="29"/>
  <c r="K13" i="29" s="1"/>
  <c r="J17" i="29"/>
  <c r="K17" i="29" s="1"/>
  <c r="J21" i="29"/>
  <c r="K21" i="29" s="1"/>
  <c r="J25" i="29"/>
  <c r="K25" i="29" s="1"/>
  <c r="J29" i="29"/>
  <c r="K29" i="29" s="1"/>
  <c r="J33" i="29"/>
  <c r="K33" i="29" s="1"/>
  <c r="J37" i="29"/>
  <c r="K37" i="29" s="1"/>
  <c r="J41" i="29"/>
  <c r="K41" i="29" s="1"/>
  <c r="J45" i="29"/>
  <c r="K45" i="29" s="1"/>
  <c r="Q45" i="2"/>
  <c r="Q41" i="2"/>
  <c r="Q37" i="2"/>
  <c r="Q33" i="2"/>
  <c r="Q29" i="2"/>
  <c r="Q25" i="2"/>
  <c r="Q21" i="2"/>
  <c r="Q17" i="2"/>
  <c r="Q13" i="2"/>
  <c r="Q9" i="2"/>
  <c r="Q5" i="2"/>
  <c r="Q44" i="2"/>
  <c r="Q40" i="2"/>
  <c r="Q36" i="2"/>
  <c r="Q32" i="2"/>
  <c r="Q28" i="2"/>
  <c r="Q24" i="2"/>
  <c r="Q20" i="2"/>
  <c r="Q16" i="2"/>
  <c r="Q12" i="2"/>
  <c r="Q8" i="2"/>
  <c r="Q4" i="2"/>
  <c r="Q43" i="2"/>
  <c r="Q39" i="2"/>
  <c r="Q35" i="2"/>
  <c r="Q31" i="2"/>
  <c r="Q27" i="2"/>
  <c r="Q23" i="2"/>
  <c r="Q19" i="2"/>
  <c r="Q15" i="2"/>
  <c r="Q11" i="2"/>
  <c r="Q7" i="2"/>
  <c r="P46" i="2"/>
  <c r="P42" i="2"/>
  <c r="P38" i="2"/>
  <c r="P34" i="2"/>
  <c r="P30" i="2"/>
  <c r="P26" i="2"/>
  <c r="P22" i="2"/>
  <c r="P18" i="2"/>
  <c r="P14" i="2"/>
  <c r="P10" i="2"/>
  <c r="P6" i="2"/>
  <c r="P44" i="2"/>
  <c r="P40" i="2"/>
  <c r="P36" i="2"/>
  <c r="P32" i="2"/>
  <c r="P28" i="2"/>
  <c r="P24" i="2"/>
  <c r="P20" i="2"/>
  <c r="P16" i="2"/>
  <c r="P12" i="2"/>
  <c r="P8" i="2"/>
  <c r="P43" i="2"/>
  <c r="P39" i="2"/>
  <c r="P35" i="2"/>
  <c r="P31" i="2"/>
  <c r="P27" i="2"/>
  <c r="P23" i="2"/>
  <c r="P19" i="2"/>
  <c r="P15" i="2"/>
  <c r="P11" i="2"/>
  <c r="O46" i="2"/>
  <c r="O42" i="2"/>
  <c r="O38" i="2"/>
  <c r="O34" i="2"/>
  <c r="O30" i="2"/>
  <c r="O26" i="2"/>
  <c r="O22" i="2"/>
  <c r="O18" i="2"/>
  <c r="O14" i="2"/>
  <c r="O10" i="2"/>
  <c r="O6" i="2"/>
  <c r="O44" i="2"/>
  <c r="O40" i="2"/>
  <c r="O36" i="2"/>
  <c r="O32" i="2"/>
  <c r="O28" i="2"/>
  <c r="O24" i="2"/>
  <c r="O20" i="2"/>
  <c r="O16" i="2"/>
  <c r="O12" i="2"/>
  <c r="O8" i="2"/>
  <c r="O43" i="2"/>
  <c r="O39" i="2"/>
  <c r="O35" i="2"/>
  <c r="O31" i="2"/>
  <c r="O27" i="2"/>
  <c r="O23" i="2"/>
  <c r="O19" i="2"/>
  <c r="O15" i="2"/>
  <c r="O11" i="2"/>
  <c r="N46" i="2"/>
  <c r="N42" i="2"/>
  <c r="N38" i="2"/>
  <c r="N34" i="2"/>
  <c r="N30" i="2"/>
  <c r="N26" i="2"/>
  <c r="N22" i="2"/>
  <c r="N18" i="2"/>
  <c r="N14" i="2"/>
  <c r="N10" i="2"/>
  <c r="N6" i="2"/>
  <c r="N45" i="2"/>
  <c r="N41" i="2"/>
  <c r="N37" i="2"/>
  <c r="N33" i="2"/>
  <c r="N29" i="2"/>
  <c r="N25" i="2"/>
  <c r="N21" i="2"/>
  <c r="N17" i="2"/>
  <c r="N13" i="2"/>
  <c r="N9" i="2"/>
  <c r="L46" i="2"/>
  <c r="L42" i="2"/>
  <c r="L38" i="2"/>
  <c r="L34" i="2"/>
  <c r="L30" i="2"/>
  <c r="L26" i="2"/>
  <c r="L22" i="2"/>
  <c r="L18" i="2"/>
  <c r="L14" i="2"/>
  <c r="L10" i="2"/>
  <c r="L6" i="2"/>
  <c r="L44" i="2"/>
  <c r="L40" i="2"/>
  <c r="L36" i="2"/>
  <c r="L32" i="2"/>
  <c r="L28" i="2"/>
  <c r="L24" i="2"/>
  <c r="L20" i="2"/>
  <c r="L16" i="2"/>
  <c r="L12" i="2"/>
  <c r="L8" i="2"/>
  <c r="L43" i="2"/>
  <c r="L39" i="2"/>
  <c r="L35" i="2"/>
  <c r="L31" i="2"/>
  <c r="L27" i="2"/>
  <c r="L23" i="2"/>
  <c r="L19" i="2"/>
  <c r="L15" i="2"/>
  <c r="L11" i="2"/>
  <c r="I46" i="2"/>
  <c r="I42" i="2"/>
  <c r="I38" i="2"/>
  <c r="I34" i="2"/>
  <c r="I30" i="2"/>
  <c r="I26" i="2"/>
  <c r="I22" i="2"/>
  <c r="I18" i="2"/>
  <c r="I14" i="2"/>
  <c r="I10" i="2"/>
  <c r="I6" i="2"/>
  <c r="I45" i="2"/>
  <c r="I41" i="2"/>
  <c r="I37" i="2"/>
  <c r="I33" i="2"/>
  <c r="I29" i="2"/>
  <c r="I25" i="2"/>
  <c r="I21" i="2"/>
  <c r="I17" i="2"/>
  <c r="I13" i="2"/>
  <c r="I9" i="2"/>
  <c r="I43" i="2"/>
  <c r="I39" i="2"/>
  <c r="I35" i="2"/>
  <c r="I31" i="2"/>
  <c r="I27" i="2"/>
  <c r="I23" i="2"/>
  <c r="I19" i="2"/>
  <c r="I15" i="2"/>
  <c r="I11" i="2"/>
  <c r="J3" i="21"/>
  <c r="K3" i="21" s="1"/>
  <c r="J5" i="21"/>
  <c r="K5" i="21" s="1"/>
  <c r="J7" i="21"/>
  <c r="K7" i="21" s="1"/>
  <c r="J9" i="21"/>
  <c r="K9" i="21" s="1"/>
  <c r="J11" i="21"/>
  <c r="K11" i="21" s="1"/>
  <c r="J13" i="21"/>
  <c r="K13" i="21" s="1"/>
  <c r="J15" i="21"/>
  <c r="K15" i="21" s="1"/>
  <c r="J17" i="21"/>
  <c r="K17" i="21" s="1"/>
  <c r="J19" i="21"/>
  <c r="K19" i="21" s="1"/>
  <c r="J21" i="21"/>
  <c r="K21" i="21" s="1"/>
  <c r="J23" i="21"/>
  <c r="K23" i="21" s="1"/>
  <c r="J25" i="21"/>
  <c r="K25" i="21" s="1"/>
  <c r="J27" i="21"/>
  <c r="K27" i="21" s="1"/>
  <c r="J29" i="21"/>
  <c r="K29" i="21" s="1"/>
  <c r="J31" i="21"/>
  <c r="K31" i="21" s="1"/>
  <c r="J33" i="21"/>
  <c r="K33" i="21" s="1"/>
  <c r="J35" i="21"/>
  <c r="K35" i="21" s="1"/>
  <c r="J37" i="21"/>
  <c r="K37" i="21" s="1"/>
  <c r="J39" i="21"/>
  <c r="K39" i="21" s="1"/>
  <c r="J41" i="21"/>
  <c r="K41" i="21" s="1"/>
  <c r="J43" i="21"/>
  <c r="K43" i="21" s="1"/>
  <c r="J45" i="21"/>
  <c r="K45" i="21" s="1"/>
  <c r="I3" i="10" l="1"/>
  <c r="D3" i="17" l="1"/>
  <c r="D4" i="17"/>
  <c r="D5" i="17"/>
  <c r="D6" i="17"/>
  <c r="D7" i="17"/>
  <c r="D8" i="17"/>
  <c r="D9" i="17"/>
  <c r="D10" i="17"/>
  <c r="D11" i="17"/>
  <c r="D12" i="17"/>
  <c r="D13" i="17"/>
  <c r="D14" i="17"/>
  <c r="B5" i="9" l="1"/>
  <c r="I1" i="12" l="1"/>
  <c r="I3" i="11"/>
  <c r="I4" i="11"/>
  <c r="I5" i="11"/>
  <c r="I6" i="11"/>
  <c r="I7" i="11"/>
  <c r="I8" i="11"/>
  <c r="I9" i="11"/>
  <c r="I10" i="11"/>
  <c r="I11" i="11"/>
  <c r="I12" i="11"/>
  <c r="I13" i="11"/>
  <c r="I14" i="11"/>
  <c r="I1" i="2"/>
  <c r="J1" i="2"/>
  <c r="K1" i="2"/>
  <c r="L1" i="2"/>
  <c r="M1" i="2"/>
  <c r="N1" i="2"/>
  <c r="O1" i="2"/>
  <c r="P1" i="2"/>
  <c r="Q1" i="2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G4" i="14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2" i="14"/>
  <c r="J2" i="14"/>
  <c r="K2" i="14"/>
  <c r="L2" i="14"/>
  <c r="M2" i="14"/>
  <c r="H2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I1" i="11"/>
  <c r="I1" i="10"/>
  <c r="I1" i="8"/>
  <c r="I46" i="12"/>
  <c r="I45" i="12"/>
  <c r="J45" i="12" s="1"/>
  <c r="K45" i="12" s="1"/>
  <c r="I44" i="12"/>
  <c r="J44" i="12" s="1"/>
  <c r="I43" i="12"/>
  <c r="J43" i="12" s="1"/>
  <c r="I42" i="12"/>
  <c r="I41" i="12"/>
  <c r="J41" i="12" s="1"/>
  <c r="K41" i="12" s="1"/>
  <c r="I40" i="12"/>
  <c r="J40" i="12" s="1"/>
  <c r="I39" i="12"/>
  <c r="J39" i="12" s="1"/>
  <c r="I38" i="12"/>
  <c r="I37" i="12"/>
  <c r="J37" i="12" s="1"/>
  <c r="K37" i="12" s="1"/>
  <c r="I36" i="12"/>
  <c r="J36" i="12" s="1"/>
  <c r="I35" i="12"/>
  <c r="J35" i="12" s="1"/>
  <c r="I34" i="12"/>
  <c r="I33" i="12"/>
  <c r="J33" i="12" s="1"/>
  <c r="K33" i="12" s="1"/>
  <c r="I32" i="12"/>
  <c r="J32" i="12" s="1"/>
  <c r="I31" i="12"/>
  <c r="J31" i="12" s="1"/>
  <c r="I30" i="12"/>
  <c r="I29" i="12"/>
  <c r="J29" i="12" s="1"/>
  <c r="K29" i="12" s="1"/>
  <c r="I28" i="12"/>
  <c r="J28" i="12" s="1"/>
  <c r="I27" i="12"/>
  <c r="J27" i="12" s="1"/>
  <c r="I26" i="12"/>
  <c r="I25" i="12"/>
  <c r="J25" i="12" s="1"/>
  <c r="K25" i="12" s="1"/>
  <c r="I24" i="12"/>
  <c r="J24" i="12" s="1"/>
  <c r="I23" i="12"/>
  <c r="J23" i="12" s="1"/>
  <c r="I22" i="12"/>
  <c r="I21" i="12"/>
  <c r="J21" i="12" s="1"/>
  <c r="K21" i="12" s="1"/>
  <c r="I20" i="12"/>
  <c r="J20" i="12" s="1"/>
  <c r="I19" i="12"/>
  <c r="J19" i="12" s="1"/>
  <c r="I18" i="12"/>
  <c r="I17" i="12"/>
  <c r="J17" i="12" s="1"/>
  <c r="K17" i="12" s="1"/>
  <c r="I16" i="12"/>
  <c r="J16" i="12" s="1"/>
  <c r="I15" i="12"/>
  <c r="J15" i="12" s="1"/>
  <c r="I14" i="12"/>
  <c r="J14" i="12" s="1"/>
  <c r="I13" i="12"/>
  <c r="I12" i="12"/>
  <c r="J12" i="12" s="1"/>
  <c r="I11" i="12"/>
  <c r="I10" i="12"/>
  <c r="J10" i="12" s="1"/>
  <c r="I9" i="12"/>
  <c r="I8" i="12"/>
  <c r="J8" i="12" s="1"/>
  <c r="I7" i="12"/>
  <c r="I6" i="12"/>
  <c r="J6" i="12" s="1"/>
  <c r="I5" i="12"/>
  <c r="I4" i="12"/>
  <c r="J4" i="12" s="1"/>
  <c r="I3" i="12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8"/>
  <c r="J3" i="10" s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J3" i="12" l="1"/>
  <c r="J7" i="12"/>
  <c r="K7" i="12" s="1"/>
  <c r="J11" i="12"/>
  <c r="K11" i="12" s="1"/>
  <c r="J9" i="12"/>
  <c r="K9" i="12" s="1"/>
  <c r="J5" i="12"/>
  <c r="K5" i="12" s="1"/>
  <c r="J13" i="12"/>
  <c r="K13" i="12" s="1"/>
  <c r="J18" i="12"/>
  <c r="K18" i="12" s="1"/>
  <c r="J22" i="12"/>
  <c r="K22" i="12" s="1"/>
  <c r="J26" i="12"/>
  <c r="K26" i="12" s="1"/>
  <c r="J30" i="12"/>
  <c r="K30" i="12" s="1"/>
  <c r="J34" i="12"/>
  <c r="K34" i="12" s="1"/>
  <c r="J38" i="12"/>
  <c r="K38" i="12" s="1"/>
  <c r="J42" i="12"/>
  <c r="K42" i="12" s="1"/>
  <c r="J46" i="12"/>
  <c r="K46" i="12" s="1"/>
  <c r="J4" i="10"/>
  <c r="K4" i="10" s="1"/>
  <c r="J8" i="10"/>
  <c r="K8" i="10" s="1"/>
  <c r="J16" i="10"/>
  <c r="K16" i="10" s="1"/>
  <c r="J24" i="10"/>
  <c r="K24" i="10" s="1"/>
  <c r="J32" i="10"/>
  <c r="K32" i="10" s="1"/>
  <c r="J40" i="10"/>
  <c r="K40" i="10" s="1"/>
  <c r="J12" i="10"/>
  <c r="K12" i="10" s="1"/>
  <c r="J20" i="10"/>
  <c r="K20" i="10" s="1"/>
  <c r="J28" i="10"/>
  <c r="K28" i="10" s="1"/>
  <c r="J36" i="10"/>
  <c r="K36" i="10" s="1"/>
  <c r="J44" i="10"/>
  <c r="K44" i="10" s="1"/>
  <c r="J6" i="10"/>
  <c r="K6" i="10" s="1"/>
  <c r="J10" i="10"/>
  <c r="K10" i="10" s="1"/>
  <c r="J14" i="10"/>
  <c r="K14" i="10" s="1"/>
  <c r="J18" i="10"/>
  <c r="K18" i="10" s="1"/>
  <c r="J22" i="10"/>
  <c r="K22" i="10" s="1"/>
  <c r="J26" i="10"/>
  <c r="K26" i="10" s="1"/>
  <c r="J30" i="10"/>
  <c r="K30" i="10" s="1"/>
  <c r="J38" i="10"/>
  <c r="K38" i="10" s="1"/>
  <c r="K3" i="10"/>
  <c r="J7" i="10"/>
  <c r="K7" i="10" s="1"/>
  <c r="J11" i="10"/>
  <c r="K11" i="10" s="1"/>
  <c r="J15" i="10"/>
  <c r="K15" i="10" s="1"/>
  <c r="J19" i="10"/>
  <c r="K19" i="10" s="1"/>
  <c r="J23" i="10"/>
  <c r="K23" i="10" s="1"/>
  <c r="J27" i="10"/>
  <c r="K27" i="10" s="1"/>
  <c r="J31" i="10"/>
  <c r="K31" i="10" s="1"/>
  <c r="J35" i="10"/>
  <c r="K35" i="10" s="1"/>
  <c r="J39" i="10"/>
  <c r="K39" i="10" s="1"/>
  <c r="J43" i="10"/>
  <c r="K43" i="10" s="1"/>
  <c r="J5" i="10"/>
  <c r="K5" i="10" s="1"/>
  <c r="J9" i="10"/>
  <c r="K9" i="10" s="1"/>
  <c r="J13" i="10"/>
  <c r="K13" i="10" s="1"/>
  <c r="J17" i="10"/>
  <c r="K17" i="10" s="1"/>
  <c r="J21" i="10"/>
  <c r="K21" i="10" s="1"/>
  <c r="J25" i="10"/>
  <c r="K25" i="10" s="1"/>
  <c r="J29" i="10"/>
  <c r="K29" i="10" s="1"/>
  <c r="J33" i="10"/>
  <c r="K33" i="10" s="1"/>
  <c r="J37" i="10"/>
  <c r="K37" i="10" s="1"/>
  <c r="J41" i="10"/>
  <c r="K41" i="10" s="1"/>
  <c r="J45" i="10"/>
  <c r="K45" i="10" s="1"/>
  <c r="J34" i="10"/>
  <c r="K34" i="10" s="1"/>
  <c r="J42" i="10"/>
  <c r="K42" i="10" s="1"/>
  <c r="J46" i="10"/>
  <c r="K46" i="10" s="1"/>
  <c r="F3" i="2"/>
  <c r="J3" i="11"/>
  <c r="K3" i="11" s="1"/>
  <c r="J6" i="11"/>
  <c r="K6" i="11" s="1"/>
  <c r="J4" i="11"/>
  <c r="K4" i="11" s="1"/>
  <c r="J13" i="11"/>
  <c r="K13" i="11" s="1"/>
  <c r="J9" i="11"/>
  <c r="K9" i="11" s="1"/>
  <c r="J7" i="11"/>
  <c r="K7" i="11" s="1"/>
  <c r="J5" i="11"/>
  <c r="K5" i="11" s="1"/>
  <c r="J8" i="11"/>
  <c r="K8" i="11" s="1"/>
  <c r="J10" i="11"/>
  <c r="K10" i="11" s="1"/>
  <c r="J11" i="11"/>
  <c r="K11" i="11" s="1"/>
  <c r="J12" i="11"/>
  <c r="K12" i="11" s="1"/>
  <c r="J14" i="11"/>
  <c r="K14" i="11" s="1"/>
  <c r="J33" i="11"/>
  <c r="K33" i="11" s="1"/>
  <c r="J40" i="11"/>
  <c r="K40" i="11" s="1"/>
  <c r="J32" i="11"/>
  <c r="K32" i="11" s="1"/>
  <c r="J28" i="11"/>
  <c r="K28" i="11" s="1"/>
  <c r="J20" i="11"/>
  <c r="K20" i="11" s="1"/>
  <c r="J44" i="11"/>
  <c r="K44" i="11" s="1"/>
  <c r="J36" i="11"/>
  <c r="K36" i="11" s="1"/>
  <c r="J24" i="11"/>
  <c r="K24" i="11" s="1"/>
  <c r="J16" i="11"/>
  <c r="K16" i="11" s="1"/>
  <c r="J43" i="11"/>
  <c r="K43" i="11" s="1"/>
  <c r="J39" i="11"/>
  <c r="K39" i="11" s="1"/>
  <c r="J35" i="11"/>
  <c r="K35" i="11" s="1"/>
  <c r="J31" i="11"/>
  <c r="K31" i="11" s="1"/>
  <c r="J27" i="11"/>
  <c r="K27" i="11" s="1"/>
  <c r="J23" i="11"/>
  <c r="K23" i="11" s="1"/>
  <c r="J19" i="11"/>
  <c r="K19" i="11" s="1"/>
  <c r="J15" i="11"/>
  <c r="K15" i="11" s="1"/>
  <c r="J25" i="11"/>
  <c r="K25" i="11" s="1"/>
  <c r="J45" i="11"/>
  <c r="K45" i="11" s="1"/>
  <c r="J41" i="11"/>
  <c r="K41" i="11" s="1"/>
  <c r="J37" i="11"/>
  <c r="K37" i="11" s="1"/>
  <c r="J29" i="11"/>
  <c r="K29" i="11" s="1"/>
  <c r="J21" i="11"/>
  <c r="K21" i="11" s="1"/>
  <c r="J17" i="11"/>
  <c r="K17" i="11" s="1"/>
  <c r="J46" i="11"/>
  <c r="K46" i="11" s="1"/>
  <c r="J42" i="11"/>
  <c r="K42" i="11" s="1"/>
  <c r="J38" i="11"/>
  <c r="K38" i="11" s="1"/>
  <c r="J34" i="11"/>
  <c r="K34" i="11" s="1"/>
  <c r="J30" i="11"/>
  <c r="K30" i="11" s="1"/>
  <c r="J26" i="11"/>
  <c r="K26" i="11" s="1"/>
  <c r="J22" i="11"/>
  <c r="K22" i="11" s="1"/>
  <c r="J18" i="11"/>
  <c r="K18" i="11" s="1"/>
  <c r="G5" i="2"/>
  <c r="K3" i="12"/>
  <c r="H3" i="2"/>
  <c r="K28" i="12"/>
  <c r="K4" i="12"/>
  <c r="K36" i="12"/>
  <c r="K32" i="12"/>
  <c r="K24" i="12"/>
  <c r="K43" i="12"/>
  <c r="K39" i="12"/>
  <c r="K35" i="12"/>
  <c r="K31" i="12"/>
  <c r="K27" i="12"/>
  <c r="K23" i="12"/>
  <c r="K19" i="12"/>
  <c r="K15" i="12"/>
  <c r="K44" i="12"/>
  <c r="K20" i="12"/>
  <c r="K12" i="12"/>
  <c r="K14" i="12"/>
  <c r="K10" i="12"/>
  <c r="K6" i="12"/>
  <c r="K40" i="12"/>
  <c r="K16" i="12"/>
  <c r="K8" i="12"/>
  <c r="H6" i="2"/>
  <c r="H10" i="2"/>
  <c r="H22" i="2"/>
  <c r="H30" i="2"/>
  <c r="H38" i="2"/>
  <c r="H46" i="2"/>
  <c r="H14" i="2"/>
  <c r="H18" i="2"/>
  <c r="H26" i="2"/>
  <c r="H34" i="2"/>
  <c r="H42" i="2"/>
  <c r="H45" i="2"/>
  <c r="H41" i="2"/>
  <c r="H37" i="2"/>
  <c r="H33" i="2"/>
  <c r="H29" i="2"/>
  <c r="H25" i="2"/>
  <c r="H21" i="2"/>
  <c r="H17" i="2"/>
  <c r="H13" i="2"/>
  <c r="H9" i="2"/>
  <c r="H5" i="2"/>
  <c r="H44" i="2"/>
  <c r="H40" i="2"/>
  <c r="H36" i="2"/>
  <c r="H32" i="2"/>
  <c r="H28" i="2"/>
  <c r="H24" i="2"/>
  <c r="H20" i="2"/>
  <c r="H16" i="2"/>
  <c r="H12" i="2"/>
  <c r="H8" i="2"/>
  <c r="H4" i="2"/>
  <c r="H43" i="2"/>
  <c r="H39" i="2"/>
  <c r="H35" i="2"/>
  <c r="H31" i="2"/>
  <c r="H27" i="2"/>
  <c r="H23" i="2"/>
  <c r="H19" i="2"/>
  <c r="H15" i="2"/>
  <c r="H11" i="2"/>
  <c r="H7" i="2"/>
  <c r="G44" i="2"/>
  <c r="G40" i="2"/>
  <c r="G36" i="2"/>
  <c r="G32" i="2"/>
  <c r="G28" i="2"/>
  <c r="G24" i="2"/>
  <c r="G20" i="2"/>
  <c r="G16" i="2"/>
  <c r="G12" i="2"/>
  <c r="G8" i="2"/>
  <c r="G4" i="2"/>
  <c r="G43" i="2"/>
  <c r="G39" i="2"/>
  <c r="G35" i="2"/>
  <c r="G31" i="2"/>
  <c r="G27" i="2"/>
  <c r="G23" i="2"/>
  <c r="G19" i="2"/>
  <c r="G15" i="2"/>
  <c r="G11" i="2"/>
  <c r="G7" i="2"/>
  <c r="G3" i="2"/>
  <c r="G46" i="2"/>
  <c r="G42" i="2"/>
  <c r="G38" i="2"/>
  <c r="G34" i="2"/>
  <c r="G30" i="2"/>
  <c r="G26" i="2"/>
  <c r="G22" i="2"/>
  <c r="G18" i="2"/>
  <c r="G14" i="2"/>
  <c r="G10" i="2"/>
  <c r="G6" i="2"/>
  <c r="G45" i="2"/>
  <c r="G41" i="2"/>
  <c r="G37" i="2"/>
  <c r="G33" i="2"/>
  <c r="G29" i="2"/>
  <c r="G25" i="2"/>
  <c r="G21" i="2"/>
  <c r="G17" i="2"/>
  <c r="G13" i="2"/>
  <c r="G9" i="2"/>
  <c r="F18" i="2"/>
  <c r="F26" i="2"/>
  <c r="F38" i="2"/>
  <c r="F46" i="2"/>
  <c r="F6" i="2"/>
  <c r="F10" i="2"/>
  <c r="F14" i="2"/>
  <c r="F22" i="2"/>
  <c r="F30" i="2"/>
  <c r="F34" i="2"/>
  <c r="F42" i="2"/>
  <c r="F45" i="2"/>
  <c r="F41" i="2"/>
  <c r="F37" i="2"/>
  <c r="F33" i="2"/>
  <c r="F29" i="2"/>
  <c r="F25" i="2"/>
  <c r="F21" i="2"/>
  <c r="F17" i="2"/>
  <c r="F13" i="2"/>
  <c r="F9" i="2"/>
  <c r="F5" i="2"/>
  <c r="F44" i="2"/>
  <c r="F40" i="2"/>
  <c r="F36" i="2"/>
  <c r="F32" i="2"/>
  <c r="F28" i="2"/>
  <c r="F24" i="2"/>
  <c r="F20" i="2"/>
  <c r="F16" i="2"/>
  <c r="F12" i="2"/>
  <c r="F8" i="2"/>
  <c r="F4" i="2"/>
  <c r="F43" i="2"/>
  <c r="F39" i="2"/>
  <c r="F35" i="2"/>
  <c r="F31" i="2"/>
  <c r="F27" i="2"/>
  <c r="F23" i="2"/>
  <c r="F19" i="2"/>
  <c r="F15" i="2"/>
  <c r="F11" i="2"/>
  <c r="F7" i="2"/>
  <c r="E5" i="2"/>
  <c r="E9" i="2"/>
  <c r="E13" i="2"/>
  <c r="E17" i="2"/>
  <c r="E21" i="2"/>
  <c r="E25" i="2"/>
  <c r="E29" i="2"/>
  <c r="E33" i="2"/>
  <c r="E37" i="2"/>
  <c r="E41" i="2"/>
  <c r="E45" i="2"/>
  <c r="E4" i="2"/>
  <c r="E8" i="2"/>
  <c r="E12" i="2"/>
  <c r="E20" i="2"/>
  <c r="E24" i="2"/>
  <c r="E32" i="2"/>
  <c r="E40" i="2"/>
  <c r="E6" i="2"/>
  <c r="E10" i="2"/>
  <c r="E14" i="2"/>
  <c r="E18" i="2"/>
  <c r="E22" i="2"/>
  <c r="E26" i="2"/>
  <c r="E30" i="2"/>
  <c r="E34" i="2"/>
  <c r="E38" i="2"/>
  <c r="E42" i="2"/>
  <c r="E46" i="2"/>
  <c r="E3" i="2"/>
  <c r="E7" i="2"/>
  <c r="E11" i="2"/>
  <c r="E15" i="2"/>
  <c r="E19" i="2"/>
  <c r="E23" i="2"/>
  <c r="E27" i="2"/>
  <c r="E31" i="2"/>
  <c r="E35" i="2"/>
  <c r="E39" i="2"/>
  <c r="E43" i="2"/>
  <c r="E16" i="2"/>
  <c r="E28" i="2"/>
  <c r="E36" i="2"/>
  <c r="E44" i="2"/>
  <c r="E18" i="14" l="1"/>
  <c r="E34" i="14"/>
  <c r="E7" i="14"/>
  <c r="E33" i="14"/>
  <c r="F45" i="14"/>
  <c r="E39" i="14"/>
  <c r="E9" i="14"/>
  <c r="F24" i="14"/>
  <c r="F13" i="14"/>
  <c r="F46" i="14"/>
  <c r="F19" i="14"/>
  <c r="E23" i="14"/>
  <c r="F40" i="14"/>
  <c r="F29" i="14"/>
  <c r="F14" i="14"/>
  <c r="F30" i="14"/>
  <c r="F35" i="14"/>
  <c r="E28" i="14"/>
  <c r="E14" i="14"/>
  <c r="E30" i="14"/>
  <c r="G30" i="14" s="1"/>
  <c r="E46" i="14"/>
  <c r="E19" i="14"/>
  <c r="E35" i="14"/>
  <c r="E8" i="14"/>
  <c r="E24" i="14"/>
  <c r="E40" i="14"/>
  <c r="E37" i="14"/>
  <c r="E13" i="14"/>
  <c r="E29" i="14"/>
  <c r="F20" i="14"/>
  <c r="F36" i="14"/>
  <c r="F9" i="14"/>
  <c r="F25" i="14"/>
  <c r="F41" i="14"/>
  <c r="F10" i="14"/>
  <c r="F26" i="14"/>
  <c r="F42" i="14"/>
  <c r="F15" i="14"/>
  <c r="F31" i="14"/>
  <c r="F47" i="14"/>
  <c r="F8" i="14"/>
  <c r="E12" i="14"/>
  <c r="E21" i="14"/>
  <c r="E6" i="14"/>
  <c r="E22" i="14"/>
  <c r="E38" i="14"/>
  <c r="E11" i="14"/>
  <c r="E27" i="14"/>
  <c r="E43" i="14"/>
  <c r="E16" i="14"/>
  <c r="E32" i="14"/>
  <c r="E48" i="14"/>
  <c r="E25" i="14"/>
  <c r="E49" i="14"/>
  <c r="F12" i="14"/>
  <c r="F28" i="14"/>
  <c r="F44" i="14"/>
  <c r="F17" i="14"/>
  <c r="F33" i="14"/>
  <c r="F49" i="14"/>
  <c r="F18" i="14"/>
  <c r="G18" i="14" s="1"/>
  <c r="F34" i="14"/>
  <c r="G34" i="14" s="1"/>
  <c r="F7" i="14"/>
  <c r="G7" i="14" s="1"/>
  <c r="F23" i="14"/>
  <c r="G23" i="14" s="1"/>
  <c r="F39" i="14"/>
  <c r="E44" i="14"/>
  <c r="E10" i="14"/>
  <c r="E26" i="14"/>
  <c r="E42" i="14"/>
  <c r="E15" i="14"/>
  <c r="E31" i="14"/>
  <c r="E47" i="14"/>
  <c r="E20" i="14"/>
  <c r="E36" i="14"/>
  <c r="E45" i="14"/>
  <c r="E17" i="14"/>
  <c r="E41" i="14"/>
  <c r="F16" i="14"/>
  <c r="G16" i="14" s="1"/>
  <c r="F32" i="14"/>
  <c r="G32" i="14" s="1"/>
  <c r="F48" i="14"/>
  <c r="G48" i="14" s="1"/>
  <c r="F21" i="14"/>
  <c r="F37" i="14"/>
  <c r="F22" i="14"/>
  <c r="F38" i="14"/>
  <c r="F11" i="14"/>
  <c r="F27" i="14"/>
  <c r="F43" i="14"/>
  <c r="F1" i="2"/>
  <c r="H1" i="2"/>
  <c r="F6" i="14"/>
  <c r="G1" i="2"/>
  <c r="G25" i="14" l="1"/>
  <c r="Q25" i="14" s="1"/>
  <c r="R25" i="14" s="1"/>
  <c r="G45" i="14"/>
  <c r="H45" i="14" s="1"/>
  <c r="I45" i="14" s="1"/>
  <c r="G12" i="14"/>
  <c r="H12" i="14" s="1"/>
  <c r="G14" i="14"/>
  <c r="Q14" i="14" s="1"/>
  <c r="G31" i="14"/>
  <c r="H31" i="14" s="1"/>
  <c r="G37" i="14"/>
  <c r="H37" i="14" s="1"/>
  <c r="G10" i="14"/>
  <c r="H10" i="14" s="1"/>
  <c r="G36" i="14"/>
  <c r="H36" i="14" s="1"/>
  <c r="G19" i="14"/>
  <c r="Q19" i="14" s="1"/>
  <c r="R19" i="14" s="1"/>
  <c r="G15" i="14"/>
  <c r="Q15" i="14" s="1"/>
  <c r="R15" i="14" s="1"/>
  <c r="G20" i="14"/>
  <c r="Q20" i="14" s="1"/>
  <c r="G8" i="14"/>
  <c r="Q8" i="14" s="1"/>
  <c r="R8" i="14" s="1"/>
  <c r="G38" i="14"/>
  <c r="Q38" i="14" s="1"/>
  <c r="G17" i="14"/>
  <c r="Q17" i="14" s="1"/>
  <c r="G49" i="14"/>
  <c r="Q49" i="14" s="1"/>
  <c r="G28" i="14"/>
  <c r="H28" i="14" s="1"/>
  <c r="I28" i="14" s="1"/>
  <c r="G27" i="14"/>
  <c r="Q27" i="14" s="1"/>
  <c r="R27" i="14" s="1"/>
  <c r="G9" i="14"/>
  <c r="Q9" i="14" s="1"/>
  <c r="R9" i="14" s="1"/>
  <c r="G11" i="14"/>
  <c r="Q11" i="14" s="1"/>
  <c r="G21" i="14"/>
  <c r="Q21" i="14" s="1"/>
  <c r="R21" i="14" s="1"/>
  <c r="G41" i="14"/>
  <c r="Q41" i="14" s="1"/>
  <c r="R41" i="14" s="1"/>
  <c r="G39" i="14"/>
  <c r="Q39" i="14" s="1"/>
  <c r="R39" i="14" s="1"/>
  <c r="G44" i="14"/>
  <c r="Q44" i="14" s="1"/>
  <c r="R44" i="14" s="1"/>
  <c r="G22" i="14"/>
  <c r="H22" i="14" s="1"/>
  <c r="G29" i="14"/>
  <c r="Q29" i="14" s="1"/>
  <c r="G46" i="14"/>
  <c r="Q46" i="14" s="1"/>
  <c r="G35" i="14"/>
  <c r="Q35" i="14" s="1"/>
  <c r="G40" i="14"/>
  <c r="Q40" i="14" s="1"/>
  <c r="G33" i="14"/>
  <c r="H33" i="14" s="1"/>
  <c r="G42" i="14"/>
  <c r="H42" i="14" s="1"/>
  <c r="G24" i="14"/>
  <c r="Q24" i="14" s="1"/>
  <c r="R24" i="14" s="1"/>
  <c r="G47" i="14"/>
  <c r="H47" i="14" s="1"/>
  <c r="G26" i="14"/>
  <c r="H26" i="14" s="1"/>
  <c r="G13" i="14"/>
  <c r="Q13" i="14" s="1"/>
  <c r="G43" i="14"/>
  <c r="H43" i="14" s="1"/>
  <c r="Q30" i="14"/>
  <c r="Q34" i="14"/>
  <c r="Q23" i="14"/>
  <c r="R23" i="14" s="1"/>
  <c r="Q18" i="14"/>
  <c r="R18" i="14" s="1"/>
  <c r="Q16" i="14"/>
  <c r="R16" i="14" s="1"/>
  <c r="Q7" i="14"/>
  <c r="R7" i="14" s="1"/>
  <c r="Q48" i="14"/>
  <c r="R48" i="14" s="1"/>
  <c r="Q32" i="14"/>
  <c r="R32" i="14" s="1"/>
  <c r="H18" i="14"/>
  <c r="H30" i="14"/>
  <c r="H34" i="14"/>
  <c r="H23" i="14"/>
  <c r="H16" i="14"/>
  <c r="H7" i="14"/>
  <c r="H48" i="14"/>
  <c r="H32" i="14"/>
  <c r="G6" i="14"/>
  <c r="Q31" i="14" l="1"/>
  <c r="R31" i="14" s="1"/>
  <c r="S31" i="14" s="1"/>
  <c r="T31" i="14" s="1"/>
  <c r="H14" i="14"/>
  <c r="I14" i="14" s="1"/>
  <c r="J14" i="14" s="1"/>
  <c r="Q12" i="14"/>
  <c r="R12" i="14" s="1"/>
  <c r="H29" i="14"/>
  <c r="I29" i="14" s="1"/>
  <c r="J29" i="14" s="1"/>
  <c r="H25" i="14"/>
  <c r="I25" i="14" s="1"/>
  <c r="J25" i="14" s="1"/>
  <c r="Q10" i="14"/>
  <c r="R10" i="14" s="1"/>
  <c r="S10" i="14" s="1"/>
  <c r="T10" i="14" s="1"/>
  <c r="Q43" i="14"/>
  <c r="R43" i="14" s="1"/>
  <c r="S43" i="14" s="1"/>
  <c r="T43" i="14" s="1"/>
  <c r="H20" i="14"/>
  <c r="I20" i="14" s="1"/>
  <c r="Q45" i="14"/>
  <c r="R45" i="14" s="1"/>
  <c r="H46" i="14"/>
  <c r="I46" i="14" s="1"/>
  <c r="J46" i="14" s="1"/>
  <c r="H19" i="14"/>
  <c r="I19" i="14" s="1"/>
  <c r="H15" i="14"/>
  <c r="I15" i="14" s="1"/>
  <c r="Q47" i="14"/>
  <c r="R47" i="14" s="1"/>
  <c r="H21" i="14"/>
  <c r="I21" i="14" s="1"/>
  <c r="H17" i="14"/>
  <c r="I17" i="14" s="1"/>
  <c r="J17" i="14" s="1"/>
  <c r="H39" i="14"/>
  <c r="I39" i="14" s="1"/>
  <c r="H9" i="14"/>
  <c r="I9" i="14" s="1"/>
  <c r="J9" i="14" s="1"/>
  <c r="S41" i="14"/>
  <c r="T41" i="14" s="1"/>
  <c r="U41" i="14" s="1"/>
  <c r="V41" i="14" s="1"/>
  <c r="Q37" i="14"/>
  <c r="R37" i="14" s="1"/>
  <c r="H27" i="14"/>
  <c r="I27" i="14" s="1"/>
  <c r="J27" i="14" s="1"/>
  <c r="H8" i="14"/>
  <c r="I8" i="14" s="1"/>
  <c r="J8" i="14" s="1"/>
  <c r="Q36" i="14"/>
  <c r="R36" i="14" s="1"/>
  <c r="Q22" i="14"/>
  <c r="R22" i="14" s="1"/>
  <c r="S22" i="14" s="1"/>
  <c r="T22" i="14" s="1"/>
  <c r="Q28" i="14"/>
  <c r="R28" i="14" s="1"/>
  <c r="H40" i="14"/>
  <c r="I40" i="14" s="1"/>
  <c r="J40" i="14" s="1"/>
  <c r="Q33" i="14"/>
  <c r="R33" i="14" s="1"/>
  <c r="S33" i="14" s="1"/>
  <c r="T33" i="14" s="1"/>
  <c r="Q26" i="14"/>
  <c r="R26" i="14" s="1"/>
  <c r="S26" i="14" s="1"/>
  <c r="T26" i="14" s="1"/>
  <c r="H38" i="14"/>
  <c r="I38" i="14" s="1"/>
  <c r="H41" i="14"/>
  <c r="I41" i="14" s="1"/>
  <c r="J41" i="14" s="1"/>
  <c r="K41" i="14" s="1"/>
  <c r="L41" i="14" s="1"/>
  <c r="H35" i="14"/>
  <c r="I35" i="14" s="1"/>
  <c r="J35" i="14" s="1"/>
  <c r="H24" i="14"/>
  <c r="I24" i="14" s="1"/>
  <c r="J24" i="14" s="1"/>
  <c r="H11" i="14"/>
  <c r="I11" i="14" s="1"/>
  <c r="J11" i="14" s="1"/>
  <c r="H44" i="14"/>
  <c r="I44" i="14" s="1"/>
  <c r="J44" i="14" s="1"/>
  <c r="H49" i="14"/>
  <c r="I49" i="14" s="1"/>
  <c r="H13" i="14"/>
  <c r="I13" i="14" s="1"/>
  <c r="J13" i="14" s="1"/>
  <c r="Q42" i="14"/>
  <c r="R42" i="14" s="1"/>
  <c r="S42" i="14" s="1"/>
  <c r="T42" i="14" s="1"/>
  <c r="Q6" i="14"/>
  <c r="R20" i="14"/>
  <c r="S20" i="14" s="1"/>
  <c r="T20" i="14" s="1"/>
  <c r="R38" i="14"/>
  <c r="S38" i="14" s="1"/>
  <c r="T38" i="14" s="1"/>
  <c r="S9" i="14"/>
  <c r="T9" i="14" s="1"/>
  <c r="S25" i="14"/>
  <c r="T25" i="14" s="1"/>
  <c r="R40" i="14"/>
  <c r="S40" i="14" s="1"/>
  <c r="T40" i="14" s="1"/>
  <c r="S19" i="14"/>
  <c r="T19" i="14" s="1"/>
  <c r="R34" i="14"/>
  <c r="S34" i="14" s="1"/>
  <c r="T34" i="14" s="1"/>
  <c r="R46" i="14"/>
  <c r="S46" i="14" s="1"/>
  <c r="T46" i="14" s="1"/>
  <c r="S39" i="14"/>
  <c r="T39" i="14" s="1"/>
  <c r="S21" i="14"/>
  <c r="T21" i="14" s="1"/>
  <c r="R14" i="14"/>
  <c r="S14" i="14" s="1"/>
  <c r="T14" i="14" s="1"/>
  <c r="S15" i="14"/>
  <c r="T15" i="14" s="1"/>
  <c r="R30" i="14"/>
  <c r="S30" i="14" s="1"/>
  <c r="T30" i="14" s="1"/>
  <c r="S7" i="14"/>
  <c r="T7" i="14" s="1"/>
  <c r="S27" i="14"/>
  <c r="T27" i="14" s="1"/>
  <c r="S23" i="14"/>
  <c r="T23" i="14" s="1"/>
  <c r="R49" i="14"/>
  <c r="S49" i="14" s="1"/>
  <c r="T49" i="14" s="1"/>
  <c r="S24" i="14"/>
  <c r="T24" i="14" s="1"/>
  <c r="R35" i="14"/>
  <c r="S35" i="14" s="1"/>
  <c r="T35" i="14" s="1"/>
  <c r="R11" i="14"/>
  <c r="S11" i="14" s="1"/>
  <c r="T11" i="14" s="1"/>
  <c r="S32" i="14"/>
  <c r="T32" i="14" s="1"/>
  <c r="R13" i="14"/>
  <c r="S13" i="14" s="1"/>
  <c r="T13" i="14" s="1"/>
  <c r="S48" i="14"/>
  <c r="T48" i="14" s="1"/>
  <c r="R29" i="14"/>
  <c r="S29" i="14" s="1"/>
  <c r="T29" i="14" s="1"/>
  <c r="R17" i="14"/>
  <c r="S17" i="14" s="1"/>
  <c r="T17" i="14" s="1"/>
  <c r="S44" i="14"/>
  <c r="T44" i="14" s="1"/>
  <c r="S8" i="14"/>
  <c r="T8" i="14" s="1"/>
  <c r="S16" i="14"/>
  <c r="T16" i="14" s="1"/>
  <c r="S18" i="14"/>
  <c r="T18" i="14" s="1"/>
  <c r="I31" i="14"/>
  <c r="I23" i="14"/>
  <c r="J23" i="14" s="1"/>
  <c r="I47" i="14"/>
  <c r="J47" i="14" s="1"/>
  <c r="I42" i="14"/>
  <c r="I34" i="14"/>
  <c r="I37" i="14"/>
  <c r="I26" i="14"/>
  <c r="I30" i="14"/>
  <c r="J30" i="14" s="1"/>
  <c r="I10" i="14"/>
  <c r="J10" i="14" s="1"/>
  <c r="I22" i="14"/>
  <c r="J22" i="14" s="1"/>
  <c r="I33" i="14"/>
  <c r="J33" i="14" s="1"/>
  <c r="J28" i="14"/>
  <c r="I43" i="14"/>
  <c r="J43" i="14" s="1"/>
  <c r="I32" i="14"/>
  <c r="J32" i="14" s="1"/>
  <c r="I12" i="14"/>
  <c r="J12" i="14" s="1"/>
  <c r="I48" i="14"/>
  <c r="J48" i="14" s="1"/>
  <c r="I36" i="14"/>
  <c r="J36" i="14" s="1"/>
  <c r="I7" i="14"/>
  <c r="I16" i="14"/>
  <c r="I18" i="14"/>
  <c r="J45" i="14"/>
  <c r="H6" i="14"/>
  <c r="I6" i="14" s="1"/>
  <c r="S12" i="14" l="1"/>
  <c r="T12" i="14" s="1"/>
  <c r="U12" i="14" s="1"/>
  <c r="V12" i="14" s="1"/>
  <c r="S47" i="14"/>
  <c r="T47" i="14" s="1"/>
  <c r="U47" i="14" s="1"/>
  <c r="V47" i="14" s="1"/>
  <c r="S45" i="14"/>
  <c r="T45" i="14" s="1"/>
  <c r="U45" i="14" s="1"/>
  <c r="V45" i="14" s="1"/>
  <c r="S36" i="14"/>
  <c r="T36" i="14" s="1"/>
  <c r="U36" i="14" s="1"/>
  <c r="V36" i="14" s="1"/>
  <c r="K9" i="14"/>
  <c r="L9" i="14" s="1"/>
  <c r="J49" i="14"/>
  <c r="K49" i="14" s="1"/>
  <c r="L49" i="14" s="1"/>
  <c r="M49" i="14" s="1"/>
  <c r="S37" i="14"/>
  <c r="T37" i="14" s="1"/>
  <c r="U37" i="14" s="1"/>
  <c r="V37" i="14" s="1"/>
  <c r="S28" i="14"/>
  <c r="T28" i="14" s="1"/>
  <c r="U28" i="14" s="1"/>
  <c r="V28" i="14" s="1"/>
  <c r="M41" i="14"/>
  <c r="J38" i="14"/>
  <c r="K38" i="14" s="1"/>
  <c r="L38" i="14" s="1"/>
  <c r="U18" i="14"/>
  <c r="V18" i="14" s="1"/>
  <c r="U8" i="14"/>
  <c r="V8" i="14" s="1"/>
  <c r="U44" i="14"/>
  <c r="V44" i="14" s="1"/>
  <c r="U32" i="14"/>
  <c r="V32" i="14" s="1"/>
  <c r="U43" i="14"/>
  <c r="V43" i="14" s="1"/>
  <c r="U11" i="14"/>
  <c r="V11" i="14" s="1"/>
  <c r="U35" i="14"/>
  <c r="V35" i="14" s="1"/>
  <c r="U24" i="14"/>
  <c r="V24" i="14" s="1"/>
  <c r="U49" i="14"/>
  <c r="V49" i="14" s="1"/>
  <c r="U31" i="14"/>
  <c r="V31" i="14" s="1"/>
  <c r="U7" i="14"/>
  <c r="V7" i="14" s="1"/>
  <c r="U10" i="14"/>
  <c r="V10" i="14" s="1"/>
  <c r="U15" i="14"/>
  <c r="V15" i="14" s="1"/>
  <c r="U21" i="14"/>
  <c r="V21" i="14" s="1"/>
  <c r="U39" i="14"/>
  <c r="V39" i="14" s="1"/>
  <c r="U46" i="14"/>
  <c r="V46" i="14" s="1"/>
  <c r="U19" i="14"/>
  <c r="V19" i="14" s="1"/>
  <c r="U9" i="14"/>
  <c r="V9" i="14" s="1"/>
  <c r="U20" i="14"/>
  <c r="V20" i="14" s="1"/>
  <c r="U16" i="14"/>
  <c r="V16" i="14" s="1"/>
  <c r="U17" i="14"/>
  <c r="V17" i="14" s="1"/>
  <c r="U29" i="14"/>
  <c r="V29" i="14" s="1"/>
  <c r="U48" i="14"/>
  <c r="V48" i="14" s="1"/>
  <c r="U13" i="14"/>
  <c r="V13" i="14" s="1"/>
  <c r="U33" i="14"/>
  <c r="V33" i="14" s="1"/>
  <c r="U23" i="14"/>
  <c r="V23" i="14" s="1"/>
  <c r="U27" i="14"/>
  <c r="V27" i="14" s="1"/>
  <c r="U22" i="14"/>
  <c r="V22" i="14" s="1"/>
  <c r="U30" i="14"/>
  <c r="V30" i="14" s="1"/>
  <c r="U26" i="14"/>
  <c r="V26" i="14" s="1"/>
  <c r="U14" i="14"/>
  <c r="V14" i="14" s="1"/>
  <c r="U34" i="14"/>
  <c r="V34" i="14" s="1"/>
  <c r="U40" i="14"/>
  <c r="V40" i="14" s="1"/>
  <c r="U42" i="14"/>
  <c r="V42" i="14" s="1"/>
  <c r="U25" i="14"/>
  <c r="V25" i="14" s="1"/>
  <c r="U38" i="14"/>
  <c r="V38" i="14" s="1"/>
  <c r="R6" i="14"/>
  <c r="S6" i="14" s="1"/>
  <c r="T6" i="14" s="1"/>
  <c r="J31" i="14"/>
  <c r="K31" i="14" s="1"/>
  <c r="J34" i="14"/>
  <c r="K34" i="14" s="1"/>
  <c r="L34" i="14" s="1"/>
  <c r="J19" i="14"/>
  <c r="K19" i="14" s="1"/>
  <c r="L19" i="14" s="1"/>
  <c r="K45" i="14"/>
  <c r="L45" i="14" s="1"/>
  <c r="K46" i="14"/>
  <c r="L46" i="14" s="1"/>
  <c r="K30" i="14"/>
  <c r="L30" i="14" s="1"/>
  <c r="K23" i="14"/>
  <c r="L23" i="14" s="1"/>
  <c r="K27" i="14"/>
  <c r="L27" i="14" s="1"/>
  <c r="K28" i="14"/>
  <c r="L28" i="14" s="1"/>
  <c r="K10" i="14"/>
  <c r="L10" i="14" s="1"/>
  <c r="J16" i="14"/>
  <c r="K22" i="14"/>
  <c r="L22" i="14" s="1"/>
  <c r="J26" i="14"/>
  <c r="K14" i="14"/>
  <c r="L14" i="14" s="1"/>
  <c r="J21" i="14"/>
  <c r="J37" i="14"/>
  <c r="J42" i="14"/>
  <c r="J20" i="14"/>
  <c r="K44" i="14"/>
  <c r="L44" i="14" s="1"/>
  <c r="K29" i="14"/>
  <c r="L29" i="14" s="1"/>
  <c r="K48" i="14"/>
  <c r="K13" i="14"/>
  <c r="L13" i="14" s="1"/>
  <c r="K35" i="14"/>
  <c r="L35" i="14" s="1"/>
  <c r="K25" i="14"/>
  <c r="L25" i="14" s="1"/>
  <c r="J6" i="14"/>
  <c r="K8" i="14"/>
  <c r="L8" i="14" s="1"/>
  <c r="K36" i="14"/>
  <c r="L36" i="14" s="1"/>
  <c r="K17" i="14"/>
  <c r="L17" i="14" s="1"/>
  <c r="K12" i="14"/>
  <c r="L12" i="14" s="1"/>
  <c r="K32" i="14"/>
  <c r="L32" i="14" s="1"/>
  <c r="K43" i="14"/>
  <c r="L43" i="14" s="1"/>
  <c r="K11" i="14"/>
  <c r="L11" i="14" s="1"/>
  <c r="K40" i="14"/>
  <c r="K47" i="14"/>
  <c r="L47" i="14" s="1"/>
  <c r="J18" i="14"/>
  <c r="J15" i="14"/>
  <c r="J39" i="14"/>
  <c r="J7" i="14"/>
  <c r="K33" i="14"/>
  <c r="L33" i="14" s="1"/>
  <c r="K24" i="14"/>
  <c r="L24" i="14" s="1"/>
  <c r="I8" i="1"/>
  <c r="I3" i="1"/>
  <c r="M9" i="14" l="1"/>
  <c r="L31" i="14"/>
  <c r="M31" i="14" s="1"/>
  <c r="U6" i="14"/>
  <c r="V6" i="14" s="1"/>
  <c r="M38" i="14"/>
  <c r="M10" i="14"/>
  <c r="M30" i="14"/>
  <c r="M22" i="14"/>
  <c r="M23" i="14"/>
  <c r="M19" i="14"/>
  <c r="M45" i="14"/>
  <c r="M25" i="14"/>
  <c r="M14" i="14"/>
  <c r="M35" i="14"/>
  <c r="M43" i="14"/>
  <c r="M12" i="14"/>
  <c r="M17" i="14"/>
  <c r="M34" i="14"/>
  <c r="M46" i="14"/>
  <c r="M33" i="14"/>
  <c r="M28" i="14"/>
  <c r="M13" i="14"/>
  <c r="M29" i="14"/>
  <c r="M44" i="14"/>
  <c r="M27" i="14"/>
  <c r="M47" i="14"/>
  <c r="M24" i="14"/>
  <c r="M11" i="14"/>
  <c r="M32" i="14"/>
  <c r="M36" i="14"/>
  <c r="M8" i="14"/>
  <c r="K6" i="14"/>
  <c r="L6" i="14" s="1"/>
  <c r="K42" i="14"/>
  <c r="L42" i="14" s="1"/>
  <c r="K21" i="14"/>
  <c r="L21" i="14" s="1"/>
  <c r="K18" i="14"/>
  <c r="L18" i="14" s="1"/>
  <c r="K7" i="14"/>
  <c r="L7" i="14" s="1"/>
  <c r="K39" i="14"/>
  <c r="L39" i="14" s="1"/>
  <c r="K15" i="14"/>
  <c r="L15" i="14" s="1"/>
  <c r="K20" i="14"/>
  <c r="L20" i="14" s="1"/>
  <c r="K37" i="14"/>
  <c r="L37" i="14" s="1"/>
  <c r="K26" i="14"/>
  <c r="L26" i="14" s="1"/>
  <c r="K16" i="14"/>
  <c r="L16" i="14" s="1"/>
  <c r="L40" i="14"/>
  <c r="M40" i="14" s="1"/>
  <c r="L48" i="14"/>
  <c r="M48" i="14" s="1"/>
  <c r="I4" i="1"/>
  <c r="I5" i="1" s="1"/>
  <c r="I6" i="1" s="1"/>
  <c r="I7" i="1" s="1"/>
  <c r="H4" i="1"/>
  <c r="H5" i="1" l="1"/>
  <c r="V2" i="14"/>
  <c r="V4" i="14" s="1"/>
  <c r="W6" i="14" s="1"/>
  <c r="M18" i="14"/>
  <c r="M42" i="14"/>
  <c r="M20" i="14"/>
  <c r="M15" i="14"/>
  <c r="M39" i="14"/>
  <c r="M7" i="14"/>
  <c r="M16" i="14"/>
  <c r="M21" i="14"/>
  <c r="M6" i="14"/>
  <c r="M26" i="14"/>
  <c r="M37" i="14"/>
  <c r="H6" i="1"/>
  <c r="W7" i="14" l="1"/>
  <c r="W9" i="14"/>
  <c r="W11" i="14"/>
  <c r="W13" i="14"/>
  <c r="W15" i="14"/>
  <c r="W17" i="14"/>
  <c r="W19" i="14"/>
  <c r="W21" i="14"/>
  <c r="W23" i="14"/>
  <c r="W25" i="14"/>
  <c r="W27" i="14"/>
  <c r="W29" i="14"/>
  <c r="W31" i="14"/>
  <c r="W33" i="14"/>
  <c r="W35" i="14"/>
  <c r="W37" i="14"/>
  <c r="W39" i="14"/>
  <c r="W41" i="14"/>
  <c r="W43" i="14"/>
  <c r="W45" i="14"/>
  <c r="W47" i="14"/>
  <c r="W49" i="14"/>
  <c r="W8" i="14"/>
  <c r="W10" i="14"/>
  <c r="W12" i="14"/>
  <c r="W14" i="14"/>
  <c r="W16" i="14"/>
  <c r="W18" i="14"/>
  <c r="W20" i="14"/>
  <c r="W22" i="14"/>
  <c r="W24" i="14"/>
  <c r="W26" i="14"/>
  <c r="W28" i="14"/>
  <c r="W30" i="14"/>
  <c r="W32" i="14"/>
  <c r="W34" i="14"/>
  <c r="W36" i="14"/>
  <c r="W38" i="14"/>
  <c r="W40" i="14"/>
  <c r="W42" i="14"/>
  <c r="W44" i="14"/>
  <c r="W46" i="14"/>
  <c r="W48" i="14"/>
  <c r="N18" i="14"/>
  <c r="N45" i="14"/>
  <c r="N38" i="14"/>
  <c r="N49" i="14"/>
  <c r="N16" i="14"/>
  <c r="N32" i="14"/>
  <c r="N19" i="14"/>
  <c r="N46" i="14"/>
  <c r="N35" i="14"/>
  <c r="N33" i="14"/>
  <c r="N21" i="14"/>
  <c r="N37" i="14"/>
  <c r="N42" i="14"/>
  <c r="N30" i="14"/>
  <c r="N28" i="14"/>
  <c r="N27" i="14"/>
  <c r="H7" i="1"/>
  <c r="W2" i="14" l="1"/>
  <c r="O27" i="14"/>
  <c r="P27" i="14" s="1"/>
  <c r="O30" i="14"/>
  <c r="P30" i="14" s="1"/>
  <c r="O21" i="14"/>
  <c r="P21" i="14" s="1"/>
  <c r="O33" i="14"/>
  <c r="P33" i="14" s="1"/>
  <c r="O19" i="14"/>
  <c r="P19" i="14" s="1"/>
  <c r="O45" i="14"/>
  <c r="P45" i="14" s="1"/>
  <c r="O28" i="14"/>
  <c r="P28" i="14" s="1"/>
  <c r="O42" i="14"/>
  <c r="P42" i="14" s="1"/>
  <c r="O37" i="14"/>
  <c r="P37" i="14" s="1"/>
  <c r="O35" i="14"/>
  <c r="P35" i="14" s="1"/>
  <c r="O46" i="14"/>
  <c r="P46" i="14" s="1"/>
  <c r="O32" i="14"/>
  <c r="P32" i="14" s="1"/>
  <c r="O16" i="14"/>
  <c r="P16" i="14" s="1"/>
  <c r="O49" i="14"/>
  <c r="P49" i="14" s="1"/>
  <c r="O38" i="14"/>
  <c r="P38" i="14" s="1"/>
  <c r="O18" i="14"/>
  <c r="P18" i="14" s="1"/>
  <c r="N41" i="14"/>
  <c r="N26" i="14"/>
  <c r="N8" i="14"/>
  <c r="N44" i="14"/>
  <c r="N13" i="14"/>
  <c r="N36" i="14"/>
  <c r="N29" i="14"/>
  <c r="N17" i="14"/>
  <c r="N40" i="14"/>
  <c r="N22" i="14"/>
  <c r="N25" i="14"/>
  <c r="N6" i="14"/>
  <c r="N48" i="14"/>
  <c r="N34" i="14"/>
  <c r="N24" i="14"/>
  <c r="N47" i="14"/>
  <c r="N9" i="14"/>
  <c r="H8" i="1"/>
  <c r="O9" i="14" l="1"/>
  <c r="P9" i="14" s="1"/>
  <c r="O24" i="14"/>
  <c r="P24" i="14" s="1"/>
  <c r="O48" i="14"/>
  <c r="P48" i="14" s="1"/>
  <c r="O13" i="14"/>
  <c r="P13" i="14" s="1"/>
  <c r="O8" i="14"/>
  <c r="P8" i="14" s="1"/>
  <c r="X18" i="14"/>
  <c r="Y18" i="14" s="1"/>
  <c r="X38" i="14"/>
  <c r="Y38" i="14" s="1"/>
  <c r="X49" i="14"/>
  <c r="Y49" i="14" s="1"/>
  <c r="X16" i="14"/>
  <c r="Y16" i="14" s="1"/>
  <c r="X32" i="14"/>
  <c r="Y32" i="14" s="1"/>
  <c r="X46" i="14"/>
  <c r="Y46" i="14" s="1"/>
  <c r="X35" i="14"/>
  <c r="Y35" i="14" s="1"/>
  <c r="X37" i="14"/>
  <c r="Y37" i="14" s="1"/>
  <c r="X42" i="14"/>
  <c r="Y42" i="14" s="1"/>
  <c r="X28" i="14"/>
  <c r="Y28" i="14" s="1"/>
  <c r="X45" i="14"/>
  <c r="Y45" i="14" s="1"/>
  <c r="X19" i="14"/>
  <c r="Y19" i="14" s="1"/>
  <c r="X33" i="14"/>
  <c r="Y33" i="14" s="1"/>
  <c r="X21" i="14"/>
  <c r="Y21" i="14" s="1"/>
  <c r="X30" i="14"/>
  <c r="Y30" i="14" s="1"/>
  <c r="X27" i="14"/>
  <c r="Y27" i="14" s="1"/>
  <c r="O47" i="14"/>
  <c r="P47" i="14" s="1"/>
  <c r="O34" i="14"/>
  <c r="P34" i="14" s="1"/>
  <c r="O25" i="14"/>
  <c r="P25" i="14" s="1"/>
  <c r="O22" i="14"/>
  <c r="P22" i="14" s="1"/>
  <c r="O40" i="14"/>
  <c r="P40" i="14" s="1"/>
  <c r="O17" i="14"/>
  <c r="P17" i="14" s="1"/>
  <c r="O29" i="14"/>
  <c r="P29" i="14" s="1"/>
  <c r="O36" i="14"/>
  <c r="P36" i="14" s="1"/>
  <c r="O44" i="14"/>
  <c r="P44" i="14" s="1"/>
  <c r="O26" i="14"/>
  <c r="P26" i="14" s="1"/>
  <c r="O41" i="14"/>
  <c r="P41" i="14" s="1"/>
  <c r="O6" i="14"/>
  <c r="P6" i="14" s="1"/>
  <c r="N14" i="14"/>
  <c r="N10" i="14"/>
  <c r="N20" i="14"/>
  <c r="N39" i="14"/>
  <c r="N31" i="14"/>
  <c r="N11" i="14"/>
  <c r="N43" i="14"/>
  <c r="N15" i="14"/>
  <c r="N7" i="14"/>
  <c r="N12" i="14"/>
  <c r="N23" i="14"/>
  <c r="O31" i="14" l="1"/>
  <c r="P31" i="14" s="1"/>
  <c r="O10" i="14"/>
  <c r="P10" i="14" s="1"/>
  <c r="O23" i="14"/>
  <c r="P23" i="14" s="1"/>
  <c r="O43" i="14"/>
  <c r="P43" i="14" s="1"/>
  <c r="O11" i="14"/>
  <c r="P11" i="14" s="1"/>
  <c r="O39" i="14"/>
  <c r="P39" i="14" s="1"/>
  <c r="X41" i="14"/>
  <c r="Y41" i="14" s="1"/>
  <c r="X26" i="14"/>
  <c r="Y26" i="14" s="1"/>
  <c r="X44" i="14"/>
  <c r="Y44" i="14" s="1"/>
  <c r="X36" i="14"/>
  <c r="Y36" i="14" s="1"/>
  <c r="X29" i="14"/>
  <c r="Y29" i="14" s="1"/>
  <c r="X17" i="14"/>
  <c r="Y17" i="14" s="1"/>
  <c r="X40" i="14"/>
  <c r="Y40" i="14" s="1"/>
  <c r="X22" i="14"/>
  <c r="Y22" i="14" s="1"/>
  <c r="X25" i="14"/>
  <c r="Y25" i="14" s="1"/>
  <c r="X34" i="14"/>
  <c r="Y34" i="14" s="1"/>
  <c r="X47" i="14"/>
  <c r="Y47" i="14" s="1"/>
  <c r="X8" i="14"/>
  <c r="Y8" i="14" s="1"/>
  <c r="X13" i="14"/>
  <c r="Y13" i="14" s="1"/>
  <c r="X48" i="14"/>
  <c r="Y48" i="14" s="1"/>
  <c r="X24" i="14"/>
  <c r="Y24" i="14" s="1"/>
  <c r="X9" i="14"/>
  <c r="Y9" i="14" s="1"/>
  <c r="O12" i="14"/>
  <c r="P12" i="14" s="1"/>
  <c r="O7" i="14"/>
  <c r="P7" i="14" s="1"/>
  <c r="O15" i="14"/>
  <c r="P15" i="14" s="1"/>
  <c r="O20" i="14"/>
  <c r="P20" i="14" s="1"/>
  <c r="O14" i="14"/>
  <c r="P14" i="14" s="1"/>
  <c r="X6" i="14"/>
  <c r="Y6" i="14" s="1"/>
  <c r="P2" i="14" l="1"/>
  <c r="X14" i="14"/>
  <c r="Y14" i="14" s="1"/>
  <c r="X20" i="14"/>
  <c r="Y20" i="14" s="1"/>
  <c r="X15" i="14"/>
  <c r="Y15" i="14" s="1"/>
  <c r="X7" i="14"/>
  <c r="X12" i="14"/>
  <c r="Y12" i="14" s="1"/>
  <c r="X39" i="14"/>
  <c r="Y39" i="14" s="1"/>
  <c r="X11" i="14"/>
  <c r="Y11" i="14" s="1"/>
  <c r="X43" i="14"/>
  <c r="Y43" i="14" s="1"/>
  <c r="X23" i="14"/>
  <c r="Y23" i="14" s="1"/>
  <c r="X10" i="14"/>
  <c r="Y10" i="14" s="1"/>
  <c r="X31" i="14"/>
  <c r="Y31" i="14" s="1"/>
  <c r="Y7" i="14" l="1"/>
  <c r="Y2" i="14" s="1"/>
  <c r="C4" i="19"/>
  <c r="C11" i="19"/>
  <c r="C9" i="19"/>
  <c r="C14" i="19"/>
  <c r="C16" i="19" s="1"/>
  <c r="C2" i="19"/>
  <c r="X2" i="14"/>
  <c r="C6" i="19"/>
</calcChain>
</file>

<file path=xl/sharedStrings.xml><?xml version="1.0" encoding="utf-8"?>
<sst xmlns="http://schemas.openxmlformats.org/spreadsheetml/2006/main" count="349" uniqueCount="109">
  <si>
    <t>RESIDENCIAL NORMAL</t>
  </si>
  <si>
    <t>Faixa m3</t>
  </si>
  <si>
    <t>Vol. Faixa</t>
  </si>
  <si>
    <t>Alíquota (R$)</t>
  </si>
  <si>
    <t>Preço p/ m3</t>
  </si>
  <si>
    <t>1)</t>
  </si>
  <si>
    <t>0 a 10</t>
  </si>
  <si>
    <t>2)</t>
  </si>
  <si>
    <t>11 a 15</t>
  </si>
  <si>
    <t>3)</t>
  </si>
  <si>
    <t>16 a 25</t>
  </si>
  <si>
    <t>4)</t>
  </si>
  <si>
    <t>26 a 35</t>
  </si>
  <si>
    <t>5)</t>
  </si>
  <si>
    <t>36 a 50</t>
  </si>
  <si>
    <t>6)</t>
  </si>
  <si>
    <t>&gt; 50</t>
  </si>
  <si>
    <t>Valor no Site da CAESB</t>
  </si>
  <si>
    <t>Tabela de Valores CAESB para esta planilha</t>
  </si>
  <si>
    <t>#</t>
  </si>
  <si>
    <t>Valor</t>
  </si>
  <si>
    <t>Volume</t>
  </si>
  <si>
    <t>Mínimo</t>
  </si>
  <si>
    <t>Máximo</t>
  </si>
  <si>
    <t>Torre</t>
  </si>
  <si>
    <t>Junta</t>
  </si>
  <si>
    <t>Unid</t>
  </si>
  <si>
    <t>Hidrometro</t>
  </si>
  <si>
    <t>A</t>
  </si>
  <si>
    <t>B</t>
  </si>
  <si>
    <t>Hidrometro Quente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</si>
  <si>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</si>
  <si>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</si>
  <si>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</si>
  <si>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</si>
  <si>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</si>
  <si>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</si>
  <si>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</si>
  <si>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</si>
  <si>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</si>
  <si>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</si>
  <si>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</si>
  <si>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</si>
  <si>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Medição 
Água Fria</t>
  </si>
  <si>
    <t>Medição 
Água Quente</t>
  </si>
  <si>
    <t>Total</t>
  </si>
  <si>
    <t>Utilização (%)</t>
  </si>
  <si>
    <t>*Definir se será uma variação do mês para o outro ou uma variação superior à X%.</t>
  </si>
  <si>
    <t>Data da leitura:</t>
  </si>
  <si>
    <t>Apto</t>
  </si>
  <si>
    <t>Dezembro (Anterior)</t>
  </si>
  <si>
    <t>Mês Referencia</t>
  </si>
  <si>
    <t>Conta CAESB</t>
  </si>
  <si>
    <t>Mês de Referência:</t>
  </si>
  <si>
    <t>Campo</t>
  </si>
  <si>
    <t>Quantidade Apartamento</t>
  </si>
  <si>
    <t>Valor médio</t>
  </si>
  <si>
    <t>Medição (mês ant.)</t>
  </si>
  <si>
    <t>Faixa</t>
  </si>
  <si>
    <t>Faixa 1</t>
  </si>
  <si>
    <t>Faixa 2</t>
  </si>
  <si>
    <t>Faixa 3</t>
  </si>
  <si>
    <t>Faixa 4</t>
  </si>
  <si>
    <t>Faixa 5</t>
  </si>
  <si>
    <t>Faixa 6</t>
  </si>
  <si>
    <t>Leitura Mês Anterior</t>
  </si>
  <si>
    <t>Leitura Mês Referencia</t>
  </si>
  <si>
    <t>Consumo Mês Referência</t>
  </si>
  <si>
    <t>Coluna Ref.</t>
  </si>
  <si>
    <t>Preço</t>
  </si>
  <si>
    <t>Diferença no Ano</t>
  </si>
  <si>
    <t>Diferença no Mês</t>
  </si>
  <si>
    <r>
      <t xml:space="preserve">Quantidade de usuários que pagarão a </t>
    </r>
    <r>
      <rPr>
        <b/>
        <sz val="18"/>
        <color theme="3"/>
        <rFont val="Calibri Light"/>
        <family val="2"/>
        <scheme val="major"/>
      </rPr>
      <t>MAIS</t>
    </r>
    <r>
      <rPr>
        <sz val="18"/>
        <color theme="3"/>
        <rFont val="Calibri Light"/>
        <family val="2"/>
        <scheme val="major"/>
      </rPr>
      <t>:</t>
    </r>
  </si>
  <si>
    <r>
      <t xml:space="preserve">Quantidade de usuários que pagarão a </t>
    </r>
    <r>
      <rPr>
        <b/>
        <sz val="18"/>
        <color theme="3"/>
        <rFont val="Calibri Light"/>
        <family val="2"/>
        <scheme val="major"/>
      </rPr>
      <t>MENOS</t>
    </r>
    <r>
      <rPr>
        <sz val="18"/>
        <color theme="3"/>
        <rFont val="Calibri Light"/>
        <family val="2"/>
        <scheme val="major"/>
      </rPr>
      <t>:</t>
    </r>
  </si>
  <si>
    <t>Quantidade de usuários que pagarão o MESMO:</t>
  </si>
  <si>
    <r>
      <t xml:space="preserve">Valor Geral Economizado no </t>
    </r>
    <r>
      <rPr>
        <b/>
        <sz val="18"/>
        <color theme="3"/>
        <rFont val="Calibri Light"/>
        <family val="2"/>
        <scheme val="major"/>
      </rPr>
      <t>MÊS:</t>
    </r>
  </si>
  <si>
    <r>
      <t xml:space="preserve">Valor Previsto de Economia no </t>
    </r>
    <r>
      <rPr>
        <b/>
        <sz val="18"/>
        <color theme="3"/>
        <rFont val="Calibri Light"/>
        <family val="2"/>
        <scheme val="major"/>
      </rPr>
      <t>ANO:</t>
    </r>
  </si>
  <si>
    <r>
      <t xml:space="preserve">Valor que será pago a </t>
    </r>
    <r>
      <rPr>
        <b/>
        <sz val="18"/>
        <color theme="3"/>
        <rFont val="Calibri Light"/>
        <family val="2"/>
        <scheme val="major"/>
      </rPr>
      <t>MAIS</t>
    </r>
    <r>
      <rPr>
        <sz val="18"/>
        <color theme="3"/>
        <rFont val="Calibri Light"/>
        <family val="2"/>
        <scheme val="major"/>
      </rPr>
      <t xml:space="preserve"> para a CAESB por mês:</t>
    </r>
  </si>
  <si>
    <r>
      <t xml:space="preserve">Valor que será pago a </t>
    </r>
    <r>
      <rPr>
        <b/>
        <sz val="18"/>
        <color theme="3"/>
        <rFont val="Calibri Light"/>
        <family val="2"/>
        <scheme val="major"/>
      </rPr>
      <t>MENOS</t>
    </r>
    <r>
      <rPr>
        <sz val="18"/>
        <color theme="3"/>
        <rFont val="Calibri Light"/>
        <family val="2"/>
        <scheme val="major"/>
      </rPr>
      <t xml:space="preserve"> para a CAESB por mês:</t>
    </r>
  </si>
  <si>
    <t>Consumo:</t>
  </si>
  <si>
    <t>Comentários:</t>
  </si>
  <si>
    <t>Cobrança mínima CAESB</t>
  </si>
  <si>
    <t>Valor Padrão Atual</t>
  </si>
  <si>
    <t>Coluna de volume:</t>
  </si>
  <si>
    <t>Faixa 1_</t>
  </si>
  <si>
    <t>Faixa 2_</t>
  </si>
  <si>
    <t>Faixa 3_</t>
  </si>
  <si>
    <t>aqui</t>
  </si>
  <si>
    <t>Valor CAESB Futuro</t>
  </si>
  <si>
    <t>Tarifa Água CAESB Futuro</t>
  </si>
  <si>
    <t>Tarifa Esgoto CAESB Futuro</t>
  </si>
  <si>
    <t>Tarifa Água CAESB Atual</t>
  </si>
  <si>
    <t>Tarifa Esgoto CAESB Atual</t>
  </si>
  <si>
    <t>Valor Padrão Atual AJUSTADO</t>
  </si>
  <si>
    <t>Taxa ajuste</t>
  </si>
  <si>
    <t>2. Expliquemos o modelo atual:</t>
  </si>
  <si>
    <t>2.1 Existe uma tabela de rateio da CAESB (assim como do imposto de renda) que a cobrança é feita conforme o uso</t>
  </si>
  <si>
    <t>2.3 A grande vantagem é que de maneira global a cobrança da CAESB vai até a terceira faixa (aba CAESB)</t>
  </si>
  <si>
    <t>2.4 Na separação haverá uma cobrança em faixas superiores, alguns apartamentos até a sexta faixa</t>
  </si>
  <si>
    <t>2.5 Conforme informações da administração o cálculo está sendo feito com a contabilização do consumo individual e no máximo até a terceira faixa.</t>
  </si>
  <si>
    <t>2.6 O mínimo que a CAESB cobra se for direto é de 10 m³ ou seja 53,00 reais.</t>
  </si>
  <si>
    <t>2.2 Se usou até 10 m³ paragá 2,65 reais por m³, se ultrapassar 10 até 15 m³ pagará 4,92 reais por m³ e assim por diante, veja a aba CAESB.</t>
  </si>
  <si>
    <t xml:space="preserve">1. </t>
  </si>
  <si>
    <t xml:space="preserve">3. </t>
  </si>
  <si>
    <t xml:space="preserve">3.1 </t>
  </si>
  <si>
    <t xml:space="preserve"> </t>
  </si>
  <si>
    <t>Valor de Alerta em conta individual</t>
  </si>
  <si>
    <t>Valor de Alerta em conta geral</t>
  </si>
  <si>
    <t>(m³)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</si>
</sst>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[$-416]mmm/yy;@"/>
    <numFmt numFmtId="165" formatCode="#,##0.00_ ;[Red]\-#,##0.0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9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</cellStyleXfs>
  <cellXfs count="58">
    <xf numFmtId="0" fontId="0" fillId="0" borderId="0" xfId="0"/>
    <xf numFmtId="0" fontId="2" fillId="0" borderId="0" xfId="2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44" fontId="0" fillId="0" borderId="0" xfId="1" applyFont="1" applyAlignment="1" applyProtection="1">
      <alignment horizontal="center" vertical="center"/>
      <protection locked="0"/>
    </xf>
    <xf numFmtId="0" fontId="0" fillId="0" borderId="0" xfId="0" applyProtection="1"/>
    <xf numFmtId="0" fontId="2" fillId="0" borderId="0" xfId="2" applyProtection="1"/>
    <xf numFmtId="0" fontId="3" fillId="2" borderId="0" xfId="3" applyProtection="1"/>
    <xf numFmtId="14" fontId="0" fillId="0" borderId="0" xfId="0" applyNumberFormat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5" borderId="0" xfId="0" applyNumberFormat="1" applyFill="1" applyAlignment="1">
      <alignment horizontal="center" vertical="center" wrapText="1"/>
    </xf>
    <xf numFmtId="0" fontId="0" fillId="3" borderId="0" xfId="0" applyFill="1" applyAlignment="1" applyProtection="1">
      <alignment horizontal="center" vertical="center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9" fontId="0" fillId="0" borderId="0" xfId="4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17" fontId="0" fillId="0" borderId="0" xfId="0" applyNumberFormat="1" applyAlignment="1">
      <alignment horizontal="center" vertical="center"/>
    </xf>
    <xf numFmtId="0" fontId="4" fillId="0" borderId="1" xfId="5" applyAlignment="1">
      <alignment horizontal="center"/>
    </xf>
    <xf numFmtId="164" fontId="4" fillId="0" borderId="1" xfId="5" applyNumberFormat="1" applyAlignment="1" applyProtection="1">
      <alignment horizontal="center" vertical="center"/>
      <protection locked="0"/>
    </xf>
    <xf numFmtId="0" fontId="5" fillId="0" borderId="2" xfId="6"/>
    <xf numFmtId="0" fontId="7" fillId="0" borderId="0" xfId="0" applyFont="1"/>
    <xf numFmtId="44" fontId="0" fillId="3" borderId="0" xfId="1" applyFont="1" applyFill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9" fillId="0" borderId="0" xfId="0" applyFont="1" applyFill="1"/>
    <xf numFmtId="0" fontId="10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44" fontId="9" fillId="0" borderId="0" xfId="1" applyFont="1" applyFill="1" applyAlignment="1">
      <alignment horizontal="center" vertical="center"/>
    </xf>
    <xf numFmtId="165" fontId="9" fillId="0" borderId="0" xfId="1" applyNumberFormat="1" applyFont="1" applyFill="1" applyAlignment="1">
      <alignment horizontal="center" vertical="center"/>
    </xf>
    <xf numFmtId="165" fontId="10" fillId="0" borderId="0" xfId="1" applyNumberFormat="1" applyFont="1" applyFill="1" applyAlignment="1">
      <alignment horizontal="center" vertical="center"/>
    </xf>
    <xf numFmtId="44" fontId="6" fillId="4" borderId="4" xfId="1" applyNumberFormat="1" applyFont="1" applyFill="1" applyBorder="1" applyAlignment="1">
      <alignment horizontal="center" vertical="center"/>
    </xf>
    <xf numFmtId="44" fontId="4" fillId="0" borderId="1" xfId="1" applyFont="1" applyBorder="1" applyAlignment="1">
      <alignment horizontal="center"/>
    </xf>
    <xf numFmtId="4" fontId="6" fillId="4" borderId="4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right" vertical="center" wrapText="1"/>
    </xf>
    <xf numFmtId="0" fontId="2" fillId="0" borderId="1" xfId="2" applyBorder="1"/>
    <xf numFmtId="0" fontId="8" fillId="1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horizontal="center" vertical="center"/>
    </xf>
    <xf numFmtId="4" fontId="9" fillId="0" borderId="0" xfId="1" applyNumberFormat="1" applyFont="1" applyFill="1" applyAlignment="1">
      <alignment horizontal="center" vertical="center"/>
    </xf>
    <xf numFmtId="44" fontId="9" fillId="11" borderId="0" xfId="1" applyFont="1" applyFill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44" fontId="9" fillId="13" borderId="0" xfId="1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9" fontId="0" fillId="0" borderId="0" xfId="4" applyFont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2" fillId="0" borderId="0" xfId="2" applyAlignment="1">
      <alignment horizontal="center"/>
    </xf>
    <xf numFmtId="0" fontId="8" fillId="0" borderId="0" xfId="0" applyFont="1" applyAlignment="1">
      <alignment horizontal="right"/>
    </xf>
    <xf numFmtId="0" fontId="2" fillId="0" borderId="0" xfId="2" applyAlignment="1">
      <alignment horizontal="right"/>
    </xf>
    <xf numFmtId="14" fontId="2" fillId="8" borderId="0" xfId="2" applyNumberFormat="1" applyFill="1" applyAlignment="1" applyProtection="1">
      <alignment horizontal="center"/>
      <protection locked="0"/>
    </xf>
    <xf numFmtId="0" fontId="2" fillId="9" borderId="0" xfId="2" applyNumberFormat="1" applyFill="1" applyAlignment="1" applyProtection="1">
      <alignment horizontal="center"/>
    </xf>
    <xf numFmtId="44" fontId="0" fillId="0" borderId="0" xfId="0" applyNumberFormat="1"/>
    <xf numFmtId="1" fontId="0" fillId="0" borderId="0" xfId="4" applyNumberFormat="1" applyFont="1" applyAlignment="1" applyProtection="1">
      <alignment horizontal="center"/>
      <protection locked="0"/>
    </xf>
  </cellXfs>
  <cellStyles count="7">
    <cellStyle name="60% - Ênfase5" xfId="3" builtinId="48"/>
    <cellStyle name="Moeda" xfId="1" builtinId="4"/>
    <cellStyle name="Normal" xfId="0" builtinId="0"/>
    <cellStyle name="Porcentagem" xfId="4" builtinId="5"/>
    <cellStyle name="Título" xfId="2" builtinId="15"/>
    <cellStyle name="Título 1" xfId="5" builtinId="16"/>
    <cellStyle name="Título 2" xfId="6" builtinId="17"/>
  </cellStyles>
  <dxfs count="232">
    <dxf>
      <numFmt numFmtId="0" formatCode="General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5" formatCode="#,##0.00_ ;[Red]\-#,##0.0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5" formatCode="#,##0.00_ ;[Red]\-#,##0.0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6" name="tbl_config" displayName="tbl_config" ref="A1:B5" totalsRowShown="0" headerRowDxfId="231" dataDxfId="230">
  <tableColumns count="2">
    <tableColumn id="1" name="Campo" dataDxfId="229"/>
    <tableColumn id="2" name="Valor" dataDxfId="228"/>
  </tableColumns>
  <tableStyleInfo name="TableStyleLight19" showFirstColumn="0" showLastColumn="0" showRowStripes="1" showColumnStripes="0"/>
</table>
</file>

<file path=xl/tables/table10.xml><?xml version="1.0" encoding="utf-8"?>
<table xmlns="http://schemas.openxmlformats.org/spreadsheetml/2006/main" id="1" name="tbl_medabr" displayName="tbl_medabr" ref="A2:K46" totalsRowShown="0" headerRowDxfId="134" dataDxfId="133">
  <autoFilter ref="A2:K46"/>
  <tableColumns count="11">
    <tableColumn id="2" name="Torre" dataDxfId="132">
      <calculatedColumnFormula>tbl_consolidacao[[#This Row],[Torre]]</calculatedColumnFormula>
    </tableColumn>
    <tableColumn id="3" name="Junta" dataDxfId="131">
      <calculatedColumnFormula>tbl_consolidacao[[#This Row],[Junta]]</calculatedColumnFormula>
    </tableColumn>
    <tableColumn id="4" name="Unid" dataDxfId="130">
      <calculatedColumnFormula>tbl_consolidacao[[#This Row],[Unid]]</calculatedColumnFormula>
    </tableColumn>
    <tableColumn id="1" name="Apto" dataDxfId="129">
      <calculatedColumnFormula>tbl_consolidacao[[#This Row],[Apto]]</calculatedColumnFormula>
    </tableColumn>
    <tableColumn id="5" name="Hidrometro" dataDxfId="128">
      <calculatedColumnFormula>tbl_meddez_anterior[[#This Row],[Hidrometro]]</calculatedColumnFormula>
    </tableColumn>
    <tableColumn id="6" name="Medição _x000a_Água Fria" dataDxfId="127"/>
    <tableColumn id="10" name="Hidrometro Quente" dataDxfId="126">
      <calculatedColumnFormula>tbl_meddez_anterior[[#This Row],[Hidrometro]]</calculatedColumnFormula>
    </tableColumn>
    <tableColumn id="11" name="Medição _x000a_Água Quente" dataDxfId="125"/>
    <tableColumn id="7" name="Total" dataDxfId="124">
      <calculatedColumnFormula>tbl_medabr[[#This Row],[Medição 
Água Fria]]/100+tbl_medabr[[#This Row],[Medição 
Água Quente]]/1000</calculatedColumnFormula>
    </tableColumn>
    <tableColumn id="8" name="Utilização (%)" dataDxfId="123" dataCellStyle="Porcentagem">
      <calculatedColumnFormula>IF(tbl_medabr[[#This Row],[Total]]&gt;0,tbl_medabr[[#This Row],[Total]]/VLOOKUP(tbl_medabr[[#This Row],[Apto]],tbl_medfev[[Apto]:[Total]],6,FALSE)-1,"")</calculatedColumnFormula>
    </tableColumn>
    <tableColumn id="9" name="#" dataDxfId="122" dataCellStyle="Porcentagem">
      <calculatedColumnFormula>IF(tbl_medabr[[#This Row],[Utilização (%)]]&lt;&gt;"",ALERTA_INDIVIDUAL-tbl_medabr[[#This Row],[Utilização (%)]],"")</calculatedColumnFormula>
    </tableColumn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id="3" name="tbl_medmai" displayName="tbl_medmai" ref="A2:K46" totalsRowShown="0" headerRowDxfId="121" dataDxfId="120">
  <autoFilter ref="A2:K46"/>
  <tableColumns count="11">
    <tableColumn id="2" name="Torre" dataDxfId="119">
      <calculatedColumnFormula>tbl_consolidacao[[#This Row],[Torre]]</calculatedColumnFormula>
    </tableColumn>
    <tableColumn id="3" name="Junta" dataDxfId="118">
      <calculatedColumnFormula>tbl_consolidacao[[#This Row],[Junta]]</calculatedColumnFormula>
    </tableColumn>
    <tableColumn id="4" name="Unid" dataDxfId="117">
      <calculatedColumnFormula>tbl_consolidacao[[#This Row],[Unid]]</calculatedColumnFormula>
    </tableColumn>
    <tableColumn id="1" name="Apto" dataDxfId="116">
      <calculatedColumnFormula>tbl_consolidacao[[#This Row],[Apto]]</calculatedColumnFormula>
    </tableColumn>
    <tableColumn id="5" name="Hidrometro" dataDxfId="115">
      <calculatedColumnFormula>tbl_meddez_anterior[[#This Row],[Hidrometro]]</calculatedColumnFormula>
    </tableColumn>
    <tableColumn id="6" name="Medição _x000a_Água Fria" dataDxfId="114"/>
    <tableColumn id="10" name="Hidrometro Quente" dataDxfId="113">
      <calculatedColumnFormula>tbl_meddez_anterior[[#This Row],[Hidrometro]]</calculatedColumnFormula>
    </tableColumn>
    <tableColumn id="11" name="Medição _x000a_Água Quente" dataDxfId="112"/>
    <tableColumn id="7" name="Total" dataDxfId="111">
      <calculatedColumnFormula>tbl_medmai[[#This Row],[Medição 
Água Fria]]/100+tbl_medmai[[#This Row],[Medição 
Água Quente]]/1000</calculatedColumnFormula>
    </tableColumn>
    <tableColumn id="8" name="Utilização (%)" dataDxfId="110" dataCellStyle="Porcentagem">
      <calculatedColumnFormula>IF(tbl_medmai[[#This Row],[Total]]&gt;0,tbl_medmai[[#This Row],[Total]]/VLOOKUP(tbl_medmai[[#This Row],[Apto]],tbl_medfev[[Apto]:[Total]],6,FALSE)-1,"")</calculatedColumnFormula>
    </tableColumn>
    <tableColumn id="9" name="#" dataDxfId="109" dataCellStyle="Porcentagem">
      <calculatedColumnFormula>IF(tbl_medmai[[#This Row],[Utilização (%)]]&lt;&gt;"",ALERTA_INDIVIDUAL-tbl_medmai[[#This Row],[Utilização (%)]],"")</calculatedColumnFormula>
    </tableColumn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id="5" name="tbl_medjun" displayName="tbl_medjun" ref="A2:K46" totalsRowShown="0" headerRowDxfId="108" dataDxfId="107">
  <autoFilter ref="A2:K46"/>
  <tableColumns count="11">
    <tableColumn id="2" name="Torre" dataDxfId="106">
      <calculatedColumnFormula>tbl_consolidacao[[#This Row],[Torre]]</calculatedColumnFormula>
    </tableColumn>
    <tableColumn id="3" name="Junta" dataDxfId="105">
      <calculatedColumnFormula>tbl_consolidacao[[#This Row],[Junta]]</calculatedColumnFormula>
    </tableColumn>
    <tableColumn id="4" name="Unid" dataDxfId="104">
      <calculatedColumnFormula>tbl_consolidacao[[#This Row],[Unid]]</calculatedColumnFormula>
    </tableColumn>
    <tableColumn id="1" name="Apto" dataDxfId="103">
      <calculatedColumnFormula>tbl_consolidacao[[#This Row],[Apto]]</calculatedColumnFormula>
    </tableColumn>
    <tableColumn id="5" name="Hidrometro" dataDxfId="102">
      <calculatedColumnFormula>tbl_meddez_anterior[[#This Row],[Hidrometro]]</calculatedColumnFormula>
    </tableColumn>
    <tableColumn id="6" name="Medição _x000a_Água Fria" dataDxfId="101"/>
    <tableColumn id="10" name="Hidrometro Quente" dataDxfId="100">
      <calculatedColumnFormula>tbl_meddez_anterior[[#This Row],[Hidrometro]]</calculatedColumnFormula>
    </tableColumn>
    <tableColumn id="11" name="Medição _x000a_Água Quente" dataDxfId="99"/>
    <tableColumn id="7" name="Total" dataDxfId="98">
      <calculatedColumnFormula>tbl_medjun[[#This Row],[Medição 
Água Fria]]/100+tbl_medjun[[#This Row],[Medição 
Água Quente]]/1000</calculatedColumnFormula>
    </tableColumn>
    <tableColumn id="8" name="Utilização (%)" dataDxfId="97" dataCellStyle="Porcentagem">
      <calculatedColumnFormula>IF(tbl_medjun[[#This Row],[Total]]&gt;0,tbl_medjun[[#This Row],[Total]]/VLOOKUP(tbl_medjun[[#This Row],[Apto]],tbl_medfev[[Apto]:[Total]],6,FALSE)-1,"")</calculatedColumnFormula>
    </tableColumn>
    <tableColumn id="9" name="#" dataDxfId="96" dataCellStyle="Porcentagem">
      <calculatedColumnFormula>IF(tbl_medjun[[#This Row],[Utilização (%)]]&lt;&gt;"",ALERTA_INDIVIDUAL-tbl_medjun[[#This Row],[Utilização (%)]],"")</calculatedColumnFormula>
    </tableColumn>
  </tableColumns>
  <tableStyleInfo name="TableStyleLight18" showFirstColumn="0" showLastColumn="0" showRowStripes="1" showColumnStripes="0"/>
</table>
</file>

<file path=xl/tables/table13.xml><?xml version="1.0" encoding="utf-8"?>
<table xmlns="http://schemas.openxmlformats.org/spreadsheetml/2006/main" id="6" name="tbl_medjul" displayName="tbl_medjul" ref="A2:K46" totalsRowShown="0" headerRowDxfId="95" dataDxfId="94">
  <autoFilter ref="A2:K46"/>
  <tableColumns count="11">
    <tableColumn id="2" name="Torre" dataDxfId="93">
      <calculatedColumnFormula>tbl_consolidacao[[#This Row],[Torre]]</calculatedColumnFormula>
    </tableColumn>
    <tableColumn id="3" name="Junta" dataDxfId="92">
      <calculatedColumnFormula>tbl_consolidacao[[#This Row],[Junta]]</calculatedColumnFormula>
    </tableColumn>
    <tableColumn id="4" name="Unid" dataDxfId="91">
      <calculatedColumnFormula>tbl_consolidacao[[#This Row],[Unid]]</calculatedColumnFormula>
    </tableColumn>
    <tableColumn id="1" name="Apto" dataDxfId="90">
      <calculatedColumnFormula>tbl_consolidacao[[#This Row],[Apto]]</calculatedColumnFormula>
    </tableColumn>
    <tableColumn id="5" name="Hidrometro" dataDxfId="89">
      <calculatedColumnFormula>tbl_meddez_anterior[[#This Row],[Hidrometro]]</calculatedColumnFormula>
    </tableColumn>
    <tableColumn id="6" name="Medição _x000a_Água Fria" dataDxfId="88"/>
    <tableColumn id="10" name="Hidrometro Quente" dataDxfId="87">
      <calculatedColumnFormula>tbl_meddez_anterior[[#This Row],[Hidrometro]]</calculatedColumnFormula>
    </tableColumn>
    <tableColumn id="11" name="Medição _x000a_Água Quente" dataDxfId="86"/>
    <tableColumn id="7" name="Total" dataDxfId="85">
      <calculatedColumnFormula>tbl_medjul[[#This Row],[Medição 
Água Fria]]/100+tbl_medjul[[#This Row],[Medição 
Água Quente]]/1000</calculatedColumnFormula>
    </tableColumn>
    <tableColumn id="8" name="Utilização (%)" dataDxfId="84" dataCellStyle="Porcentagem">
      <calculatedColumnFormula>IF(tbl_medjul[[#This Row],[Total]]&gt;0,tbl_medjul[[#This Row],[Total]]/VLOOKUP(tbl_medjul[[#This Row],[Apto]],tbl_medfev[[Apto]:[Total]],6,FALSE)-1,"")</calculatedColumnFormula>
    </tableColumn>
    <tableColumn id="9" name="#" dataDxfId="83" dataCellStyle="Porcentagem">
      <calculatedColumnFormula>IF(tbl_medjul[[#This Row],[Utilização (%)]]&lt;&gt;"",ALERTA_INDIVIDUAL-tbl_medjul[[#This Row],[Utilização (%)]],"")</calculatedColumnFormula>
    </tableColumn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id="7" name="tbl_medago" displayName="tbl_medago" ref="A2:K46" totalsRowShown="0" headerRowDxfId="82" dataDxfId="81">
  <autoFilter ref="A2:K46"/>
  <tableColumns count="11">
    <tableColumn id="2" name="Torre" dataDxfId="80">
      <calculatedColumnFormula>tbl_consolidacao[[#This Row],[Torre]]</calculatedColumnFormula>
    </tableColumn>
    <tableColumn id="3" name="Junta" dataDxfId="79">
      <calculatedColumnFormula>tbl_consolidacao[[#This Row],[Junta]]</calculatedColumnFormula>
    </tableColumn>
    <tableColumn id="4" name="Unid" dataDxfId="78">
      <calculatedColumnFormula>tbl_consolidacao[[#This Row],[Unid]]</calculatedColumnFormula>
    </tableColumn>
    <tableColumn id="1" name="Apto" dataDxfId="77">
      <calculatedColumnFormula>tbl_consolidacao[[#This Row],[Apto]]</calculatedColumnFormula>
    </tableColumn>
    <tableColumn id="5" name="Hidrometro" dataDxfId="76">
      <calculatedColumnFormula>tbl_meddez_anterior[[#This Row],[Hidrometro]]</calculatedColumnFormula>
    </tableColumn>
    <tableColumn id="6" name="Medição _x000a_Água Fria" dataDxfId="75"/>
    <tableColumn id="10" name="Hidrometro Quente" dataDxfId="74">
      <calculatedColumnFormula>tbl_meddez_anterior[[#This Row],[Hidrometro]]</calculatedColumnFormula>
    </tableColumn>
    <tableColumn id="11" name="Medição _x000a_Água Quente" dataDxfId="73"/>
    <tableColumn id="7" name="Total" dataDxfId="72">
      <calculatedColumnFormula>tbl_medago[[#This Row],[Medição 
Água Fria]]/100+tbl_medago[[#This Row],[Medição 
Água Quente]]/1000</calculatedColumnFormula>
    </tableColumn>
    <tableColumn id="8" name="Utilização (%)" dataDxfId="71" dataCellStyle="Porcentagem">
      <calculatedColumnFormula>IF(tbl_medago[[#This Row],[Total]]&gt;0,tbl_medago[[#This Row],[Total]]/VLOOKUP(tbl_medago[[#This Row],[Apto]],tbl_medfev[[Apto]:[Total]],6,FALSE)-1,"")</calculatedColumnFormula>
    </tableColumn>
    <tableColumn id="9" name="#" dataDxfId="70" dataCellStyle="Porcentagem">
      <calculatedColumnFormula>IF(tbl_medago[[#This Row],[Utilização (%)]]&lt;&gt;"",ALERTA_INDIVIDUAL-tbl_medago[[#This Row],[Utilização (%)]],"")</calculatedColumnFormula>
    </tableColumn>
  </tableColumns>
  <tableStyleInfo name="TableStyleLight18" showFirstColumn="0" showLastColumn="0" showRowStripes="1" showColumnStripes="0"/>
</table>
</file>

<file path=xl/tables/table15.xml><?xml version="1.0" encoding="utf-8"?>
<table xmlns="http://schemas.openxmlformats.org/spreadsheetml/2006/main" id="13" name="tbl_medset" displayName="tbl_medset" ref="A2:K46" totalsRowShown="0" headerRowDxfId="69" dataDxfId="68">
  <autoFilter ref="A2:K46"/>
  <tableColumns count="11">
    <tableColumn id="2" name="Torre" dataDxfId="67">
      <calculatedColumnFormula>tbl_consolidacao[[#This Row],[Torre]]</calculatedColumnFormula>
    </tableColumn>
    <tableColumn id="3" name="Junta" dataDxfId="66">
      <calculatedColumnFormula>tbl_consolidacao[[#This Row],[Junta]]</calculatedColumnFormula>
    </tableColumn>
    <tableColumn id="4" name="Unid" dataDxfId="65">
      <calculatedColumnFormula>tbl_consolidacao[[#This Row],[Unid]]</calculatedColumnFormula>
    </tableColumn>
    <tableColumn id="1" name="Apto" dataDxfId="64">
      <calculatedColumnFormula>tbl_consolidacao[[#This Row],[Apto]]</calculatedColumnFormula>
    </tableColumn>
    <tableColumn id="5" name="Hidrometro" dataDxfId="63">
      <calculatedColumnFormula>tbl_meddez_anterior[[#This Row],[Hidrometro]]</calculatedColumnFormula>
    </tableColumn>
    <tableColumn id="6" name="Medição _x000a_Água Fria" dataDxfId="62"/>
    <tableColumn id="10" name="Hidrometro Quente" dataDxfId="61">
      <calculatedColumnFormula>tbl_meddez_anterior[[#This Row],[Hidrometro]]</calculatedColumnFormula>
    </tableColumn>
    <tableColumn id="11" name="Medição _x000a_Água Quente" dataDxfId="60"/>
    <tableColumn id="7" name="Total" dataDxfId="59">
      <calculatedColumnFormula>tbl_medset[[#This Row],[Medição 
Água Fria]]/100+tbl_medset[[#This Row],[Medição 
Água Quente]]/1000</calculatedColumnFormula>
    </tableColumn>
    <tableColumn id="8" name="Utilização (%)" dataDxfId="58" dataCellStyle="Porcentagem">
      <calculatedColumnFormula>IF(tbl_medset[[#This Row],[Total]]&gt;0,tbl_medset[[#This Row],[Total]]/VLOOKUP(tbl_medset[[#This Row],[Apto]],tbl_medfev[[Apto]:[Total]],6,FALSE)-1,"")</calculatedColumnFormula>
    </tableColumn>
    <tableColumn id="9" name="#" dataDxfId="57" dataCellStyle="Porcentagem">
      <calculatedColumnFormula>IF(tbl_medset[[#This Row],[Utilização (%)]]&lt;&gt;"",ALERTA_INDIVIDUAL-tbl_medset[[#This Row],[Utilização (%)]],"")</calculatedColumnFormula>
    </tableColumn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id="14" name="tbl_medout" displayName="tbl_medout" ref="A2:K46" totalsRowShown="0" headerRowDxfId="56" dataDxfId="55">
  <autoFilter ref="A2:K46"/>
  <tableColumns count="11">
    <tableColumn id="2" name="Torre" dataDxfId="54">
      <calculatedColumnFormula>tbl_consolidacao[[#This Row],[Torre]]</calculatedColumnFormula>
    </tableColumn>
    <tableColumn id="3" name="Junta" dataDxfId="53">
      <calculatedColumnFormula>tbl_consolidacao[[#This Row],[Junta]]</calculatedColumnFormula>
    </tableColumn>
    <tableColumn id="4" name="Unid" dataDxfId="52">
      <calculatedColumnFormula>tbl_consolidacao[[#This Row],[Unid]]</calculatedColumnFormula>
    </tableColumn>
    <tableColumn id="1" name="Apto" dataDxfId="51">
      <calculatedColumnFormula>tbl_consolidacao[[#This Row],[Apto]]</calculatedColumnFormula>
    </tableColumn>
    <tableColumn id="5" name="Hidrometro" dataDxfId="50">
      <calculatedColumnFormula>tbl_meddez_anterior[[#This Row],[Hidrometro]]</calculatedColumnFormula>
    </tableColumn>
    <tableColumn id="6" name="Medição _x000a_Água Fria" dataDxfId="49"/>
    <tableColumn id="10" name="Hidrometro Quente" dataDxfId="48">
      <calculatedColumnFormula>tbl_meddez_anterior[[#This Row],[Hidrometro]]</calculatedColumnFormula>
    </tableColumn>
    <tableColumn id="11" name="Medição _x000a_Água Quente" dataDxfId="47"/>
    <tableColumn id="7" name="Total" dataDxfId="46">
      <calculatedColumnFormula>tbl_medout[[#This Row],[Medição 
Água Fria]]/100+tbl_medout[[#This Row],[Medição 
Água Quente]]/1000</calculatedColumnFormula>
    </tableColumn>
    <tableColumn id="8" name="Utilização (%)" dataDxfId="45" dataCellStyle="Porcentagem">
      <calculatedColumnFormula>IF(tbl_medout[[#This Row],[Total]]&gt;0,tbl_medout[[#This Row],[Total]]/VLOOKUP(tbl_medout[[#This Row],[Apto]],tbl_medfev[[Apto]:[Total]],6,FALSE)-1,"")</calculatedColumnFormula>
    </tableColumn>
    <tableColumn id="9" name="#" dataDxfId="44" dataCellStyle="Porcentagem">
      <calculatedColumnFormula>IF(tbl_medout[[#This Row],[Utilização (%)]]&lt;&gt;"",ALERTA_INDIVIDUAL-tbl_medout[[#This Row],[Utilização (%)]],"")</calculatedColumnFormula>
    </tableColumn>
  </tableColumns>
  <tableStyleInfo name="TableStyleLight18" showFirstColumn="0" showLastColumn="0" showRowStripes="1" showColumnStripes="0"/>
</table>
</file>

<file path=xl/tables/table17.xml><?xml version="1.0" encoding="utf-8"?>
<table xmlns="http://schemas.openxmlformats.org/spreadsheetml/2006/main" id="17" name="tbl_mednov" displayName="tbl_mednov" ref="A2:K46" totalsRowShown="0" headerRowDxfId="43" dataDxfId="42">
  <autoFilter ref="A2:K46"/>
  <tableColumns count="11">
    <tableColumn id="2" name="Torre" dataDxfId="41">
      <calculatedColumnFormula>tbl_consolidacao[[#This Row],[Torre]]</calculatedColumnFormula>
    </tableColumn>
    <tableColumn id="3" name="Junta" dataDxfId="40">
      <calculatedColumnFormula>tbl_consolidacao[[#This Row],[Junta]]</calculatedColumnFormula>
    </tableColumn>
    <tableColumn id="4" name="Unid" dataDxfId="39">
      <calculatedColumnFormula>tbl_consolidacao[[#This Row],[Unid]]</calculatedColumnFormula>
    </tableColumn>
    <tableColumn id="1" name="Apto" dataDxfId="38">
      <calculatedColumnFormula>tbl_consolidacao[[#This Row],[Apto]]</calculatedColumnFormula>
    </tableColumn>
    <tableColumn id="5" name="Hidrometro" dataDxfId="37">
      <calculatedColumnFormula>tbl_meddez_anterior[[#This Row],[Hidrometro]]</calculatedColumnFormula>
    </tableColumn>
    <tableColumn id="6" name="Medição _x000a_Água Fria" dataDxfId="36"/>
    <tableColumn id="10" name="Hidrometro Quente" dataDxfId="35">
      <calculatedColumnFormula>tbl_meddez_anterior[[#This Row],[Hidrometro]]</calculatedColumnFormula>
    </tableColumn>
    <tableColumn id="11" name="Medição _x000a_Água Quente" dataDxfId="34"/>
    <tableColumn id="7" name="Total" dataDxfId="33">
      <calculatedColumnFormula>tbl_mednov[[#This Row],[Medição 
Água Fria]]/100+tbl_mednov[[#This Row],[Medição 
Água Quente]]/1000</calculatedColumnFormula>
    </tableColumn>
    <tableColumn id="8" name="Utilização (%)" dataDxfId="32" dataCellStyle="Porcentagem">
      <calculatedColumnFormula>IF(tbl_mednov[[#This Row],[Total]]&gt;0,tbl_mednov[[#This Row],[Total]]/VLOOKUP(tbl_mednov[[#This Row],[Apto]],tbl_medfev[[Apto]:[Total]],6,FALSE)-1,"")</calculatedColumnFormula>
    </tableColumn>
    <tableColumn id="9" name="#" dataDxfId="31" dataCellStyle="Porcentagem">
      <calculatedColumnFormula>IF(tbl_mednov[[#This Row],[Utilização (%)]]&lt;&gt;"",ALERTA_INDIVIDUAL-tbl_mednov[[#This Row],[Utilização (%)]],"")</calculatedColumnFormula>
    </tableColumn>
  </tableColumns>
  <tableStyleInfo name="TableStyleLight18" showFirstColumn="0" showLastColumn="0" showRowStripes="1" showColumnStripes="0"/>
</table>
</file>

<file path=xl/tables/table18.xml><?xml version="1.0" encoding="utf-8"?>
<table xmlns="http://schemas.openxmlformats.org/spreadsheetml/2006/main" id="19" name="tbl_meddez" displayName="tbl_meddez" ref="A2:K46" totalsRowShown="0" headerRowDxfId="30" dataDxfId="29">
  <autoFilter ref="A2:K46"/>
  <tableColumns count="11">
    <tableColumn id="2" name="Torre" dataDxfId="28">
      <calculatedColumnFormula>tbl_consolidacao[[#This Row],[Torre]]</calculatedColumnFormula>
    </tableColumn>
    <tableColumn id="3" name="Junta" dataDxfId="27">
      <calculatedColumnFormula>tbl_consolidacao[[#This Row],[Junta]]</calculatedColumnFormula>
    </tableColumn>
    <tableColumn id="4" name="Unid" dataDxfId="26">
      <calculatedColumnFormula>tbl_consolidacao[[#This Row],[Unid]]</calculatedColumnFormula>
    </tableColumn>
    <tableColumn id="1" name="Apto" dataDxfId="25">
      <calculatedColumnFormula>tbl_consolidacao[[#This Row],[Apto]]</calculatedColumnFormula>
    </tableColumn>
    <tableColumn id="5" name="Hidrometro" dataDxfId="24">
      <calculatedColumnFormula>tbl_meddez_anterior[[#This Row],[Hidrometro]]</calculatedColumnFormula>
    </tableColumn>
    <tableColumn id="6" name="Medição _x000a_Água Fria" dataDxfId="23"/>
    <tableColumn id="10" name="Hidrometro Quente" dataDxfId="22">
      <calculatedColumnFormula>tbl_meddez_anterior[[#This Row],[Hidrometro]]</calculatedColumnFormula>
    </tableColumn>
    <tableColumn id="11" name="Medição _x000a_Água Quente" dataDxfId="21"/>
    <tableColumn id="7" name="Total" dataDxfId="20">
      <calculatedColumnFormula>tbl_meddez[[#This Row],[Medição 
Água Fria]]/100+tbl_meddez[[#This Row],[Medição 
Água Quente]]/1000</calculatedColumnFormula>
    </tableColumn>
    <tableColumn id="8" name="Utilização (%)" dataDxfId="19" dataCellStyle="Porcentagem">
      <calculatedColumnFormula>IF(tbl_meddez[[#This Row],[Total]]&gt;0,tbl_meddez[[#This Row],[Total]]/VLOOKUP(tbl_meddez[[#This Row],[Apto]],tbl_medfev[[Apto]:[Total]],6,FALSE)-1,"")</calculatedColumnFormula>
    </tableColumn>
    <tableColumn id="9" name="#" dataDxfId="18" dataCellStyle="Porcentagem">
      <calculatedColumnFormula>IF(tbl_meddez[[#This Row],[Utilização (%)]]&lt;&gt;"",ALERTA_INDIVIDUAL-tbl_meddez[[#This Row],[Utilização (%)]],"")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l_caesb" displayName="tbl_caesb" ref="G2:K8" totalsRowShown="0" headerRowDxfId="227" dataDxfId="226">
  <tableColumns count="5">
    <tableColumn id="1" name="Faixa" dataDxfId="225"/>
    <tableColumn id="2" name="Mínimo" dataDxfId="224"/>
    <tableColumn id="3" name="Máximo" dataDxfId="223">
      <calculatedColumnFormula>IF(tbl_caesb[[#This Row],[Volume]]&lt;&gt;"",tbl_caesb[[#This Row],[Mínimo]]+tbl_caesb[[#This Row],[Volume]],"")</calculatedColumnFormula>
    </tableColumn>
    <tableColumn id="4" name="Volume" dataDxfId="222"/>
    <tableColumn id="5" name="Valor" dataDxfId="221" dataCellStyle="Moeda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5" name="tbl_contacaesb" displayName="tbl_contacaesb" ref="A2:D14" totalsRowShown="0" headerRowDxfId="5" dataDxfId="4">
  <tableColumns count="4">
    <tableColumn id="1" name="Mês Referencia" dataDxfId="2"/>
    <tableColumn id="2" name="Medição (mês ant.)" dataDxfId="0"/>
    <tableColumn id="5" name="Valor" dataDxfId="1" dataCellStyle="Moeda"/>
    <tableColumn id="3" name="Valor médio" dataDxfId="3" dataCellStyle="Moeda">
      <calculatedColumnFormula>IF(AND(tbl_contacaesb[[#This Row],[Valor]]&gt;0,tbl_contacaesb[[#This Row],[Medição (mês ant.)]]&gt;0),tbl_contacaesb[[#This Row],[Valor]]/tbl_contacaesb[[#This Row],[Medição (mês ant.)]],"")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12" name="tbl_distribuicao" displayName="tbl_distribuicao" ref="A5:Y49" totalsRowShown="0" headerRowDxfId="220" dataDxfId="219">
  <autoFilter ref="A5:Y49"/>
  <tableColumns count="25">
    <tableColumn id="2" name="Torre" dataDxfId="218"/>
    <tableColumn id="3" name="Junta" dataDxfId="217"/>
    <tableColumn id="4" name="Unid" dataDxfId="216"/>
    <tableColumn id="1" name="Apto" dataDxfId="215">
      <calculatedColumnFormula>tbl_distribuicao[[#This Row],[Unid]]&amp;"-"&amp;tbl_distribuicao[[#This Row],[Junta]]&amp;tbl_distribuicao[[#This Row],[Torre]]</calculatedColumnFormula>
    </tableColumn>
    <tableColumn id="16" name="Leitura Mês Anterior" dataDxfId="214">
      <calculatedColumnFormula>VLOOKUP(tbl_distribuicao[[#This Row],[Apto]],tbl_consolidacao[[Apto]:[Dezembro]],$G$4-1,FALSE)</calculatedColumnFormula>
    </tableColumn>
    <tableColumn id="17" name="Leitura Mês Referencia" dataDxfId="213">
      <calculatedColumnFormula>VLOOKUP(tbl_distribuicao[[#This Row],[Apto]],tbl_consolidacao[[Apto]:[Dezembro]],$G$4,FALSE)</calculatedColumnFormula>
    </tableColumn>
    <tableColumn id="26" name="Consumo Mês Referência" dataDxfId="212">
      <calculatedColumnFormula>tbl_distribuicao[[#This Row],[Leitura Mês Referencia]]-tbl_distribuicao[[#This Row],[Leitura Mês Anterior]]</calculatedColumnFormula>
    </tableColumn>
    <tableColumn id="18" name="Faixa 1" dataDxfId="211">
      <calculatedColumnFormula>IF(tbl_distribuicao[[#This Row],[Consumo Mês Referência]]&gt;VLOOKUP($H$4,tbl_caesb[[Faixa]:[Volume]],$J$3,FALSE),VLOOKUP($H$4,tbl_caesb[[Faixa]:[Volume]],$J$3,FALSE),tbl_distribuicao[[#This Row],[Consumo Mês Referência]])</calculatedColumnFormula>
    </tableColumn>
    <tableColumn id="19" name="Faixa 2" dataDxfId="210">
      <calculatedColumnFormula>IF((tbl_distribuicao[[#This Row],[Consumo Mês Referência]]-tbl_distribuicao[[#This Row],[Faixa 1]])&gt;VLOOKUP($I$4,tbl_caesb[[Faixa]:[Máximo]],$J$3,FALSE),VLOOKUP($I$4,tbl_caesb[[Faixa]:[Máximo]],$J$3,FALSE),IF(tbl_distribuicao[[#This Row],[Faixa 1]]&gt;0,tbl_distribuicao[[#This Row],[Consumo Mês Referência]]-tbl_distribuicao[[#This Row],[Faixa 1]],0))</calculatedColumnFormula>
    </tableColumn>
    <tableColumn id="20" name="Faixa 3" dataDxfId="209">
      <calculatedColumnFormula>IF((tbl_distribuicao[[#This Row],[Consumo Mês Referência]]-SUM(tbl_distribuicao[[#This Row],[Faixa 1]:[Faixa 2]]))&gt;VLOOKUP($J$4,tbl_caesb[[Faixa]:[Máximo]],$J$3,FALSE),VLOOKUP($J$4,tbl_caesb[[Faixa]:[Máximo]],$J$3,FALSE),IF(tbl_distribuicao[[#This Row],[Faixa 1]]&gt;0,tbl_distribuicao[[#This Row],[Consumo Mês Referência]]-SUM(tbl_distribuicao[[#This Row],[Faixa 1]:[Faixa 2]]),0))</calculatedColumnFormula>
    </tableColumn>
    <tableColumn id="21" name="Faixa 4" dataDxfId="208">
      <calculatedColumnFormula>IF((tbl_distribuicao[[#This Row],[Consumo Mês Referência]]-SUM(tbl_distribuicao[[#This Row],[Faixa 1]:[Faixa 3]]))&gt;VLOOKUP($K$4,tbl_caesb[[Faixa]:[Máximo]],$J$3,FALSE),VLOOKUP($K$4,tbl_caesb[[Faixa]:[Máximo]],$J$3,FALSE),IF(tbl_distribuicao[[#This Row],[Faixa 1]]&gt;0,tbl_distribuicao[[#This Row],[Consumo Mês Referência]]-SUM(tbl_distribuicao[[#This Row],[Faixa 1]:[Faixa 3]]),0))</calculatedColumnFormula>
    </tableColumn>
    <tableColumn id="22" name="Faixa 5" dataDxfId="207">
      <calculatedColumnFormula>IF((tbl_distribuicao[[#This Row],[Consumo Mês Referência]]-SUM(tbl_distribuicao[[#This Row],[Faixa 1]:[Faixa 4]]))&gt;VLOOKUP($L$4,tbl_caesb[[Faixa]:[Máximo]],$J$3,FALSE),VLOOKUP($L$4,tbl_caesb[[Faixa]:[Máximo]],$J$3,FALSE),IF(tbl_distribuicao[[#This Row],[Faixa 1]]&gt;0,tbl_distribuicao[[#This Row],[Consumo Mês Referência]]-SUM(tbl_distribuicao[[#This Row],[Faixa 1]:[Faixa 4]]),0))</calculatedColumnFormula>
    </tableColumn>
    <tableColumn id="23" name="Faixa 6" dataDxfId="206">
      <calculatedColumnFormula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calculatedColumnFormula>
    </tableColumn>
    <tableColumn id="24" name="Tarifa Água CAESB Futuro" dataDxfId="205" dataCellStyle="Moeda">
      <calculatedColumnFormula>SUMPRODUCT(tbl_distribuicao[[#This Row],[Faixa 1]:[Faixa 6]],$H$2:$M$2)</calculatedColumnFormula>
    </tableColumn>
    <tableColumn id="25" name="Tarifa Esgoto CAESB Futuro" dataDxfId="204" dataCellStyle="Moeda">
      <calculatedColumnFormula>tbl_distribuicao[[#This Row],[Tarifa Água CAESB Futuro]]</calculatedColumnFormula>
    </tableColumn>
    <tableColumn id="28" name="Valor CAESB Futuro" dataDxfId="203" dataCellStyle="Moeda">
      <calculatedColumnFormula>IF(SUM(tbl_distribuicao[[#This Row],[Tarifa Água CAESB Futuro]:[Tarifa Esgoto CAESB Futuro]])&gt;MINIMO_CAESB,SUM(tbl_distribuicao[[#This Row],[Tarifa Água CAESB Futuro]:[Tarifa Esgoto CAESB Futuro]]),MINIMO_CAESB)</calculatedColumnFormula>
    </tableColumn>
    <tableColumn id="6" name="Faixa 1_" dataDxfId="202" dataCellStyle="Moeda">
      <calculatedColumnFormula>IF(tbl_distribuicao[[#This Row],[Consumo Mês Referência]]&gt;VLOOKUP($H$4,tbl_caesb[[Faixa]:[Volume]],$J$3,FALSE),VLOOKUP($H$4,tbl_caesb[[Faixa]:[Volume]],$J$3,FALSE),tbl_distribuicao[[#This Row],[Consumo Mês Referência]])</calculatedColumnFormula>
    </tableColumn>
    <tableColumn id="5" name="Faixa 2_" dataDxfId="201" dataCellStyle="Moeda">
      <calculatedColumnFormula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calculatedColumnFormula>
    </tableColumn>
    <tableColumn id="7" name="Faixa 3_" dataDxfId="200" dataCellStyle="Moeda">
      <calculatedColumnFormula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calculatedColumnFormula>
    </tableColumn>
    <tableColumn id="9" name="Tarifa Água CAESB Atual" dataDxfId="199" dataCellStyle="Moeda">
      <calculatedColumnFormula>SUMPRODUCT(tbl_distribuicao[[#This Row],[Faixa 1_]:[Faixa 3_]],$H$2:$J$2)</calculatedColumnFormula>
    </tableColumn>
    <tableColumn id="8" name="Tarifa Esgoto CAESB Atual" dataDxfId="198" dataCellStyle="Moeda">
      <calculatedColumnFormula>tbl_distribuicao[[#This Row],[Tarifa Água CAESB Atual]]</calculatedColumnFormula>
    </tableColumn>
    <tableColumn id="10" name="Valor Padrão Atual" dataDxfId="197" dataCellStyle="Moeda">
      <calculatedColumnFormula>SUM(tbl_distribuicao[[#This Row],[Tarifa Água CAESB Atual]:[Tarifa Esgoto CAESB Atual]])</calculatedColumnFormula>
    </tableColumn>
    <tableColumn id="15" name="Valor Padrão Atual AJUSTADO" dataDxfId="196" dataCellStyle="Moeda">
      <calculatedColumnFormula>tbl_distribuicao[[#This Row],[Valor Padrão Atual]]*$V$4</calculatedColumnFormula>
    </tableColumn>
    <tableColumn id="29" name="Diferença no Mês" dataDxfId="195" dataCellStyle="Moeda">
      <calculatedColumnFormula>tbl_distribuicao[[#This Row],[Valor CAESB Futuro]]-tbl_distribuicao[[#This Row],[Valor Padrão Atual AJUSTADO]]</calculatedColumnFormula>
    </tableColumn>
    <tableColumn id="30" name="Diferença no Ano" dataDxfId="194" dataCellStyle="Moeda">
      <calculatedColumnFormula>tbl_distribuicao[[#This Row],[Diferença no Mês]]*12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tbl_consolidacao" displayName="tbl_consolidacao" ref="A2:Q46" totalsRowShown="0" headerRowDxfId="193" dataDxfId="192">
  <autoFilter ref="A2:Q46"/>
  <tableColumns count="17">
    <tableColumn id="2" name="Torre" dataDxfId="191"/>
    <tableColumn id="3" name="Junta" dataDxfId="190"/>
    <tableColumn id="4" name="Unid" dataDxfId="189"/>
    <tableColumn id="1" name="Apto" dataDxfId="188">
      <calculatedColumnFormula>tbl_consolidacao[[#This Row],[Unid]]&amp;"-"&amp;tbl_consolidacao[[#This Row],[Junta]]&amp;tbl_consolidacao[[#This Row],[Torre]]</calculatedColumnFormula>
    </tableColumn>
    <tableColumn id="19" name="Dezembro (Anterior)" dataDxfId="187">
      <calculatedColumnFormula>VLOOKUP(tbl_consolidacao[[#This Row],[Apto]],tbl_meddez_anterior[[Apto]:[Total]],6,FALSE)</calculatedColumnFormula>
    </tableColumn>
    <tableColumn id="20" name="Janeiro" dataDxfId="186">
      <calculatedColumnFormula>VLOOKUP(tbl_consolidacao[[#This Row],[Apto]],tbl_medjan[[Apto]:[Total]],6,FALSE)</calculatedColumnFormula>
    </tableColumn>
    <tableColumn id="21" name="Fevereiro" dataDxfId="185">
      <calculatedColumnFormula>VLOOKUP(tbl_consolidacao[[#This Row],[Apto]],tbl_medfev[[Apto]:[Total]],6,FALSE)</calculatedColumnFormula>
    </tableColumn>
    <tableColumn id="5" name="Março" dataDxfId="184">
      <calculatedColumnFormula>VLOOKUP(tbl_consolidacao[[#This Row],[Apto]],tbl_medmar[[Apto]:[Total]],6,FALSE)</calculatedColumnFormula>
    </tableColumn>
    <tableColumn id="6" name="Abril" dataDxfId="17">
      <calculatedColumnFormula>VLOOKUP(tbl_consolidacao[[#This Row],[Apto]],tbl_medabr[[Apto]:[Total]],6,FALSE)</calculatedColumnFormula>
    </tableColumn>
    <tableColumn id="7" name="Maio" dataDxfId="16">
      <calculatedColumnFormula>VLOOKUP(tbl_consolidacao[[#This Row],[Apto]],tbl_medmai[[Apto]:[Total]],6,FALSE)</calculatedColumnFormula>
    </tableColumn>
    <tableColumn id="8" name="Junho" dataDxfId="15">
      <calculatedColumnFormula>VLOOKUP(tbl_consolidacao[[#This Row],[Apto]],tbl_medjun[[Apto]:[Total]],6,FALSE)</calculatedColumnFormula>
    </tableColumn>
    <tableColumn id="9" name="Julho" dataDxfId="14">
      <calculatedColumnFormula>VLOOKUP(tbl_consolidacao[[#This Row],[Apto]],tbl_medjul[[Apto]:[Total]],6,FALSE)</calculatedColumnFormula>
    </tableColumn>
    <tableColumn id="10" name="Agosto" dataDxfId="13">
      <calculatedColumnFormula>VLOOKUP(tbl_consolidacao[[#This Row],[Apto]],tbl_medago[[Apto]:[Total]],6,FALSE)</calculatedColumnFormula>
    </tableColumn>
    <tableColumn id="11" name="Setembro" dataDxfId="12">
      <calculatedColumnFormula>VLOOKUP(tbl_consolidacao[[#This Row],[Apto]],tbl_medset[[Apto]:[Total]],6,FALSE)</calculatedColumnFormula>
    </tableColumn>
    <tableColumn id="12" name="Outubro" dataDxfId="11">
      <calculatedColumnFormula>VLOOKUP(tbl_consolidacao[[#This Row],[Apto]],tbl_medout[[Apto]:[Total]],6,FALSE)</calculatedColumnFormula>
    </tableColumn>
    <tableColumn id="13" name="Novembro" dataDxfId="10">
      <calculatedColumnFormula>VLOOKUP(tbl_consolidacao[[#This Row],[Apto]],tbl_mednov[[Apto]:[Total]],6,FALSE)</calculatedColumnFormula>
    </tableColumn>
    <tableColumn id="14" name="Dezembro" dataDxfId="9">
      <calculatedColumnFormula>VLOOKUP(tbl_consolidacao[[#This Row],[Apto]],tbl_meddez[[Apto]:[Total]],6,FALSE)</calculatedColumnFormula>
    </tableColumn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8" name="tbl_meddez_anterior" displayName="tbl_meddez_anterior" ref="A2:K46" totalsRowShown="0" headerRowDxfId="183" dataDxfId="182">
  <autoFilter ref="A2:K46"/>
  <tableColumns count="11">
    <tableColumn id="2" name="Torre" dataDxfId="181">
      <calculatedColumnFormula>tbl_consolidacao[[#This Row],[Torre]]</calculatedColumnFormula>
    </tableColumn>
    <tableColumn id="3" name="Junta" dataDxfId="8">
      <calculatedColumnFormula>tbl_consolidacao[[#This Row],[Junta]]</calculatedColumnFormula>
    </tableColumn>
    <tableColumn id="4" name="Unid" dataDxfId="7">
      <calculatedColumnFormula>tbl_consolidacao[[#This Row],[Unid]]</calculatedColumnFormula>
    </tableColumn>
    <tableColumn id="1" name="Apto" dataDxfId="6">
      <calculatedColumnFormula>tbl_consolidacao[[#This Row],[Apto]]</calculatedColumnFormula>
    </tableColumn>
    <tableColumn id="5" name="Hidrometro" dataDxfId="180"/>
    <tableColumn id="6" name="Medição _x000a_Água Fria" dataDxfId="179"/>
    <tableColumn id="10" name="Hidrometro Quente" dataDxfId="178"/>
    <tableColumn id="11" name="Medição _x000a_Água Quente" dataDxfId="177"/>
    <tableColumn id="7" name="Total" dataDxfId="176">
      <calculatedColumnFormula>tbl_meddez_anterior[[#This Row],[Medição 
Água Fria]]/100+tbl_meddez_anterior[[#This Row],[Medição 
Água Quente]]/1000</calculatedColumnFormula>
    </tableColumn>
    <tableColumn id="8" name="Utilização (%)" dataDxfId="175" dataCellStyle="Porcentagem"/>
    <tableColumn id="9" name="#" dataDxfId="174" dataCellStyle="Porcentagem">
      <calculatedColumnFormula>IF(tbl_meddez_anterior[[#This Row],[Utilização (%)]]&lt;&gt;"",ALERTA_INDIVIDUAL-tbl_meddez_anterior[[#This Row],[Utilização (%)]],"")</calculatedColumnFormula>
    </tableColumn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id="9" name="tbl_medjan" displayName="tbl_medjan" ref="A2:K46" totalsRowShown="0" headerRowDxfId="173" dataDxfId="172">
  <autoFilter ref="A2:K46"/>
  <tableColumns count="11">
    <tableColumn id="2" name="Torre" dataDxfId="171">
      <calculatedColumnFormula>tbl_consolidacao[[#This Row],[Torre]]</calculatedColumnFormula>
    </tableColumn>
    <tableColumn id="3" name="Junta" dataDxfId="170">
      <calculatedColumnFormula>tbl_consolidacao[[#This Row],[Junta]]</calculatedColumnFormula>
    </tableColumn>
    <tableColumn id="4" name="Unid" dataDxfId="169">
      <calculatedColumnFormula>tbl_consolidacao[[#This Row],[Unid]]</calculatedColumnFormula>
    </tableColumn>
    <tableColumn id="1" name="Apto" dataDxfId="168">
      <calculatedColumnFormula>tbl_consolidacao[[#This Row],[Apto]]</calculatedColumnFormula>
    </tableColumn>
    <tableColumn id="5" name="Hidrometro" dataDxfId="167">
      <calculatedColumnFormula>tbl_meddez_anterior[[#This Row],[Hidrometro]]</calculatedColumnFormula>
    </tableColumn>
    <tableColumn id="6" name="Medição _x000a_Água Fria" dataDxfId="137"/>
    <tableColumn id="10" name="Hidrometro Quente" dataDxfId="166">
      <calculatedColumnFormula>tbl_meddez_anterior[[#This Row],[Hidrometro]]</calculatedColumnFormula>
    </tableColumn>
    <tableColumn id="11" name="Medição _x000a_Água Quente" dataDxfId="165"/>
    <tableColumn id="7" name="Total" dataDxfId="164">
      <calculatedColumnFormula>tbl_medjan[[#This Row],[Medição 
Água Fria]]/100+tbl_medjan[[#This Row],[Medição 
Água Quente]]/1000</calculatedColumnFormula>
    </tableColumn>
    <tableColumn id="8" name="Utilização (%)" dataDxfId="163" dataCellStyle="Porcentagem">
      <calculatedColumnFormula>IF(tbl_medjan[[#This Row],[Total]]&gt;0,tbl_medjan[[#This Row],[Total]]/VLOOKUP(tbl_medjan[[#This Row],[Apto]],tbl_meddez_anterior[[Apto]:[Total]],6,FALSE)-1,"")</calculatedColumnFormula>
    </tableColumn>
    <tableColumn id="9" name="#" dataDxfId="162" dataCellStyle="Porcentagem">
      <calculatedColumnFormula>IF(tbl_medjan[[#This Row],[Utilização (%)]]&lt;&gt;"",ALERTA_INDIVIDUAL-tbl_medjan[[#This Row],[Utilização (%)]],"")</calculatedColumnFormula>
    </tableColumn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id="10" name="tbl_medfev" displayName="tbl_medfev" ref="A2:K46" totalsRowShown="0" headerRowDxfId="161" dataDxfId="160">
  <autoFilter ref="A2:K46"/>
  <tableColumns count="11">
    <tableColumn id="2" name="Torre" dataDxfId="159">
      <calculatedColumnFormula>tbl_consolidacao[[#This Row],[Torre]]</calculatedColumnFormula>
    </tableColumn>
    <tableColumn id="3" name="Junta" dataDxfId="158">
      <calculatedColumnFormula>tbl_consolidacao[[#This Row],[Junta]]</calculatedColumnFormula>
    </tableColumn>
    <tableColumn id="4" name="Unid" dataDxfId="157">
      <calculatedColumnFormula>tbl_consolidacao[[#This Row],[Unid]]</calculatedColumnFormula>
    </tableColumn>
    <tableColumn id="1" name="Apto" dataDxfId="156">
      <calculatedColumnFormula>tbl_consolidacao[[#This Row],[Apto]]</calculatedColumnFormula>
    </tableColumn>
    <tableColumn id="5" name="Hidrometro" dataDxfId="155">
      <calculatedColumnFormula>tbl_meddez_anterior[[#This Row],[Hidrometro]]</calculatedColumnFormula>
    </tableColumn>
    <tableColumn id="6" name="Medição _x000a_Água Fria" dataDxfId="136"/>
    <tableColumn id="10" name="Hidrometro Quente" dataDxfId="154">
      <calculatedColumnFormula>tbl_meddez_anterior[[#This Row],[Hidrometro]]</calculatedColumnFormula>
    </tableColumn>
    <tableColumn id="11" name="Medição _x000a_Água Quente" dataDxfId="153"/>
    <tableColumn id="7" name="Total" dataDxfId="152">
      <calculatedColumnFormula>(tbl_medfev[[#This Row],[Medição 
Água Fria]]/100)+(tbl_medfev[[#This Row],[Medição 
Água Quente]]/1000)</calculatedColumnFormula>
    </tableColumn>
    <tableColumn id="8" name="Utilização (%)" dataDxfId="151" dataCellStyle="Porcentagem">
      <calculatedColumnFormula>IF(tbl_medfev[[#This Row],[Total]]&gt;0,tbl_medfev[[#This Row],[Total]]/VLOOKUP(tbl_medfev[[#This Row],[Apto]],tbl_medjan[[Apto]:[Total]],6,FALSE)-1,"")</calculatedColumnFormula>
    </tableColumn>
    <tableColumn id="9" name="#" dataDxfId="150" dataCellStyle="Porcentagem">
      <calculatedColumnFormula>IF(tbl_medfev[[#This Row],[Utilização (%)]]&lt;&gt;"",ALERTA_INDIVIDUAL-tbl_medfev[[#This Row],[Utilização (%)]],"")</calculatedColumnFormula>
    </tableColumn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id="11" name="tbl_medmar" displayName="tbl_medmar" ref="A2:K46" totalsRowShown="0" headerRowDxfId="149" dataDxfId="148">
  <autoFilter ref="A2:K46"/>
  <tableColumns count="11">
    <tableColumn id="2" name="Torre" dataDxfId="147">
      <calculatedColumnFormula>tbl_consolidacao[[#This Row],[Torre]]</calculatedColumnFormula>
    </tableColumn>
    <tableColumn id="3" name="Junta" dataDxfId="146">
      <calculatedColumnFormula>tbl_consolidacao[[#This Row],[Junta]]</calculatedColumnFormula>
    </tableColumn>
    <tableColumn id="4" name="Unid" dataDxfId="145">
      <calculatedColumnFormula>tbl_consolidacao[[#This Row],[Unid]]</calculatedColumnFormula>
    </tableColumn>
    <tableColumn id="1" name="Apto" dataDxfId="144">
      <calculatedColumnFormula>tbl_consolidacao[[#This Row],[Apto]]</calculatedColumnFormula>
    </tableColumn>
    <tableColumn id="5" name="Hidrometro" dataDxfId="143">
      <calculatedColumnFormula>tbl_meddez_anterior[[#This Row],[Hidrometro]]</calculatedColumnFormula>
    </tableColumn>
    <tableColumn id="6" name="Medição _x000a_Água Fria" dataDxfId="135"/>
    <tableColumn id="10" name="Hidrometro Quente" dataDxfId="142">
      <calculatedColumnFormula>tbl_meddez_anterior[[#This Row],[Hidrometro]]</calculatedColumnFormula>
    </tableColumn>
    <tableColumn id="11" name="Medição _x000a_Água Quente" dataDxfId="141"/>
    <tableColumn id="7" name="Total" dataDxfId="140">
      <calculatedColumnFormula>tbl_medmar[[#This Row],[Medição 
Água Fria]]/100+tbl_medmar[[#This Row],[Medição 
Água Quente]]/1000</calculatedColumnFormula>
    </tableColumn>
    <tableColumn id="8" name="Utilização (%)" dataDxfId="139" dataCellStyle="Porcentagem">
      <calculatedColumnFormula>IF(tbl_medmar[[#This Row],[Total]]&gt;0,tbl_medmar[[#This Row],[Total]]/VLOOKUP(tbl_medmar[[#This Row],[Apto]],tbl_medfev[[Apto]:[Total]],6,FALSE)-1,"")</calculatedColumnFormula>
    </tableColumn>
    <tableColumn id="9" name="#" dataDxfId="138" dataCellStyle="Porcentagem">
      <calculatedColumnFormula>IF(tbl_medmar[[#This Row],[Utilização (%)]]&lt;&gt;"",ALERTA_INDIVIDUAL-tbl_medmar[[#This Row],[Utilização (%)]],"")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C5"/>
  <sheetViews>
    <sheetView showGridLines="0" workbookViewId="0">
      <selection activeCell="B4" sqref="B4"/>
    </sheetView>
  </sheetViews>
  <sheetFormatPr defaultRowHeight="15" x14ac:dyDescent="0.25"/>
  <cols>
    <col min="1" max="1" width="32.85546875" bestFit="1" customWidth="1"/>
    <col min="2" max="2" width="12.7109375" customWidth="1"/>
  </cols>
  <sheetData>
    <row r="1" spans="1:3" ht="45" customHeight="1" x14ac:dyDescent="0.25">
      <c r="A1" s="3" t="s">
        <v>54</v>
      </c>
      <c r="B1" s="3" t="s">
        <v>20</v>
      </c>
    </row>
    <row r="2" spans="1:3" x14ac:dyDescent="0.25">
      <c r="A2" s="17" t="s">
        <v>55</v>
      </c>
      <c r="B2" s="5">
        <v>44</v>
      </c>
      <c r="C2" s="22" t="str">
        <f>IF(COUNTA(tbl_consolidacao[Torre])&lt;&gt;QTD_APTO,"*Erro na quantidade de apartamentos","")</f>
        <v/>
      </c>
    </row>
    <row r="3" spans="1:3" x14ac:dyDescent="0.25">
      <c r="A3" s="17" t="s">
        <v>106</v>
      </c>
      <c r="B3" s="49">
        <v>0.25</v>
      </c>
      <c r="C3" s="22" t="s">
        <v>47</v>
      </c>
    </row>
    <row r="4" spans="1:3" x14ac:dyDescent="0.25">
      <c r="A4" s="17" t="s">
        <v>107</v>
      </c>
      <c r="B4" s="57">
        <v>12</v>
      </c>
      <c r="C4" s="22" t="s">
        <v>108</v>
      </c>
    </row>
    <row r="5" spans="1:3" x14ac:dyDescent="0.25">
      <c r="A5" s="17" t="s">
        <v>81</v>
      </c>
      <c r="B5" s="27">
        <f>10*CAESB!K3*2</f>
        <v>53</v>
      </c>
    </row>
  </sheetData>
  <sheetProtection algorithmName="SHA-512" hashValue="7gluwSR6JYfSqhN4ikN8k6+Ws1z8fvwzr4h696k0/sO7WBcFtLr9qvhFmhA0/Ctb00o+4s+nbeVua8poTwpKUQ==" saltValue="m2NjJ0zN8yAsPOtP8EqxvA==" spinCount="100000"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>
    <tabColor theme="7" tint="0.59999389629810485"/>
  </sheetPr>
  <dimension ref="A1:K46"/>
  <sheetViews>
    <sheetView showGridLines="0" workbookViewId="0">
      <selection activeCell="G1" sqref="G1:H1"/>
    </sheetView>
  </sheetViews>
  <sheetFormatPr defaultRowHeight="15" x14ac:dyDescent="0.25"/>
  <cols>
    <col min="1" max="3" width="7.7109375" customWidth="1"/>
    <col min="4" max="4" width="10.7109375" customWidth="1"/>
    <col min="5" max="9" width="12.7109375" customWidth="1"/>
    <col min="10" max="10" width="10.7109375" customWidth="1"/>
    <col min="11" max="11" width="3.7109375" customWidth="1"/>
  </cols>
  <sheetData>
    <row r="1" spans="1:11" ht="23.25" x14ac:dyDescent="0.35">
      <c r="E1" s="53" t="s">
        <v>48</v>
      </c>
      <c r="F1" s="53"/>
      <c r="G1" s="54">
        <v>42444</v>
      </c>
      <c r="H1" s="54"/>
      <c r="I1" s="55" t="str">
        <f>IF(G1&lt;&gt;"",TEXT(G1,"mmmm-aa"),"")</f>
        <v>março-16</v>
      </c>
      <c r="J1" s="55"/>
    </row>
    <row r="2" spans="1:11" ht="65.099999999999994" customHeight="1" x14ac:dyDescent="0.25">
      <c r="A2" s="3" t="s">
        <v>24</v>
      </c>
      <c r="B2" s="3" t="s">
        <v>25</v>
      </c>
      <c r="C2" s="3" t="s">
        <v>26</v>
      </c>
      <c r="D2" s="3" t="s">
        <v>49</v>
      </c>
      <c r="E2" s="3" t="s">
        <v>27</v>
      </c>
      <c r="F2" s="12" t="s">
        <v>43</v>
      </c>
      <c r="G2" s="10" t="s">
        <v>30</v>
      </c>
      <c r="H2" s="11" t="s">
        <v>44</v>
      </c>
      <c r="I2" s="3" t="s">
        <v>45</v>
      </c>
      <c r="J2" s="3" t="s">
        <v>46</v>
      </c>
      <c r="K2" s="3" t="s">
        <v>19</v>
      </c>
    </row>
    <row r="3" spans="1:11" x14ac:dyDescent="0.25">
      <c r="A3" s="2">
        <f>tbl_consolidacao[[#This Row],[Torre]]</f>
        <v>1</v>
      </c>
      <c r="B3" s="2" t="str">
        <f>tbl_consolidacao[[#This Row],[Junta]]</f>
        <v>A</v>
      </c>
      <c r="C3" s="2">
        <f>tbl_consolidacao[[#This Row],[Unid]]</f>
        <v>101</v>
      </c>
      <c r="D3" s="2" t="str">
        <f>tbl_consolidacao[[#This Row],[Apto]]</f>
        <v>101-A1</v>
      </c>
      <c r="E3" s="2">
        <f>tbl_meddez_anterior[[#This Row],[Hidrometro]]</f>
        <v>1234</v>
      </c>
      <c r="F3" s="13">
        <v>5170</v>
      </c>
      <c r="G3" s="16">
        <f>tbl_meddez_anterior[[#This Row],[Hidrometro]]</f>
        <v>1234</v>
      </c>
      <c r="H3" s="14">
        <v>2948</v>
      </c>
      <c r="I3" s="2">
        <f>tbl_medmar[[#This Row],[Medição 
Água Fria]]/100+tbl_medmar[[#This Row],[Medição 
Água Quente]]/1000</f>
        <v>54.648000000000003</v>
      </c>
      <c r="J3" s="15">
        <f>IF(tbl_medmar[[#This Row],[Total]]&gt;0,tbl_medmar[[#This Row],[Total]]/VLOOKUP(tbl_medmar[[#This Row],[Apto]],tbl_medfev[[Apto]:[Total]],6,FALSE)-1,"")</f>
        <v>0.14816371123623839</v>
      </c>
      <c r="K3" s="15">
        <f>IF(tbl_medmar[[#This Row],[Utilização (%)]]&lt;&gt;"",ALERTA_INDIVIDUAL-tbl_medmar[[#This Row],[Utilização (%)]],"")</f>
        <v>0.10183628876376161</v>
      </c>
    </row>
    <row r="4" spans="1:11" x14ac:dyDescent="0.25">
      <c r="A4" s="2">
        <f>tbl_consolidacao[[#This Row],[Torre]]</f>
        <v>2</v>
      </c>
      <c r="B4" s="2" t="str">
        <f>tbl_consolidacao[[#This Row],[Junta]]</f>
        <v>A</v>
      </c>
      <c r="C4" s="2">
        <f>tbl_consolidacao[[#This Row],[Unid]]</f>
        <v>101</v>
      </c>
      <c r="D4" s="2" t="str">
        <f>tbl_consolidacao[[#This Row],[Apto]]</f>
        <v>101-A2</v>
      </c>
      <c r="E4" s="2">
        <f>tbl_meddez_anterior[[#This Row],[Hidrometro]]</f>
        <v>1235</v>
      </c>
      <c r="F4" s="13">
        <v>5170</v>
      </c>
      <c r="G4" s="16">
        <f>tbl_meddez_anterior[[#This Row],[Hidrometro]]</f>
        <v>1235</v>
      </c>
      <c r="H4" s="14">
        <v>2948</v>
      </c>
      <c r="I4" s="2">
        <f>tbl_medmar[[#This Row],[Medição 
Água Fria]]/100+tbl_medmar[[#This Row],[Medição 
Água Quente]]/1000</f>
        <v>54.648000000000003</v>
      </c>
      <c r="J4" s="15">
        <f>IF(tbl_medmar[[#This Row],[Total]]&gt;0,tbl_medmar[[#This Row],[Total]]/VLOOKUP(tbl_medmar[[#This Row],[Apto]],tbl_medfev[[Apto]:[Total]],6,FALSE)-1,"")</f>
        <v>0.14816371123623839</v>
      </c>
      <c r="K4" s="15">
        <f>IF(tbl_medmar[[#This Row],[Utilização (%)]]&lt;&gt;"",ALERTA_INDIVIDUAL-tbl_medmar[[#This Row],[Utilização (%)]],"")</f>
        <v>0.10183628876376161</v>
      </c>
    </row>
    <row r="5" spans="1:11" x14ac:dyDescent="0.25">
      <c r="A5" s="2">
        <f>tbl_consolidacao[[#This Row],[Torre]]</f>
        <v>1</v>
      </c>
      <c r="B5" s="2" t="str">
        <f>tbl_consolidacao[[#This Row],[Junta]]</f>
        <v>A</v>
      </c>
      <c r="C5" s="2">
        <f>tbl_consolidacao[[#This Row],[Unid]]</f>
        <v>102</v>
      </c>
      <c r="D5" s="2" t="str">
        <f>tbl_consolidacao[[#This Row],[Apto]]</f>
        <v>102-A1</v>
      </c>
      <c r="E5" s="2">
        <f>tbl_meddez_anterior[[#This Row],[Hidrometro]]</f>
        <v>1236</v>
      </c>
      <c r="F5" s="13">
        <v>5170</v>
      </c>
      <c r="G5" s="16">
        <f>tbl_meddez_anterior[[#This Row],[Hidrometro]]</f>
        <v>1236</v>
      </c>
      <c r="H5" s="14">
        <v>2948</v>
      </c>
      <c r="I5" s="2">
        <f>tbl_medmar[[#This Row],[Medição 
Água Fria]]/100+tbl_medmar[[#This Row],[Medição 
Água Quente]]/1000</f>
        <v>54.648000000000003</v>
      </c>
      <c r="J5" s="15">
        <f>IF(tbl_medmar[[#This Row],[Total]]&gt;0,tbl_medmar[[#This Row],[Total]]/VLOOKUP(tbl_medmar[[#This Row],[Apto]],tbl_medfev[[Apto]:[Total]],6,FALSE)-1,"")</f>
        <v>0.14816371123623839</v>
      </c>
      <c r="K5" s="15">
        <f>IF(tbl_medmar[[#This Row],[Utilização (%)]]&lt;&gt;"",ALERTA_INDIVIDUAL-tbl_medmar[[#This Row],[Utilização (%)]],"")</f>
        <v>0.10183628876376161</v>
      </c>
    </row>
    <row r="6" spans="1:11" x14ac:dyDescent="0.25">
      <c r="A6" s="2">
        <f>tbl_consolidacao[[#This Row],[Torre]]</f>
        <v>2</v>
      </c>
      <c r="B6" s="2" t="str">
        <f>tbl_consolidacao[[#This Row],[Junta]]</f>
        <v>A</v>
      </c>
      <c r="C6" s="2">
        <f>tbl_consolidacao[[#This Row],[Unid]]</f>
        <v>102</v>
      </c>
      <c r="D6" s="2" t="str">
        <f>tbl_consolidacao[[#This Row],[Apto]]</f>
        <v>102-A2</v>
      </c>
      <c r="E6" s="2">
        <f>tbl_meddez_anterior[[#This Row],[Hidrometro]]</f>
        <v>1237</v>
      </c>
      <c r="F6" s="13">
        <v>5170</v>
      </c>
      <c r="G6" s="16">
        <f>tbl_meddez_anterior[[#This Row],[Hidrometro]]</f>
        <v>1237</v>
      </c>
      <c r="H6" s="14">
        <v>2948</v>
      </c>
      <c r="I6" s="2">
        <f>tbl_medmar[[#This Row],[Medição 
Água Fria]]/100+tbl_medmar[[#This Row],[Medição 
Água Quente]]/1000</f>
        <v>54.648000000000003</v>
      </c>
      <c r="J6" s="15">
        <f>IF(tbl_medmar[[#This Row],[Total]]&gt;0,tbl_medmar[[#This Row],[Total]]/VLOOKUP(tbl_medmar[[#This Row],[Apto]],tbl_medfev[[Apto]:[Total]],6,FALSE)-1,"")</f>
        <v>0.14816371123623839</v>
      </c>
      <c r="K6" s="15">
        <f>IF(tbl_medmar[[#This Row],[Utilização (%)]]&lt;&gt;"",ALERTA_INDIVIDUAL-tbl_medmar[[#This Row],[Utilização (%)]],"")</f>
        <v>0.10183628876376161</v>
      </c>
    </row>
    <row r="7" spans="1:11" x14ac:dyDescent="0.25">
      <c r="A7" s="2">
        <f>tbl_consolidacao[[#This Row],[Torre]]</f>
        <v>1</v>
      </c>
      <c r="B7" s="2" t="str">
        <f>tbl_consolidacao[[#This Row],[Junta]]</f>
        <v>A</v>
      </c>
      <c r="C7" s="2">
        <f>tbl_consolidacao[[#This Row],[Unid]]</f>
        <v>103</v>
      </c>
      <c r="D7" s="2" t="str">
        <f>tbl_consolidacao[[#This Row],[Apto]]</f>
        <v>103-A1</v>
      </c>
      <c r="E7" s="2">
        <f>tbl_meddez_anterior[[#This Row],[Hidrometro]]</f>
        <v>1238</v>
      </c>
      <c r="F7" s="13">
        <v>5170</v>
      </c>
      <c r="G7" s="16">
        <f>tbl_meddez_anterior[[#This Row],[Hidrometro]]</f>
        <v>1238</v>
      </c>
      <c r="H7" s="14">
        <v>2948</v>
      </c>
      <c r="I7" s="2">
        <f>tbl_medmar[[#This Row],[Medição 
Água Fria]]/100+tbl_medmar[[#This Row],[Medição 
Água Quente]]/1000</f>
        <v>54.648000000000003</v>
      </c>
      <c r="J7" s="15">
        <f>IF(tbl_medmar[[#This Row],[Total]]&gt;0,tbl_medmar[[#This Row],[Total]]/VLOOKUP(tbl_medmar[[#This Row],[Apto]],tbl_medfev[[Apto]:[Total]],6,FALSE)-1,"")</f>
        <v>0.14816371123623839</v>
      </c>
      <c r="K7" s="15">
        <f>IF(tbl_medmar[[#This Row],[Utilização (%)]]&lt;&gt;"",ALERTA_INDIVIDUAL-tbl_medmar[[#This Row],[Utilização (%)]],"")</f>
        <v>0.10183628876376161</v>
      </c>
    </row>
    <row r="8" spans="1:11" x14ac:dyDescent="0.25">
      <c r="A8" s="2">
        <f>tbl_consolidacao[[#This Row],[Torre]]</f>
        <v>2</v>
      </c>
      <c r="B8" s="2" t="str">
        <f>tbl_consolidacao[[#This Row],[Junta]]</f>
        <v>A</v>
      </c>
      <c r="C8" s="2">
        <f>tbl_consolidacao[[#This Row],[Unid]]</f>
        <v>103</v>
      </c>
      <c r="D8" s="2" t="str">
        <f>tbl_consolidacao[[#This Row],[Apto]]</f>
        <v>103-A2</v>
      </c>
      <c r="E8" s="2">
        <f>tbl_meddez_anterior[[#This Row],[Hidrometro]]</f>
        <v>1239</v>
      </c>
      <c r="F8" s="13">
        <v>5170</v>
      </c>
      <c r="G8" s="16">
        <f>tbl_meddez_anterior[[#This Row],[Hidrometro]]</f>
        <v>1239</v>
      </c>
      <c r="H8" s="14">
        <v>2948</v>
      </c>
      <c r="I8" s="2">
        <f>tbl_medmar[[#This Row],[Medição 
Água Fria]]/100+tbl_medmar[[#This Row],[Medição 
Água Quente]]/1000</f>
        <v>54.648000000000003</v>
      </c>
      <c r="J8" s="15">
        <f>IF(tbl_medmar[[#This Row],[Total]]&gt;0,tbl_medmar[[#This Row],[Total]]/VLOOKUP(tbl_medmar[[#This Row],[Apto]],tbl_medfev[[Apto]:[Total]],6,FALSE)-1,"")</f>
        <v>0.14816371123623839</v>
      </c>
      <c r="K8" s="15">
        <f>IF(tbl_medmar[[#This Row],[Utilização (%)]]&lt;&gt;"",ALERTA_INDIVIDUAL-tbl_medmar[[#This Row],[Utilização (%)]],"")</f>
        <v>0.10183628876376161</v>
      </c>
    </row>
    <row r="9" spans="1:11" x14ac:dyDescent="0.25">
      <c r="A9" s="2">
        <f>tbl_consolidacao[[#This Row],[Torre]]</f>
        <v>1</v>
      </c>
      <c r="B9" s="2" t="str">
        <f>tbl_consolidacao[[#This Row],[Junta]]</f>
        <v>A</v>
      </c>
      <c r="C9" s="2">
        <f>tbl_consolidacao[[#This Row],[Unid]]</f>
        <v>104</v>
      </c>
      <c r="D9" s="2" t="str">
        <f>tbl_consolidacao[[#This Row],[Apto]]</f>
        <v>104-A1</v>
      </c>
      <c r="E9" s="2">
        <f>tbl_meddez_anterior[[#This Row],[Hidrometro]]</f>
        <v>1240</v>
      </c>
      <c r="F9" s="13">
        <v>5170</v>
      </c>
      <c r="G9" s="16">
        <f>tbl_meddez_anterior[[#This Row],[Hidrometro]]</f>
        <v>1240</v>
      </c>
      <c r="H9" s="14">
        <v>2948</v>
      </c>
      <c r="I9" s="2">
        <f>tbl_medmar[[#This Row],[Medição 
Água Fria]]/100+tbl_medmar[[#This Row],[Medição 
Água Quente]]/1000</f>
        <v>54.648000000000003</v>
      </c>
      <c r="J9" s="15">
        <f>IF(tbl_medmar[[#This Row],[Total]]&gt;0,tbl_medmar[[#This Row],[Total]]/VLOOKUP(tbl_medmar[[#This Row],[Apto]],tbl_medfev[[Apto]:[Total]],6,FALSE)-1,"")</f>
        <v>0.14816371123623839</v>
      </c>
      <c r="K9" s="15">
        <f>IF(tbl_medmar[[#This Row],[Utilização (%)]]&lt;&gt;"",ALERTA_INDIVIDUAL-tbl_medmar[[#This Row],[Utilização (%)]],"")</f>
        <v>0.10183628876376161</v>
      </c>
    </row>
    <row r="10" spans="1:11" x14ac:dyDescent="0.25">
      <c r="A10" s="2">
        <f>tbl_consolidacao[[#This Row],[Torre]]</f>
        <v>2</v>
      </c>
      <c r="B10" s="2" t="str">
        <f>tbl_consolidacao[[#This Row],[Junta]]</f>
        <v>A</v>
      </c>
      <c r="C10" s="2">
        <f>tbl_consolidacao[[#This Row],[Unid]]</f>
        <v>104</v>
      </c>
      <c r="D10" s="2" t="str">
        <f>tbl_consolidacao[[#This Row],[Apto]]</f>
        <v>104-A2</v>
      </c>
      <c r="E10" s="2">
        <f>tbl_meddez_anterior[[#This Row],[Hidrometro]]</f>
        <v>1241</v>
      </c>
      <c r="F10" s="13">
        <v>5170</v>
      </c>
      <c r="G10" s="16">
        <f>tbl_meddez_anterior[[#This Row],[Hidrometro]]</f>
        <v>1241</v>
      </c>
      <c r="H10" s="14">
        <v>2948</v>
      </c>
      <c r="I10" s="2">
        <f>tbl_medmar[[#This Row],[Medição 
Água Fria]]/100+tbl_medmar[[#This Row],[Medição 
Água Quente]]/1000</f>
        <v>54.648000000000003</v>
      </c>
      <c r="J10" s="15">
        <f>IF(tbl_medmar[[#This Row],[Total]]&gt;0,tbl_medmar[[#This Row],[Total]]/VLOOKUP(tbl_medmar[[#This Row],[Apto]],tbl_medfev[[Apto]:[Total]],6,FALSE)-1,"")</f>
        <v>0.14816371123623839</v>
      </c>
      <c r="K10" s="15">
        <f>IF(tbl_medmar[[#This Row],[Utilização (%)]]&lt;&gt;"",ALERTA_INDIVIDUAL-tbl_medmar[[#This Row],[Utilização (%)]],"")</f>
        <v>0.10183628876376161</v>
      </c>
    </row>
    <row r="11" spans="1:11" x14ac:dyDescent="0.25">
      <c r="A11" s="2">
        <f>tbl_consolidacao[[#This Row],[Torre]]</f>
        <v>2</v>
      </c>
      <c r="B11" s="2" t="str">
        <f>tbl_consolidacao[[#This Row],[Junta]]</f>
        <v>B</v>
      </c>
      <c r="C11" s="2">
        <f>tbl_consolidacao[[#This Row],[Unid]]</f>
        <v>105</v>
      </c>
      <c r="D11" s="2" t="str">
        <f>tbl_consolidacao[[#This Row],[Apto]]</f>
        <v>105-B2</v>
      </c>
      <c r="E11" s="2">
        <f>tbl_meddez_anterior[[#This Row],[Hidrometro]]</f>
        <v>1242</v>
      </c>
      <c r="F11" s="13">
        <v>5170</v>
      </c>
      <c r="G11" s="16">
        <f>tbl_meddez_anterior[[#This Row],[Hidrometro]]</f>
        <v>1242</v>
      </c>
      <c r="H11" s="14">
        <v>2948</v>
      </c>
      <c r="I11" s="2">
        <f>tbl_medmar[[#This Row],[Medição 
Água Fria]]/100+tbl_medmar[[#This Row],[Medição 
Água Quente]]/1000</f>
        <v>54.648000000000003</v>
      </c>
      <c r="J11" s="15">
        <f>IF(tbl_medmar[[#This Row],[Total]]&gt;0,tbl_medmar[[#This Row],[Total]]/VLOOKUP(tbl_medmar[[#This Row],[Apto]],tbl_medfev[[Apto]:[Total]],6,FALSE)-1,"")</f>
        <v>0.14816371123623839</v>
      </c>
      <c r="K11" s="15">
        <f>IF(tbl_medmar[[#This Row],[Utilização (%)]]&lt;&gt;"",ALERTA_INDIVIDUAL-tbl_medmar[[#This Row],[Utilização (%)]],"")</f>
        <v>0.10183628876376161</v>
      </c>
    </row>
    <row r="12" spans="1:11" x14ac:dyDescent="0.25">
      <c r="A12" s="2">
        <f>tbl_consolidacao[[#This Row],[Torre]]</f>
        <v>2</v>
      </c>
      <c r="B12" s="2" t="str">
        <f>tbl_consolidacao[[#This Row],[Junta]]</f>
        <v>B</v>
      </c>
      <c r="C12" s="2">
        <f>tbl_consolidacao[[#This Row],[Unid]]</f>
        <v>106</v>
      </c>
      <c r="D12" s="2" t="str">
        <f>tbl_consolidacao[[#This Row],[Apto]]</f>
        <v>106-B2</v>
      </c>
      <c r="E12" s="2">
        <f>tbl_meddez_anterior[[#This Row],[Hidrometro]]</f>
        <v>1243</v>
      </c>
      <c r="F12" s="13">
        <v>5170</v>
      </c>
      <c r="G12" s="16">
        <f>tbl_meddez_anterior[[#This Row],[Hidrometro]]</f>
        <v>1243</v>
      </c>
      <c r="H12" s="14">
        <v>2948</v>
      </c>
      <c r="I12" s="2">
        <f>tbl_medmar[[#This Row],[Medição 
Água Fria]]/100+tbl_medmar[[#This Row],[Medição 
Água Quente]]/1000</f>
        <v>54.648000000000003</v>
      </c>
      <c r="J12" s="15">
        <f>IF(tbl_medmar[[#This Row],[Total]]&gt;0,tbl_medmar[[#This Row],[Total]]/VLOOKUP(tbl_medmar[[#This Row],[Apto]],tbl_medfev[[Apto]:[Total]],6,FALSE)-1,"")</f>
        <v>0.14816371123623839</v>
      </c>
      <c r="K12" s="15">
        <f>IF(tbl_medmar[[#This Row],[Utilização (%)]]&lt;&gt;"",ALERTA_INDIVIDUAL-tbl_medmar[[#This Row],[Utilização (%)]],"")</f>
        <v>0.10183628876376161</v>
      </c>
    </row>
    <row r="13" spans="1:11" x14ac:dyDescent="0.25">
      <c r="A13" s="2">
        <f>tbl_consolidacao[[#This Row],[Torre]]</f>
        <v>2</v>
      </c>
      <c r="B13" s="2" t="str">
        <f>tbl_consolidacao[[#This Row],[Junta]]</f>
        <v>B</v>
      </c>
      <c r="C13" s="2">
        <f>tbl_consolidacao[[#This Row],[Unid]]</f>
        <v>107</v>
      </c>
      <c r="D13" s="2" t="str">
        <f>tbl_consolidacao[[#This Row],[Apto]]</f>
        <v>107-B2</v>
      </c>
      <c r="E13" s="2">
        <f>tbl_meddez_anterior[[#This Row],[Hidrometro]]</f>
        <v>1244</v>
      </c>
      <c r="F13" s="13">
        <v>5170</v>
      </c>
      <c r="G13" s="16">
        <f>tbl_meddez_anterior[[#This Row],[Hidrometro]]</f>
        <v>1244</v>
      </c>
      <c r="H13" s="14">
        <v>2948</v>
      </c>
      <c r="I13" s="2">
        <f>tbl_medmar[[#This Row],[Medição 
Água Fria]]/100+tbl_medmar[[#This Row],[Medição 
Água Quente]]/1000</f>
        <v>54.648000000000003</v>
      </c>
      <c r="J13" s="15">
        <f>IF(tbl_medmar[[#This Row],[Total]]&gt;0,tbl_medmar[[#This Row],[Total]]/VLOOKUP(tbl_medmar[[#This Row],[Apto]],tbl_medfev[[Apto]:[Total]],6,FALSE)-1,"")</f>
        <v>0.14816371123623839</v>
      </c>
      <c r="K13" s="15">
        <f>IF(tbl_medmar[[#This Row],[Utilização (%)]]&lt;&gt;"",ALERTA_INDIVIDUAL-tbl_medmar[[#This Row],[Utilização (%)]],"")</f>
        <v>0.10183628876376161</v>
      </c>
    </row>
    <row r="14" spans="1:11" x14ac:dyDescent="0.25">
      <c r="A14" s="2">
        <f>tbl_consolidacao[[#This Row],[Torre]]</f>
        <v>2</v>
      </c>
      <c r="B14" s="2" t="str">
        <f>tbl_consolidacao[[#This Row],[Junta]]</f>
        <v>B</v>
      </c>
      <c r="C14" s="2">
        <f>tbl_consolidacao[[#This Row],[Unid]]</f>
        <v>108</v>
      </c>
      <c r="D14" s="2" t="str">
        <f>tbl_consolidacao[[#This Row],[Apto]]</f>
        <v>108-B2</v>
      </c>
      <c r="E14" s="2">
        <f>tbl_meddez_anterior[[#This Row],[Hidrometro]]</f>
        <v>1245</v>
      </c>
      <c r="F14" s="13">
        <v>5170</v>
      </c>
      <c r="G14" s="16">
        <f>tbl_meddez_anterior[[#This Row],[Hidrometro]]</f>
        <v>1245</v>
      </c>
      <c r="H14" s="14">
        <v>2948</v>
      </c>
      <c r="I14" s="2">
        <f>tbl_medmar[[#This Row],[Medição 
Água Fria]]/100+tbl_medmar[[#This Row],[Medição 
Água Quente]]/1000</f>
        <v>54.648000000000003</v>
      </c>
      <c r="J14" s="15">
        <f>IF(tbl_medmar[[#This Row],[Total]]&gt;0,tbl_medmar[[#This Row],[Total]]/VLOOKUP(tbl_medmar[[#This Row],[Apto]],tbl_medfev[[Apto]:[Total]],6,FALSE)-1,"")</f>
        <v>0.14816371123623839</v>
      </c>
      <c r="K14" s="15">
        <f>IF(tbl_medmar[[#This Row],[Utilização (%)]]&lt;&gt;"",ALERTA_INDIVIDUAL-tbl_medmar[[#This Row],[Utilização (%)]],"")</f>
        <v>0.10183628876376161</v>
      </c>
    </row>
    <row r="15" spans="1:11" x14ac:dyDescent="0.25">
      <c r="A15" s="2">
        <f>tbl_consolidacao[[#This Row],[Torre]]</f>
        <v>1</v>
      </c>
      <c r="B15" s="2" t="str">
        <f>tbl_consolidacao[[#This Row],[Junta]]</f>
        <v>A</v>
      </c>
      <c r="C15" s="2">
        <f>tbl_consolidacao[[#This Row],[Unid]]</f>
        <v>201</v>
      </c>
      <c r="D15" s="2" t="str">
        <f>tbl_consolidacao[[#This Row],[Apto]]</f>
        <v>201-A1</v>
      </c>
      <c r="E15" s="2">
        <f>tbl_meddez_anterior[[#This Row],[Hidrometro]]</f>
        <v>1246</v>
      </c>
      <c r="F15" s="13">
        <v>5170</v>
      </c>
      <c r="G15" s="16">
        <f>tbl_meddez_anterior[[#This Row],[Hidrometro]]</f>
        <v>1246</v>
      </c>
      <c r="H15" s="14">
        <v>2948</v>
      </c>
      <c r="I15" s="2">
        <f>tbl_medmar[[#This Row],[Medição 
Água Fria]]/100+tbl_medmar[[#This Row],[Medição 
Água Quente]]/1000</f>
        <v>54.648000000000003</v>
      </c>
      <c r="J15" s="15">
        <f>IF(tbl_medmar[[#This Row],[Total]]&gt;0,tbl_medmar[[#This Row],[Total]]/VLOOKUP(tbl_medmar[[#This Row],[Apto]],tbl_medfev[[Apto]:[Total]],6,FALSE)-1,"")</f>
        <v>0.14816371123623839</v>
      </c>
      <c r="K15" s="15">
        <f>IF(tbl_medmar[[#This Row],[Utilização (%)]]&lt;&gt;"",ALERTA_INDIVIDUAL-tbl_medmar[[#This Row],[Utilização (%)]],"")</f>
        <v>0.10183628876376161</v>
      </c>
    </row>
    <row r="16" spans="1:11" x14ac:dyDescent="0.25">
      <c r="A16" s="2">
        <f>tbl_consolidacao[[#This Row],[Torre]]</f>
        <v>2</v>
      </c>
      <c r="B16" s="2" t="str">
        <f>tbl_consolidacao[[#This Row],[Junta]]</f>
        <v>A</v>
      </c>
      <c r="C16" s="2">
        <f>tbl_consolidacao[[#This Row],[Unid]]</f>
        <v>201</v>
      </c>
      <c r="D16" s="2" t="str">
        <f>tbl_consolidacao[[#This Row],[Apto]]</f>
        <v>201-A2</v>
      </c>
      <c r="E16" s="2">
        <f>tbl_meddez_anterior[[#This Row],[Hidrometro]]</f>
        <v>1247</v>
      </c>
      <c r="F16" s="13">
        <v>5170</v>
      </c>
      <c r="G16" s="16">
        <f>tbl_meddez_anterior[[#This Row],[Hidrometro]]</f>
        <v>1247</v>
      </c>
      <c r="H16" s="14">
        <v>2948</v>
      </c>
      <c r="I16" s="2">
        <f>tbl_medmar[[#This Row],[Medição 
Água Fria]]/100+tbl_medmar[[#This Row],[Medição 
Água Quente]]/1000</f>
        <v>54.648000000000003</v>
      </c>
      <c r="J16" s="15">
        <f>IF(tbl_medmar[[#This Row],[Total]]&gt;0,tbl_medmar[[#This Row],[Total]]/VLOOKUP(tbl_medmar[[#This Row],[Apto]],tbl_medfev[[Apto]:[Total]],6,FALSE)-1,"")</f>
        <v>0.14816371123623839</v>
      </c>
      <c r="K16" s="15">
        <f>IF(tbl_medmar[[#This Row],[Utilização (%)]]&lt;&gt;"",ALERTA_INDIVIDUAL-tbl_medmar[[#This Row],[Utilização (%)]],"")</f>
        <v>0.10183628876376161</v>
      </c>
    </row>
    <row r="17" spans="1:11" x14ac:dyDescent="0.25">
      <c r="A17" s="2">
        <f>tbl_consolidacao[[#This Row],[Torre]]</f>
        <v>1</v>
      </c>
      <c r="B17" s="2" t="str">
        <f>tbl_consolidacao[[#This Row],[Junta]]</f>
        <v>A</v>
      </c>
      <c r="C17" s="2">
        <f>tbl_consolidacao[[#This Row],[Unid]]</f>
        <v>202</v>
      </c>
      <c r="D17" s="2" t="str">
        <f>tbl_consolidacao[[#This Row],[Apto]]</f>
        <v>202-A1</v>
      </c>
      <c r="E17" s="2">
        <f>tbl_meddez_anterior[[#This Row],[Hidrometro]]</f>
        <v>1248</v>
      </c>
      <c r="F17" s="13">
        <v>5170</v>
      </c>
      <c r="G17" s="16">
        <f>tbl_meddez_anterior[[#This Row],[Hidrometro]]</f>
        <v>1248</v>
      </c>
      <c r="H17" s="14">
        <v>2948</v>
      </c>
      <c r="I17" s="2">
        <f>tbl_medmar[[#This Row],[Medição 
Água Fria]]/100+tbl_medmar[[#This Row],[Medição 
Água Quente]]/1000</f>
        <v>54.648000000000003</v>
      </c>
      <c r="J17" s="15">
        <f>IF(tbl_medmar[[#This Row],[Total]]&gt;0,tbl_medmar[[#This Row],[Total]]/VLOOKUP(tbl_medmar[[#This Row],[Apto]],tbl_medfev[[Apto]:[Total]],6,FALSE)-1,"")</f>
        <v>0.14816371123623839</v>
      </c>
      <c r="K17" s="15">
        <f>IF(tbl_medmar[[#This Row],[Utilização (%)]]&lt;&gt;"",ALERTA_INDIVIDUAL-tbl_medmar[[#This Row],[Utilização (%)]],"")</f>
        <v>0.10183628876376161</v>
      </c>
    </row>
    <row r="18" spans="1:11" x14ac:dyDescent="0.25">
      <c r="A18" s="2">
        <f>tbl_consolidacao[[#This Row],[Torre]]</f>
        <v>2</v>
      </c>
      <c r="B18" s="2" t="str">
        <f>tbl_consolidacao[[#This Row],[Junta]]</f>
        <v>A</v>
      </c>
      <c r="C18" s="2">
        <f>tbl_consolidacao[[#This Row],[Unid]]</f>
        <v>202</v>
      </c>
      <c r="D18" s="2" t="str">
        <f>tbl_consolidacao[[#This Row],[Apto]]</f>
        <v>202-A2</v>
      </c>
      <c r="E18" s="2">
        <f>tbl_meddez_anterior[[#This Row],[Hidrometro]]</f>
        <v>1249</v>
      </c>
      <c r="F18" s="13">
        <v>5170</v>
      </c>
      <c r="G18" s="16">
        <f>tbl_meddez_anterior[[#This Row],[Hidrometro]]</f>
        <v>1249</v>
      </c>
      <c r="H18" s="14">
        <v>2948</v>
      </c>
      <c r="I18" s="2">
        <f>tbl_medmar[[#This Row],[Medição 
Água Fria]]/100+tbl_medmar[[#This Row],[Medição 
Água Quente]]/1000</f>
        <v>54.648000000000003</v>
      </c>
      <c r="J18" s="15">
        <f>IF(tbl_medmar[[#This Row],[Total]]&gt;0,tbl_medmar[[#This Row],[Total]]/VLOOKUP(tbl_medmar[[#This Row],[Apto]],tbl_medfev[[Apto]:[Total]],6,FALSE)-1,"")</f>
        <v>0.14816371123623839</v>
      </c>
      <c r="K18" s="15">
        <f>IF(tbl_medmar[[#This Row],[Utilização (%)]]&lt;&gt;"",ALERTA_INDIVIDUAL-tbl_medmar[[#This Row],[Utilização (%)]],"")</f>
        <v>0.10183628876376161</v>
      </c>
    </row>
    <row r="19" spans="1:11" x14ac:dyDescent="0.25">
      <c r="A19" s="2">
        <f>tbl_consolidacao[[#This Row],[Torre]]</f>
        <v>1</v>
      </c>
      <c r="B19" s="2" t="str">
        <f>tbl_consolidacao[[#This Row],[Junta]]</f>
        <v>A</v>
      </c>
      <c r="C19" s="2">
        <f>tbl_consolidacao[[#This Row],[Unid]]</f>
        <v>203</v>
      </c>
      <c r="D19" s="2" t="str">
        <f>tbl_consolidacao[[#This Row],[Apto]]</f>
        <v>203-A1</v>
      </c>
      <c r="E19" s="2">
        <f>tbl_meddez_anterior[[#This Row],[Hidrometro]]</f>
        <v>1250</v>
      </c>
      <c r="F19" s="13">
        <v>5170</v>
      </c>
      <c r="G19" s="16">
        <f>tbl_meddez_anterior[[#This Row],[Hidrometro]]</f>
        <v>1250</v>
      </c>
      <c r="H19" s="14">
        <v>2948</v>
      </c>
      <c r="I19" s="2">
        <f>tbl_medmar[[#This Row],[Medição 
Água Fria]]/100+tbl_medmar[[#This Row],[Medição 
Água Quente]]/1000</f>
        <v>54.648000000000003</v>
      </c>
      <c r="J19" s="15">
        <f>IF(tbl_medmar[[#This Row],[Total]]&gt;0,tbl_medmar[[#This Row],[Total]]/VLOOKUP(tbl_medmar[[#This Row],[Apto]],tbl_medfev[[Apto]:[Total]],6,FALSE)-1,"")</f>
        <v>0.14816371123623839</v>
      </c>
      <c r="K19" s="15">
        <f>IF(tbl_medmar[[#This Row],[Utilização (%)]]&lt;&gt;"",ALERTA_INDIVIDUAL-tbl_medmar[[#This Row],[Utilização (%)]],"")</f>
        <v>0.10183628876376161</v>
      </c>
    </row>
    <row r="20" spans="1:11" x14ac:dyDescent="0.25">
      <c r="A20" s="2">
        <f>tbl_consolidacao[[#This Row],[Torre]]</f>
        <v>2</v>
      </c>
      <c r="B20" s="2" t="str">
        <f>tbl_consolidacao[[#This Row],[Junta]]</f>
        <v>A</v>
      </c>
      <c r="C20" s="2">
        <f>tbl_consolidacao[[#This Row],[Unid]]</f>
        <v>203</v>
      </c>
      <c r="D20" s="2" t="str">
        <f>tbl_consolidacao[[#This Row],[Apto]]</f>
        <v>203-A2</v>
      </c>
      <c r="E20" s="2">
        <f>tbl_meddez_anterior[[#This Row],[Hidrometro]]</f>
        <v>1251</v>
      </c>
      <c r="F20" s="13">
        <v>5170</v>
      </c>
      <c r="G20" s="16">
        <f>tbl_meddez_anterior[[#This Row],[Hidrometro]]</f>
        <v>1251</v>
      </c>
      <c r="H20" s="14">
        <v>2948</v>
      </c>
      <c r="I20" s="2">
        <f>tbl_medmar[[#This Row],[Medição 
Água Fria]]/100+tbl_medmar[[#This Row],[Medição 
Água Quente]]/1000</f>
        <v>54.648000000000003</v>
      </c>
      <c r="J20" s="15">
        <f>IF(tbl_medmar[[#This Row],[Total]]&gt;0,tbl_medmar[[#This Row],[Total]]/VLOOKUP(tbl_medmar[[#This Row],[Apto]],tbl_medfev[[Apto]:[Total]],6,FALSE)-1,"")</f>
        <v>0.14816371123623839</v>
      </c>
      <c r="K20" s="15">
        <f>IF(tbl_medmar[[#This Row],[Utilização (%)]]&lt;&gt;"",ALERTA_INDIVIDUAL-tbl_medmar[[#This Row],[Utilização (%)]],"")</f>
        <v>0.10183628876376161</v>
      </c>
    </row>
    <row r="21" spans="1:11" x14ac:dyDescent="0.25">
      <c r="A21" s="2">
        <f>tbl_consolidacao[[#This Row],[Torre]]</f>
        <v>1</v>
      </c>
      <c r="B21" s="2" t="str">
        <f>tbl_consolidacao[[#This Row],[Junta]]</f>
        <v>A</v>
      </c>
      <c r="C21" s="2">
        <f>tbl_consolidacao[[#This Row],[Unid]]</f>
        <v>204</v>
      </c>
      <c r="D21" s="2" t="str">
        <f>tbl_consolidacao[[#This Row],[Apto]]</f>
        <v>204-A1</v>
      </c>
      <c r="E21" s="2">
        <f>tbl_meddez_anterior[[#This Row],[Hidrometro]]</f>
        <v>1252</v>
      </c>
      <c r="F21" s="13">
        <v>5170</v>
      </c>
      <c r="G21" s="16">
        <f>tbl_meddez_anterior[[#This Row],[Hidrometro]]</f>
        <v>1252</v>
      </c>
      <c r="H21" s="14">
        <v>2948</v>
      </c>
      <c r="I21" s="2">
        <f>tbl_medmar[[#This Row],[Medição 
Água Fria]]/100+tbl_medmar[[#This Row],[Medição 
Água Quente]]/1000</f>
        <v>54.648000000000003</v>
      </c>
      <c r="J21" s="15">
        <f>IF(tbl_medmar[[#This Row],[Total]]&gt;0,tbl_medmar[[#This Row],[Total]]/VLOOKUP(tbl_medmar[[#This Row],[Apto]],tbl_medfev[[Apto]:[Total]],6,FALSE)-1,"")</f>
        <v>0.14816371123623839</v>
      </c>
      <c r="K21" s="15">
        <f>IF(tbl_medmar[[#This Row],[Utilização (%)]]&lt;&gt;"",ALERTA_INDIVIDUAL-tbl_medmar[[#This Row],[Utilização (%)]],"")</f>
        <v>0.10183628876376161</v>
      </c>
    </row>
    <row r="22" spans="1:11" x14ac:dyDescent="0.25">
      <c r="A22" s="2">
        <f>tbl_consolidacao[[#This Row],[Torre]]</f>
        <v>2</v>
      </c>
      <c r="B22" s="2" t="str">
        <f>tbl_consolidacao[[#This Row],[Junta]]</f>
        <v>A</v>
      </c>
      <c r="C22" s="2">
        <f>tbl_consolidacao[[#This Row],[Unid]]</f>
        <v>204</v>
      </c>
      <c r="D22" s="2" t="str">
        <f>tbl_consolidacao[[#This Row],[Apto]]</f>
        <v>204-A2</v>
      </c>
      <c r="E22" s="2">
        <f>tbl_meddez_anterior[[#This Row],[Hidrometro]]</f>
        <v>1253</v>
      </c>
      <c r="F22" s="13">
        <v>5170</v>
      </c>
      <c r="G22" s="16">
        <f>tbl_meddez_anterior[[#This Row],[Hidrometro]]</f>
        <v>1253</v>
      </c>
      <c r="H22" s="14">
        <v>2948</v>
      </c>
      <c r="I22" s="2">
        <f>tbl_medmar[[#This Row],[Medição 
Água Fria]]/100+tbl_medmar[[#This Row],[Medição 
Água Quente]]/1000</f>
        <v>54.648000000000003</v>
      </c>
      <c r="J22" s="15">
        <f>IF(tbl_medmar[[#This Row],[Total]]&gt;0,tbl_medmar[[#This Row],[Total]]/VLOOKUP(tbl_medmar[[#This Row],[Apto]],tbl_medfev[[Apto]:[Total]],6,FALSE)-1,"")</f>
        <v>0.14816371123623839</v>
      </c>
      <c r="K22" s="15">
        <f>IF(tbl_medmar[[#This Row],[Utilização (%)]]&lt;&gt;"",ALERTA_INDIVIDUAL-tbl_medmar[[#This Row],[Utilização (%)]],"")</f>
        <v>0.10183628876376161</v>
      </c>
    </row>
    <row r="23" spans="1:11" x14ac:dyDescent="0.25">
      <c r="A23" s="2">
        <f>tbl_consolidacao[[#This Row],[Torre]]</f>
        <v>1</v>
      </c>
      <c r="B23" s="2" t="str">
        <f>tbl_consolidacao[[#This Row],[Junta]]</f>
        <v>B</v>
      </c>
      <c r="C23" s="2">
        <f>tbl_consolidacao[[#This Row],[Unid]]</f>
        <v>205</v>
      </c>
      <c r="D23" s="2" t="str">
        <f>tbl_consolidacao[[#This Row],[Apto]]</f>
        <v>205-B1</v>
      </c>
      <c r="E23" s="2">
        <f>tbl_meddez_anterior[[#This Row],[Hidrometro]]</f>
        <v>1254</v>
      </c>
      <c r="F23" s="13">
        <v>5170</v>
      </c>
      <c r="G23" s="16">
        <f>tbl_meddez_anterior[[#This Row],[Hidrometro]]</f>
        <v>1254</v>
      </c>
      <c r="H23" s="14">
        <v>2948</v>
      </c>
      <c r="I23" s="2">
        <f>tbl_medmar[[#This Row],[Medição 
Água Fria]]/100+tbl_medmar[[#This Row],[Medição 
Água Quente]]/1000</f>
        <v>54.648000000000003</v>
      </c>
      <c r="J23" s="15">
        <f>IF(tbl_medmar[[#This Row],[Total]]&gt;0,tbl_medmar[[#This Row],[Total]]/VLOOKUP(tbl_medmar[[#This Row],[Apto]],tbl_medfev[[Apto]:[Total]],6,FALSE)-1,"")</f>
        <v>0.14816371123623839</v>
      </c>
      <c r="K23" s="15">
        <f>IF(tbl_medmar[[#This Row],[Utilização (%)]]&lt;&gt;"",ALERTA_INDIVIDUAL-tbl_medmar[[#This Row],[Utilização (%)]],"")</f>
        <v>0.10183628876376161</v>
      </c>
    </row>
    <row r="24" spans="1:11" x14ac:dyDescent="0.25">
      <c r="A24" s="2">
        <f>tbl_consolidacao[[#This Row],[Torre]]</f>
        <v>2</v>
      </c>
      <c r="B24" s="2" t="str">
        <f>tbl_consolidacao[[#This Row],[Junta]]</f>
        <v>B</v>
      </c>
      <c r="C24" s="2">
        <f>tbl_consolidacao[[#This Row],[Unid]]</f>
        <v>205</v>
      </c>
      <c r="D24" s="2" t="str">
        <f>tbl_consolidacao[[#This Row],[Apto]]</f>
        <v>205-B2</v>
      </c>
      <c r="E24" s="2">
        <f>tbl_meddez_anterior[[#This Row],[Hidrometro]]</f>
        <v>1255</v>
      </c>
      <c r="F24" s="13">
        <v>5170</v>
      </c>
      <c r="G24" s="16">
        <f>tbl_meddez_anterior[[#This Row],[Hidrometro]]</f>
        <v>1255</v>
      </c>
      <c r="H24" s="14">
        <v>2948</v>
      </c>
      <c r="I24" s="2">
        <f>tbl_medmar[[#This Row],[Medição 
Água Fria]]/100+tbl_medmar[[#This Row],[Medição 
Água Quente]]/1000</f>
        <v>54.648000000000003</v>
      </c>
      <c r="J24" s="15">
        <f>IF(tbl_medmar[[#This Row],[Total]]&gt;0,tbl_medmar[[#This Row],[Total]]/VLOOKUP(tbl_medmar[[#This Row],[Apto]],tbl_medfev[[Apto]:[Total]],6,FALSE)-1,"")</f>
        <v>0.14816371123623839</v>
      </c>
      <c r="K24" s="15">
        <f>IF(tbl_medmar[[#This Row],[Utilização (%)]]&lt;&gt;"",ALERTA_INDIVIDUAL-tbl_medmar[[#This Row],[Utilização (%)]],"")</f>
        <v>0.10183628876376161</v>
      </c>
    </row>
    <row r="25" spans="1:11" x14ac:dyDescent="0.25">
      <c r="A25" s="2">
        <f>tbl_consolidacao[[#This Row],[Torre]]</f>
        <v>1</v>
      </c>
      <c r="B25" s="2" t="str">
        <f>tbl_consolidacao[[#This Row],[Junta]]</f>
        <v>B</v>
      </c>
      <c r="C25" s="2">
        <f>tbl_consolidacao[[#This Row],[Unid]]</f>
        <v>206</v>
      </c>
      <c r="D25" s="2" t="str">
        <f>tbl_consolidacao[[#This Row],[Apto]]</f>
        <v>206-B1</v>
      </c>
      <c r="E25" s="2">
        <f>tbl_meddez_anterior[[#This Row],[Hidrometro]]</f>
        <v>1256</v>
      </c>
      <c r="F25" s="13">
        <v>5170</v>
      </c>
      <c r="G25" s="16">
        <f>tbl_meddez_anterior[[#This Row],[Hidrometro]]</f>
        <v>1256</v>
      </c>
      <c r="H25" s="14">
        <v>2948</v>
      </c>
      <c r="I25" s="2">
        <f>tbl_medmar[[#This Row],[Medição 
Água Fria]]/100+tbl_medmar[[#This Row],[Medição 
Água Quente]]/1000</f>
        <v>54.648000000000003</v>
      </c>
      <c r="J25" s="15">
        <f>IF(tbl_medmar[[#This Row],[Total]]&gt;0,tbl_medmar[[#This Row],[Total]]/VLOOKUP(tbl_medmar[[#This Row],[Apto]],tbl_medfev[[Apto]:[Total]],6,FALSE)-1,"")</f>
        <v>0.14816371123623839</v>
      </c>
      <c r="K25" s="15">
        <f>IF(tbl_medmar[[#This Row],[Utilização (%)]]&lt;&gt;"",ALERTA_INDIVIDUAL-tbl_medmar[[#This Row],[Utilização (%)]],"")</f>
        <v>0.10183628876376161</v>
      </c>
    </row>
    <row r="26" spans="1:11" x14ac:dyDescent="0.25">
      <c r="A26" s="2">
        <f>tbl_consolidacao[[#This Row],[Torre]]</f>
        <v>2</v>
      </c>
      <c r="B26" s="2" t="str">
        <f>tbl_consolidacao[[#This Row],[Junta]]</f>
        <v>B</v>
      </c>
      <c r="C26" s="2">
        <f>tbl_consolidacao[[#This Row],[Unid]]</f>
        <v>206</v>
      </c>
      <c r="D26" s="2" t="str">
        <f>tbl_consolidacao[[#This Row],[Apto]]</f>
        <v>206-B2</v>
      </c>
      <c r="E26" s="2">
        <f>tbl_meddez_anterior[[#This Row],[Hidrometro]]</f>
        <v>1257</v>
      </c>
      <c r="F26" s="13">
        <v>5170</v>
      </c>
      <c r="G26" s="16">
        <f>tbl_meddez_anterior[[#This Row],[Hidrometro]]</f>
        <v>1257</v>
      </c>
      <c r="H26" s="14">
        <v>2948</v>
      </c>
      <c r="I26" s="2">
        <f>tbl_medmar[[#This Row],[Medição 
Água Fria]]/100+tbl_medmar[[#This Row],[Medição 
Água Quente]]/1000</f>
        <v>54.648000000000003</v>
      </c>
      <c r="J26" s="15">
        <f>IF(tbl_medmar[[#This Row],[Total]]&gt;0,tbl_medmar[[#This Row],[Total]]/VLOOKUP(tbl_medmar[[#This Row],[Apto]],tbl_medfev[[Apto]:[Total]],6,FALSE)-1,"")</f>
        <v>0.14816371123623839</v>
      </c>
      <c r="K26" s="15">
        <f>IF(tbl_medmar[[#This Row],[Utilização (%)]]&lt;&gt;"",ALERTA_INDIVIDUAL-tbl_medmar[[#This Row],[Utilização (%)]],"")</f>
        <v>0.10183628876376161</v>
      </c>
    </row>
    <row r="27" spans="1:11" x14ac:dyDescent="0.25">
      <c r="A27" s="2">
        <f>tbl_consolidacao[[#This Row],[Torre]]</f>
        <v>1</v>
      </c>
      <c r="B27" s="2" t="str">
        <f>tbl_consolidacao[[#This Row],[Junta]]</f>
        <v>B</v>
      </c>
      <c r="C27" s="2">
        <f>tbl_consolidacao[[#This Row],[Unid]]</f>
        <v>207</v>
      </c>
      <c r="D27" s="2" t="str">
        <f>tbl_consolidacao[[#This Row],[Apto]]</f>
        <v>207-B1</v>
      </c>
      <c r="E27" s="2">
        <f>tbl_meddez_anterior[[#This Row],[Hidrometro]]</f>
        <v>1258</v>
      </c>
      <c r="F27" s="13">
        <v>5170</v>
      </c>
      <c r="G27" s="16">
        <f>tbl_meddez_anterior[[#This Row],[Hidrometro]]</f>
        <v>1258</v>
      </c>
      <c r="H27" s="14">
        <v>2948</v>
      </c>
      <c r="I27" s="2">
        <f>tbl_medmar[[#This Row],[Medição 
Água Fria]]/100+tbl_medmar[[#This Row],[Medição 
Água Quente]]/1000</f>
        <v>54.648000000000003</v>
      </c>
      <c r="J27" s="15">
        <f>IF(tbl_medmar[[#This Row],[Total]]&gt;0,tbl_medmar[[#This Row],[Total]]/VLOOKUP(tbl_medmar[[#This Row],[Apto]],tbl_medfev[[Apto]:[Total]],6,FALSE)-1,"")</f>
        <v>0.14816371123623839</v>
      </c>
      <c r="K27" s="15">
        <f>IF(tbl_medmar[[#This Row],[Utilização (%)]]&lt;&gt;"",ALERTA_INDIVIDUAL-tbl_medmar[[#This Row],[Utilização (%)]],"")</f>
        <v>0.10183628876376161</v>
      </c>
    </row>
    <row r="28" spans="1:11" x14ac:dyDescent="0.25">
      <c r="A28" s="2">
        <f>tbl_consolidacao[[#This Row],[Torre]]</f>
        <v>2</v>
      </c>
      <c r="B28" s="2" t="str">
        <f>tbl_consolidacao[[#This Row],[Junta]]</f>
        <v>B</v>
      </c>
      <c r="C28" s="2">
        <f>tbl_consolidacao[[#This Row],[Unid]]</f>
        <v>207</v>
      </c>
      <c r="D28" s="2" t="str">
        <f>tbl_consolidacao[[#This Row],[Apto]]</f>
        <v>207-B2</v>
      </c>
      <c r="E28" s="2">
        <f>tbl_meddez_anterior[[#This Row],[Hidrometro]]</f>
        <v>1259</v>
      </c>
      <c r="F28" s="13">
        <v>5170</v>
      </c>
      <c r="G28" s="16">
        <f>tbl_meddez_anterior[[#This Row],[Hidrometro]]</f>
        <v>1259</v>
      </c>
      <c r="H28" s="14">
        <v>2948</v>
      </c>
      <c r="I28" s="2">
        <f>tbl_medmar[[#This Row],[Medição 
Água Fria]]/100+tbl_medmar[[#This Row],[Medição 
Água Quente]]/1000</f>
        <v>54.648000000000003</v>
      </c>
      <c r="J28" s="15">
        <f>IF(tbl_medmar[[#This Row],[Total]]&gt;0,tbl_medmar[[#This Row],[Total]]/VLOOKUP(tbl_medmar[[#This Row],[Apto]],tbl_medfev[[Apto]:[Total]],6,FALSE)-1,"")</f>
        <v>0.14816371123623839</v>
      </c>
      <c r="K28" s="15">
        <f>IF(tbl_medmar[[#This Row],[Utilização (%)]]&lt;&gt;"",ALERTA_INDIVIDUAL-tbl_medmar[[#This Row],[Utilização (%)]],"")</f>
        <v>0.10183628876376161</v>
      </c>
    </row>
    <row r="29" spans="1:11" x14ac:dyDescent="0.25">
      <c r="A29" s="2">
        <f>tbl_consolidacao[[#This Row],[Torre]]</f>
        <v>1</v>
      </c>
      <c r="B29" s="2" t="str">
        <f>tbl_consolidacao[[#This Row],[Junta]]</f>
        <v>B</v>
      </c>
      <c r="C29" s="2">
        <f>tbl_consolidacao[[#This Row],[Unid]]</f>
        <v>208</v>
      </c>
      <c r="D29" s="2" t="str">
        <f>tbl_consolidacao[[#This Row],[Apto]]</f>
        <v>208-B1</v>
      </c>
      <c r="E29" s="2">
        <f>tbl_meddez_anterior[[#This Row],[Hidrometro]]</f>
        <v>1260</v>
      </c>
      <c r="F29" s="13">
        <v>5170</v>
      </c>
      <c r="G29" s="16">
        <f>tbl_meddez_anterior[[#This Row],[Hidrometro]]</f>
        <v>1260</v>
      </c>
      <c r="H29" s="14">
        <v>2948</v>
      </c>
      <c r="I29" s="2">
        <f>tbl_medmar[[#This Row],[Medição 
Água Fria]]/100+tbl_medmar[[#This Row],[Medição 
Água Quente]]/1000</f>
        <v>54.648000000000003</v>
      </c>
      <c r="J29" s="15">
        <f>IF(tbl_medmar[[#This Row],[Total]]&gt;0,tbl_medmar[[#This Row],[Total]]/VLOOKUP(tbl_medmar[[#This Row],[Apto]],tbl_medfev[[Apto]:[Total]],6,FALSE)-1,"")</f>
        <v>0.14816371123623839</v>
      </c>
      <c r="K29" s="15">
        <f>IF(tbl_medmar[[#This Row],[Utilização (%)]]&lt;&gt;"",ALERTA_INDIVIDUAL-tbl_medmar[[#This Row],[Utilização (%)]],"")</f>
        <v>0.10183628876376161</v>
      </c>
    </row>
    <row r="30" spans="1:11" x14ac:dyDescent="0.25">
      <c r="A30" s="2">
        <f>tbl_consolidacao[[#This Row],[Torre]]</f>
        <v>2</v>
      </c>
      <c r="B30" s="2" t="str">
        <f>tbl_consolidacao[[#This Row],[Junta]]</f>
        <v>B</v>
      </c>
      <c r="C30" s="2">
        <f>tbl_consolidacao[[#This Row],[Unid]]</f>
        <v>208</v>
      </c>
      <c r="D30" s="2" t="str">
        <f>tbl_consolidacao[[#This Row],[Apto]]</f>
        <v>208-B2</v>
      </c>
      <c r="E30" s="2">
        <f>tbl_meddez_anterior[[#This Row],[Hidrometro]]</f>
        <v>1261</v>
      </c>
      <c r="F30" s="13">
        <v>5170</v>
      </c>
      <c r="G30" s="16">
        <f>tbl_meddez_anterior[[#This Row],[Hidrometro]]</f>
        <v>1261</v>
      </c>
      <c r="H30" s="14">
        <v>2948</v>
      </c>
      <c r="I30" s="2">
        <f>tbl_medmar[[#This Row],[Medição 
Água Fria]]/100+tbl_medmar[[#This Row],[Medição 
Água Quente]]/1000</f>
        <v>54.648000000000003</v>
      </c>
      <c r="J30" s="15">
        <f>IF(tbl_medmar[[#This Row],[Total]]&gt;0,tbl_medmar[[#This Row],[Total]]/VLOOKUP(tbl_medmar[[#This Row],[Apto]],tbl_medfev[[Apto]:[Total]],6,FALSE)-1,"")</f>
        <v>0.14816371123623839</v>
      </c>
      <c r="K30" s="15">
        <f>IF(tbl_medmar[[#This Row],[Utilização (%)]]&lt;&gt;"",ALERTA_INDIVIDUAL-tbl_medmar[[#This Row],[Utilização (%)]],"")</f>
        <v>0.10183628876376161</v>
      </c>
    </row>
    <row r="31" spans="1:11" x14ac:dyDescent="0.25">
      <c r="A31" s="2">
        <f>tbl_consolidacao[[#This Row],[Torre]]</f>
        <v>1</v>
      </c>
      <c r="B31" s="2" t="str">
        <f>tbl_consolidacao[[#This Row],[Junta]]</f>
        <v>A</v>
      </c>
      <c r="C31" s="2">
        <f>tbl_consolidacao[[#This Row],[Unid]]</f>
        <v>301</v>
      </c>
      <c r="D31" s="2" t="str">
        <f>tbl_consolidacao[[#This Row],[Apto]]</f>
        <v>301-A1</v>
      </c>
      <c r="E31" s="2">
        <f>tbl_meddez_anterior[[#This Row],[Hidrometro]]</f>
        <v>1262</v>
      </c>
      <c r="F31" s="13">
        <v>5170</v>
      </c>
      <c r="G31" s="16">
        <f>tbl_meddez_anterior[[#This Row],[Hidrometro]]</f>
        <v>1262</v>
      </c>
      <c r="H31" s="14">
        <v>2948</v>
      </c>
      <c r="I31" s="2">
        <f>tbl_medmar[[#This Row],[Medição 
Água Fria]]/100+tbl_medmar[[#This Row],[Medição 
Água Quente]]/1000</f>
        <v>54.648000000000003</v>
      </c>
      <c r="J31" s="15">
        <f>IF(tbl_medmar[[#This Row],[Total]]&gt;0,tbl_medmar[[#This Row],[Total]]/VLOOKUP(tbl_medmar[[#This Row],[Apto]],tbl_medfev[[Apto]:[Total]],6,FALSE)-1,"")</f>
        <v>0.14816371123623839</v>
      </c>
      <c r="K31" s="15">
        <f>IF(tbl_medmar[[#This Row],[Utilização (%)]]&lt;&gt;"",ALERTA_INDIVIDUAL-tbl_medmar[[#This Row],[Utilização (%)]],"")</f>
        <v>0.10183628876376161</v>
      </c>
    </row>
    <row r="32" spans="1:11" x14ac:dyDescent="0.25">
      <c r="A32" s="2">
        <f>tbl_consolidacao[[#This Row],[Torre]]</f>
        <v>2</v>
      </c>
      <c r="B32" s="2" t="str">
        <f>tbl_consolidacao[[#This Row],[Junta]]</f>
        <v>A</v>
      </c>
      <c r="C32" s="2">
        <f>tbl_consolidacao[[#This Row],[Unid]]</f>
        <v>301</v>
      </c>
      <c r="D32" s="2" t="str">
        <f>tbl_consolidacao[[#This Row],[Apto]]</f>
        <v>301-A2</v>
      </c>
      <c r="E32" s="2">
        <f>tbl_meddez_anterior[[#This Row],[Hidrometro]]</f>
        <v>1263</v>
      </c>
      <c r="F32" s="13">
        <v>5170</v>
      </c>
      <c r="G32" s="16">
        <f>tbl_meddez_anterior[[#This Row],[Hidrometro]]</f>
        <v>1263</v>
      </c>
      <c r="H32" s="14">
        <v>2948</v>
      </c>
      <c r="I32" s="2">
        <f>tbl_medmar[[#This Row],[Medição 
Água Fria]]/100+tbl_medmar[[#This Row],[Medição 
Água Quente]]/1000</f>
        <v>54.648000000000003</v>
      </c>
      <c r="J32" s="15">
        <f>IF(tbl_medmar[[#This Row],[Total]]&gt;0,tbl_medmar[[#This Row],[Total]]/VLOOKUP(tbl_medmar[[#This Row],[Apto]],tbl_medfev[[Apto]:[Total]],6,FALSE)-1,"")</f>
        <v>0.14816371123623839</v>
      </c>
      <c r="K32" s="15">
        <f>IF(tbl_medmar[[#This Row],[Utilização (%)]]&lt;&gt;"",ALERTA_INDIVIDUAL-tbl_medmar[[#This Row],[Utilização (%)]],"")</f>
        <v>0.10183628876376161</v>
      </c>
    </row>
    <row r="33" spans="1:11" x14ac:dyDescent="0.25">
      <c r="A33" s="2">
        <f>tbl_consolidacao[[#This Row],[Torre]]</f>
        <v>1</v>
      </c>
      <c r="B33" s="2" t="str">
        <f>tbl_consolidacao[[#This Row],[Junta]]</f>
        <v>A</v>
      </c>
      <c r="C33" s="2">
        <f>tbl_consolidacao[[#This Row],[Unid]]</f>
        <v>302</v>
      </c>
      <c r="D33" s="2" t="str">
        <f>tbl_consolidacao[[#This Row],[Apto]]</f>
        <v>302-A1</v>
      </c>
      <c r="E33" s="2">
        <f>tbl_meddez_anterior[[#This Row],[Hidrometro]]</f>
        <v>1264</v>
      </c>
      <c r="F33" s="13">
        <v>5170</v>
      </c>
      <c r="G33" s="16">
        <f>tbl_meddez_anterior[[#This Row],[Hidrometro]]</f>
        <v>1264</v>
      </c>
      <c r="H33" s="14">
        <v>2948</v>
      </c>
      <c r="I33" s="2">
        <f>tbl_medmar[[#This Row],[Medição 
Água Fria]]/100+tbl_medmar[[#This Row],[Medição 
Água Quente]]/1000</f>
        <v>54.648000000000003</v>
      </c>
      <c r="J33" s="15">
        <f>IF(tbl_medmar[[#This Row],[Total]]&gt;0,tbl_medmar[[#This Row],[Total]]/VLOOKUP(tbl_medmar[[#This Row],[Apto]],tbl_medfev[[Apto]:[Total]],6,FALSE)-1,"")</f>
        <v>0.14816371123623839</v>
      </c>
      <c r="K33" s="15">
        <f>IF(tbl_medmar[[#This Row],[Utilização (%)]]&lt;&gt;"",ALERTA_INDIVIDUAL-tbl_medmar[[#This Row],[Utilização (%)]],"")</f>
        <v>0.10183628876376161</v>
      </c>
    </row>
    <row r="34" spans="1:11" x14ac:dyDescent="0.25">
      <c r="A34" s="2">
        <f>tbl_consolidacao[[#This Row],[Torre]]</f>
        <v>2</v>
      </c>
      <c r="B34" s="2" t="str">
        <f>tbl_consolidacao[[#This Row],[Junta]]</f>
        <v>A</v>
      </c>
      <c r="C34" s="2">
        <f>tbl_consolidacao[[#This Row],[Unid]]</f>
        <v>302</v>
      </c>
      <c r="D34" s="2" t="str">
        <f>tbl_consolidacao[[#This Row],[Apto]]</f>
        <v>302-A2</v>
      </c>
      <c r="E34" s="2">
        <f>tbl_meddez_anterior[[#This Row],[Hidrometro]]</f>
        <v>1265</v>
      </c>
      <c r="F34" s="13">
        <v>5170</v>
      </c>
      <c r="G34" s="16">
        <f>tbl_meddez_anterior[[#This Row],[Hidrometro]]</f>
        <v>1265</v>
      </c>
      <c r="H34" s="14">
        <v>2948</v>
      </c>
      <c r="I34" s="2">
        <f>tbl_medmar[[#This Row],[Medição 
Água Fria]]/100+tbl_medmar[[#This Row],[Medição 
Água Quente]]/1000</f>
        <v>54.648000000000003</v>
      </c>
      <c r="J34" s="15">
        <f>IF(tbl_medmar[[#This Row],[Total]]&gt;0,tbl_medmar[[#This Row],[Total]]/VLOOKUP(tbl_medmar[[#This Row],[Apto]],tbl_medfev[[Apto]:[Total]],6,FALSE)-1,"")</f>
        <v>0.14816371123623839</v>
      </c>
      <c r="K34" s="15">
        <f>IF(tbl_medmar[[#This Row],[Utilização (%)]]&lt;&gt;"",ALERTA_INDIVIDUAL-tbl_medmar[[#This Row],[Utilização (%)]],"")</f>
        <v>0.10183628876376161</v>
      </c>
    </row>
    <row r="35" spans="1:11" x14ac:dyDescent="0.25">
      <c r="A35" s="2">
        <f>tbl_consolidacao[[#This Row],[Torre]]</f>
        <v>1</v>
      </c>
      <c r="B35" s="2" t="str">
        <f>tbl_consolidacao[[#This Row],[Junta]]</f>
        <v>A</v>
      </c>
      <c r="C35" s="2">
        <f>tbl_consolidacao[[#This Row],[Unid]]</f>
        <v>303</v>
      </c>
      <c r="D35" s="2" t="str">
        <f>tbl_consolidacao[[#This Row],[Apto]]</f>
        <v>303-A1</v>
      </c>
      <c r="E35" s="2">
        <f>tbl_meddez_anterior[[#This Row],[Hidrometro]]</f>
        <v>1266</v>
      </c>
      <c r="F35" s="13">
        <v>5170</v>
      </c>
      <c r="G35" s="16">
        <f>tbl_meddez_anterior[[#This Row],[Hidrometro]]</f>
        <v>1266</v>
      </c>
      <c r="H35" s="14">
        <v>2948</v>
      </c>
      <c r="I35" s="2">
        <f>tbl_medmar[[#This Row],[Medição 
Água Fria]]/100+tbl_medmar[[#This Row],[Medição 
Água Quente]]/1000</f>
        <v>54.648000000000003</v>
      </c>
      <c r="J35" s="15">
        <f>IF(tbl_medmar[[#This Row],[Total]]&gt;0,tbl_medmar[[#This Row],[Total]]/VLOOKUP(tbl_medmar[[#This Row],[Apto]],tbl_medfev[[Apto]:[Total]],6,FALSE)-1,"")</f>
        <v>0.14816371123623839</v>
      </c>
      <c r="K35" s="15">
        <f>IF(tbl_medmar[[#This Row],[Utilização (%)]]&lt;&gt;"",ALERTA_INDIVIDUAL-tbl_medmar[[#This Row],[Utilização (%)]],"")</f>
        <v>0.10183628876376161</v>
      </c>
    </row>
    <row r="36" spans="1:11" x14ac:dyDescent="0.25">
      <c r="A36" s="2">
        <f>tbl_consolidacao[[#This Row],[Torre]]</f>
        <v>2</v>
      </c>
      <c r="B36" s="2" t="str">
        <f>tbl_consolidacao[[#This Row],[Junta]]</f>
        <v>A</v>
      </c>
      <c r="C36" s="2">
        <f>tbl_consolidacao[[#This Row],[Unid]]</f>
        <v>303</v>
      </c>
      <c r="D36" s="2" t="str">
        <f>tbl_consolidacao[[#This Row],[Apto]]</f>
        <v>303-A2</v>
      </c>
      <c r="E36" s="2">
        <f>tbl_meddez_anterior[[#This Row],[Hidrometro]]</f>
        <v>1267</v>
      </c>
      <c r="F36" s="13">
        <v>5170</v>
      </c>
      <c r="G36" s="16">
        <f>tbl_meddez_anterior[[#This Row],[Hidrometro]]</f>
        <v>1267</v>
      </c>
      <c r="H36" s="14">
        <v>2948</v>
      </c>
      <c r="I36" s="2">
        <f>tbl_medmar[[#This Row],[Medição 
Água Fria]]/100+tbl_medmar[[#This Row],[Medição 
Água Quente]]/1000</f>
        <v>54.648000000000003</v>
      </c>
      <c r="J36" s="15">
        <f>IF(tbl_medmar[[#This Row],[Total]]&gt;0,tbl_medmar[[#This Row],[Total]]/VLOOKUP(tbl_medmar[[#This Row],[Apto]],tbl_medfev[[Apto]:[Total]],6,FALSE)-1,"")</f>
        <v>0.14816371123623839</v>
      </c>
      <c r="K36" s="15">
        <f>IF(tbl_medmar[[#This Row],[Utilização (%)]]&lt;&gt;"",ALERTA_INDIVIDUAL-tbl_medmar[[#This Row],[Utilização (%)]],"")</f>
        <v>0.10183628876376161</v>
      </c>
    </row>
    <row r="37" spans="1:11" x14ac:dyDescent="0.25">
      <c r="A37" s="2">
        <f>tbl_consolidacao[[#This Row],[Torre]]</f>
        <v>1</v>
      </c>
      <c r="B37" s="2" t="str">
        <f>tbl_consolidacao[[#This Row],[Junta]]</f>
        <v>A</v>
      </c>
      <c r="C37" s="2">
        <f>tbl_consolidacao[[#This Row],[Unid]]</f>
        <v>304</v>
      </c>
      <c r="D37" s="2" t="str">
        <f>tbl_consolidacao[[#This Row],[Apto]]</f>
        <v>304-A1</v>
      </c>
      <c r="E37" s="2">
        <f>tbl_meddez_anterior[[#This Row],[Hidrometro]]</f>
        <v>1268</v>
      </c>
      <c r="F37" s="13">
        <v>5170</v>
      </c>
      <c r="G37" s="16">
        <f>tbl_meddez_anterior[[#This Row],[Hidrometro]]</f>
        <v>1268</v>
      </c>
      <c r="H37" s="14">
        <v>2948</v>
      </c>
      <c r="I37" s="2">
        <f>tbl_medmar[[#This Row],[Medição 
Água Fria]]/100+tbl_medmar[[#This Row],[Medição 
Água Quente]]/1000</f>
        <v>54.648000000000003</v>
      </c>
      <c r="J37" s="15">
        <f>IF(tbl_medmar[[#This Row],[Total]]&gt;0,tbl_medmar[[#This Row],[Total]]/VLOOKUP(tbl_medmar[[#This Row],[Apto]],tbl_medfev[[Apto]:[Total]],6,FALSE)-1,"")</f>
        <v>0.14816371123623839</v>
      </c>
      <c r="K37" s="15">
        <f>IF(tbl_medmar[[#This Row],[Utilização (%)]]&lt;&gt;"",ALERTA_INDIVIDUAL-tbl_medmar[[#This Row],[Utilização (%)]],"")</f>
        <v>0.10183628876376161</v>
      </c>
    </row>
    <row r="38" spans="1:11" x14ac:dyDescent="0.25">
      <c r="A38" s="2">
        <f>tbl_consolidacao[[#This Row],[Torre]]</f>
        <v>2</v>
      </c>
      <c r="B38" s="2" t="str">
        <f>tbl_consolidacao[[#This Row],[Junta]]</f>
        <v>A</v>
      </c>
      <c r="C38" s="2">
        <f>tbl_consolidacao[[#This Row],[Unid]]</f>
        <v>304</v>
      </c>
      <c r="D38" s="2" t="str">
        <f>tbl_consolidacao[[#This Row],[Apto]]</f>
        <v>304-A2</v>
      </c>
      <c r="E38" s="2">
        <f>tbl_meddez_anterior[[#This Row],[Hidrometro]]</f>
        <v>1269</v>
      </c>
      <c r="F38" s="13">
        <v>5170</v>
      </c>
      <c r="G38" s="16">
        <f>tbl_meddez_anterior[[#This Row],[Hidrometro]]</f>
        <v>1269</v>
      </c>
      <c r="H38" s="14">
        <v>2948</v>
      </c>
      <c r="I38" s="2">
        <f>tbl_medmar[[#This Row],[Medição 
Água Fria]]/100+tbl_medmar[[#This Row],[Medição 
Água Quente]]/1000</f>
        <v>54.648000000000003</v>
      </c>
      <c r="J38" s="15">
        <f>IF(tbl_medmar[[#This Row],[Total]]&gt;0,tbl_medmar[[#This Row],[Total]]/VLOOKUP(tbl_medmar[[#This Row],[Apto]],tbl_medfev[[Apto]:[Total]],6,FALSE)-1,"")</f>
        <v>0.14816371123623839</v>
      </c>
      <c r="K38" s="15">
        <f>IF(tbl_medmar[[#This Row],[Utilização (%)]]&lt;&gt;"",ALERTA_INDIVIDUAL-tbl_medmar[[#This Row],[Utilização (%)]],"")</f>
        <v>0.10183628876376161</v>
      </c>
    </row>
    <row r="39" spans="1:11" x14ac:dyDescent="0.25">
      <c r="A39" s="2">
        <f>tbl_consolidacao[[#This Row],[Torre]]</f>
        <v>1</v>
      </c>
      <c r="B39" s="2" t="str">
        <f>tbl_consolidacao[[#This Row],[Junta]]</f>
        <v>B</v>
      </c>
      <c r="C39" s="2">
        <f>tbl_consolidacao[[#This Row],[Unid]]</f>
        <v>305</v>
      </c>
      <c r="D39" s="2" t="str">
        <f>tbl_consolidacao[[#This Row],[Apto]]</f>
        <v>305-B1</v>
      </c>
      <c r="E39" s="2">
        <f>tbl_meddez_anterior[[#This Row],[Hidrometro]]</f>
        <v>1270</v>
      </c>
      <c r="F39" s="13">
        <v>5170</v>
      </c>
      <c r="G39" s="16">
        <f>tbl_meddez_anterior[[#This Row],[Hidrometro]]</f>
        <v>1270</v>
      </c>
      <c r="H39" s="14">
        <v>2948</v>
      </c>
      <c r="I39" s="2">
        <f>tbl_medmar[[#This Row],[Medição 
Água Fria]]/100+tbl_medmar[[#This Row],[Medição 
Água Quente]]/1000</f>
        <v>54.648000000000003</v>
      </c>
      <c r="J39" s="15">
        <f>IF(tbl_medmar[[#This Row],[Total]]&gt;0,tbl_medmar[[#This Row],[Total]]/VLOOKUP(tbl_medmar[[#This Row],[Apto]],tbl_medfev[[Apto]:[Total]],6,FALSE)-1,"")</f>
        <v>0.14816371123623839</v>
      </c>
      <c r="K39" s="15">
        <f>IF(tbl_medmar[[#This Row],[Utilização (%)]]&lt;&gt;"",ALERTA_INDIVIDUAL-tbl_medmar[[#This Row],[Utilização (%)]],"")</f>
        <v>0.10183628876376161</v>
      </c>
    </row>
    <row r="40" spans="1:11" x14ac:dyDescent="0.25">
      <c r="A40" s="2">
        <f>tbl_consolidacao[[#This Row],[Torre]]</f>
        <v>2</v>
      </c>
      <c r="B40" s="2" t="str">
        <f>tbl_consolidacao[[#This Row],[Junta]]</f>
        <v>B</v>
      </c>
      <c r="C40" s="2">
        <f>tbl_consolidacao[[#This Row],[Unid]]</f>
        <v>305</v>
      </c>
      <c r="D40" s="2" t="str">
        <f>tbl_consolidacao[[#This Row],[Apto]]</f>
        <v>305-B2</v>
      </c>
      <c r="E40" s="2">
        <f>tbl_meddez_anterior[[#This Row],[Hidrometro]]</f>
        <v>1271</v>
      </c>
      <c r="F40" s="13">
        <v>5170</v>
      </c>
      <c r="G40" s="16">
        <f>tbl_meddez_anterior[[#This Row],[Hidrometro]]</f>
        <v>1271</v>
      </c>
      <c r="H40" s="14">
        <v>2948</v>
      </c>
      <c r="I40" s="2">
        <f>tbl_medmar[[#This Row],[Medição 
Água Fria]]/100+tbl_medmar[[#This Row],[Medição 
Água Quente]]/1000</f>
        <v>54.648000000000003</v>
      </c>
      <c r="J40" s="15">
        <f>IF(tbl_medmar[[#This Row],[Total]]&gt;0,tbl_medmar[[#This Row],[Total]]/VLOOKUP(tbl_medmar[[#This Row],[Apto]],tbl_medfev[[Apto]:[Total]],6,FALSE)-1,"")</f>
        <v>0.14816371123623839</v>
      </c>
      <c r="K40" s="15">
        <f>IF(tbl_medmar[[#This Row],[Utilização (%)]]&lt;&gt;"",ALERTA_INDIVIDUAL-tbl_medmar[[#This Row],[Utilização (%)]],"")</f>
        <v>0.10183628876376161</v>
      </c>
    </row>
    <row r="41" spans="1:11" x14ac:dyDescent="0.25">
      <c r="A41" s="2">
        <f>tbl_consolidacao[[#This Row],[Torre]]</f>
        <v>1</v>
      </c>
      <c r="B41" s="2" t="str">
        <f>tbl_consolidacao[[#This Row],[Junta]]</f>
        <v>B</v>
      </c>
      <c r="C41" s="2">
        <f>tbl_consolidacao[[#This Row],[Unid]]</f>
        <v>306</v>
      </c>
      <c r="D41" s="2" t="str">
        <f>tbl_consolidacao[[#This Row],[Apto]]</f>
        <v>306-B1</v>
      </c>
      <c r="E41" s="2">
        <f>tbl_meddez_anterior[[#This Row],[Hidrometro]]</f>
        <v>1272</v>
      </c>
      <c r="F41" s="13">
        <v>5170</v>
      </c>
      <c r="G41" s="16">
        <f>tbl_meddez_anterior[[#This Row],[Hidrometro]]</f>
        <v>1272</v>
      </c>
      <c r="H41" s="14">
        <v>2948</v>
      </c>
      <c r="I41" s="2">
        <f>tbl_medmar[[#This Row],[Medição 
Água Fria]]/100+tbl_medmar[[#This Row],[Medição 
Água Quente]]/1000</f>
        <v>54.648000000000003</v>
      </c>
      <c r="J41" s="15">
        <f>IF(tbl_medmar[[#This Row],[Total]]&gt;0,tbl_medmar[[#This Row],[Total]]/VLOOKUP(tbl_medmar[[#This Row],[Apto]],tbl_medfev[[Apto]:[Total]],6,FALSE)-1,"")</f>
        <v>0.14816371123623839</v>
      </c>
      <c r="K41" s="15">
        <f>IF(tbl_medmar[[#This Row],[Utilização (%)]]&lt;&gt;"",ALERTA_INDIVIDUAL-tbl_medmar[[#This Row],[Utilização (%)]],"")</f>
        <v>0.10183628876376161</v>
      </c>
    </row>
    <row r="42" spans="1:11" x14ac:dyDescent="0.25">
      <c r="A42" s="2">
        <f>tbl_consolidacao[[#This Row],[Torre]]</f>
        <v>2</v>
      </c>
      <c r="B42" s="2" t="str">
        <f>tbl_consolidacao[[#This Row],[Junta]]</f>
        <v>B</v>
      </c>
      <c r="C42" s="2">
        <f>tbl_consolidacao[[#This Row],[Unid]]</f>
        <v>306</v>
      </c>
      <c r="D42" s="2" t="str">
        <f>tbl_consolidacao[[#This Row],[Apto]]</f>
        <v>306-B2</v>
      </c>
      <c r="E42" s="2">
        <f>tbl_meddez_anterior[[#This Row],[Hidrometro]]</f>
        <v>1273</v>
      </c>
      <c r="F42" s="13">
        <v>5170</v>
      </c>
      <c r="G42" s="16">
        <f>tbl_meddez_anterior[[#This Row],[Hidrometro]]</f>
        <v>1273</v>
      </c>
      <c r="H42" s="14">
        <v>2948</v>
      </c>
      <c r="I42" s="2">
        <f>tbl_medmar[[#This Row],[Medição 
Água Fria]]/100+tbl_medmar[[#This Row],[Medição 
Água Quente]]/1000</f>
        <v>54.648000000000003</v>
      </c>
      <c r="J42" s="15">
        <f>IF(tbl_medmar[[#This Row],[Total]]&gt;0,tbl_medmar[[#This Row],[Total]]/VLOOKUP(tbl_medmar[[#This Row],[Apto]],tbl_medfev[[Apto]:[Total]],6,FALSE)-1,"")</f>
        <v>0.14816371123623839</v>
      </c>
      <c r="K42" s="15">
        <f>IF(tbl_medmar[[#This Row],[Utilização (%)]]&lt;&gt;"",ALERTA_INDIVIDUAL-tbl_medmar[[#This Row],[Utilização (%)]],"")</f>
        <v>0.10183628876376161</v>
      </c>
    </row>
    <row r="43" spans="1:11" x14ac:dyDescent="0.25">
      <c r="A43" s="2">
        <f>tbl_consolidacao[[#This Row],[Torre]]</f>
        <v>1</v>
      </c>
      <c r="B43" s="2" t="str">
        <f>tbl_consolidacao[[#This Row],[Junta]]</f>
        <v>B</v>
      </c>
      <c r="C43" s="2">
        <f>tbl_consolidacao[[#This Row],[Unid]]</f>
        <v>307</v>
      </c>
      <c r="D43" s="2" t="str">
        <f>tbl_consolidacao[[#This Row],[Apto]]</f>
        <v>307-B1</v>
      </c>
      <c r="E43" s="2">
        <f>tbl_meddez_anterior[[#This Row],[Hidrometro]]</f>
        <v>1274</v>
      </c>
      <c r="F43" s="13">
        <v>5170</v>
      </c>
      <c r="G43" s="16">
        <f>tbl_meddez_anterior[[#This Row],[Hidrometro]]</f>
        <v>1274</v>
      </c>
      <c r="H43" s="14">
        <v>2948</v>
      </c>
      <c r="I43" s="2">
        <f>tbl_medmar[[#This Row],[Medição 
Água Fria]]/100+tbl_medmar[[#This Row],[Medição 
Água Quente]]/1000</f>
        <v>54.648000000000003</v>
      </c>
      <c r="J43" s="15">
        <f>IF(tbl_medmar[[#This Row],[Total]]&gt;0,tbl_medmar[[#This Row],[Total]]/VLOOKUP(tbl_medmar[[#This Row],[Apto]],tbl_medfev[[Apto]:[Total]],6,FALSE)-1,"")</f>
        <v>0.14816371123623839</v>
      </c>
      <c r="K43" s="15">
        <f>IF(tbl_medmar[[#This Row],[Utilização (%)]]&lt;&gt;"",ALERTA_INDIVIDUAL-tbl_medmar[[#This Row],[Utilização (%)]],"")</f>
        <v>0.10183628876376161</v>
      </c>
    </row>
    <row r="44" spans="1:11" x14ac:dyDescent="0.25">
      <c r="A44" s="2">
        <f>tbl_consolidacao[[#This Row],[Torre]]</f>
        <v>2</v>
      </c>
      <c r="B44" s="2" t="str">
        <f>tbl_consolidacao[[#This Row],[Junta]]</f>
        <v>B</v>
      </c>
      <c r="C44" s="2">
        <f>tbl_consolidacao[[#This Row],[Unid]]</f>
        <v>307</v>
      </c>
      <c r="D44" s="2" t="str">
        <f>tbl_consolidacao[[#This Row],[Apto]]</f>
        <v>307-B2</v>
      </c>
      <c r="E44" s="2">
        <f>tbl_meddez_anterior[[#This Row],[Hidrometro]]</f>
        <v>1275</v>
      </c>
      <c r="F44" s="13">
        <v>5170</v>
      </c>
      <c r="G44" s="16">
        <f>tbl_meddez_anterior[[#This Row],[Hidrometro]]</f>
        <v>1275</v>
      </c>
      <c r="H44" s="14">
        <v>2948</v>
      </c>
      <c r="I44" s="2">
        <f>tbl_medmar[[#This Row],[Medição 
Água Fria]]/100+tbl_medmar[[#This Row],[Medição 
Água Quente]]/1000</f>
        <v>54.648000000000003</v>
      </c>
      <c r="J44" s="15">
        <f>IF(tbl_medmar[[#This Row],[Total]]&gt;0,tbl_medmar[[#This Row],[Total]]/VLOOKUP(tbl_medmar[[#This Row],[Apto]],tbl_medfev[[Apto]:[Total]],6,FALSE)-1,"")</f>
        <v>0.14816371123623839</v>
      </c>
      <c r="K44" s="15">
        <f>IF(tbl_medmar[[#This Row],[Utilização (%)]]&lt;&gt;"",ALERTA_INDIVIDUAL-tbl_medmar[[#This Row],[Utilização (%)]],"")</f>
        <v>0.10183628876376161</v>
      </c>
    </row>
    <row r="45" spans="1:11" x14ac:dyDescent="0.25">
      <c r="A45" s="2">
        <f>tbl_consolidacao[[#This Row],[Torre]]</f>
        <v>1</v>
      </c>
      <c r="B45" s="2" t="str">
        <f>tbl_consolidacao[[#This Row],[Junta]]</f>
        <v>B</v>
      </c>
      <c r="C45" s="2">
        <f>tbl_consolidacao[[#This Row],[Unid]]</f>
        <v>308</v>
      </c>
      <c r="D45" s="2" t="str">
        <f>tbl_consolidacao[[#This Row],[Apto]]</f>
        <v>308-B1</v>
      </c>
      <c r="E45" s="2">
        <f>tbl_meddez_anterior[[#This Row],[Hidrometro]]</f>
        <v>1276</v>
      </c>
      <c r="F45" s="13">
        <v>5170</v>
      </c>
      <c r="G45" s="16">
        <f>tbl_meddez_anterior[[#This Row],[Hidrometro]]</f>
        <v>1276</v>
      </c>
      <c r="H45" s="14">
        <v>2948</v>
      </c>
      <c r="I45" s="2">
        <f>tbl_medmar[[#This Row],[Medição 
Água Fria]]/100+tbl_medmar[[#This Row],[Medição 
Água Quente]]/1000</f>
        <v>54.648000000000003</v>
      </c>
      <c r="J45" s="15">
        <f>IF(tbl_medmar[[#This Row],[Total]]&gt;0,tbl_medmar[[#This Row],[Total]]/VLOOKUP(tbl_medmar[[#This Row],[Apto]],tbl_medfev[[Apto]:[Total]],6,FALSE)-1,"")</f>
        <v>0.14816371123623839</v>
      </c>
      <c r="K45" s="15">
        <f>IF(tbl_medmar[[#This Row],[Utilização (%)]]&lt;&gt;"",ALERTA_INDIVIDUAL-tbl_medmar[[#This Row],[Utilização (%)]],"")</f>
        <v>0.10183628876376161</v>
      </c>
    </row>
    <row r="46" spans="1:11" x14ac:dyDescent="0.25">
      <c r="A46" s="2">
        <f>tbl_consolidacao[[#This Row],[Torre]]</f>
        <v>2</v>
      </c>
      <c r="B46" s="2" t="str">
        <f>tbl_consolidacao[[#This Row],[Junta]]</f>
        <v>B</v>
      </c>
      <c r="C46" s="2">
        <f>tbl_consolidacao[[#This Row],[Unid]]</f>
        <v>308</v>
      </c>
      <c r="D46" s="2" t="str">
        <f>tbl_consolidacao[[#This Row],[Apto]]</f>
        <v>308-B2</v>
      </c>
      <c r="E46" s="2">
        <f>tbl_meddez_anterior[[#This Row],[Hidrometro]]</f>
        <v>1277</v>
      </c>
      <c r="F46" s="13">
        <v>5170</v>
      </c>
      <c r="G46" s="16">
        <f>tbl_meddez_anterior[[#This Row],[Hidrometro]]</f>
        <v>1277</v>
      </c>
      <c r="H46" s="14">
        <v>2948</v>
      </c>
      <c r="I46" s="2">
        <f>tbl_medmar[[#This Row],[Medição 
Água Fria]]/100+tbl_medmar[[#This Row],[Medição 
Água Quente]]/1000</f>
        <v>54.648000000000003</v>
      </c>
      <c r="J46" s="15">
        <f>IF(tbl_medmar[[#This Row],[Total]]&gt;0,tbl_medmar[[#This Row],[Total]]/VLOOKUP(tbl_medmar[[#This Row],[Apto]],tbl_medfev[[Apto]:[Total]],6,FALSE)-1,"")</f>
        <v>0.14816371123623839</v>
      </c>
      <c r="K46" s="15">
        <f>IF(tbl_medmar[[#This Row],[Utilização (%)]]&lt;&gt;"",ALERTA_INDIVIDUAL-tbl_medmar[[#This Row],[Utilização (%)]],"")</f>
        <v>0.10183628876376161</v>
      </c>
    </row>
  </sheetData>
  <sheetProtection algorithmName="SHA-512" hashValue="+d6vyklFFYk2AyWl8qwAFccy/sGyTC1+2PyqIeez5xzL2ppdinIPYKRXUjG0WVJLAg2OPQcuQVYvcsTc+LZgUQ==" saltValue="JpcoHEiqrTQhoIkFWnYPyg==" spinCount="100000" sheet="1" objects="1" scenarios="1" selectLockedCells="1"/>
  <mergeCells count="3">
    <mergeCell ref="E1:F1"/>
    <mergeCell ref="G1:H1"/>
    <mergeCell ref="I1:J1"/>
  </mergeCells>
  <conditionalFormatting sqref="K3:K46">
    <cfRule type="iconSet" priority="51">
      <iconSet iconSet="3Flags" showValue="0">
        <cfvo type="percent" val="0"/>
        <cfvo type="percent" val="5"/>
        <cfvo type="percent" val="1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K46"/>
  <sheetViews>
    <sheetView showGridLines="0" workbookViewId="0">
      <selection activeCell="G1" sqref="G1:H1"/>
    </sheetView>
  </sheetViews>
  <sheetFormatPr defaultRowHeight="15" x14ac:dyDescent="0.25"/>
  <cols>
    <col min="1" max="3" width="7.7109375" customWidth="1"/>
    <col min="4" max="4" width="10.7109375" customWidth="1"/>
    <col min="5" max="9" width="12.7109375" customWidth="1"/>
    <col min="10" max="10" width="10.7109375" customWidth="1"/>
    <col min="11" max="11" width="3.7109375" customWidth="1"/>
  </cols>
  <sheetData>
    <row r="1" spans="1:11" ht="23.25" x14ac:dyDescent="0.35">
      <c r="E1" s="53" t="s">
        <v>48</v>
      </c>
      <c r="F1" s="53"/>
      <c r="G1" s="54"/>
      <c r="H1" s="54"/>
      <c r="I1" s="55" t="str">
        <f>IF(G1&lt;&gt;"",TEXT(G1,"mmmm-aa"),"")</f>
        <v/>
      </c>
      <c r="J1" s="55"/>
    </row>
    <row r="2" spans="1:11" ht="65.099999999999994" customHeight="1" x14ac:dyDescent="0.25">
      <c r="A2" s="3" t="s">
        <v>24</v>
      </c>
      <c r="B2" s="3" t="s">
        <v>25</v>
      </c>
      <c r="C2" s="3" t="s">
        <v>26</v>
      </c>
      <c r="D2" s="3" t="s">
        <v>49</v>
      </c>
      <c r="E2" s="3" t="s">
        <v>27</v>
      </c>
      <c r="F2" s="12" t="s">
        <v>43</v>
      </c>
      <c r="G2" s="10" t="s">
        <v>30</v>
      </c>
      <c r="H2" s="11" t="s">
        <v>44</v>
      </c>
      <c r="I2" s="3" t="s">
        <v>45</v>
      </c>
      <c r="J2" s="3" t="s">
        <v>46</v>
      </c>
      <c r="K2" s="3" t="s">
        <v>19</v>
      </c>
    </row>
    <row r="3" spans="1:11" x14ac:dyDescent="0.25">
      <c r="A3" s="2">
        <f>tbl_consolidacao[[#This Row],[Torre]]</f>
        <v>1</v>
      </c>
      <c r="B3" s="2" t="str">
        <f>tbl_consolidacao[[#This Row],[Junta]]</f>
        <v>A</v>
      </c>
      <c r="C3" s="2">
        <f>tbl_consolidacao[[#This Row],[Unid]]</f>
        <v>101</v>
      </c>
      <c r="D3" s="2" t="str">
        <f>tbl_consolidacao[[#This Row],[Apto]]</f>
        <v>101-A1</v>
      </c>
      <c r="E3" s="2">
        <f>tbl_meddez_anterior[[#This Row],[Hidrometro]]</f>
        <v>1234</v>
      </c>
      <c r="F3" s="13"/>
      <c r="G3" s="16">
        <f>tbl_meddez_anterior[[#This Row],[Hidrometro]]</f>
        <v>1234</v>
      </c>
      <c r="H3" s="14"/>
      <c r="I3" s="2">
        <f>tbl_medabr[[#This Row],[Medição 
Água Fria]]/100+tbl_medabr[[#This Row],[Medição 
Água Quente]]/1000</f>
        <v>0</v>
      </c>
      <c r="J3" s="15" t="str">
        <f>IF(tbl_medabr[[#This Row],[Total]]&gt;0,tbl_medabr[[#This Row],[Total]]/VLOOKUP(tbl_medabr[[#This Row],[Apto]],tbl_medfev[[Apto]:[Total]],6,FALSE)-1,"")</f>
        <v/>
      </c>
      <c r="K3" s="15" t="str">
        <f>IF(tbl_medabr[[#This Row],[Utilização (%)]]&lt;&gt;"",ALERTA_INDIVIDUAL-tbl_medabr[[#This Row],[Utilização (%)]],"")</f>
        <v/>
      </c>
    </row>
    <row r="4" spans="1:11" x14ac:dyDescent="0.25">
      <c r="A4" s="2">
        <f>tbl_consolidacao[[#This Row],[Torre]]</f>
        <v>2</v>
      </c>
      <c r="B4" s="2" t="str">
        <f>tbl_consolidacao[[#This Row],[Junta]]</f>
        <v>A</v>
      </c>
      <c r="C4" s="2">
        <f>tbl_consolidacao[[#This Row],[Unid]]</f>
        <v>101</v>
      </c>
      <c r="D4" s="2" t="str">
        <f>tbl_consolidacao[[#This Row],[Apto]]</f>
        <v>101-A2</v>
      </c>
      <c r="E4" s="2">
        <f>tbl_meddez_anterior[[#This Row],[Hidrometro]]</f>
        <v>1235</v>
      </c>
      <c r="F4" s="13"/>
      <c r="G4" s="16">
        <f>tbl_meddez_anterior[[#This Row],[Hidrometro]]</f>
        <v>1235</v>
      </c>
      <c r="H4" s="14"/>
      <c r="I4" s="2">
        <f>tbl_medabr[[#This Row],[Medição 
Água Fria]]/100+tbl_medabr[[#This Row],[Medição 
Água Quente]]/1000</f>
        <v>0</v>
      </c>
      <c r="J4" s="15" t="str">
        <f>IF(tbl_medabr[[#This Row],[Total]]&gt;0,tbl_medabr[[#This Row],[Total]]/VLOOKUP(tbl_medabr[[#This Row],[Apto]],tbl_medfev[[Apto]:[Total]],6,FALSE)-1,"")</f>
        <v/>
      </c>
      <c r="K4" s="15" t="str">
        <f>IF(tbl_medabr[[#This Row],[Utilização (%)]]&lt;&gt;"",ALERTA_INDIVIDUAL-tbl_medabr[[#This Row],[Utilização (%)]],"")</f>
        <v/>
      </c>
    </row>
    <row r="5" spans="1:11" x14ac:dyDescent="0.25">
      <c r="A5" s="2">
        <f>tbl_consolidacao[[#This Row],[Torre]]</f>
        <v>1</v>
      </c>
      <c r="B5" s="2" t="str">
        <f>tbl_consolidacao[[#This Row],[Junta]]</f>
        <v>A</v>
      </c>
      <c r="C5" s="2">
        <f>tbl_consolidacao[[#This Row],[Unid]]</f>
        <v>102</v>
      </c>
      <c r="D5" s="2" t="str">
        <f>tbl_consolidacao[[#This Row],[Apto]]</f>
        <v>102-A1</v>
      </c>
      <c r="E5" s="2">
        <f>tbl_meddez_anterior[[#This Row],[Hidrometro]]</f>
        <v>1236</v>
      </c>
      <c r="F5" s="13"/>
      <c r="G5" s="16">
        <f>tbl_meddez_anterior[[#This Row],[Hidrometro]]</f>
        <v>1236</v>
      </c>
      <c r="H5" s="14"/>
      <c r="I5" s="2">
        <f>tbl_medabr[[#This Row],[Medição 
Água Fria]]/100+tbl_medabr[[#This Row],[Medição 
Água Quente]]/1000</f>
        <v>0</v>
      </c>
      <c r="J5" s="15" t="str">
        <f>IF(tbl_medabr[[#This Row],[Total]]&gt;0,tbl_medabr[[#This Row],[Total]]/VLOOKUP(tbl_medabr[[#This Row],[Apto]],tbl_medfev[[Apto]:[Total]],6,FALSE)-1,"")</f>
        <v/>
      </c>
      <c r="K5" s="15" t="str">
        <f>IF(tbl_medabr[[#This Row],[Utilização (%)]]&lt;&gt;"",ALERTA_INDIVIDUAL-tbl_medabr[[#This Row],[Utilização (%)]],"")</f>
        <v/>
      </c>
    </row>
    <row r="6" spans="1:11" x14ac:dyDescent="0.25">
      <c r="A6" s="2">
        <f>tbl_consolidacao[[#This Row],[Torre]]</f>
        <v>2</v>
      </c>
      <c r="B6" s="2" t="str">
        <f>tbl_consolidacao[[#This Row],[Junta]]</f>
        <v>A</v>
      </c>
      <c r="C6" s="2">
        <f>tbl_consolidacao[[#This Row],[Unid]]</f>
        <v>102</v>
      </c>
      <c r="D6" s="2" t="str">
        <f>tbl_consolidacao[[#This Row],[Apto]]</f>
        <v>102-A2</v>
      </c>
      <c r="E6" s="2">
        <f>tbl_meddez_anterior[[#This Row],[Hidrometro]]</f>
        <v>1237</v>
      </c>
      <c r="F6" s="13"/>
      <c r="G6" s="16">
        <f>tbl_meddez_anterior[[#This Row],[Hidrometro]]</f>
        <v>1237</v>
      </c>
      <c r="H6" s="14"/>
      <c r="I6" s="2">
        <f>tbl_medabr[[#This Row],[Medição 
Água Fria]]/100+tbl_medabr[[#This Row],[Medição 
Água Quente]]/1000</f>
        <v>0</v>
      </c>
      <c r="J6" s="15" t="str">
        <f>IF(tbl_medabr[[#This Row],[Total]]&gt;0,tbl_medabr[[#This Row],[Total]]/VLOOKUP(tbl_medabr[[#This Row],[Apto]],tbl_medfev[[Apto]:[Total]],6,FALSE)-1,"")</f>
        <v/>
      </c>
      <c r="K6" s="15" t="str">
        <f>IF(tbl_medabr[[#This Row],[Utilização (%)]]&lt;&gt;"",ALERTA_INDIVIDUAL-tbl_medabr[[#This Row],[Utilização (%)]],"")</f>
        <v/>
      </c>
    </row>
    <row r="7" spans="1:11" x14ac:dyDescent="0.25">
      <c r="A7" s="2">
        <f>tbl_consolidacao[[#This Row],[Torre]]</f>
        <v>1</v>
      </c>
      <c r="B7" s="2" t="str">
        <f>tbl_consolidacao[[#This Row],[Junta]]</f>
        <v>A</v>
      </c>
      <c r="C7" s="2">
        <f>tbl_consolidacao[[#This Row],[Unid]]</f>
        <v>103</v>
      </c>
      <c r="D7" s="2" t="str">
        <f>tbl_consolidacao[[#This Row],[Apto]]</f>
        <v>103-A1</v>
      </c>
      <c r="E7" s="2">
        <f>tbl_meddez_anterior[[#This Row],[Hidrometro]]</f>
        <v>1238</v>
      </c>
      <c r="F7" s="13"/>
      <c r="G7" s="16">
        <f>tbl_meddez_anterior[[#This Row],[Hidrometro]]</f>
        <v>1238</v>
      </c>
      <c r="H7" s="14"/>
      <c r="I7" s="2">
        <f>tbl_medabr[[#This Row],[Medição 
Água Fria]]/100+tbl_medabr[[#This Row],[Medição 
Água Quente]]/1000</f>
        <v>0</v>
      </c>
      <c r="J7" s="15" t="str">
        <f>IF(tbl_medabr[[#This Row],[Total]]&gt;0,tbl_medabr[[#This Row],[Total]]/VLOOKUP(tbl_medabr[[#This Row],[Apto]],tbl_medfev[[Apto]:[Total]],6,FALSE)-1,"")</f>
        <v/>
      </c>
      <c r="K7" s="15" t="str">
        <f>IF(tbl_medabr[[#This Row],[Utilização (%)]]&lt;&gt;"",ALERTA_INDIVIDUAL-tbl_medabr[[#This Row],[Utilização (%)]],"")</f>
        <v/>
      </c>
    </row>
    <row r="8" spans="1:11" x14ac:dyDescent="0.25">
      <c r="A8" s="2">
        <f>tbl_consolidacao[[#This Row],[Torre]]</f>
        <v>2</v>
      </c>
      <c r="B8" s="2" t="str">
        <f>tbl_consolidacao[[#This Row],[Junta]]</f>
        <v>A</v>
      </c>
      <c r="C8" s="2">
        <f>tbl_consolidacao[[#This Row],[Unid]]</f>
        <v>103</v>
      </c>
      <c r="D8" s="2" t="str">
        <f>tbl_consolidacao[[#This Row],[Apto]]</f>
        <v>103-A2</v>
      </c>
      <c r="E8" s="2">
        <f>tbl_meddez_anterior[[#This Row],[Hidrometro]]</f>
        <v>1239</v>
      </c>
      <c r="F8" s="13"/>
      <c r="G8" s="16">
        <f>tbl_meddez_anterior[[#This Row],[Hidrometro]]</f>
        <v>1239</v>
      </c>
      <c r="H8" s="14"/>
      <c r="I8" s="2">
        <f>tbl_medabr[[#This Row],[Medição 
Água Fria]]/100+tbl_medabr[[#This Row],[Medição 
Água Quente]]/1000</f>
        <v>0</v>
      </c>
      <c r="J8" s="15" t="str">
        <f>IF(tbl_medabr[[#This Row],[Total]]&gt;0,tbl_medabr[[#This Row],[Total]]/VLOOKUP(tbl_medabr[[#This Row],[Apto]],tbl_medfev[[Apto]:[Total]],6,FALSE)-1,"")</f>
        <v/>
      </c>
      <c r="K8" s="15" t="str">
        <f>IF(tbl_medabr[[#This Row],[Utilização (%)]]&lt;&gt;"",ALERTA_INDIVIDUAL-tbl_medabr[[#This Row],[Utilização (%)]],"")</f>
        <v/>
      </c>
    </row>
    <row r="9" spans="1:11" x14ac:dyDescent="0.25">
      <c r="A9" s="2">
        <f>tbl_consolidacao[[#This Row],[Torre]]</f>
        <v>1</v>
      </c>
      <c r="B9" s="2" t="str">
        <f>tbl_consolidacao[[#This Row],[Junta]]</f>
        <v>A</v>
      </c>
      <c r="C9" s="2">
        <f>tbl_consolidacao[[#This Row],[Unid]]</f>
        <v>104</v>
      </c>
      <c r="D9" s="2" t="str">
        <f>tbl_consolidacao[[#This Row],[Apto]]</f>
        <v>104-A1</v>
      </c>
      <c r="E9" s="2">
        <f>tbl_meddez_anterior[[#This Row],[Hidrometro]]</f>
        <v>1240</v>
      </c>
      <c r="F9" s="13"/>
      <c r="G9" s="16">
        <f>tbl_meddez_anterior[[#This Row],[Hidrometro]]</f>
        <v>1240</v>
      </c>
      <c r="H9" s="14"/>
      <c r="I9" s="2">
        <f>tbl_medabr[[#This Row],[Medição 
Água Fria]]/100+tbl_medabr[[#This Row],[Medição 
Água Quente]]/1000</f>
        <v>0</v>
      </c>
      <c r="J9" s="15" t="str">
        <f>IF(tbl_medabr[[#This Row],[Total]]&gt;0,tbl_medabr[[#This Row],[Total]]/VLOOKUP(tbl_medabr[[#This Row],[Apto]],tbl_medfev[[Apto]:[Total]],6,FALSE)-1,"")</f>
        <v/>
      </c>
      <c r="K9" s="15" t="str">
        <f>IF(tbl_medabr[[#This Row],[Utilização (%)]]&lt;&gt;"",ALERTA_INDIVIDUAL-tbl_medabr[[#This Row],[Utilização (%)]],"")</f>
        <v/>
      </c>
    </row>
    <row r="10" spans="1:11" x14ac:dyDescent="0.25">
      <c r="A10" s="2">
        <f>tbl_consolidacao[[#This Row],[Torre]]</f>
        <v>2</v>
      </c>
      <c r="B10" s="2" t="str">
        <f>tbl_consolidacao[[#This Row],[Junta]]</f>
        <v>A</v>
      </c>
      <c r="C10" s="2">
        <f>tbl_consolidacao[[#This Row],[Unid]]</f>
        <v>104</v>
      </c>
      <c r="D10" s="2" t="str">
        <f>tbl_consolidacao[[#This Row],[Apto]]</f>
        <v>104-A2</v>
      </c>
      <c r="E10" s="2">
        <f>tbl_meddez_anterior[[#This Row],[Hidrometro]]</f>
        <v>1241</v>
      </c>
      <c r="F10" s="13"/>
      <c r="G10" s="16">
        <f>tbl_meddez_anterior[[#This Row],[Hidrometro]]</f>
        <v>1241</v>
      </c>
      <c r="H10" s="14"/>
      <c r="I10" s="2">
        <f>tbl_medabr[[#This Row],[Medição 
Água Fria]]/100+tbl_medabr[[#This Row],[Medição 
Água Quente]]/1000</f>
        <v>0</v>
      </c>
      <c r="J10" s="15" t="str">
        <f>IF(tbl_medabr[[#This Row],[Total]]&gt;0,tbl_medabr[[#This Row],[Total]]/VLOOKUP(tbl_medabr[[#This Row],[Apto]],tbl_medfev[[Apto]:[Total]],6,FALSE)-1,"")</f>
        <v/>
      </c>
      <c r="K10" s="15" t="str">
        <f>IF(tbl_medabr[[#This Row],[Utilização (%)]]&lt;&gt;"",ALERTA_INDIVIDUAL-tbl_medabr[[#This Row],[Utilização (%)]],"")</f>
        <v/>
      </c>
    </row>
    <row r="11" spans="1:11" x14ac:dyDescent="0.25">
      <c r="A11" s="2">
        <f>tbl_consolidacao[[#This Row],[Torre]]</f>
        <v>2</v>
      </c>
      <c r="B11" s="2" t="str">
        <f>tbl_consolidacao[[#This Row],[Junta]]</f>
        <v>B</v>
      </c>
      <c r="C11" s="2">
        <f>tbl_consolidacao[[#This Row],[Unid]]</f>
        <v>105</v>
      </c>
      <c r="D11" s="2" t="str">
        <f>tbl_consolidacao[[#This Row],[Apto]]</f>
        <v>105-B2</v>
      </c>
      <c r="E11" s="2">
        <f>tbl_meddez_anterior[[#This Row],[Hidrometro]]</f>
        <v>1242</v>
      </c>
      <c r="F11" s="13"/>
      <c r="G11" s="16">
        <f>tbl_meddez_anterior[[#This Row],[Hidrometro]]</f>
        <v>1242</v>
      </c>
      <c r="H11" s="14"/>
      <c r="I11" s="2">
        <f>tbl_medabr[[#This Row],[Medição 
Água Fria]]/100+tbl_medabr[[#This Row],[Medição 
Água Quente]]/1000</f>
        <v>0</v>
      </c>
      <c r="J11" s="15" t="str">
        <f>IF(tbl_medabr[[#This Row],[Total]]&gt;0,tbl_medabr[[#This Row],[Total]]/VLOOKUP(tbl_medabr[[#This Row],[Apto]],tbl_medfev[[Apto]:[Total]],6,FALSE)-1,"")</f>
        <v/>
      </c>
      <c r="K11" s="15" t="str">
        <f>IF(tbl_medabr[[#This Row],[Utilização (%)]]&lt;&gt;"",ALERTA_INDIVIDUAL-tbl_medabr[[#This Row],[Utilização (%)]],"")</f>
        <v/>
      </c>
    </row>
    <row r="12" spans="1:11" x14ac:dyDescent="0.25">
      <c r="A12" s="2">
        <f>tbl_consolidacao[[#This Row],[Torre]]</f>
        <v>2</v>
      </c>
      <c r="B12" s="2" t="str">
        <f>tbl_consolidacao[[#This Row],[Junta]]</f>
        <v>B</v>
      </c>
      <c r="C12" s="2">
        <f>tbl_consolidacao[[#This Row],[Unid]]</f>
        <v>106</v>
      </c>
      <c r="D12" s="2" t="str">
        <f>tbl_consolidacao[[#This Row],[Apto]]</f>
        <v>106-B2</v>
      </c>
      <c r="E12" s="2">
        <f>tbl_meddez_anterior[[#This Row],[Hidrometro]]</f>
        <v>1243</v>
      </c>
      <c r="F12" s="13"/>
      <c r="G12" s="16">
        <f>tbl_meddez_anterior[[#This Row],[Hidrometro]]</f>
        <v>1243</v>
      </c>
      <c r="H12" s="14"/>
      <c r="I12" s="2">
        <f>tbl_medabr[[#This Row],[Medição 
Água Fria]]/100+tbl_medabr[[#This Row],[Medição 
Água Quente]]/1000</f>
        <v>0</v>
      </c>
      <c r="J12" s="15" t="str">
        <f>IF(tbl_medabr[[#This Row],[Total]]&gt;0,tbl_medabr[[#This Row],[Total]]/VLOOKUP(tbl_medabr[[#This Row],[Apto]],tbl_medfev[[Apto]:[Total]],6,FALSE)-1,"")</f>
        <v/>
      </c>
      <c r="K12" s="15" t="str">
        <f>IF(tbl_medabr[[#This Row],[Utilização (%)]]&lt;&gt;"",ALERTA_INDIVIDUAL-tbl_medabr[[#This Row],[Utilização (%)]],"")</f>
        <v/>
      </c>
    </row>
    <row r="13" spans="1:11" x14ac:dyDescent="0.25">
      <c r="A13" s="2">
        <f>tbl_consolidacao[[#This Row],[Torre]]</f>
        <v>2</v>
      </c>
      <c r="B13" s="2" t="str">
        <f>tbl_consolidacao[[#This Row],[Junta]]</f>
        <v>B</v>
      </c>
      <c r="C13" s="2">
        <f>tbl_consolidacao[[#This Row],[Unid]]</f>
        <v>107</v>
      </c>
      <c r="D13" s="2" t="str">
        <f>tbl_consolidacao[[#This Row],[Apto]]</f>
        <v>107-B2</v>
      </c>
      <c r="E13" s="2">
        <f>tbl_meddez_anterior[[#This Row],[Hidrometro]]</f>
        <v>1244</v>
      </c>
      <c r="F13" s="13"/>
      <c r="G13" s="16">
        <f>tbl_meddez_anterior[[#This Row],[Hidrometro]]</f>
        <v>1244</v>
      </c>
      <c r="H13" s="14"/>
      <c r="I13" s="2">
        <f>tbl_medabr[[#This Row],[Medição 
Água Fria]]/100+tbl_medabr[[#This Row],[Medição 
Água Quente]]/1000</f>
        <v>0</v>
      </c>
      <c r="J13" s="15" t="str">
        <f>IF(tbl_medabr[[#This Row],[Total]]&gt;0,tbl_medabr[[#This Row],[Total]]/VLOOKUP(tbl_medabr[[#This Row],[Apto]],tbl_medfev[[Apto]:[Total]],6,FALSE)-1,"")</f>
        <v/>
      </c>
      <c r="K13" s="15" t="str">
        <f>IF(tbl_medabr[[#This Row],[Utilização (%)]]&lt;&gt;"",ALERTA_INDIVIDUAL-tbl_medabr[[#This Row],[Utilização (%)]],"")</f>
        <v/>
      </c>
    </row>
    <row r="14" spans="1:11" x14ac:dyDescent="0.25">
      <c r="A14" s="2">
        <f>tbl_consolidacao[[#This Row],[Torre]]</f>
        <v>2</v>
      </c>
      <c r="B14" s="2" t="str">
        <f>tbl_consolidacao[[#This Row],[Junta]]</f>
        <v>B</v>
      </c>
      <c r="C14" s="2">
        <f>tbl_consolidacao[[#This Row],[Unid]]</f>
        <v>108</v>
      </c>
      <c r="D14" s="2" t="str">
        <f>tbl_consolidacao[[#This Row],[Apto]]</f>
        <v>108-B2</v>
      </c>
      <c r="E14" s="2">
        <f>tbl_meddez_anterior[[#This Row],[Hidrometro]]</f>
        <v>1245</v>
      </c>
      <c r="F14" s="13"/>
      <c r="G14" s="16">
        <f>tbl_meddez_anterior[[#This Row],[Hidrometro]]</f>
        <v>1245</v>
      </c>
      <c r="H14" s="14"/>
      <c r="I14" s="2">
        <f>tbl_medabr[[#This Row],[Medição 
Água Fria]]/100+tbl_medabr[[#This Row],[Medição 
Água Quente]]/1000</f>
        <v>0</v>
      </c>
      <c r="J14" s="15" t="str">
        <f>IF(tbl_medabr[[#This Row],[Total]]&gt;0,tbl_medabr[[#This Row],[Total]]/VLOOKUP(tbl_medabr[[#This Row],[Apto]],tbl_medfev[[Apto]:[Total]],6,FALSE)-1,"")</f>
        <v/>
      </c>
      <c r="K14" s="15" t="str">
        <f>IF(tbl_medabr[[#This Row],[Utilização (%)]]&lt;&gt;"",ALERTA_INDIVIDUAL-tbl_medabr[[#This Row],[Utilização (%)]],"")</f>
        <v/>
      </c>
    </row>
    <row r="15" spans="1:11" x14ac:dyDescent="0.25">
      <c r="A15" s="2">
        <f>tbl_consolidacao[[#This Row],[Torre]]</f>
        <v>1</v>
      </c>
      <c r="B15" s="2" t="str">
        <f>tbl_consolidacao[[#This Row],[Junta]]</f>
        <v>A</v>
      </c>
      <c r="C15" s="2">
        <f>tbl_consolidacao[[#This Row],[Unid]]</f>
        <v>201</v>
      </c>
      <c r="D15" s="2" t="str">
        <f>tbl_consolidacao[[#This Row],[Apto]]</f>
        <v>201-A1</v>
      </c>
      <c r="E15" s="2">
        <f>tbl_meddez_anterior[[#This Row],[Hidrometro]]</f>
        <v>1246</v>
      </c>
      <c r="F15" s="13"/>
      <c r="G15" s="16">
        <f>tbl_meddez_anterior[[#This Row],[Hidrometro]]</f>
        <v>1246</v>
      </c>
      <c r="H15" s="14"/>
      <c r="I15" s="2">
        <f>tbl_medabr[[#This Row],[Medição 
Água Fria]]/100+tbl_medabr[[#This Row],[Medição 
Água Quente]]/1000</f>
        <v>0</v>
      </c>
      <c r="J15" s="15" t="str">
        <f>IF(tbl_medabr[[#This Row],[Total]]&gt;0,tbl_medabr[[#This Row],[Total]]/VLOOKUP(tbl_medabr[[#This Row],[Apto]],tbl_medfev[[Apto]:[Total]],6,FALSE)-1,"")</f>
        <v/>
      </c>
      <c r="K15" s="15" t="str">
        <f>IF(tbl_medabr[[#This Row],[Utilização (%)]]&lt;&gt;"",ALERTA_INDIVIDUAL-tbl_medabr[[#This Row],[Utilização (%)]],"")</f>
        <v/>
      </c>
    </row>
    <row r="16" spans="1:11" x14ac:dyDescent="0.25">
      <c r="A16" s="2">
        <f>tbl_consolidacao[[#This Row],[Torre]]</f>
        <v>2</v>
      </c>
      <c r="B16" s="2" t="str">
        <f>tbl_consolidacao[[#This Row],[Junta]]</f>
        <v>A</v>
      </c>
      <c r="C16" s="2">
        <f>tbl_consolidacao[[#This Row],[Unid]]</f>
        <v>201</v>
      </c>
      <c r="D16" s="2" t="str">
        <f>tbl_consolidacao[[#This Row],[Apto]]</f>
        <v>201-A2</v>
      </c>
      <c r="E16" s="2">
        <f>tbl_meddez_anterior[[#This Row],[Hidrometro]]</f>
        <v>1247</v>
      </c>
      <c r="F16" s="13"/>
      <c r="G16" s="16">
        <f>tbl_meddez_anterior[[#This Row],[Hidrometro]]</f>
        <v>1247</v>
      </c>
      <c r="H16" s="14"/>
      <c r="I16" s="2">
        <f>tbl_medabr[[#This Row],[Medição 
Água Fria]]/100+tbl_medabr[[#This Row],[Medição 
Água Quente]]/1000</f>
        <v>0</v>
      </c>
      <c r="J16" s="15" t="str">
        <f>IF(tbl_medabr[[#This Row],[Total]]&gt;0,tbl_medabr[[#This Row],[Total]]/VLOOKUP(tbl_medabr[[#This Row],[Apto]],tbl_medfev[[Apto]:[Total]],6,FALSE)-1,"")</f>
        <v/>
      </c>
      <c r="K16" s="15" t="str">
        <f>IF(tbl_medabr[[#This Row],[Utilização (%)]]&lt;&gt;"",ALERTA_INDIVIDUAL-tbl_medabr[[#This Row],[Utilização (%)]],"")</f>
        <v/>
      </c>
    </row>
    <row r="17" spans="1:11" x14ac:dyDescent="0.25">
      <c r="A17" s="2">
        <f>tbl_consolidacao[[#This Row],[Torre]]</f>
        <v>1</v>
      </c>
      <c r="B17" s="2" t="str">
        <f>tbl_consolidacao[[#This Row],[Junta]]</f>
        <v>A</v>
      </c>
      <c r="C17" s="2">
        <f>tbl_consolidacao[[#This Row],[Unid]]</f>
        <v>202</v>
      </c>
      <c r="D17" s="2" t="str">
        <f>tbl_consolidacao[[#This Row],[Apto]]</f>
        <v>202-A1</v>
      </c>
      <c r="E17" s="2">
        <f>tbl_meddez_anterior[[#This Row],[Hidrometro]]</f>
        <v>1248</v>
      </c>
      <c r="F17" s="13"/>
      <c r="G17" s="16">
        <f>tbl_meddez_anterior[[#This Row],[Hidrometro]]</f>
        <v>1248</v>
      </c>
      <c r="H17" s="14"/>
      <c r="I17" s="2">
        <f>tbl_medabr[[#This Row],[Medição 
Água Fria]]/100+tbl_medabr[[#This Row],[Medição 
Água Quente]]/1000</f>
        <v>0</v>
      </c>
      <c r="J17" s="15" t="str">
        <f>IF(tbl_medabr[[#This Row],[Total]]&gt;0,tbl_medabr[[#This Row],[Total]]/VLOOKUP(tbl_medabr[[#This Row],[Apto]],tbl_medfev[[Apto]:[Total]],6,FALSE)-1,"")</f>
        <v/>
      </c>
      <c r="K17" s="15" t="str">
        <f>IF(tbl_medabr[[#This Row],[Utilização (%)]]&lt;&gt;"",ALERTA_INDIVIDUAL-tbl_medabr[[#This Row],[Utilização (%)]],"")</f>
        <v/>
      </c>
    </row>
    <row r="18" spans="1:11" x14ac:dyDescent="0.25">
      <c r="A18" s="2">
        <f>tbl_consolidacao[[#This Row],[Torre]]</f>
        <v>2</v>
      </c>
      <c r="B18" s="2" t="str">
        <f>tbl_consolidacao[[#This Row],[Junta]]</f>
        <v>A</v>
      </c>
      <c r="C18" s="2">
        <f>tbl_consolidacao[[#This Row],[Unid]]</f>
        <v>202</v>
      </c>
      <c r="D18" s="2" t="str">
        <f>tbl_consolidacao[[#This Row],[Apto]]</f>
        <v>202-A2</v>
      </c>
      <c r="E18" s="2">
        <f>tbl_meddez_anterior[[#This Row],[Hidrometro]]</f>
        <v>1249</v>
      </c>
      <c r="F18" s="13"/>
      <c r="G18" s="16">
        <f>tbl_meddez_anterior[[#This Row],[Hidrometro]]</f>
        <v>1249</v>
      </c>
      <c r="H18" s="14"/>
      <c r="I18" s="2">
        <f>tbl_medabr[[#This Row],[Medição 
Água Fria]]/100+tbl_medabr[[#This Row],[Medição 
Água Quente]]/1000</f>
        <v>0</v>
      </c>
      <c r="J18" s="15" t="str">
        <f>IF(tbl_medabr[[#This Row],[Total]]&gt;0,tbl_medabr[[#This Row],[Total]]/VLOOKUP(tbl_medabr[[#This Row],[Apto]],tbl_medfev[[Apto]:[Total]],6,FALSE)-1,"")</f>
        <v/>
      </c>
      <c r="K18" s="15" t="str">
        <f>IF(tbl_medabr[[#This Row],[Utilização (%)]]&lt;&gt;"",ALERTA_INDIVIDUAL-tbl_medabr[[#This Row],[Utilização (%)]],"")</f>
        <v/>
      </c>
    </row>
    <row r="19" spans="1:11" x14ac:dyDescent="0.25">
      <c r="A19" s="2">
        <f>tbl_consolidacao[[#This Row],[Torre]]</f>
        <v>1</v>
      </c>
      <c r="B19" s="2" t="str">
        <f>tbl_consolidacao[[#This Row],[Junta]]</f>
        <v>A</v>
      </c>
      <c r="C19" s="2">
        <f>tbl_consolidacao[[#This Row],[Unid]]</f>
        <v>203</v>
      </c>
      <c r="D19" s="2" t="str">
        <f>tbl_consolidacao[[#This Row],[Apto]]</f>
        <v>203-A1</v>
      </c>
      <c r="E19" s="2">
        <f>tbl_meddez_anterior[[#This Row],[Hidrometro]]</f>
        <v>1250</v>
      </c>
      <c r="F19" s="13"/>
      <c r="G19" s="16">
        <f>tbl_meddez_anterior[[#This Row],[Hidrometro]]</f>
        <v>1250</v>
      </c>
      <c r="H19" s="14"/>
      <c r="I19" s="2">
        <f>tbl_medabr[[#This Row],[Medição 
Água Fria]]/100+tbl_medabr[[#This Row],[Medição 
Água Quente]]/1000</f>
        <v>0</v>
      </c>
      <c r="J19" s="15" t="str">
        <f>IF(tbl_medabr[[#This Row],[Total]]&gt;0,tbl_medabr[[#This Row],[Total]]/VLOOKUP(tbl_medabr[[#This Row],[Apto]],tbl_medfev[[Apto]:[Total]],6,FALSE)-1,"")</f>
        <v/>
      </c>
      <c r="K19" s="15" t="str">
        <f>IF(tbl_medabr[[#This Row],[Utilização (%)]]&lt;&gt;"",ALERTA_INDIVIDUAL-tbl_medabr[[#This Row],[Utilização (%)]],"")</f>
        <v/>
      </c>
    </row>
    <row r="20" spans="1:11" x14ac:dyDescent="0.25">
      <c r="A20" s="2">
        <f>tbl_consolidacao[[#This Row],[Torre]]</f>
        <v>2</v>
      </c>
      <c r="B20" s="2" t="str">
        <f>tbl_consolidacao[[#This Row],[Junta]]</f>
        <v>A</v>
      </c>
      <c r="C20" s="2">
        <f>tbl_consolidacao[[#This Row],[Unid]]</f>
        <v>203</v>
      </c>
      <c r="D20" s="2" t="str">
        <f>tbl_consolidacao[[#This Row],[Apto]]</f>
        <v>203-A2</v>
      </c>
      <c r="E20" s="2">
        <f>tbl_meddez_anterior[[#This Row],[Hidrometro]]</f>
        <v>1251</v>
      </c>
      <c r="F20" s="13"/>
      <c r="G20" s="16">
        <f>tbl_meddez_anterior[[#This Row],[Hidrometro]]</f>
        <v>1251</v>
      </c>
      <c r="H20" s="14"/>
      <c r="I20" s="2">
        <f>tbl_medabr[[#This Row],[Medição 
Água Fria]]/100+tbl_medabr[[#This Row],[Medição 
Água Quente]]/1000</f>
        <v>0</v>
      </c>
      <c r="J20" s="15" t="str">
        <f>IF(tbl_medabr[[#This Row],[Total]]&gt;0,tbl_medabr[[#This Row],[Total]]/VLOOKUP(tbl_medabr[[#This Row],[Apto]],tbl_medfev[[Apto]:[Total]],6,FALSE)-1,"")</f>
        <v/>
      </c>
      <c r="K20" s="15" t="str">
        <f>IF(tbl_medabr[[#This Row],[Utilização (%)]]&lt;&gt;"",ALERTA_INDIVIDUAL-tbl_medabr[[#This Row],[Utilização (%)]],"")</f>
        <v/>
      </c>
    </row>
    <row r="21" spans="1:11" x14ac:dyDescent="0.25">
      <c r="A21" s="2">
        <f>tbl_consolidacao[[#This Row],[Torre]]</f>
        <v>1</v>
      </c>
      <c r="B21" s="2" t="str">
        <f>tbl_consolidacao[[#This Row],[Junta]]</f>
        <v>A</v>
      </c>
      <c r="C21" s="2">
        <f>tbl_consolidacao[[#This Row],[Unid]]</f>
        <v>204</v>
      </c>
      <c r="D21" s="2" t="str">
        <f>tbl_consolidacao[[#This Row],[Apto]]</f>
        <v>204-A1</v>
      </c>
      <c r="E21" s="2">
        <f>tbl_meddez_anterior[[#This Row],[Hidrometro]]</f>
        <v>1252</v>
      </c>
      <c r="F21" s="13"/>
      <c r="G21" s="16">
        <f>tbl_meddez_anterior[[#This Row],[Hidrometro]]</f>
        <v>1252</v>
      </c>
      <c r="H21" s="14"/>
      <c r="I21" s="2">
        <f>tbl_medabr[[#This Row],[Medição 
Água Fria]]/100+tbl_medabr[[#This Row],[Medição 
Água Quente]]/1000</f>
        <v>0</v>
      </c>
      <c r="J21" s="15" t="str">
        <f>IF(tbl_medabr[[#This Row],[Total]]&gt;0,tbl_medabr[[#This Row],[Total]]/VLOOKUP(tbl_medabr[[#This Row],[Apto]],tbl_medfev[[Apto]:[Total]],6,FALSE)-1,"")</f>
        <v/>
      </c>
      <c r="K21" s="15" t="str">
        <f>IF(tbl_medabr[[#This Row],[Utilização (%)]]&lt;&gt;"",ALERTA_INDIVIDUAL-tbl_medabr[[#This Row],[Utilização (%)]],"")</f>
        <v/>
      </c>
    </row>
    <row r="22" spans="1:11" x14ac:dyDescent="0.25">
      <c r="A22" s="2">
        <f>tbl_consolidacao[[#This Row],[Torre]]</f>
        <v>2</v>
      </c>
      <c r="B22" s="2" t="str">
        <f>tbl_consolidacao[[#This Row],[Junta]]</f>
        <v>A</v>
      </c>
      <c r="C22" s="2">
        <f>tbl_consolidacao[[#This Row],[Unid]]</f>
        <v>204</v>
      </c>
      <c r="D22" s="2" t="str">
        <f>tbl_consolidacao[[#This Row],[Apto]]</f>
        <v>204-A2</v>
      </c>
      <c r="E22" s="2">
        <f>tbl_meddez_anterior[[#This Row],[Hidrometro]]</f>
        <v>1253</v>
      </c>
      <c r="F22" s="13"/>
      <c r="G22" s="16">
        <f>tbl_meddez_anterior[[#This Row],[Hidrometro]]</f>
        <v>1253</v>
      </c>
      <c r="H22" s="14"/>
      <c r="I22" s="2">
        <f>tbl_medabr[[#This Row],[Medição 
Água Fria]]/100+tbl_medabr[[#This Row],[Medição 
Água Quente]]/1000</f>
        <v>0</v>
      </c>
      <c r="J22" s="15" t="str">
        <f>IF(tbl_medabr[[#This Row],[Total]]&gt;0,tbl_medabr[[#This Row],[Total]]/VLOOKUP(tbl_medabr[[#This Row],[Apto]],tbl_medfev[[Apto]:[Total]],6,FALSE)-1,"")</f>
        <v/>
      </c>
      <c r="K22" s="15" t="str">
        <f>IF(tbl_medabr[[#This Row],[Utilização (%)]]&lt;&gt;"",ALERTA_INDIVIDUAL-tbl_medabr[[#This Row],[Utilização (%)]],"")</f>
        <v/>
      </c>
    </row>
    <row r="23" spans="1:11" x14ac:dyDescent="0.25">
      <c r="A23" s="2">
        <f>tbl_consolidacao[[#This Row],[Torre]]</f>
        <v>1</v>
      </c>
      <c r="B23" s="2" t="str">
        <f>tbl_consolidacao[[#This Row],[Junta]]</f>
        <v>B</v>
      </c>
      <c r="C23" s="2">
        <f>tbl_consolidacao[[#This Row],[Unid]]</f>
        <v>205</v>
      </c>
      <c r="D23" s="2" t="str">
        <f>tbl_consolidacao[[#This Row],[Apto]]</f>
        <v>205-B1</v>
      </c>
      <c r="E23" s="2">
        <f>tbl_meddez_anterior[[#This Row],[Hidrometro]]</f>
        <v>1254</v>
      </c>
      <c r="F23" s="13"/>
      <c r="G23" s="16">
        <f>tbl_meddez_anterior[[#This Row],[Hidrometro]]</f>
        <v>1254</v>
      </c>
      <c r="H23" s="14"/>
      <c r="I23" s="2">
        <f>tbl_medabr[[#This Row],[Medição 
Água Fria]]/100+tbl_medabr[[#This Row],[Medição 
Água Quente]]/1000</f>
        <v>0</v>
      </c>
      <c r="J23" s="15" t="str">
        <f>IF(tbl_medabr[[#This Row],[Total]]&gt;0,tbl_medabr[[#This Row],[Total]]/VLOOKUP(tbl_medabr[[#This Row],[Apto]],tbl_medfev[[Apto]:[Total]],6,FALSE)-1,"")</f>
        <v/>
      </c>
      <c r="K23" s="15" t="str">
        <f>IF(tbl_medabr[[#This Row],[Utilização (%)]]&lt;&gt;"",ALERTA_INDIVIDUAL-tbl_medabr[[#This Row],[Utilização (%)]],"")</f>
        <v/>
      </c>
    </row>
    <row r="24" spans="1:11" x14ac:dyDescent="0.25">
      <c r="A24" s="2">
        <f>tbl_consolidacao[[#This Row],[Torre]]</f>
        <v>2</v>
      </c>
      <c r="B24" s="2" t="str">
        <f>tbl_consolidacao[[#This Row],[Junta]]</f>
        <v>B</v>
      </c>
      <c r="C24" s="2">
        <f>tbl_consolidacao[[#This Row],[Unid]]</f>
        <v>205</v>
      </c>
      <c r="D24" s="2" t="str">
        <f>tbl_consolidacao[[#This Row],[Apto]]</f>
        <v>205-B2</v>
      </c>
      <c r="E24" s="2">
        <f>tbl_meddez_anterior[[#This Row],[Hidrometro]]</f>
        <v>1255</v>
      </c>
      <c r="F24" s="13"/>
      <c r="G24" s="16">
        <f>tbl_meddez_anterior[[#This Row],[Hidrometro]]</f>
        <v>1255</v>
      </c>
      <c r="H24" s="14"/>
      <c r="I24" s="2">
        <f>tbl_medabr[[#This Row],[Medição 
Água Fria]]/100+tbl_medabr[[#This Row],[Medição 
Água Quente]]/1000</f>
        <v>0</v>
      </c>
      <c r="J24" s="15" t="str">
        <f>IF(tbl_medabr[[#This Row],[Total]]&gt;0,tbl_medabr[[#This Row],[Total]]/VLOOKUP(tbl_medabr[[#This Row],[Apto]],tbl_medfev[[Apto]:[Total]],6,FALSE)-1,"")</f>
        <v/>
      </c>
      <c r="K24" s="15" t="str">
        <f>IF(tbl_medabr[[#This Row],[Utilização (%)]]&lt;&gt;"",ALERTA_INDIVIDUAL-tbl_medabr[[#This Row],[Utilização (%)]],"")</f>
        <v/>
      </c>
    </row>
    <row r="25" spans="1:11" x14ac:dyDescent="0.25">
      <c r="A25" s="2">
        <f>tbl_consolidacao[[#This Row],[Torre]]</f>
        <v>1</v>
      </c>
      <c r="B25" s="2" t="str">
        <f>tbl_consolidacao[[#This Row],[Junta]]</f>
        <v>B</v>
      </c>
      <c r="C25" s="2">
        <f>tbl_consolidacao[[#This Row],[Unid]]</f>
        <v>206</v>
      </c>
      <c r="D25" s="2" t="str">
        <f>tbl_consolidacao[[#This Row],[Apto]]</f>
        <v>206-B1</v>
      </c>
      <c r="E25" s="2">
        <f>tbl_meddez_anterior[[#This Row],[Hidrometro]]</f>
        <v>1256</v>
      </c>
      <c r="F25" s="13"/>
      <c r="G25" s="16">
        <f>tbl_meddez_anterior[[#This Row],[Hidrometro]]</f>
        <v>1256</v>
      </c>
      <c r="H25" s="14"/>
      <c r="I25" s="2">
        <f>tbl_medabr[[#This Row],[Medição 
Água Fria]]/100+tbl_medabr[[#This Row],[Medição 
Água Quente]]/1000</f>
        <v>0</v>
      </c>
      <c r="J25" s="15" t="str">
        <f>IF(tbl_medabr[[#This Row],[Total]]&gt;0,tbl_medabr[[#This Row],[Total]]/VLOOKUP(tbl_medabr[[#This Row],[Apto]],tbl_medfev[[Apto]:[Total]],6,FALSE)-1,"")</f>
        <v/>
      </c>
      <c r="K25" s="15" t="str">
        <f>IF(tbl_medabr[[#This Row],[Utilização (%)]]&lt;&gt;"",ALERTA_INDIVIDUAL-tbl_medabr[[#This Row],[Utilização (%)]],"")</f>
        <v/>
      </c>
    </row>
    <row r="26" spans="1:11" x14ac:dyDescent="0.25">
      <c r="A26" s="2">
        <f>tbl_consolidacao[[#This Row],[Torre]]</f>
        <v>2</v>
      </c>
      <c r="B26" s="2" t="str">
        <f>tbl_consolidacao[[#This Row],[Junta]]</f>
        <v>B</v>
      </c>
      <c r="C26" s="2">
        <f>tbl_consolidacao[[#This Row],[Unid]]</f>
        <v>206</v>
      </c>
      <c r="D26" s="2" t="str">
        <f>tbl_consolidacao[[#This Row],[Apto]]</f>
        <v>206-B2</v>
      </c>
      <c r="E26" s="2">
        <f>tbl_meddez_anterior[[#This Row],[Hidrometro]]</f>
        <v>1257</v>
      </c>
      <c r="F26" s="13"/>
      <c r="G26" s="16">
        <f>tbl_meddez_anterior[[#This Row],[Hidrometro]]</f>
        <v>1257</v>
      </c>
      <c r="H26" s="14"/>
      <c r="I26" s="2">
        <f>tbl_medabr[[#This Row],[Medição 
Água Fria]]/100+tbl_medabr[[#This Row],[Medição 
Água Quente]]/1000</f>
        <v>0</v>
      </c>
      <c r="J26" s="15" t="str">
        <f>IF(tbl_medabr[[#This Row],[Total]]&gt;0,tbl_medabr[[#This Row],[Total]]/VLOOKUP(tbl_medabr[[#This Row],[Apto]],tbl_medfev[[Apto]:[Total]],6,FALSE)-1,"")</f>
        <v/>
      </c>
      <c r="K26" s="15" t="str">
        <f>IF(tbl_medabr[[#This Row],[Utilização (%)]]&lt;&gt;"",ALERTA_INDIVIDUAL-tbl_medabr[[#This Row],[Utilização (%)]],"")</f>
        <v/>
      </c>
    </row>
    <row r="27" spans="1:11" x14ac:dyDescent="0.25">
      <c r="A27" s="2">
        <f>tbl_consolidacao[[#This Row],[Torre]]</f>
        <v>1</v>
      </c>
      <c r="B27" s="2" t="str">
        <f>tbl_consolidacao[[#This Row],[Junta]]</f>
        <v>B</v>
      </c>
      <c r="C27" s="2">
        <f>tbl_consolidacao[[#This Row],[Unid]]</f>
        <v>207</v>
      </c>
      <c r="D27" s="2" t="str">
        <f>tbl_consolidacao[[#This Row],[Apto]]</f>
        <v>207-B1</v>
      </c>
      <c r="E27" s="2">
        <f>tbl_meddez_anterior[[#This Row],[Hidrometro]]</f>
        <v>1258</v>
      </c>
      <c r="F27" s="13"/>
      <c r="G27" s="16">
        <f>tbl_meddez_anterior[[#This Row],[Hidrometro]]</f>
        <v>1258</v>
      </c>
      <c r="H27" s="14"/>
      <c r="I27" s="2">
        <f>tbl_medabr[[#This Row],[Medição 
Água Fria]]/100+tbl_medabr[[#This Row],[Medição 
Água Quente]]/1000</f>
        <v>0</v>
      </c>
      <c r="J27" s="15" t="str">
        <f>IF(tbl_medabr[[#This Row],[Total]]&gt;0,tbl_medabr[[#This Row],[Total]]/VLOOKUP(tbl_medabr[[#This Row],[Apto]],tbl_medfev[[Apto]:[Total]],6,FALSE)-1,"")</f>
        <v/>
      </c>
      <c r="K27" s="15" t="str">
        <f>IF(tbl_medabr[[#This Row],[Utilização (%)]]&lt;&gt;"",ALERTA_INDIVIDUAL-tbl_medabr[[#This Row],[Utilização (%)]],"")</f>
        <v/>
      </c>
    </row>
    <row r="28" spans="1:11" x14ac:dyDescent="0.25">
      <c r="A28" s="2">
        <f>tbl_consolidacao[[#This Row],[Torre]]</f>
        <v>2</v>
      </c>
      <c r="B28" s="2" t="str">
        <f>tbl_consolidacao[[#This Row],[Junta]]</f>
        <v>B</v>
      </c>
      <c r="C28" s="2">
        <f>tbl_consolidacao[[#This Row],[Unid]]</f>
        <v>207</v>
      </c>
      <c r="D28" s="2" t="str">
        <f>tbl_consolidacao[[#This Row],[Apto]]</f>
        <v>207-B2</v>
      </c>
      <c r="E28" s="2">
        <f>tbl_meddez_anterior[[#This Row],[Hidrometro]]</f>
        <v>1259</v>
      </c>
      <c r="F28" s="13"/>
      <c r="G28" s="16">
        <f>tbl_meddez_anterior[[#This Row],[Hidrometro]]</f>
        <v>1259</v>
      </c>
      <c r="H28" s="14"/>
      <c r="I28" s="2">
        <f>tbl_medabr[[#This Row],[Medição 
Água Fria]]/100+tbl_medabr[[#This Row],[Medição 
Água Quente]]/1000</f>
        <v>0</v>
      </c>
      <c r="J28" s="15" t="str">
        <f>IF(tbl_medabr[[#This Row],[Total]]&gt;0,tbl_medabr[[#This Row],[Total]]/VLOOKUP(tbl_medabr[[#This Row],[Apto]],tbl_medfev[[Apto]:[Total]],6,FALSE)-1,"")</f>
        <v/>
      </c>
      <c r="K28" s="15" t="str">
        <f>IF(tbl_medabr[[#This Row],[Utilização (%)]]&lt;&gt;"",ALERTA_INDIVIDUAL-tbl_medabr[[#This Row],[Utilização (%)]],"")</f>
        <v/>
      </c>
    </row>
    <row r="29" spans="1:11" x14ac:dyDescent="0.25">
      <c r="A29" s="2">
        <f>tbl_consolidacao[[#This Row],[Torre]]</f>
        <v>1</v>
      </c>
      <c r="B29" s="2" t="str">
        <f>tbl_consolidacao[[#This Row],[Junta]]</f>
        <v>B</v>
      </c>
      <c r="C29" s="2">
        <f>tbl_consolidacao[[#This Row],[Unid]]</f>
        <v>208</v>
      </c>
      <c r="D29" s="2" t="str">
        <f>tbl_consolidacao[[#This Row],[Apto]]</f>
        <v>208-B1</v>
      </c>
      <c r="E29" s="2">
        <f>tbl_meddez_anterior[[#This Row],[Hidrometro]]</f>
        <v>1260</v>
      </c>
      <c r="F29" s="13"/>
      <c r="G29" s="16">
        <f>tbl_meddez_anterior[[#This Row],[Hidrometro]]</f>
        <v>1260</v>
      </c>
      <c r="H29" s="14"/>
      <c r="I29" s="2">
        <f>tbl_medabr[[#This Row],[Medição 
Água Fria]]/100+tbl_medabr[[#This Row],[Medição 
Água Quente]]/1000</f>
        <v>0</v>
      </c>
      <c r="J29" s="15" t="str">
        <f>IF(tbl_medabr[[#This Row],[Total]]&gt;0,tbl_medabr[[#This Row],[Total]]/VLOOKUP(tbl_medabr[[#This Row],[Apto]],tbl_medfev[[Apto]:[Total]],6,FALSE)-1,"")</f>
        <v/>
      </c>
      <c r="K29" s="15" t="str">
        <f>IF(tbl_medabr[[#This Row],[Utilização (%)]]&lt;&gt;"",ALERTA_INDIVIDUAL-tbl_medabr[[#This Row],[Utilização (%)]],"")</f>
        <v/>
      </c>
    </row>
    <row r="30" spans="1:11" x14ac:dyDescent="0.25">
      <c r="A30" s="2">
        <f>tbl_consolidacao[[#This Row],[Torre]]</f>
        <v>2</v>
      </c>
      <c r="B30" s="2" t="str">
        <f>tbl_consolidacao[[#This Row],[Junta]]</f>
        <v>B</v>
      </c>
      <c r="C30" s="2">
        <f>tbl_consolidacao[[#This Row],[Unid]]</f>
        <v>208</v>
      </c>
      <c r="D30" s="2" t="str">
        <f>tbl_consolidacao[[#This Row],[Apto]]</f>
        <v>208-B2</v>
      </c>
      <c r="E30" s="2">
        <f>tbl_meddez_anterior[[#This Row],[Hidrometro]]</f>
        <v>1261</v>
      </c>
      <c r="F30" s="13"/>
      <c r="G30" s="16">
        <f>tbl_meddez_anterior[[#This Row],[Hidrometro]]</f>
        <v>1261</v>
      </c>
      <c r="H30" s="14"/>
      <c r="I30" s="2">
        <f>tbl_medabr[[#This Row],[Medição 
Água Fria]]/100+tbl_medabr[[#This Row],[Medição 
Água Quente]]/1000</f>
        <v>0</v>
      </c>
      <c r="J30" s="15" t="str">
        <f>IF(tbl_medabr[[#This Row],[Total]]&gt;0,tbl_medabr[[#This Row],[Total]]/VLOOKUP(tbl_medabr[[#This Row],[Apto]],tbl_medfev[[Apto]:[Total]],6,FALSE)-1,"")</f>
        <v/>
      </c>
      <c r="K30" s="15" t="str">
        <f>IF(tbl_medabr[[#This Row],[Utilização (%)]]&lt;&gt;"",ALERTA_INDIVIDUAL-tbl_medabr[[#This Row],[Utilização (%)]],"")</f>
        <v/>
      </c>
    </row>
    <row r="31" spans="1:11" x14ac:dyDescent="0.25">
      <c r="A31" s="2">
        <f>tbl_consolidacao[[#This Row],[Torre]]</f>
        <v>1</v>
      </c>
      <c r="B31" s="2" t="str">
        <f>tbl_consolidacao[[#This Row],[Junta]]</f>
        <v>A</v>
      </c>
      <c r="C31" s="2">
        <f>tbl_consolidacao[[#This Row],[Unid]]</f>
        <v>301</v>
      </c>
      <c r="D31" s="2" t="str">
        <f>tbl_consolidacao[[#This Row],[Apto]]</f>
        <v>301-A1</v>
      </c>
      <c r="E31" s="2">
        <f>tbl_meddez_anterior[[#This Row],[Hidrometro]]</f>
        <v>1262</v>
      </c>
      <c r="F31" s="13"/>
      <c r="G31" s="16">
        <f>tbl_meddez_anterior[[#This Row],[Hidrometro]]</f>
        <v>1262</v>
      </c>
      <c r="H31" s="14"/>
      <c r="I31" s="2">
        <f>tbl_medabr[[#This Row],[Medição 
Água Fria]]/100+tbl_medabr[[#This Row],[Medição 
Água Quente]]/1000</f>
        <v>0</v>
      </c>
      <c r="J31" s="15" t="str">
        <f>IF(tbl_medabr[[#This Row],[Total]]&gt;0,tbl_medabr[[#This Row],[Total]]/VLOOKUP(tbl_medabr[[#This Row],[Apto]],tbl_medfev[[Apto]:[Total]],6,FALSE)-1,"")</f>
        <v/>
      </c>
      <c r="K31" s="15" t="str">
        <f>IF(tbl_medabr[[#This Row],[Utilização (%)]]&lt;&gt;"",ALERTA_INDIVIDUAL-tbl_medabr[[#This Row],[Utilização (%)]],"")</f>
        <v/>
      </c>
    </row>
    <row r="32" spans="1:11" x14ac:dyDescent="0.25">
      <c r="A32" s="2">
        <f>tbl_consolidacao[[#This Row],[Torre]]</f>
        <v>2</v>
      </c>
      <c r="B32" s="2" t="str">
        <f>tbl_consolidacao[[#This Row],[Junta]]</f>
        <v>A</v>
      </c>
      <c r="C32" s="2">
        <f>tbl_consolidacao[[#This Row],[Unid]]</f>
        <v>301</v>
      </c>
      <c r="D32" s="2" t="str">
        <f>tbl_consolidacao[[#This Row],[Apto]]</f>
        <v>301-A2</v>
      </c>
      <c r="E32" s="2">
        <f>tbl_meddez_anterior[[#This Row],[Hidrometro]]</f>
        <v>1263</v>
      </c>
      <c r="F32" s="13"/>
      <c r="G32" s="16">
        <f>tbl_meddez_anterior[[#This Row],[Hidrometro]]</f>
        <v>1263</v>
      </c>
      <c r="H32" s="14"/>
      <c r="I32" s="2">
        <f>tbl_medabr[[#This Row],[Medição 
Água Fria]]/100+tbl_medabr[[#This Row],[Medição 
Água Quente]]/1000</f>
        <v>0</v>
      </c>
      <c r="J32" s="15" t="str">
        <f>IF(tbl_medabr[[#This Row],[Total]]&gt;0,tbl_medabr[[#This Row],[Total]]/VLOOKUP(tbl_medabr[[#This Row],[Apto]],tbl_medfev[[Apto]:[Total]],6,FALSE)-1,"")</f>
        <v/>
      </c>
      <c r="K32" s="15" t="str">
        <f>IF(tbl_medabr[[#This Row],[Utilização (%)]]&lt;&gt;"",ALERTA_INDIVIDUAL-tbl_medabr[[#This Row],[Utilização (%)]],"")</f>
        <v/>
      </c>
    </row>
    <row r="33" spans="1:11" x14ac:dyDescent="0.25">
      <c r="A33" s="2">
        <f>tbl_consolidacao[[#This Row],[Torre]]</f>
        <v>1</v>
      </c>
      <c r="B33" s="2" t="str">
        <f>tbl_consolidacao[[#This Row],[Junta]]</f>
        <v>A</v>
      </c>
      <c r="C33" s="2">
        <f>tbl_consolidacao[[#This Row],[Unid]]</f>
        <v>302</v>
      </c>
      <c r="D33" s="2" t="str">
        <f>tbl_consolidacao[[#This Row],[Apto]]</f>
        <v>302-A1</v>
      </c>
      <c r="E33" s="2">
        <f>tbl_meddez_anterior[[#This Row],[Hidrometro]]</f>
        <v>1264</v>
      </c>
      <c r="F33" s="13"/>
      <c r="G33" s="16">
        <f>tbl_meddez_anterior[[#This Row],[Hidrometro]]</f>
        <v>1264</v>
      </c>
      <c r="H33" s="14"/>
      <c r="I33" s="2">
        <f>tbl_medabr[[#This Row],[Medição 
Água Fria]]/100+tbl_medabr[[#This Row],[Medição 
Água Quente]]/1000</f>
        <v>0</v>
      </c>
      <c r="J33" s="15" t="str">
        <f>IF(tbl_medabr[[#This Row],[Total]]&gt;0,tbl_medabr[[#This Row],[Total]]/VLOOKUP(tbl_medabr[[#This Row],[Apto]],tbl_medfev[[Apto]:[Total]],6,FALSE)-1,"")</f>
        <v/>
      </c>
      <c r="K33" s="15" t="str">
        <f>IF(tbl_medabr[[#This Row],[Utilização (%)]]&lt;&gt;"",ALERTA_INDIVIDUAL-tbl_medabr[[#This Row],[Utilização (%)]],"")</f>
        <v/>
      </c>
    </row>
    <row r="34" spans="1:11" x14ac:dyDescent="0.25">
      <c r="A34" s="2">
        <f>tbl_consolidacao[[#This Row],[Torre]]</f>
        <v>2</v>
      </c>
      <c r="B34" s="2" t="str">
        <f>tbl_consolidacao[[#This Row],[Junta]]</f>
        <v>A</v>
      </c>
      <c r="C34" s="2">
        <f>tbl_consolidacao[[#This Row],[Unid]]</f>
        <v>302</v>
      </c>
      <c r="D34" s="2" t="str">
        <f>tbl_consolidacao[[#This Row],[Apto]]</f>
        <v>302-A2</v>
      </c>
      <c r="E34" s="2">
        <f>tbl_meddez_anterior[[#This Row],[Hidrometro]]</f>
        <v>1265</v>
      </c>
      <c r="F34" s="13"/>
      <c r="G34" s="16">
        <f>tbl_meddez_anterior[[#This Row],[Hidrometro]]</f>
        <v>1265</v>
      </c>
      <c r="H34" s="14"/>
      <c r="I34" s="2">
        <f>tbl_medabr[[#This Row],[Medição 
Água Fria]]/100+tbl_medabr[[#This Row],[Medição 
Água Quente]]/1000</f>
        <v>0</v>
      </c>
      <c r="J34" s="15" t="str">
        <f>IF(tbl_medabr[[#This Row],[Total]]&gt;0,tbl_medabr[[#This Row],[Total]]/VLOOKUP(tbl_medabr[[#This Row],[Apto]],tbl_medfev[[Apto]:[Total]],6,FALSE)-1,"")</f>
        <v/>
      </c>
      <c r="K34" s="15" t="str">
        <f>IF(tbl_medabr[[#This Row],[Utilização (%)]]&lt;&gt;"",ALERTA_INDIVIDUAL-tbl_medabr[[#This Row],[Utilização (%)]],"")</f>
        <v/>
      </c>
    </row>
    <row r="35" spans="1:11" x14ac:dyDescent="0.25">
      <c r="A35" s="2">
        <f>tbl_consolidacao[[#This Row],[Torre]]</f>
        <v>1</v>
      </c>
      <c r="B35" s="2" t="str">
        <f>tbl_consolidacao[[#This Row],[Junta]]</f>
        <v>A</v>
      </c>
      <c r="C35" s="2">
        <f>tbl_consolidacao[[#This Row],[Unid]]</f>
        <v>303</v>
      </c>
      <c r="D35" s="2" t="str">
        <f>tbl_consolidacao[[#This Row],[Apto]]</f>
        <v>303-A1</v>
      </c>
      <c r="E35" s="2">
        <f>tbl_meddez_anterior[[#This Row],[Hidrometro]]</f>
        <v>1266</v>
      </c>
      <c r="F35" s="13"/>
      <c r="G35" s="16">
        <f>tbl_meddez_anterior[[#This Row],[Hidrometro]]</f>
        <v>1266</v>
      </c>
      <c r="H35" s="14"/>
      <c r="I35" s="2">
        <f>tbl_medabr[[#This Row],[Medição 
Água Fria]]/100+tbl_medabr[[#This Row],[Medição 
Água Quente]]/1000</f>
        <v>0</v>
      </c>
      <c r="J35" s="15" t="str">
        <f>IF(tbl_medabr[[#This Row],[Total]]&gt;0,tbl_medabr[[#This Row],[Total]]/VLOOKUP(tbl_medabr[[#This Row],[Apto]],tbl_medfev[[Apto]:[Total]],6,FALSE)-1,"")</f>
        <v/>
      </c>
      <c r="K35" s="15" t="str">
        <f>IF(tbl_medabr[[#This Row],[Utilização (%)]]&lt;&gt;"",ALERTA_INDIVIDUAL-tbl_medabr[[#This Row],[Utilização (%)]],"")</f>
        <v/>
      </c>
    </row>
    <row r="36" spans="1:11" x14ac:dyDescent="0.25">
      <c r="A36" s="2">
        <f>tbl_consolidacao[[#This Row],[Torre]]</f>
        <v>2</v>
      </c>
      <c r="B36" s="2" t="str">
        <f>tbl_consolidacao[[#This Row],[Junta]]</f>
        <v>A</v>
      </c>
      <c r="C36" s="2">
        <f>tbl_consolidacao[[#This Row],[Unid]]</f>
        <v>303</v>
      </c>
      <c r="D36" s="2" t="str">
        <f>tbl_consolidacao[[#This Row],[Apto]]</f>
        <v>303-A2</v>
      </c>
      <c r="E36" s="2">
        <f>tbl_meddez_anterior[[#This Row],[Hidrometro]]</f>
        <v>1267</v>
      </c>
      <c r="F36" s="13"/>
      <c r="G36" s="16">
        <f>tbl_meddez_anterior[[#This Row],[Hidrometro]]</f>
        <v>1267</v>
      </c>
      <c r="H36" s="14"/>
      <c r="I36" s="2">
        <f>tbl_medabr[[#This Row],[Medição 
Água Fria]]/100+tbl_medabr[[#This Row],[Medição 
Água Quente]]/1000</f>
        <v>0</v>
      </c>
      <c r="J36" s="15" t="str">
        <f>IF(tbl_medabr[[#This Row],[Total]]&gt;0,tbl_medabr[[#This Row],[Total]]/VLOOKUP(tbl_medabr[[#This Row],[Apto]],tbl_medfev[[Apto]:[Total]],6,FALSE)-1,"")</f>
        <v/>
      </c>
      <c r="K36" s="15" t="str">
        <f>IF(tbl_medabr[[#This Row],[Utilização (%)]]&lt;&gt;"",ALERTA_INDIVIDUAL-tbl_medabr[[#This Row],[Utilização (%)]],"")</f>
        <v/>
      </c>
    </row>
    <row r="37" spans="1:11" x14ac:dyDescent="0.25">
      <c r="A37" s="2">
        <f>tbl_consolidacao[[#This Row],[Torre]]</f>
        <v>1</v>
      </c>
      <c r="B37" s="2" t="str">
        <f>tbl_consolidacao[[#This Row],[Junta]]</f>
        <v>A</v>
      </c>
      <c r="C37" s="2">
        <f>tbl_consolidacao[[#This Row],[Unid]]</f>
        <v>304</v>
      </c>
      <c r="D37" s="2" t="str">
        <f>tbl_consolidacao[[#This Row],[Apto]]</f>
        <v>304-A1</v>
      </c>
      <c r="E37" s="2">
        <f>tbl_meddez_anterior[[#This Row],[Hidrometro]]</f>
        <v>1268</v>
      </c>
      <c r="F37" s="13"/>
      <c r="G37" s="16">
        <f>tbl_meddez_anterior[[#This Row],[Hidrometro]]</f>
        <v>1268</v>
      </c>
      <c r="H37" s="14"/>
      <c r="I37" s="2">
        <f>tbl_medabr[[#This Row],[Medição 
Água Fria]]/100+tbl_medabr[[#This Row],[Medição 
Água Quente]]/1000</f>
        <v>0</v>
      </c>
      <c r="J37" s="15" t="str">
        <f>IF(tbl_medabr[[#This Row],[Total]]&gt;0,tbl_medabr[[#This Row],[Total]]/VLOOKUP(tbl_medabr[[#This Row],[Apto]],tbl_medfev[[Apto]:[Total]],6,FALSE)-1,"")</f>
        <v/>
      </c>
      <c r="K37" s="15" t="str">
        <f>IF(tbl_medabr[[#This Row],[Utilização (%)]]&lt;&gt;"",ALERTA_INDIVIDUAL-tbl_medabr[[#This Row],[Utilização (%)]],"")</f>
        <v/>
      </c>
    </row>
    <row r="38" spans="1:11" x14ac:dyDescent="0.25">
      <c r="A38" s="2">
        <f>tbl_consolidacao[[#This Row],[Torre]]</f>
        <v>2</v>
      </c>
      <c r="B38" s="2" t="str">
        <f>tbl_consolidacao[[#This Row],[Junta]]</f>
        <v>A</v>
      </c>
      <c r="C38" s="2">
        <f>tbl_consolidacao[[#This Row],[Unid]]</f>
        <v>304</v>
      </c>
      <c r="D38" s="2" t="str">
        <f>tbl_consolidacao[[#This Row],[Apto]]</f>
        <v>304-A2</v>
      </c>
      <c r="E38" s="2">
        <f>tbl_meddez_anterior[[#This Row],[Hidrometro]]</f>
        <v>1269</v>
      </c>
      <c r="F38" s="13"/>
      <c r="G38" s="16">
        <f>tbl_meddez_anterior[[#This Row],[Hidrometro]]</f>
        <v>1269</v>
      </c>
      <c r="H38" s="14"/>
      <c r="I38" s="2">
        <f>tbl_medabr[[#This Row],[Medição 
Água Fria]]/100+tbl_medabr[[#This Row],[Medição 
Água Quente]]/1000</f>
        <v>0</v>
      </c>
      <c r="J38" s="15" t="str">
        <f>IF(tbl_medabr[[#This Row],[Total]]&gt;0,tbl_medabr[[#This Row],[Total]]/VLOOKUP(tbl_medabr[[#This Row],[Apto]],tbl_medfev[[Apto]:[Total]],6,FALSE)-1,"")</f>
        <v/>
      </c>
      <c r="K38" s="15" t="str">
        <f>IF(tbl_medabr[[#This Row],[Utilização (%)]]&lt;&gt;"",ALERTA_INDIVIDUAL-tbl_medabr[[#This Row],[Utilização (%)]],"")</f>
        <v/>
      </c>
    </row>
    <row r="39" spans="1:11" x14ac:dyDescent="0.25">
      <c r="A39" s="2">
        <f>tbl_consolidacao[[#This Row],[Torre]]</f>
        <v>1</v>
      </c>
      <c r="B39" s="2" t="str">
        <f>tbl_consolidacao[[#This Row],[Junta]]</f>
        <v>B</v>
      </c>
      <c r="C39" s="2">
        <f>tbl_consolidacao[[#This Row],[Unid]]</f>
        <v>305</v>
      </c>
      <c r="D39" s="2" t="str">
        <f>tbl_consolidacao[[#This Row],[Apto]]</f>
        <v>305-B1</v>
      </c>
      <c r="E39" s="2">
        <f>tbl_meddez_anterior[[#This Row],[Hidrometro]]</f>
        <v>1270</v>
      </c>
      <c r="F39" s="13"/>
      <c r="G39" s="16">
        <f>tbl_meddez_anterior[[#This Row],[Hidrometro]]</f>
        <v>1270</v>
      </c>
      <c r="H39" s="14"/>
      <c r="I39" s="2">
        <f>tbl_medabr[[#This Row],[Medição 
Água Fria]]/100+tbl_medabr[[#This Row],[Medição 
Água Quente]]/1000</f>
        <v>0</v>
      </c>
      <c r="J39" s="15" t="str">
        <f>IF(tbl_medabr[[#This Row],[Total]]&gt;0,tbl_medabr[[#This Row],[Total]]/VLOOKUP(tbl_medabr[[#This Row],[Apto]],tbl_medfev[[Apto]:[Total]],6,FALSE)-1,"")</f>
        <v/>
      </c>
      <c r="K39" s="15" t="str">
        <f>IF(tbl_medabr[[#This Row],[Utilização (%)]]&lt;&gt;"",ALERTA_INDIVIDUAL-tbl_medabr[[#This Row],[Utilização (%)]],"")</f>
        <v/>
      </c>
    </row>
    <row r="40" spans="1:11" x14ac:dyDescent="0.25">
      <c r="A40" s="2">
        <f>tbl_consolidacao[[#This Row],[Torre]]</f>
        <v>2</v>
      </c>
      <c r="B40" s="2" t="str">
        <f>tbl_consolidacao[[#This Row],[Junta]]</f>
        <v>B</v>
      </c>
      <c r="C40" s="2">
        <f>tbl_consolidacao[[#This Row],[Unid]]</f>
        <v>305</v>
      </c>
      <c r="D40" s="2" t="str">
        <f>tbl_consolidacao[[#This Row],[Apto]]</f>
        <v>305-B2</v>
      </c>
      <c r="E40" s="2">
        <f>tbl_meddez_anterior[[#This Row],[Hidrometro]]</f>
        <v>1271</v>
      </c>
      <c r="F40" s="13"/>
      <c r="G40" s="16">
        <f>tbl_meddez_anterior[[#This Row],[Hidrometro]]</f>
        <v>1271</v>
      </c>
      <c r="H40" s="14"/>
      <c r="I40" s="2">
        <f>tbl_medabr[[#This Row],[Medição 
Água Fria]]/100+tbl_medabr[[#This Row],[Medição 
Água Quente]]/1000</f>
        <v>0</v>
      </c>
      <c r="J40" s="15" t="str">
        <f>IF(tbl_medabr[[#This Row],[Total]]&gt;0,tbl_medabr[[#This Row],[Total]]/VLOOKUP(tbl_medabr[[#This Row],[Apto]],tbl_medfev[[Apto]:[Total]],6,FALSE)-1,"")</f>
        <v/>
      </c>
      <c r="K40" s="15" t="str">
        <f>IF(tbl_medabr[[#This Row],[Utilização (%)]]&lt;&gt;"",ALERTA_INDIVIDUAL-tbl_medabr[[#This Row],[Utilização (%)]],"")</f>
        <v/>
      </c>
    </row>
    <row r="41" spans="1:11" x14ac:dyDescent="0.25">
      <c r="A41" s="2">
        <f>tbl_consolidacao[[#This Row],[Torre]]</f>
        <v>1</v>
      </c>
      <c r="B41" s="2" t="str">
        <f>tbl_consolidacao[[#This Row],[Junta]]</f>
        <v>B</v>
      </c>
      <c r="C41" s="2">
        <f>tbl_consolidacao[[#This Row],[Unid]]</f>
        <v>306</v>
      </c>
      <c r="D41" s="2" t="str">
        <f>tbl_consolidacao[[#This Row],[Apto]]</f>
        <v>306-B1</v>
      </c>
      <c r="E41" s="2">
        <f>tbl_meddez_anterior[[#This Row],[Hidrometro]]</f>
        <v>1272</v>
      </c>
      <c r="F41" s="13"/>
      <c r="G41" s="16">
        <f>tbl_meddez_anterior[[#This Row],[Hidrometro]]</f>
        <v>1272</v>
      </c>
      <c r="H41" s="14"/>
      <c r="I41" s="2">
        <f>tbl_medabr[[#This Row],[Medição 
Água Fria]]/100+tbl_medabr[[#This Row],[Medição 
Água Quente]]/1000</f>
        <v>0</v>
      </c>
      <c r="J41" s="15" t="str">
        <f>IF(tbl_medabr[[#This Row],[Total]]&gt;0,tbl_medabr[[#This Row],[Total]]/VLOOKUP(tbl_medabr[[#This Row],[Apto]],tbl_medfev[[Apto]:[Total]],6,FALSE)-1,"")</f>
        <v/>
      </c>
      <c r="K41" s="15" t="str">
        <f>IF(tbl_medabr[[#This Row],[Utilização (%)]]&lt;&gt;"",ALERTA_INDIVIDUAL-tbl_medabr[[#This Row],[Utilização (%)]],"")</f>
        <v/>
      </c>
    </row>
    <row r="42" spans="1:11" x14ac:dyDescent="0.25">
      <c r="A42" s="2">
        <f>tbl_consolidacao[[#This Row],[Torre]]</f>
        <v>2</v>
      </c>
      <c r="B42" s="2" t="str">
        <f>tbl_consolidacao[[#This Row],[Junta]]</f>
        <v>B</v>
      </c>
      <c r="C42" s="2">
        <f>tbl_consolidacao[[#This Row],[Unid]]</f>
        <v>306</v>
      </c>
      <c r="D42" s="2" t="str">
        <f>tbl_consolidacao[[#This Row],[Apto]]</f>
        <v>306-B2</v>
      </c>
      <c r="E42" s="2">
        <f>tbl_meddez_anterior[[#This Row],[Hidrometro]]</f>
        <v>1273</v>
      </c>
      <c r="F42" s="13"/>
      <c r="G42" s="16">
        <f>tbl_meddez_anterior[[#This Row],[Hidrometro]]</f>
        <v>1273</v>
      </c>
      <c r="H42" s="14"/>
      <c r="I42" s="2">
        <f>tbl_medabr[[#This Row],[Medição 
Água Fria]]/100+tbl_medabr[[#This Row],[Medição 
Água Quente]]/1000</f>
        <v>0</v>
      </c>
      <c r="J42" s="15" t="str">
        <f>IF(tbl_medabr[[#This Row],[Total]]&gt;0,tbl_medabr[[#This Row],[Total]]/VLOOKUP(tbl_medabr[[#This Row],[Apto]],tbl_medfev[[Apto]:[Total]],6,FALSE)-1,"")</f>
        <v/>
      </c>
      <c r="K42" s="15" t="str">
        <f>IF(tbl_medabr[[#This Row],[Utilização (%)]]&lt;&gt;"",ALERTA_INDIVIDUAL-tbl_medabr[[#This Row],[Utilização (%)]],"")</f>
        <v/>
      </c>
    </row>
    <row r="43" spans="1:11" x14ac:dyDescent="0.25">
      <c r="A43" s="2">
        <f>tbl_consolidacao[[#This Row],[Torre]]</f>
        <v>1</v>
      </c>
      <c r="B43" s="2" t="str">
        <f>tbl_consolidacao[[#This Row],[Junta]]</f>
        <v>B</v>
      </c>
      <c r="C43" s="2">
        <f>tbl_consolidacao[[#This Row],[Unid]]</f>
        <v>307</v>
      </c>
      <c r="D43" s="2" t="str">
        <f>tbl_consolidacao[[#This Row],[Apto]]</f>
        <v>307-B1</v>
      </c>
      <c r="E43" s="2">
        <f>tbl_meddez_anterior[[#This Row],[Hidrometro]]</f>
        <v>1274</v>
      </c>
      <c r="F43" s="13"/>
      <c r="G43" s="16">
        <f>tbl_meddez_anterior[[#This Row],[Hidrometro]]</f>
        <v>1274</v>
      </c>
      <c r="H43" s="14"/>
      <c r="I43" s="2">
        <f>tbl_medabr[[#This Row],[Medição 
Água Fria]]/100+tbl_medabr[[#This Row],[Medição 
Água Quente]]/1000</f>
        <v>0</v>
      </c>
      <c r="J43" s="15" t="str">
        <f>IF(tbl_medabr[[#This Row],[Total]]&gt;0,tbl_medabr[[#This Row],[Total]]/VLOOKUP(tbl_medabr[[#This Row],[Apto]],tbl_medfev[[Apto]:[Total]],6,FALSE)-1,"")</f>
        <v/>
      </c>
      <c r="K43" s="15" t="str">
        <f>IF(tbl_medabr[[#This Row],[Utilização (%)]]&lt;&gt;"",ALERTA_INDIVIDUAL-tbl_medabr[[#This Row],[Utilização (%)]],"")</f>
        <v/>
      </c>
    </row>
    <row r="44" spans="1:11" x14ac:dyDescent="0.25">
      <c r="A44" s="2">
        <f>tbl_consolidacao[[#This Row],[Torre]]</f>
        <v>2</v>
      </c>
      <c r="B44" s="2" t="str">
        <f>tbl_consolidacao[[#This Row],[Junta]]</f>
        <v>B</v>
      </c>
      <c r="C44" s="2">
        <f>tbl_consolidacao[[#This Row],[Unid]]</f>
        <v>307</v>
      </c>
      <c r="D44" s="2" t="str">
        <f>tbl_consolidacao[[#This Row],[Apto]]</f>
        <v>307-B2</v>
      </c>
      <c r="E44" s="2">
        <f>tbl_meddez_anterior[[#This Row],[Hidrometro]]</f>
        <v>1275</v>
      </c>
      <c r="F44" s="13"/>
      <c r="G44" s="16">
        <f>tbl_meddez_anterior[[#This Row],[Hidrometro]]</f>
        <v>1275</v>
      </c>
      <c r="H44" s="14"/>
      <c r="I44" s="2">
        <f>tbl_medabr[[#This Row],[Medição 
Água Fria]]/100+tbl_medabr[[#This Row],[Medição 
Água Quente]]/1000</f>
        <v>0</v>
      </c>
      <c r="J44" s="15" t="str">
        <f>IF(tbl_medabr[[#This Row],[Total]]&gt;0,tbl_medabr[[#This Row],[Total]]/VLOOKUP(tbl_medabr[[#This Row],[Apto]],tbl_medfev[[Apto]:[Total]],6,FALSE)-1,"")</f>
        <v/>
      </c>
      <c r="K44" s="15" t="str">
        <f>IF(tbl_medabr[[#This Row],[Utilização (%)]]&lt;&gt;"",ALERTA_INDIVIDUAL-tbl_medabr[[#This Row],[Utilização (%)]],"")</f>
        <v/>
      </c>
    </row>
    <row r="45" spans="1:11" x14ac:dyDescent="0.25">
      <c r="A45" s="2">
        <f>tbl_consolidacao[[#This Row],[Torre]]</f>
        <v>1</v>
      </c>
      <c r="B45" s="2" t="str">
        <f>tbl_consolidacao[[#This Row],[Junta]]</f>
        <v>B</v>
      </c>
      <c r="C45" s="2">
        <f>tbl_consolidacao[[#This Row],[Unid]]</f>
        <v>308</v>
      </c>
      <c r="D45" s="2" t="str">
        <f>tbl_consolidacao[[#This Row],[Apto]]</f>
        <v>308-B1</v>
      </c>
      <c r="E45" s="2">
        <f>tbl_meddez_anterior[[#This Row],[Hidrometro]]</f>
        <v>1276</v>
      </c>
      <c r="F45" s="13"/>
      <c r="G45" s="16">
        <f>tbl_meddez_anterior[[#This Row],[Hidrometro]]</f>
        <v>1276</v>
      </c>
      <c r="H45" s="14"/>
      <c r="I45" s="2">
        <f>tbl_medabr[[#This Row],[Medição 
Água Fria]]/100+tbl_medabr[[#This Row],[Medição 
Água Quente]]/1000</f>
        <v>0</v>
      </c>
      <c r="J45" s="15" t="str">
        <f>IF(tbl_medabr[[#This Row],[Total]]&gt;0,tbl_medabr[[#This Row],[Total]]/VLOOKUP(tbl_medabr[[#This Row],[Apto]],tbl_medfev[[Apto]:[Total]],6,FALSE)-1,"")</f>
        <v/>
      </c>
      <c r="K45" s="15" t="str">
        <f>IF(tbl_medabr[[#This Row],[Utilização (%)]]&lt;&gt;"",ALERTA_INDIVIDUAL-tbl_medabr[[#This Row],[Utilização (%)]],"")</f>
        <v/>
      </c>
    </row>
    <row r="46" spans="1:11" x14ac:dyDescent="0.25">
      <c r="A46" s="2">
        <f>tbl_consolidacao[[#This Row],[Torre]]</f>
        <v>2</v>
      </c>
      <c r="B46" s="2" t="str">
        <f>tbl_consolidacao[[#This Row],[Junta]]</f>
        <v>B</v>
      </c>
      <c r="C46" s="2">
        <f>tbl_consolidacao[[#This Row],[Unid]]</f>
        <v>308</v>
      </c>
      <c r="D46" s="2" t="str">
        <f>tbl_consolidacao[[#This Row],[Apto]]</f>
        <v>308-B2</v>
      </c>
      <c r="E46" s="2">
        <f>tbl_meddez_anterior[[#This Row],[Hidrometro]]</f>
        <v>1277</v>
      </c>
      <c r="F46" s="13"/>
      <c r="G46" s="16">
        <f>tbl_meddez_anterior[[#This Row],[Hidrometro]]</f>
        <v>1277</v>
      </c>
      <c r="H46" s="14"/>
      <c r="I46" s="2">
        <f>tbl_medabr[[#This Row],[Medição 
Água Fria]]/100+tbl_medabr[[#This Row],[Medição 
Água Quente]]/1000</f>
        <v>0</v>
      </c>
      <c r="J46" s="15" t="str">
        <f>IF(tbl_medabr[[#This Row],[Total]]&gt;0,tbl_medabr[[#This Row],[Total]]/VLOOKUP(tbl_medabr[[#This Row],[Apto]],tbl_medfev[[Apto]:[Total]],6,FALSE)-1,"")</f>
        <v/>
      </c>
      <c r="K46" s="15" t="str">
        <f>IF(tbl_medabr[[#This Row],[Utilização (%)]]&lt;&gt;"",ALERTA_INDIVIDUAL-tbl_medabr[[#This Row],[Utilização (%)]],"")</f>
        <v/>
      </c>
    </row>
  </sheetData>
  <sheetProtection algorithmName="SHA-512" hashValue="F9//aRyoXkDz1EnQT3IkrQ0qr2qWQjq0xP3/RxNoqEK3vNzc0wHRgYdV9ZInAUXwRMGpM2IiRTsKTqzViZQjmg==" saltValue="3HWp71nQ4yIW3iCWbpT0tQ==" spinCount="100000" sheet="1" objects="1" scenarios="1" selectLockedCells="1"/>
  <mergeCells count="3">
    <mergeCell ref="E1:F1"/>
    <mergeCell ref="G1:H1"/>
    <mergeCell ref="I1:J1"/>
  </mergeCells>
  <conditionalFormatting sqref="K3:K46">
    <cfRule type="iconSet" priority="1">
      <iconSet iconSet="3Flags" showValue="0">
        <cfvo type="percent" val="0"/>
        <cfvo type="percent" val="5"/>
        <cfvo type="percent" val="1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K46"/>
  <sheetViews>
    <sheetView showGridLines="0" workbookViewId="0">
      <selection activeCell="G1" sqref="G1:H1"/>
    </sheetView>
  </sheetViews>
  <sheetFormatPr defaultRowHeight="15" x14ac:dyDescent="0.25"/>
  <cols>
    <col min="1" max="3" width="7.7109375" customWidth="1"/>
    <col min="4" max="4" width="10.7109375" customWidth="1"/>
    <col min="5" max="9" width="12.7109375" customWidth="1"/>
    <col min="10" max="10" width="10.7109375" customWidth="1"/>
    <col min="11" max="11" width="3.7109375" customWidth="1"/>
  </cols>
  <sheetData>
    <row r="1" spans="1:11" ht="23.25" x14ac:dyDescent="0.35">
      <c r="E1" s="53" t="s">
        <v>48</v>
      </c>
      <c r="F1" s="53"/>
      <c r="G1" s="54"/>
      <c r="H1" s="54"/>
      <c r="I1" s="55" t="str">
        <f>IF(G1&lt;&gt;"",TEXT(G1,"mmmm-aa"),"")</f>
        <v/>
      </c>
      <c r="J1" s="55"/>
    </row>
    <row r="2" spans="1:11" ht="65.099999999999994" customHeight="1" x14ac:dyDescent="0.25">
      <c r="A2" s="3" t="s">
        <v>24</v>
      </c>
      <c r="B2" s="3" t="s">
        <v>25</v>
      </c>
      <c r="C2" s="3" t="s">
        <v>26</v>
      </c>
      <c r="D2" s="3" t="s">
        <v>49</v>
      </c>
      <c r="E2" s="3" t="s">
        <v>27</v>
      </c>
      <c r="F2" s="12" t="s">
        <v>43</v>
      </c>
      <c r="G2" s="10" t="s">
        <v>30</v>
      </c>
      <c r="H2" s="11" t="s">
        <v>44</v>
      </c>
      <c r="I2" s="3" t="s">
        <v>45</v>
      </c>
      <c r="J2" s="3" t="s">
        <v>46</v>
      </c>
      <c r="K2" s="3" t="s">
        <v>19</v>
      </c>
    </row>
    <row r="3" spans="1:11" x14ac:dyDescent="0.25">
      <c r="A3" s="2">
        <f>tbl_consolidacao[[#This Row],[Torre]]</f>
        <v>1</v>
      </c>
      <c r="B3" s="2" t="str">
        <f>tbl_consolidacao[[#This Row],[Junta]]</f>
        <v>A</v>
      </c>
      <c r="C3" s="2">
        <f>tbl_consolidacao[[#This Row],[Unid]]</f>
        <v>101</v>
      </c>
      <c r="D3" s="2" t="str">
        <f>tbl_consolidacao[[#This Row],[Apto]]</f>
        <v>101-A1</v>
      </c>
      <c r="E3" s="2">
        <f>tbl_meddez_anterior[[#This Row],[Hidrometro]]</f>
        <v>1234</v>
      </c>
      <c r="F3" s="13"/>
      <c r="G3" s="16">
        <f>tbl_meddez_anterior[[#This Row],[Hidrometro]]</f>
        <v>1234</v>
      </c>
      <c r="H3" s="14"/>
      <c r="I3" s="2">
        <f>tbl_medmai[[#This Row],[Medição 
Água Fria]]/100+tbl_medmai[[#This Row],[Medição 
Água Quente]]/1000</f>
        <v>0</v>
      </c>
      <c r="J3" s="15" t="str">
        <f>IF(tbl_medmai[[#This Row],[Total]]&gt;0,tbl_medmai[[#This Row],[Total]]/VLOOKUP(tbl_medmai[[#This Row],[Apto]],tbl_medfev[[Apto]:[Total]],6,FALSE)-1,"")</f>
        <v/>
      </c>
      <c r="K3" s="15" t="str">
        <f>IF(tbl_medmai[[#This Row],[Utilização (%)]]&lt;&gt;"",ALERTA_INDIVIDUAL-tbl_medmai[[#This Row],[Utilização (%)]],"")</f>
        <v/>
      </c>
    </row>
    <row r="4" spans="1:11" x14ac:dyDescent="0.25">
      <c r="A4" s="2">
        <f>tbl_consolidacao[[#This Row],[Torre]]</f>
        <v>2</v>
      </c>
      <c r="B4" s="2" t="str">
        <f>tbl_consolidacao[[#This Row],[Junta]]</f>
        <v>A</v>
      </c>
      <c r="C4" s="2">
        <f>tbl_consolidacao[[#This Row],[Unid]]</f>
        <v>101</v>
      </c>
      <c r="D4" s="2" t="str">
        <f>tbl_consolidacao[[#This Row],[Apto]]</f>
        <v>101-A2</v>
      </c>
      <c r="E4" s="2">
        <f>tbl_meddez_anterior[[#This Row],[Hidrometro]]</f>
        <v>1235</v>
      </c>
      <c r="F4" s="13"/>
      <c r="G4" s="16">
        <f>tbl_meddez_anterior[[#This Row],[Hidrometro]]</f>
        <v>1235</v>
      </c>
      <c r="H4" s="14"/>
      <c r="I4" s="2">
        <f>tbl_medmai[[#This Row],[Medição 
Água Fria]]/100+tbl_medmai[[#This Row],[Medição 
Água Quente]]/1000</f>
        <v>0</v>
      </c>
      <c r="J4" s="15" t="str">
        <f>IF(tbl_medmai[[#This Row],[Total]]&gt;0,tbl_medmai[[#This Row],[Total]]/VLOOKUP(tbl_medmai[[#This Row],[Apto]],tbl_medfev[[Apto]:[Total]],6,FALSE)-1,"")</f>
        <v/>
      </c>
      <c r="K4" s="15" t="str">
        <f>IF(tbl_medmai[[#This Row],[Utilização (%)]]&lt;&gt;"",ALERTA_INDIVIDUAL-tbl_medmai[[#This Row],[Utilização (%)]],"")</f>
        <v/>
      </c>
    </row>
    <row r="5" spans="1:11" x14ac:dyDescent="0.25">
      <c r="A5" s="2">
        <f>tbl_consolidacao[[#This Row],[Torre]]</f>
        <v>1</v>
      </c>
      <c r="B5" s="2" t="str">
        <f>tbl_consolidacao[[#This Row],[Junta]]</f>
        <v>A</v>
      </c>
      <c r="C5" s="2">
        <f>tbl_consolidacao[[#This Row],[Unid]]</f>
        <v>102</v>
      </c>
      <c r="D5" s="2" t="str">
        <f>tbl_consolidacao[[#This Row],[Apto]]</f>
        <v>102-A1</v>
      </c>
      <c r="E5" s="2">
        <f>tbl_meddez_anterior[[#This Row],[Hidrometro]]</f>
        <v>1236</v>
      </c>
      <c r="F5" s="13"/>
      <c r="G5" s="16">
        <f>tbl_meddez_anterior[[#This Row],[Hidrometro]]</f>
        <v>1236</v>
      </c>
      <c r="H5" s="14"/>
      <c r="I5" s="2">
        <f>tbl_medmai[[#This Row],[Medição 
Água Fria]]/100+tbl_medmai[[#This Row],[Medição 
Água Quente]]/1000</f>
        <v>0</v>
      </c>
      <c r="J5" s="15" t="str">
        <f>IF(tbl_medmai[[#This Row],[Total]]&gt;0,tbl_medmai[[#This Row],[Total]]/VLOOKUP(tbl_medmai[[#This Row],[Apto]],tbl_medfev[[Apto]:[Total]],6,FALSE)-1,"")</f>
        <v/>
      </c>
      <c r="K5" s="15" t="str">
        <f>IF(tbl_medmai[[#This Row],[Utilização (%)]]&lt;&gt;"",ALERTA_INDIVIDUAL-tbl_medmai[[#This Row],[Utilização (%)]],"")</f>
        <v/>
      </c>
    </row>
    <row r="6" spans="1:11" x14ac:dyDescent="0.25">
      <c r="A6" s="2">
        <f>tbl_consolidacao[[#This Row],[Torre]]</f>
        <v>2</v>
      </c>
      <c r="B6" s="2" t="str">
        <f>tbl_consolidacao[[#This Row],[Junta]]</f>
        <v>A</v>
      </c>
      <c r="C6" s="2">
        <f>tbl_consolidacao[[#This Row],[Unid]]</f>
        <v>102</v>
      </c>
      <c r="D6" s="2" t="str">
        <f>tbl_consolidacao[[#This Row],[Apto]]</f>
        <v>102-A2</v>
      </c>
      <c r="E6" s="2">
        <f>tbl_meddez_anterior[[#This Row],[Hidrometro]]</f>
        <v>1237</v>
      </c>
      <c r="F6" s="13"/>
      <c r="G6" s="16">
        <f>tbl_meddez_anterior[[#This Row],[Hidrometro]]</f>
        <v>1237</v>
      </c>
      <c r="H6" s="14"/>
      <c r="I6" s="2">
        <f>tbl_medmai[[#This Row],[Medição 
Água Fria]]/100+tbl_medmai[[#This Row],[Medição 
Água Quente]]/1000</f>
        <v>0</v>
      </c>
      <c r="J6" s="15" t="str">
        <f>IF(tbl_medmai[[#This Row],[Total]]&gt;0,tbl_medmai[[#This Row],[Total]]/VLOOKUP(tbl_medmai[[#This Row],[Apto]],tbl_medfev[[Apto]:[Total]],6,FALSE)-1,"")</f>
        <v/>
      </c>
      <c r="K6" s="15" t="str">
        <f>IF(tbl_medmai[[#This Row],[Utilização (%)]]&lt;&gt;"",ALERTA_INDIVIDUAL-tbl_medmai[[#This Row],[Utilização (%)]],"")</f>
        <v/>
      </c>
    </row>
    <row r="7" spans="1:11" x14ac:dyDescent="0.25">
      <c r="A7" s="2">
        <f>tbl_consolidacao[[#This Row],[Torre]]</f>
        <v>1</v>
      </c>
      <c r="B7" s="2" t="str">
        <f>tbl_consolidacao[[#This Row],[Junta]]</f>
        <v>A</v>
      </c>
      <c r="C7" s="2">
        <f>tbl_consolidacao[[#This Row],[Unid]]</f>
        <v>103</v>
      </c>
      <c r="D7" s="2" t="str">
        <f>tbl_consolidacao[[#This Row],[Apto]]</f>
        <v>103-A1</v>
      </c>
      <c r="E7" s="2">
        <f>tbl_meddez_anterior[[#This Row],[Hidrometro]]</f>
        <v>1238</v>
      </c>
      <c r="F7" s="13"/>
      <c r="G7" s="16">
        <f>tbl_meddez_anterior[[#This Row],[Hidrometro]]</f>
        <v>1238</v>
      </c>
      <c r="H7" s="14"/>
      <c r="I7" s="2">
        <f>tbl_medmai[[#This Row],[Medição 
Água Fria]]/100+tbl_medmai[[#This Row],[Medição 
Água Quente]]/1000</f>
        <v>0</v>
      </c>
      <c r="J7" s="15" t="str">
        <f>IF(tbl_medmai[[#This Row],[Total]]&gt;0,tbl_medmai[[#This Row],[Total]]/VLOOKUP(tbl_medmai[[#This Row],[Apto]],tbl_medfev[[Apto]:[Total]],6,FALSE)-1,"")</f>
        <v/>
      </c>
      <c r="K7" s="15" t="str">
        <f>IF(tbl_medmai[[#This Row],[Utilização (%)]]&lt;&gt;"",ALERTA_INDIVIDUAL-tbl_medmai[[#This Row],[Utilização (%)]],"")</f>
        <v/>
      </c>
    </row>
    <row r="8" spans="1:11" x14ac:dyDescent="0.25">
      <c r="A8" s="2">
        <f>tbl_consolidacao[[#This Row],[Torre]]</f>
        <v>2</v>
      </c>
      <c r="B8" s="2" t="str">
        <f>tbl_consolidacao[[#This Row],[Junta]]</f>
        <v>A</v>
      </c>
      <c r="C8" s="2">
        <f>tbl_consolidacao[[#This Row],[Unid]]</f>
        <v>103</v>
      </c>
      <c r="D8" s="2" t="str">
        <f>tbl_consolidacao[[#This Row],[Apto]]</f>
        <v>103-A2</v>
      </c>
      <c r="E8" s="2">
        <f>tbl_meddez_anterior[[#This Row],[Hidrometro]]</f>
        <v>1239</v>
      </c>
      <c r="F8" s="13"/>
      <c r="G8" s="16">
        <f>tbl_meddez_anterior[[#This Row],[Hidrometro]]</f>
        <v>1239</v>
      </c>
      <c r="H8" s="14"/>
      <c r="I8" s="2">
        <f>tbl_medmai[[#This Row],[Medição 
Água Fria]]/100+tbl_medmai[[#This Row],[Medição 
Água Quente]]/1000</f>
        <v>0</v>
      </c>
      <c r="J8" s="15" t="str">
        <f>IF(tbl_medmai[[#This Row],[Total]]&gt;0,tbl_medmai[[#This Row],[Total]]/VLOOKUP(tbl_medmai[[#This Row],[Apto]],tbl_medfev[[Apto]:[Total]],6,FALSE)-1,"")</f>
        <v/>
      </c>
      <c r="K8" s="15" t="str">
        <f>IF(tbl_medmai[[#This Row],[Utilização (%)]]&lt;&gt;"",ALERTA_INDIVIDUAL-tbl_medmai[[#This Row],[Utilização (%)]],"")</f>
        <v/>
      </c>
    </row>
    <row r="9" spans="1:11" x14ac:dyDescent="0.25">
      <c r="A9" s="2">
        <f>tbl_consolidacao[[#This Row],[Torre]]</f>
        <v>1</v>
      </c>
      <c r="B9" s="2" t="str">
        <f>tbl_consolidacao[[#This Row],[Junta]]</f>
        <v>A</v>
      </c>
      <c r="C9" s="2">
        <f>tbl_consolidacao[[#This Row],[Unid]]</f>
        <v>104</v>
      </c>
      <c r="D9" s="2" t="str">
        <f>tbl_consolidacao[[#This Row],[Apto]]</f>
        <v>104-A1</v>
      </c>
      <c r="E9" s="2">
        <f>tbl_meddez_anterior[[#This Row],[Hidrometro]]</f>
        <v>1240</v>
      </c>
      <c r="F9" s="13"/>
      <c r="G9" s="16">
        <f>tbl_meddez_anterior[[#This Row],[Hidrometro]]</f>
        <v>1240</v>
      </c>
      <c r="H9" s="14"/>
      <c r="I9" s="2">
        <f>tbl_medmai[[#This Row],[Medição 
Água Fria]]/100+tbl_medmai[[#This Row],[Medição 
Água Quente]]/1000</f>
        <v>0</v>
      </c>
      <c r="J9" s="15" t="str">
        <f>IF(tbl_medmai[[#This Row],[Total]]&gt;0,tbl_medmai[[#This Row],[Total]]/VLOOKUP(tbl_medmai[[#This Row],[Apto]],tbl_medfev[[Apto]:[Total]],6,FALSE)-1,"")</f>
        <v/>
      </c>
      <c r="K9" s="15" t="str">
        <f>IF(tbl_medmai[[#This Row],[Utilização (%)]]&lt;&gt;"",ALERTA_INDIVIDUAL-tbl_medmai[[#This Row],[Utilização (%)]],"")</f>
        <v/>
      </c>
    </row>
    <row r="10" spans="1:11" x14ac:dyDescent="0.25">
      <c r="A10" s="2">
        <f>tbl_consolidacao[[#This Row],[Torre]]</f>
        <v>2</v>
      </c>
      <c r="B10" s="2" t="str">
        <f>tbl_consolidacao[[#This Row],[Junta]]</f>
        <v>A</v>
      </c>
      <c r="C10" s="2">
        <f>tbl_consolidacao[[#This Row],[Unid]]</f>
        <v>104</v>
      </c>
      <c r="D10" s="2" t="str">
        <f>tbl_consolidacao[[#This Row],[Apto]]</f>
        <v>104-A2</v>
      </c>
      <c r="E10" s="2">
        <f>tbl_meddez_anterior[[#This Row],[Hidrometro]]</f>
        <v>1241</v>
      </c>
      <c r="F10" s="13"/>
      <c r="G10" s="16">
        <f>tbl_meddez_anterior[[#This Row],[Hidrometro]]</f>
        <v>1241</v>
      </c>
      <c r="H10" s="14"/>
      <c r="I10" s="2">
        <f>tbl_medmai[[#This Row],[Medição 
Água Fria]]/100+tbl_medmai[[#This Row],[Medição 
Água Quente]]/1000</f>
        <v>0</v>
      </c>
      <c r="J10" s="15" t="str">
        <f>IF(tbl_medmai[[#This Row],[Total]]&gt;0,tbl_medmai[[#This Row],[Total]]/VLOOKUP(tbl_medmai[[#This Row],[Apto]],tbl_medfev[[Apto]:[Total]],6,FALSE)-1,"")</f>
        <v/>
      </c>
      <c r="K10" s="15" t="str">
        <f>IF(tbl_medmai[[#This Row],[Utilização (%)]]&lt;&gt;"",ALERTA_INDIVIDUAL-tbl_medmai[[#This Row],[Utilização (%)]],"")</f>
        <v/>
      </c>
    </row>
    <row r="11" spans="1:11" x14ac:dyDescent="0.25">
      <c r="A11" s="2">
        <f>tbl_consolidacao[[#This Row],[Torre]]</f>
        <v>2</v>
      </c>
      <c r="B11" s="2" t="str">
        <f>tbl_consolidacao[[#This Row],[Junta]]</f>
        <v>B</v>
      </c>
      <c r="C11" s="2">
        <f>tbl_consolidacao[[#This Row],[Unid]]</f>
        <v>105</v>
      </c>
      <c r="D11" s="2" t="str">
        <f>tbl_consolidacao[[#This Row],[Apto]]</f>
        <v>105-B2</v>
      </c>
      <c r="E11" s="2">
        <f>tbl_meddez_anterior[[#This Row],[Hidrometro]]</f>
        <v>1242</v>
      </c>
      <c r="F11" s="13"/>
      <c r="G11" s="16">
        <f>tbl_meddez_anterior[[#This Row],[Hidrometro]]</f>
        <v>1242</v>
      </c>
      <c r="H11" s="14"/>
      <c r="I11" s="2">
        <f>tbl_medmai[[#This Row],[Medição 
Água Fria]]/100+tbl_medmai[[#This Row],[Medição 
Água Quente]]/1000</f>
        <v>0</v>
      </c>
      <c r="J11" s="15" t="str">
        <f>IF(tbl_medmai[[#This Row],[Total]]&gt;0,tbl_medmai[[#This Row],[Total]]/VLOOKUP(tbl_medmai[[#This Row],[Apto]],tbl_medfev[[Apto]:[Total]],6,FALSE)-1,"")</f>
        <v/>
      </c>
      <c r="K11" s="15" t="str">
        <f>IF(tbl_medmai[[#This Row],[Utilização (%)]]&lt;&gt;"",ALERTA_INDIVIDUAL-tbl_medmai[[#This Row],[Utilização (%)]],"")</f>
        <v/>
      </c>
    </row>
    <row r="12" spans="1:11" x14ac:dyDescent="0.25">
      <c r="A12" s="2">
        <f>tbl_consolidacao[[#This Row],[Torre]]</f>
        <v>2</v>
      </c>
      <c r="B12" s="2" t="str">
        <f>tbl_consolidacao[[#This Row],[Junta]]</f>
        <v>B</v>
      </c>
      <c r="C12" s="2">
        <f>tbl_consolidacao[[#This Row],[Unid]]</f>
        <v>106</v>
      </c>
      <c r="D12" s="2" t="str">
        <f>tbl_consolidacao[[#This Row],[Apto]]</f>
        <v>106-B2</v>
      </c>
      <c r="E12" s="2">
        <f>tbl_meddez_anterior[[#This Row],[Hidrometro]]</f>
        <v>1243</v>
      </c>
      <c r="F12" s="13"/>
      <c r="G12" s="16">
        <f>tbl_meddez_anterior[[#This Row],[Hidrometro]]</f>
        <v>1243</v>
      </c>
      <c r="H12" s="14"/>
      <c r="I12" s="2">
        <f>tbl_medmai[[#This Row],[Medição 
Água Fria]]/100+tbl_medmai[[#This Row],[Medição 
Água Quente]]/1000</f>
        <v>0</v>
      </c>
      <c r="J12" s="15" t="str">
        <f>IF(tbl_medmai[[#This Row],[Total]]&gt;0,tbl_medmai[[#This Row],[Total]]/VLOOKUP(tbl_medmai[[#This Row],[Apto]],tbl_medfev[[Apto]:[Total]],6,FALSE)-1,"")</f>
        <v/>
      </c>
      <c r="K12" s="15" t="str">
        <f>IF(tbl_medmai[[#This Row],[Utilização (%)]]&lt;&gt;"",ALERTA_INDIVIDUAL-tbl_medmai[[#This Row],[Utilização (%)]],"")</f>
        <v/>
      </c>
    </row>
    <row r="13" spans="1:11" x14ac:dyDescent="0.25">
      <c r="A13" s="2">
        <f>tbl_consolidacao[[#This Row],[Torre]]</f>
        <v>2</v>
      </c>
      <c r="B13" s="2" t="str">
        <f>tbl_consolidacao[[#This Row],[Junta]]</f>
        <v>B</v>
      </c>
      <c r="C13" s="2">
        <f>tbl_consolidacao[[#This Row],[Unid]]</f>
        <v>107</v>
      </c>
      <c r="D13" s="2" t="str">
        <f>tbl_consolidacao[[#This Row],[Apto]]</f>
        <v>107-B2</v>
      </c>
      <c r="E13" s="2">
        <f>tbl_meddez_anterior[[#This Row],[Hidrometro]]</f>
        <v>1244</v>
      </c>
      <c r="F13" s="13"/>
      <c r="G13" s="16">
        <f>tbl_meddez_anterior[[#This Row],[Hidrometro]]</f>
        <v>1244</v>
      </c>
      <c r="H13" s="14"/>
      <c r="I13" s="2">
        <f>tbl_medmai[[#This Row],[Medição 
Água Fria]]/100+tbl_medmai[[#This Row],[Medição 
Água Quente]]/1000</f>
        <v>0</v>
      </c>
      <c r="J13" s="15" t="str">
        <f>IF(tbl_medmai[[#This Row],[Total]]&gt;0,tbl_medmai[[#This Row],[Total]]/VLOOKUP(tbl_medmai[[#This Row],[Apto]],tbl_medfev[[Apto]:[Total]],6,FALSE)-1,"")</f>
        <v/>
      </c>
      <c r="K13" s="15" t="str">
        <f>IF(tbl_medmai[[#This Row],[Utilização (%)]]&lt;&gt;"",ALERTA_INDIVIDUAL-tbl_medmai[[#This Row],[Utilização (%)]],"")</f>
        <v/>
      </c>
    </row>
    <row r="14" spans="1:11" x14ac:dyDescent="0.25">
      <c r="A14" s="2">
        <f>tbl_consolidacao[[#This Row],[Torre]]</f>
        <v>2</v>
      </c>
      <c r="B14" s="2" t="str">
        <f>tbl_consolidacao[[#This Row],[Junta]]</f>
        <v>B</v>
      </c>
      <c r="C14" s="2">
        <f>tbl_consolidacao[[#This Row],[Unid]]</f>
        <v>108</v>
      </c>
      <c r="D14" s="2" t="str">
        <f>tbl_consolidacao[[#This Row],[Apto]]</f>
        <v>108-B2</v>
      </c>
      <c r="E14" s="2">
        <f>tbl_meddez_anterior[[#This Row],[Hidrometro]]</f>
        <v>1245</v>
      </c>
      <c r="F14" s="13"/>
      <c r="G14" s="16">
        <f>tbl_meddez_anterior[[#This Row],[Hidrometro]]</f>
        <v>1245</v>
      </c>
      <c r="H14" s="14"/>
      <c r="I14" s="2">
        <f>tbl_medmai[[#This Row],[Medição 
Água Fria]]/100+tbl_medmai[[#This Row],[Medição 
Água Quente]]/1000</f>
        <v>0</v>
      </c>
      <c r="J14" s="15" t="str">
        <f>IF(tbl_medmai[[#This Row],[Total]]&gt;0,tbl_medmai[[#This Row],[Total]]/VLOOKUP(tbl_medmai[[#This Row],[Apto]],tbl_medfev[[Apto]:[Total]],6,FALSE)-1,"")</f>
        <v/>
      </c>
      <c r="K14" s="15" t="str">
        <f>IF(tbl_medmai[[#This Row],[Utilização (%)]]&lt;&gt;"",ALERTA_INDIVIDUAL-tbl_medmai[[#This Row],[Utilização (%)]],"")</f>
        <v/>
      </c>
    </row>
    <row r="15" spans="1:11" x14ac:dyDescent="0.25">
      <c r="A15" s="2">
        <f>tbl_consolidacao[[#This Row],[Torre]]</f>
        <v>1</v>
      </c>
      <c r="B15" s="2" t="str">
        <f>tbl_consolidacao[[#This Row],[Junta]]</f>
        <v>A</v>
      </c>
      <c r="C15" s="2">
        <f>tbl_consolidacao[[#This Row],[Unid]]</f>
        <v>201</v>
      </c>
      <c r="D15" s="2" t="str">
        <f>tbl_consolidacao[[#This Row],[Apto]]</f>
        <v>201-A1</v>
      </c>
      <c r="E15" s="2">
        <f>tbl_meddez_anterior[[#This Row],[Hidrometro]]</f>
        <v>1246</v>
      </c>
      <c r="F15" s="13"/>
      <c r="G15" s="16">
        <f>tbl_meddez_anterior[[#This Row],[Hidrometro]]</f>
        <v>1246</v>
      </c>
      <c r="H15" s="14"/>
      <c r="I15" s="2">
        <f>tbl_medmai[[#This Row],[Medição 
Água Fria]]/100+tbl_medmai[[#This Row],[Medição 
Água Quente]]/1000</f>
        <v>0</v>
      </c>
      <c r="J15" s="15" t="str">
        <f>IF(tbl_medmai[[#This Row],[Total]]&gt;0,tbl_medmai[[#This Row],[Total]]/VLOOKUP(tbl_medmai[[#This Row],[Apto]],tbl_medfev[[Apto]:[Total]],6,FALSE)-1,"")</f>
        <v/>
      </c>
      <c r="K15" s="15" t="str">
        <f>IF(tbl_medmai[[#This Row],[Utilização (%)]]&lt;&gt;"",ALERTA_INDIVIDUAL-tbl_medmai[[#This Row],[Utilização (%)]],"")</f>
        <v/>
      </c>
    </row>
    <row r="16" spans="1:11" x14ac:dyDescent="0.25">
      <c r="A16" s="2">
        <f>tbl_consolidacao[[#This Row],[Torre]]</f>
        <v>2</v>
      </c>
      <c r="B16" s="2" t="str">
        <f>tbl_consolidacao[[#This Row],[Junta]]</f>
        <v>A</v>
      </c>
      <c r="C16" s="2">
        <f>tbl_consolidacao[[#This Row],[Unid]]</f>
        <v>201</v>
      </c>
      <c r="D16" s="2" t="str">
        <f>tbl_consolidacao[[#This Row],[Apto]]</f>
        <v>201-A2</v>
      </c>
      <c r="E16" s="2">
        <f>tbl_meddez_anterior[[#This Row],[Hidrometro]]</f>
        <v>1247</v>
      </c>
      <c r="F16" s="13"/>
      <c r="G16" s="16">
        <f>tbl_meddez_anterior[[#This Row],[Hidrometro]]</f>
        <v>1247</v>
      </c>
      <c r="H16" s="14"/>
      <c r="I16" s="2">
        <f>tbl_medmai[[#This Row],[Medição 
Água Fria]]/100+tbl_medmai[[#This Row],[Medição 
Água Quente]]/1000</f>
        <v>0</v>
      </c>
      <c r="J16" s="15" t="str">
        <f>IF(tbl_medmai[[#This Row],[Total]]&gt;0,tbl_medmai[[#This Row],[Total]]/VLOOKUP(tbl_medmai[[#This Row],[Apto]],tbl_medfev[[Apto]:[Total]],6,FALSE)-1,"")</f>
        <v/>
      </c>
      <c r="K16" s="15" t="str">
        <f>IF(tbl_medmai[[#This Row],[Utilização (%)]]&lt;&gt;"",ALERTA_INDIVIDUAL-tbl_medmai[[#This Row],[Utilização (%)]],"")</f>
        <v/>
      </c>
    </row>
    <row r="17" spans="1:11" x14ac:dyDescent="0.25">
      <c r="A17" s="2">
        <f>tbl_consolidacao[[#This Row],[Torre]]</f>
        <v>1</v>
      </c>
      <c r="B17" s="2" t="str">
        <f>tbl_consolidacao[[#This Row],[Junta]]</f>
        <v>A</v>
      </c>
      <c r="C17" s="2">
        <f>tbl_consolidacao[[#This Row],[Unid]]</f>
        <v>202</v>
      </c>
      <c r="D17" s="2" t="str">
        <f>tbl_consolidacao[[#This Row],[Apto]]</f>
        <v>202-A1</v>
      </c>
      <c r="E17" s="2">
        <f>tbl_meddez_anterior[[#This Row],[Hidrometro]]</f>
        <v>1248</v>
      </c>
      <c r="F17" s="13"/>
      <c r="G17" s="16">
        <f>tbl_meddez_anterior[[#This Row],[Hidrometro]]</f>
        <v>1248</v>
      </c>
      <c r="H17" s="14"/>
      <c r="I17" s="2">
        <f>tbl_medmai[[#This Row],[Medição 
Água Fria]]/100+tbl_medmai[[#This Row],[Medição 
Água Quente]]/1000</f>
        <v>0</v>
      </c>
      <c r="J17" s="15" t="str">
        <f>IF(tbl_medmai[[#This Row],[Total]]&gt;0,tbl_medmai[[#This Row],[Total]]/VLOOKUP(tbl_medmai[[#This Row],[Apto]],tbl_medfev[[Apto]:[Total]],6,FALSE)-1,"")</f>
        <v/>
      </c>
      <c r="K17" s="15" t="str">
        <f>IF(tbl_medmai[[#This Row],[Utilização (%)]]&lt;&gt;"",ALERTA_INDIVIDUAL-tbl_medmai[[#This Row],[Utilização (%)]],"")</f>
        <v/>
      </c>
    </row>
    <row r="18" spans="1:11" x14ac:dyDescent="0.25">
      <c r="A18" s="2">
        <f>tbl_consolidacao[[#This Row],[Torre]]</f>
        <v>2</v>
      </c>
      <c r="B18" s="2" t="str">
        <f>tbl_consolidacao[[#This Row],[Junta]]</f>
        <v>A</v>
      </c>
      <c r="C18" s="2">
        <f>tbl_consolidacao[[#This Row],[Unid]]</f>
        <v>202</v>
      </c>
      <c r="D18" s="2" t="str">
        <f>tbl_consolidacao[[#This Row],[Apto]]</f>
        <v>202-A2</v>
      </c>
      <c r="E18" s="2">
        <f>tbl_meddez_anterior[[#This Row],[Hidrometro]]</f>
        <v>1249</v>
      </c>
      <c r="F18" s="13"/>
      <c r="G18" s="16">
        <f>tbl_meddez_anterior[[#This Row],[Hidrometro]]</f>
        <v>1249</v>
      </c>
      <c r="H18" s="14"/>
      <c r="I18" s="2">
        <f>tbl_medmai[[#This Row],[Medição 
Água Fria]]/100+tbl_medmai[[#This Row],[Medição 
Água Quente]]/1000</f>
        <v>0</v>
      </c>
      <c r="J18" s="15" t="str">
        <f>IF(tbl_medmai[[#This Row],[Total]]&gt;0,tbl_medmai[[#This Row],[Total]]/VLOOKUP(tbl_medmai[[#This Row],[Apto]],tbl_medfev[[Apto]:[Total]],6,FALSE)-1,"")</f>
        <v/>
      </c>
      <c r="K18" s="15" t="str">
        <f>IF(tbl_medmai[[#This Row],[Utilização (%)]]&lt;&gt;"",ALERTA_INDIVIDUAL-tbl_medmai[[#This Row],[Utilização (%)]],"")</f>
        <v/>
      </c>
    </row>
    <row r="19" spans="1:11" x14ac:dyDescent="0.25">
      <c r="A19" s="2">
        <f>tbl_consolidacao[[#This Row],[Torre]]</f>
        <v>1</v>
      </c>
      <c r="B19" s="2" t="str">
        <f>tbl_consolidacao[[#This Row],[Junta]]</f>
        <v>A</v>
      </c>
      <c r="C19" s="2">
        <f>tbl_consolidacao[[#This Row],[Unid]]</f>
        <v>203</v>
      </c>
      <c r="D19" s="2" t="str">
        <f>tbl_consolidacao[[#This Row],[Apto]]</f>
        <v>203-A1</v>
      </c>
      <c r="E19" s="2">
        <f>tbl_meddez_anterior[[#This Row],[Hidrometro]]</f>
        <v>1250</v>
      </c>
      <c r="F19" s="13"/>
      <c r="G19" s="16">
        <f>tbl_meddez_anterior[[#This Row],[Hidrometro]]</f>
        <v>1250</v>
      </c>
      <c r="H19" s="14"/>
      <c r="I19" s="2">
        <f>tbl_medmai[[#This Row],[Medição 
Água Fria]]/100+tbl_medmai[[#This Row],[Medição 
Água Quente]]/1000</f>
        <v>0</v>
      </c>
      <c r="J19" s="15" t="str">
        <f>IF(tbl_medmai[[#This Row],[Total]]&gt;0,tbl_medmai[[#This Row],[Total]]/VLOOKUP(tbl_medmai[[#This Row],[Apto]],tbl_medfev[[Apto]:[Total]],6,FALSE)-1,"")</f>
        <v/>
      </c>
      <c r="K19" s="15" t="str">
        <f>IF(tbl_medmai[[#This Row],[Utilização (%)]]&lt;&gt;"",ALERTA_INDIVIDUAL-tbl_medmai[[#This Row],[Utilização (%)]],"")</f>
        <v/>
      </c>
    </row>
    <row r="20" spans="1:11" x14ac:dyDescent="0.25">
      <c r="A20" s="2">
        <f>tbl_consolidacao[[#This Row],[Torre]]</f>
        <v>2</v>
      </c>
      <c r="B20" s="2" t="str">
        <f>tbl_consolidacao[[#This Row],[Junta]]</f>
        <v>A</v>
      </c>
      <c r="C20" s="2">
        <f>tbl_consolidacao[[#This Row],[Unid]]</f>
        <v>203</v>
      </c>
      <c r="D20" s="2" t="str">
        <f>tbl_consolidacao[[#This Row],[Apto]]</f>
        <v>203-A2</v>
      </c>
      <c r="E20" s="2">
        <f>tbl_meddez_anterior[[#This Row],[Hidrometro]]</f>
        <v>1251</v>
      </c>
      <c r="F20" s="13"/>
      <c r="G20" s="16">
        <f>tbl_meddez_anterior[[#This Row],[Hidrometro]]</f>
        <v>1251</v>
      </c>
      <c r="H20" s="14"/>
      <c r="I20" s="2">
        <f>tbl_medmai[[#This Row],[Medição 
Água Fria]]/100+tbl_medmai[[#This Row],[Medição 
Água Quente]]/1000</f>
        <v>0</v>
      </c>
      <c r="J20" s="15" t="str">
        <f>IF(tbl_medmai[[#This Row],[Total]]&gt;0,tbl_medmai[[#This Row],[Total]]/VLOOKUP(tbl_medmai[[#This Row],[Apto]],tbl_medfev[[Apto]:[Total]],6,FALSE)-1,"")</f>
        <v/>
      </c>
      <c r="K20" s="15" t="str">
        <f>IF(tbl_medmai[[#This Row],[Utilização (%)]]&lt;&gt;"",ALERTA_INDIVIDUAL-tbl_medmai[[#This Row],[Utilização (%)]],"")</f>
        <v/>
      </c>
    </row>
    <row r="21" spans="1:11" x14ac:dyDescent="0.25">
      <c r="A21" s="2">
        <f>tbl_consolidacao[[#This Row],[Torre]]</f>
        <v>1</v>
      </c>
      <c r="B21" s="2" t="str">
        <f>tbl_consolidacao[[#This Row],[Junta]]</f>
        <v>A</v>
      </c>
      <c r="C21" s="2">
        <f>tbl_consolidacao[[#This Row],[Unid]]</f>
        <v>204</v>
      </c>
      <c r="D21" s="2" t="str">
        <f>tbl_consolidacao[[#This Row],[Apto]]</f>
        <v>204-A1</v>
      </c>
      <c r="E21" s="2">
        <f>tbl_meddez_anterior[[#This Row],[Hidrometro]]</f>
        <v>1252</v>
      </c>
      <c r="F21" s="13"/>
      <c r="G21" s="16">
        <f>tbl_meddez_anterior[[#This Row],[Hidrometro]]</f>
        <v>1252</v>
      </c>
      <c r="H21" s="14"/>
      <c r="I21" s="2">
        <f>tbl_medmai[[#This Row],[Medição 
Água Fria]]/100+tbl_medmai[[#This Row],[Medição 
Água Quente]]/1000</f>
        <v>0</v>
      </c>
      <c r="J21" s="15" t="str">
        <f>IF(tbl_medmai[[#This Row],[Total]]&gt;0,tbl_medmai[[#This Row],[Total]]/VLOOKUP(tbl_medmai[[#This Row],[Apto]],tbl_medfev[[Apto]:[Total]],6,FALSE)-1,"")</f>
        <v/>
      </c>
      <c r="K21" s="15" t="str">
        <f>IF(tbl_medmai[[#This Row],[Utilização (%)]]&lt;&gt;"",ALERTA_INDIVIDUAL-tbl_medmai[[#This Row],[Utilização (%)]],"")</f>
        <v/>
      </c>
    </row>
    <row r="22" spans="1:11" x14ac:dyDescent="0.25">
      <c r="A22" s="2">
        <f>tbl_consolidacao[[#This Row],[Torre]]</f>
        <v>2</v>
      </c>
      <c r="B22" s="2" t="str">
        <f>tbl_consolidacao[[#This Row],[Junta]]</f>
        <v>A</v>
      </c>
      <c r="C22" s="2">
        <f>tbl_consolidacao[[#This Row],[Unid]]</f>
        <v>204</v>
      </c>
      <c r="D22" s="2" t="str">
        <f>tbl_consolidacao[[#This Row],[Apto]]</f>
        <v>204-A2</v>
      </c>
      <c r="E22" s="2">
        <f>tbl_meddez_anterior[[#This Row],[Hidrometro]]</f>
        <v>1253</v>
      </c>
      <c r="F22" s="13"/>
      <c r="G22" s="16">
        <f>tbl_meddez_anterior[[#This Row],[Hidrometro]]</f>
        <v>1253</v>
      </c>
      <c r="H22" s="14"/>
      <c r="I22" s="2">
        <f>tbl_medmai[[#This Row],[Medição 
Água Fria]]/100+tbl_medmai[[#This Row],[Medição 
Água Quente]]/1000</f>
        <v>0</v>
      </c>
      <c r="J22" s="15" t="str">
        <f>IF(tbl_medmai[[#This Row],[Total]]&gt;0,tbl_medmai[[#This Row],[Total]]/VLOOKUP(tbl_medmai[[#This Row],[Apto]],tbl_medfev[[Apto]:[Total]],6,FALSE)-1,"")</f>
        <v/>
      </c>
      <c r="K22" s="15" t="str">
        <f>IF(tbl_medmai[[#This Row],[Utilização (%)]]&lt;&gt;"",ALERTA_INDIVIDUAL-tbl_medmai[[#This Row],[Utilização (%)]],"")</f>
        <v/>
      </c>
    </row>
    <row r="23" spans="1:11" x14ac:dyDescent="0.25">
      <c r="A23" s="2">
        <f>tbl_consolidacao[[#This Row],[Torre]]</f>
        <v>1</v>
      </c>
      <c r="B23" s="2" t="str">
        <f>tbl_consolidacao[[#This Row],[Junta]]</f>
        <v>B</v>
      </c>
      <c r="C23" s="2">
        <f>tbl_consolidacao[[#This Row],[Unid]]</f>
        <v>205</v>
      </c>
      <c r="D23" s="2" t="str">
        <f>tbl_consolidacao[[#This Row],[Apto]]</f>
        <v>205-B1</v>
      </c>
      <c r="E23" s="2">
        <f>tbl_meddez_anterior[[#This Row],[Hidrometro]]</f>
        <v>1254</v>
      </c>
      <c r="F23" s="13"/>
      <c r="G23" s="16">
        <f>tbl_meddez_anterior[[#This Row],[Hidrometro]]</f>
        <v>1254</v>
      </c>
      <c r="H23" s="14"/>
      <c r="I23" s="2">
        <f>tbl_medmai[[#This Row],[Medição 
Água Fria]]/100+tbl_medmai[[#This Row],[Medição 
Água Quente]]/1000</f>
        <v>0</v>
      </c>
      <c r="J23" s="15" t="str">
        <f>IF(tbl_medmai[[#This Row],[Total]]&gt;0,tbl_medmai[[#This Row],[Total]]/VLOOKUP(tbl_medmai[[#This Row],[Apto]],tbl_medfev[[Apto]:[Total]],6,FALSE)-1,"")</f>
        <v/>
      </c>
      <c r="K23" s="15" t="str">
        <f>IF(tbl_medmai[[#This Row],[Utilização (%)]]&lt;&gt;"",ALERTA_INDIVIDUAL-tbl_medmai[[#This Row],[Utilização (%)]],"")</f>
        <v/>
      </c>
    </row>
    <row r="24" spans="1:11" x14ac:dyDescent="0.25">
      <c r="A24" s="2">
        <f>tbl_consolidacao[[#This Row],[Torre]]</f>
        <v>2</v>
      </c>
      <c r="B24" s="2" t="str">
        <f>tbl_consolidacao[[#This Row],[Junta]]</f>
        <v>B</v>
      </c>
      <c r="C24" s="2">
        <f>tbl_consolidacao[[#This Row],[Unid]]</f>
        <v>205</v>
      </c>
      <c r="D24" s="2" t="str">
        <f>tbl_consolidacao[[#This Row],[Apto]]</f>
        <v>205-B2</v>
      </c>
      <c r="E24" s="2">
        <f>tbl_meddez_anterior[[#This Row],[Hidrometro]]</f>
        <v>1255</v>
      </c>
      <c r="F24" s="13"/>
      <c r="G24" s="16">
        <f>tbl_meddez_anterior[[#This Row],[Hidrometro]]</f>
        <v>1255</v>
      </c>
      <c r="H24" s="14"/>
      <c r="I24" s="2">
        <f>tbl_medmai[[#This Row],[Medição 
Água Fria]]/100+tbl_medmai[[#This Row],[Medição 
Água Quente]]/1000</f>
        <v>0</v>
      </c>
      <c r="J24" s="15" t="str">
        <f>IF(tbl_medmai[[#This Row],[Total]]&gt;0,tbl_medmai[[#This Row],[Total]]/VLOOKUP(tbl_medmai[[#This Row],[Apto]],tbl_medfev[[Apto]:[Total]],6,FALSE)-1,"")</f>
        <v/>
      </c>
      <c r="K24" s="15" t="str">
        <f>IF(tbl_medmai[[#This Row],[Utilização (%)]]&lt;&gt;"",ALERTA_INDIVIDUAL-tbl_medmai[[#This Row],[Utilização (%)]],"")</f>
        <v/>
      </c>
    </row>
    <row r="25" spans="1:11" x14ac:dyDescent="0.25">
      <c r="A25" s="2">
        <f>tbl_consolidacao[[#This Row],[Torre]]</f>
        <v>1</v>
      </c>
      <c r="B25" s="2" t="str">
        <f>tbl_consolidacao[[#This Row],[Junta]]</f>
        <v>B</v>
      </c>
      <c r="C25" s="2">
        <f>tbl_consolidacao[[#This Row],[Unid]]</f>
        <v>206</v>
      </c>
      <c r="D25" s="2" t="str">
        <f>tbl_consolidacao[[#This Row],[Apto]]</f>
        <v>206-B1</v>
      </c>
      <c r="E25" s="2">
        <f>tbl_meddez_anterior[[#This Row],[Hidrometro]]</f>
        <v>1256</v>
      </c>
      <c r="F25" s="13"/>
      <c r="G25" s="16">
        <f>tbl_meddez_anterior[[#This Row],[Hidrometro]]</f>
        <v>1256</v>
      </c>
      <c r="H25" s="14"/>
      <c r="I25" s="2">
        <f>tbl_medmai[[#This Row],[Medição 
Água Fria]]/100+tbl_medmai[[#This Row],[Medição 
Água Quente]]/1000</f>
        <v>0</v>
      </c>
      <c r="J25" s="15" t="str">
        <f>IF(tbl_medmai[[#This Row],[Total]]&gt;0,tbl_medmai[[#This Row],[Total]]/VLOOKUP(tbl_medmai[[#This Row],[Apto]],tbl_medfev[[Apto]:[Total]],6,FALSE)-1,"")</f>
        <v/>
      </c>
      <c r="K25" s="15" t="str">
        <f>IF(tbl_medmai[[#This Row],[Utilização (%)]]&lt;&gt;"",ALERTA_INDIVIDUAL-tbl_medmai[[#This Row],[Utilização (%)]],"")</f>
        <v/>
      </c>
    </row>
    <row r="26" spans="1:11" x14ac:dyDescent="0.25">
      <c r="A26" s="2">
        <f>tbl_consolidacao[[#This Row],[Torre]]</f>
        <v>2</v>
      </c>
      <c r="B26" s="2" t="str">
        <f>tbl_consolidacao[[#This Row],[Junta]]</f>
        <v>B</v>
      </c>
      <c r="C26" s="2">
        <f>tbl_consolidacao[[#This Row],[Unid]]</f>
        <v>206</v>
      </c>
      <c r="D26" s="2" t="str">
        <f>tbl_consolidacao[[#This Row],[Apto]]</f>
        <v>206-B2</v>
      </c>
      <c r="E26" s="2">
        <f>tbl_meddez_anterior[[#This Row],[Hidrometro]]</f>
        <v>1257</v>
      </c>
      <c r="F26" s="13"/>
      <c r="G26" s="16">
        <f>tbl_meddez_anterior[[#This Row],[Hidrometro]]</f>
        <v>1257</v>
      </c>
      <c r="H26" s="14"/>
      <c r="I26" s="2">
        <f>tbl_medmai[[#This Row],[Medição 
Água Fria]]/100+tbl_medmai[[#This Row],[Medição 
Água Quente]]/1000</f>
        <v>0</v>
      </c>
      <c r="J26" s="15" t="str">
        <f>IF(tbl_medmai[[#This Row],[Total]]&gt;0,tbl_medmai[[#This Row],[Total]]/VLOOKUP(tbl_medmai[[#This Row],[Apto]],tbl_medfev[[Apto]:[Total]],6,FALSE)-1,"")</f>
        <v/>
      </c>
      <c r="K26" s="15" t="str">
        <f>IF(tbl_medmai[[#This Row],[Utilização (%)]]&lt;&gt;"",ALERTA_INDIVIDUAL-tbl_medmai[[#This Row],[Utilização (%)]],"")</f>
        <v/>
      </c>
    </row>
    <row r="27" spans="1:11" x14ac:dyDescent="0.25">
      <c r="A27" s="2">
        <f>tbl_consolidacao[[#This Row],[Torre]]</f>
        <v>1</v>
      </c>
      <c r="B27" s="2" t="str">
        <f>tbl_consolidacao[[#This Row],[Junta]]</f>
        <v>B</v>
      </c>
      <c r="C27" s="2">
        <f>tbl_consolidacao[[#This Row],[Unid]]</f>
        <v>207</v>
      </c>
      <c r="D27" s="2" t="str">
        <f>tbl_consolidacao[[#This Row],[Apto]]</f>
        <v>207-B1</v>
      </c>
      <c r="E27" s="2">
        <f>tbl_meddez_anterior[[#This Row],[Hidrometro]]</f>
        <v>1258</v>
      </c>
      <c r="F27" s="13"/>
      <c r="G27" s="16">
        <f>tbl_meddez_anterior[[#This Row],[Hidrometro]]</f>
        <v>1258</v>
      </c>
      <c r="H27" s="14"/>
      <c r="I27" s="2">
        <f>tbl_medmai[[#This Row],[Medição 
Água Fria]]/100+tbl_medmai[[#This Row],[Medição 
Água Quente]]/1000</f>
        <v>0</v>
      </c>
      <c r="J27" s="15" t="str">
        <f>IF(tbl_medmai[[#This Row],[Total]]&gt;0,tbl_medmai[[#This Row],[Total]]/VLOOKUP(tbl_medmai[[#This Row],[Apto]],tbl_medfev[[Apto]:[Total]],6,FALSE)-1,"")</f>
        <v/>
      </c>
      <c r="K27" s="15" t="str">
        <f>IF(tbl_medmai[[#This Row],[Utilização (%)]]&lt;&gt;"",ALERTA_INDIVIDUAL-tbl_medmai[[#This Row],[Utilização (%)]],"")</f>
        <v/>
      </c>
    </row>
    <row r="28" spans="1:11" x14ac:dyDescent="0.25">
      <c r="A28" s="2">
        <f>tbl_consolidacao[[#This Row],[Torre]]</f>
        <v>2</v>
      </c>
      <c r="B28" s="2" t="str">
        <f>tbl_consolidacao[[#This Row],[Junta]]</f>
        <v>B</v>
      </c>
      <c r="C28" s="2">
        <f>tbl_consolidacao[[#This Row],[Unid]]</f>
        <v>207</v>
      </c>
      <c r="D28" s="2" t="str">
        <f>tbl_consolidacao[[#This Row],[Apto]]</f>
        <v>207-B2</v>
      </c>
      <c r="E28" s="2">
        <f>tbl_meddez_anterior[[#This Row],[Hidrometro]]</f>
        <v>1259</v>
      </c>
      <c r="F28" s="13"/>
      <c r="G28" s="16">
        <f>tbl_meddez_anterior[[#This Row],[Hidrometro]]</f>
        <v>1259</v>
      </c>
      <c r="H28" s="14"/>
      <c r="I28" s="2">
        <f>tbl_medmai[[#This Row],[Medição 
Água Fria]]/100+tbl_medmai[[#This Row],[Medição 
Água Quente]]/1000</f>
        <v>0</v>
      </c>
      <c r="J28" s="15" t="str">
        <f>IF(tbl_medmai[[#This Row],[Total]]&gt;0,tbl_medmai[[#This Row],[Total]]/VLOOKUP(tbl_medmai[[#This Row],[Apto]],tbl_medfev[[Apto]:[Total]],6,FALSE)-1,"")</f>
        <v/>
      </c>
      <c r="K28" s="15" t="str">
        <f>IF(tbl_medmai[[#This Row],[Utilização (%)]]&lt;&gt;"",ALERTA_INDIVIDUAL-tbl_medmai[[#This Row],[Utilização (%)]],"")</f>
        <v/>
      </c>
    </row>
    <row r="29" spans="1:11" x14ac:dyDescent="0.25">
      <c r="A29" s="2">
        <f>tbl_consolidacao[[#This Row],[Torre]]</f>
        <v>1</v>
      </c>
      <c r="B29" s="2" t="str">
        <f>tbl_consolidacao[[#This Row],[Junta]]</f>
        <v>B</v>
      </c>
      <c r="C29" s="2">
        <f>tbl_consolidacao[[#This Row],[Unid]]</f>
        <v>208</v>
      </c>
      <c r="D29" s="2" t="str">
        <f>tbl_consolidacao[[#This Row],[Apto]]</f>
        <v>208-B1</v>
      </c>
      <c r="E29" s="2">
        <f>tbl_meddez_anterior[[#This Row],[Hidrometro]]</f>
        <v>1260</v>
      </c>
      <c r="F29" s="13"/>
      <c r="G29" s="16">
        <f>tbl_meddez_anterior[[#This Row],[Hidrometro]]</f>
        <v>1260</v>
      </c>
      <c r="H29" s="14"/>
      <c r="I29" s="2">
        <f>tbl_medmai[[#This Row],[Medição 
Água Fria]]/100+tbl_medmai[[#This Row],[Medição 
Água Quente]]/1000</f>
        <v>0</v>
      </c>
      <c r="J29" s="15" t="str">
        <f>IF(tbl_medmai[[#This Row],[Total]]&gt;0,tbl_medmai[[#This Row],[Total]]/VLOOKUP(tbl_medmai[[#This Row],[Apto]],tbl_medfev[[Apto]:[Total]],6,FALSE)-1,"")</f>
        <v/>
      </c>
      <c r="K29" s="15" t="str">
        <f>IF(tbl_medmai[[#This Row],[Utilização (%)]]&lt;&gt;"",ALERTA_INDIVIDUAL-tbl_medmai[[#This Row],[Utilização (%)]],"")</f>
        <v/>
      </c>
    </row>
    <row r="30" spans="1:11" x14ac:dyDescent="0.25">
      <c r="A30" s="2">
        <f>tbl_consolidacao[[#This Row],[Torre]]</f>
        <v>2</v>
      </c>
      <c r="B30" s="2" t="str">
        <f>tbl_consolidacao[[#This Row],[Junta]]</f>
        <v>B</v>
      </c>
      <c r="C30" s="2">
        <f>tbl_consolidacao[[#This Row],[Unid]]</f>
        <v>208</v>
      </c>
      <c r="D30" s="2" t="str">
        <f>tbl_consolidacao[[#This Row],[Apto]]</f>
        <v>208-B2</v>
      </c>
      <c r="E30" s="2">
        <f>tbl_meddez_anterior[[#This Row],[Hidrometro]]</f>
        <v>1261</v>
      </c>
      <c r="F30" s="13"/>
      <c r="G30" s="16">
        <f>tbl_meddez_anterior[[#This Row],[Hidrometro]]</f>
        <v>1261</v>
      </c>
      <c r="H30" s="14"/>
      <c r="I30" s="2">
        <f>tbl_medmai[[#This Row],[Medição 
Água Fria]]/100+tbl_medmai[[#This Row],[Medição 
Água Quente]]/1000</f>
        <v>0</v>
      </c>
      <c r="J30" s="15" t="str">
        <f>IF(tbl_medmai[[#This Row],[Total]]&gt;0,tbl_medmai[[#This Row],[Total]]/VLOOKUP(tbl_medmai[[#This Row],[Apto]],tbl_medfev[[Apto]:[Total]],6,FALSE)-1,"")</f>
        <v/>
      </c>
      <c r="K30" s="15" t="str">
        <f>IF(tbl_medmai[[#This Row],[Utilização (%)]]&lt;&gt;"",ALERTA_INDIVIDUAL-tbl_medmai[[#This Row],[Utilização (%)]],"")</f>
        <v/>
      </c>
    </row>
    <row r="31" spans="1:11" x14ac:dyDescent="0.25">
      <c r="A31" s="2">
        <f>tbl_consolidacao[[#This Row],[Torre]]</f>
        <v>1</v>
      </c>
      <c r="B31" s="2" t="str">
        <f>tbl_consolidacao[[#This Row],[Junta]]</f>
        <v>A</v>
      </c>
      <c r="C31" s="2">
        <f>tbl_consolidacao[[#This Row],[Unid]]</f>
        <v>301</v>
      </c>
      <c r="D31" s="2" t="str">
        <f>tbl_consolidacao[[#This Row],[Apto]]</f>
        <v>301-A1</v>
      </c>
      <c r="E31" s="2">
        <f>tbl_meddez_anterior[[#This Row],[Hidrometro]]</f>
        <v>1262</v>
      </c>
      <c r="F31" s="13"/>
      <c r="G31" s="16">
        <f>tbl_meddez_anterior[[#This Row],[Hidrometro]]</f>
        <v>1262</v>
      </c>
      <c r="H31" s="14"/>
      <c r="I31" s="2">
        <f>tbl_medmai[[#This Row],[Medição 
Água Fria]]/100+tbl_medmai[[#This Row],[Medição 
Água Quente]]/1000</f>
        <v>0</v>
      </c>
      <c r="J31" s="15" t="str">
        <f>IF(tbl_medmai[[#This Row],[Total]]&gt;0,tbl_medmai[[#This Row],[Total]]/VLOOKUP(tbl_medmai[[#This Row],[Apto]],tbl_medfev[[Apto]:[Total]],6,FALSE)-1,"")</f>
        <v/>
      </c>
      <c r="K31" s="15" t="str">
        <f>IF(tbl_medmai[[#This Row],[Utilização (%)]]&lt;&gt;"",ALERTA_INDIVIDUAL-tbl_medmai[[#This Row],[Utilização (%)]],"")</f>
        <v/>
      </c>
    </row>
    <row r="32" spans="1:11" x14ac:dyDescent="0.25">
      <c r="A32" s="2">
        <f>tbl_consolidacao[[#This Row],[Torre]]</f>
        <v>2</v>
      </c>
      <c r="B32" s="2" t="str">
        <f>tbl_consolidacao[[#This Row],[Junta]]</f>
        <v>A</v>
      </c>
      <c r="C32" s="2">
        <f>tbl_consolidacao[[#This Row],[Unid]]</f>
        <v>301</v>
      </c>
      <c r="D32" s="2" t="str">
        <f>tbl_consolidacao[[#This Row],[Apto]]</f>
        <v>301-A2</v>
      </c>
      <c r="E32" s="2">
        <f>tbl_meddez_anterior[[#This Row],[Hidrometro]]</f>
        <v>1263</v>
      </c>
      <c r="F32" s="13"/>
      <c r="G32" s="16">
        <f>tbl_meddez_anterior[[#This Row],[Hidrometro]]</f>
        <v>1263</v>
      </c>
      <c r="H32" s="14"/>
      <c r="I32" s="2">
        <f>tbl_medmai[[#This Row],[Medição 
Água Fria]]/100+tbl_medmai[[#This Row],[Medição 
Água Quente]]/1000</f>
        <v>0</v>
      </c>
      <c r="J32" s="15" t="str">
        <f>IF(tbl_medmai[[#This Row],[Total]]&gt;0,tbl_medmai[[#This Row],[Total]]/VLOOKUP(tbl_medmai[[#This Row],[Apto]],tbl_medfev[[Apto]:[Total]],6,FALSE)-1,"")</f>
        <v/>
      </c>
      <c r="K32" s="15" t="str">
        <f>IF(tbl_medmai[[#This Row],[Utilização (%)]]&lt;&gt;"",ALERTA_INDIVIDUAL-tbl_medmai[[#This Row],[Utilização (%)]],"")</f>
        <v/>
      </c>
    </row>
    <row r="33" spans="1:11" x14ac:dyDescent="0.25">
      <c r="A33" s="2">
        <f>tbl_consolidacao[[#This Row],[Torre]]</f>
        <v>1</v>
      </c>
      <c r="B33" s="2" t="str">
        <f>tbl_consolidacao[[#This Row],[Junta]]</f>
        <v>A</v>
      </c>
      <c r="C33" s="2">
        <f>tbl_consolidacao[[#This Row],[Unid]]</f>
        <v>302</v>
      </c>
      <c r="D33" s="2" t="str">
        <f>tbl_consolidacao[[#This Row],[Apto]]</f>
        <v>302-A1</v>
      </c>
      <c r="E33" s="2">
        <f>tbl_meddez_anterior[[#This Row],[Hidrometro]]</f>
        <v>1264</v>
      </c>
      <c r="F33" s="13"/>
      <c r="G33" s="16">
        <f>tbl_meddez_anterior[[#This Row],[Hidrometro]]</f>
        <v>1264</v>
      </c>
      <c r="H33" s="14"/>
      <c r="I33" s="2">
        <f>tbl_medmai[[#This Row],[Medição 
Água Fria]]/100+tbl_medmai[[#This Row],[Medição 
Água Quente]]/1000</f>
        <v>0</v>
      </c>
      <c r="J33" s="15" t="str">
        <f>IF(tbl_medmai[[#This Row],[Total]]&gt;0,tbl_medmai[[#This Row],[Total]]/VLOOKUP(tbl_medmai[[#This Row],[Apto]],tbl_medfev[[Apto]:[Total]],6,FALSE)-1,"")</f>
        <v/>
      </c>
      <c r="K33" s="15" t="str">
        <f>IF(tbl_medmai[[#This Row],[Utilização (%)]]&lt;&gt;"",ALERTA_INDIVIDUAL-tbl_medmai[[#This Row],[Utilização (%)]],"")</f>
        <v/>
      </c>
    </row>
    <row r="34" spans="1:11" x14ac:dyDescent="0.25">
      <c r="A34" s="2">
        <f>tbl_consolidacao[[#This Row],[Torre]]</f>
        <v>2</v>
      </c>
      <c r="B34" s="2" t="str">
        <f>tbl_consolidacao[[#This Row],[Junta]]</f>
        <v>A</v>
      </c>
      <c r="C34" s="2">
        <f>tbl_consolidacao[[#This Row],[Unid]]</f>
        <v>302</v>
      </c>
      <c r="D34" s="2" t="str">
        <f>tbl_consolidacao[[#This Row],[Apto]]</f>
        <v>302-A2</v>
      </c>
      <c r="E34" s="2">
        <f>tbl_meddez_anterior[[#This Row],[Hidrometro]]</f>
        <v>1265</v>
      </c>
      <c r="F34" s="13"/>
      <c r="G34" s="16">
        <f>tbl_meddez_anterior[[#This Row],[Hidrometro]]</f>
        <v>1265</v>
      </c>
      <c r="H34" s="14"/>
      <c r="I34" s="2">
        <f>tbl_medmai[[#This Row],[Medição 
Água Fria]]/100+tbl_medmai[[#This Row],[Medição 
Água Quente]]/1000</f>
        <v>0</v>
      </c>
      <c r="J34" s="15" t="str">
        <f>IF(tbl_medmai[[#This Row],[Total]]&gt;0,tbl_medmai[[#This Row],[Total]]/VLOOKUP(tbl_medmai[[#This Row],[Apto]],tbl_medfev[[Apto]:[Total]],6,FALSE)-1,"")</f>
        <v/>
      </c>
      <c r="K34" s="15" t="str">
        <f>IF(tbl_medmai[[#This Row],[Utilização (%)]]&lt;&gt;"",ALERTA_INDIVIDUAL-tbl_medmai[[#This Row],[Utilização (%)]],"")</f>
        <v/>
      </c>
    </row>
    <row r="35" spans="1:11" x14ac:dyDescent="0.25">
      <c r="A35" s="2">
        <f>tbl_consolidacao[[#This Row],[Torre]]</f>
        <v>1</v>
      </c>
      <c r="B35" s="2" t="str">
        <f>tbl_consolidacao[[#This Row],[Junta]]</f>
        <v>A</v>
      </c>
      <c r="C35" s="2">
        <f>tbl_consolidacao[[#This Row],[Unid]]</f>
        <v>303</v>
      </c>
      <c r="D35" s="2" t="str">
        <f>tbl_consolidacao[[#This Row],[Apto]]</f>
        <v>303-A1</v>
      </c>
      <c r="E35" s="2">
        <f>tbl_meddez_anterior[[#This Row],[Hidrometro]]</f>
        <v>1266</v>
      </c>
      <c r="F35" s="13"/>
      <c r="G35" s="16">
        <f>tbl_meddez_anterior[[#This Row],[Hidrometro]]</f>
        <v>1266</v>
      </c>
      <c r="H35" s="14"/>
      <c r="I35" s="2">
        <f>tbl_medmai[[#This Row],[Medição 
Água Fria]]/100+tbl_medmai[[#This Row],[Medição 
Água Quente]]/1000</f>
        <v>0</v>
      </c>
      <c r="J35" s="15" t="str">
        <f>IF(tbl_medmai[[#This Row],[Total]]&gt;0,tbl_medmai[[#This Row],[Total]]/VLOOKUP(tbl_medmai[[#This Row],[Apto]],tbl_medfev[[Apto]:[Total]],6,FALSE)-1,"")</f>
        <v/>
      </c>
      <c r="K35" s="15" t="str">
        <f>IF(tbl_medmai[[#This Row],[Utilização (%)]]&lt;&gt;"",ALERTA_INDIVIDUAL-tbl_medmai[[#This Row],[Utilização (%)]],"")</f>
        <v/>
      </c>
    </row>
    <row r="36" spans="1:11" x14ac:dyDescent="0.25">
      <c r="A36" s="2">
        <f>tbl_consolidacao[[#This Row],[Torre]]</f>
        <v>2</v>
      </c>
      <c r="B36" s="2" t="str">
        <f>tbl_consolidacao[[#This Row],[Junta]]</f>
        <v>A</v>
      </c>
      <c r="C36" s="2">
        <f>tbl_consolidacao[[#This Row],[Unid]]</f>
        <v>303</v>
      </c>
      <c r="D36" s="2" t="str">
        <f>tbl_consolidacao[[#This Row],[Apto]]</f>
        <v>303-A2</v>
      </c>
      <c r="E36" s="2">
        <f>tbl_meddez_anterior[[#This Row],[Hidrometro]]</f>
        <v>1267</v>
      </c>
      <c r="F36" s="13"/>
      <c r="G36" s="16">
        <f>tbl_meddez_anterior[[#This Row],[Hidrometro]]</f>
        <v>1267</v>
      </c>
      <c r="H36" s="14"/>
      <c r="I36" s="2">
        <f>tbl_medmai[[#This Row],[Medição 
Água Fria]]/100+tbl_medmai[[#This Row],[Medição 
Água Quente]]/1000</f>
        <v>0</v>
      </c>
      <c r="J36" s="15" t="str">
        <f>IF(tbl_medmai[[#This Row],[Total]]&gt;0,tbl_medmai[[#This Row],[Total]]/VLOOKUP(tbl_medmai[[#This Row],[Apto]],tbl_medfev[[Apto]:[Total]],6,FALSE)-1,"")</f>
        <v/>
      </c>
      <c r="K36" s="15" t="str">
        <f>IF(tbl_medmai[[#This Row],[Utilização (%)]]&lt;&gt;"",ALERTA_INDIVIDUAL-tbl_medmai[[#This Row],[Utilização (%)]],"")</f>
        <v/>
      </c>
    </row>
    <row r="37" spans="1:11" x14ac:dyDescent="0.25">
      <c r="A37" s="2">
        <f>tbl_consolidacao[[#This Row],[Torre]]</f>
        <v>1</v>
      </c>
      <c r="B37" s="2" t="str">
        <f>tbl_consolidacao[[#This Row],[Junta]]</f>
        <v>A</v>
      </c>
      <c r="C37" s="2">
        <f>tbl_consolidacao[[#This Row],[Unid]]</f>
        <v>304</v>
      </c>
      <c r="D37" s="2" t="str">
        <f>tbl_consolidacao[[#This Row],[Apto]]</f>
        <v>304-A1</v>
      </c>
      <c r="E37" s="2">
        <f>tbl_meddez_anterior[[#This Row],[Hidrometro]]</f>
        <v>1268</v>
      </c>
      <c r="F37" s="13"/>
      <c r="G37" s="16">
        <f>tbl_meddez_anterior[[#This Row],[Hidrometro]]</f>
        <v>1268</v>
      </c>
      <c r="H37" s="14"/>
      <c r="I37" s="2">
        <f>tbl_medmai[[#This Row],[Medição 
Água Fria]]/100+tbl_medmai[[#This Row],[Medição 
Água Quente]]/1000</f>
        <v>0</v>
      </c>
      <c r="J37" s="15" t="str">
        <f>IF(tbl_medmai[[#This Row],[Total]]&gt;0,tbl_medmai[[#This Row],[Total]]/VLOOKUP(tbl_medmai[[#This Row],[Apto]],tbl_medfev[[Apto]:[Total]],6,FALSE)-1,"")</f>
        <v/>
      </c>
      <c r="K37" s="15" t="str">
        <f>IF(tbl_medmai[[#This Row],[Utilização (%)]]&lt;&gt;"",ALERTA_INDIVIDUAL-tbl_medmai[[#This Row],[Utilização (%)]],"")</f>
        <v/>
      </c>
    </row>
    <row r="38" spans="1:11" x14ac:dyDescent="0.25">
      <c r="A38" s="2">
        <f>tbl_consolidacao[[#This Row],[Torre]]</f>
        <v>2</v>
      </c>
      <c r="B38" s="2" t="str">
        <f>tbl_consolidacao[[#This Row],[Junta]]</f>
        <v>A</v>
      </c>
      <c r="C38" s="2">
        <f>tbl_consolidacao[[#This Row],[Unid]]</f>
        <v>304</v>
      </c>
      <c r="D38" s="2" t="str">
        <f>tbl_consolidacao[[#This Row],[Apto]]</f>
        <v>304-A2</v>
      </c>
      <c r="E38" s="2">
        <f>tbl_meddez_anterior[[#This Row],[Hidrometro]]</f>
        <v>1269</v>
      </c>
      <c r="F38" s="13"/>
      <c r="G38" s="16">
        <f>tbl_meddez_anterior[[#This Row],[Hidrometro]]</f>
        <v>1269</v>
      </c>
      <c r="H38" s="14"/>
      <c r="I38" s="2">
        <f>tbl_medmai[[#This Row],[Medição 
Água Fria]]/100+tbl_medmai[[#This Row],[Medição 
Água Quente]]/1000</f>
        <v>0</v>
      </c>
      <c r="J38" s="15" t="str">
        <f>IF(tbl_medmai[[#This Row],[Total]]&gt;0,tbl_medmai[[#This Row],[Total]]/VLOOKUP(tbl_medmai[[#This Row],[Apto]],tbl_medfev[[Apto]:[Total]],6,FALSE)-1,"")</f>
        <v/>
      </c>
      <c r="K38" s="15" t="str">
        <f>IF(tbl_medmai[[#This Row],[Utilização (%)]]&lt;&gt;"",ALERTA_INDIVIDUAL-tbl_medmai[[#This Row],[Utilização (%)]],"")</f>
        <v/>
      </c>
    </row>
    <row r="39" spans="1:11" x14ac:dyDescent="0.25">
      <c r="A39" s="2">
        <f>tbl_consolidacao[[#This Row],[Torre]]</f>
        <v>1</v>
      </c>
      <c r="B39" s="2" t="str">
        <f>tbl_consolidacao[[#This Row],[Junta]]</f>
        <v>B</v>
      </c>
      <c r="C39" s="2">
        <f>tbl_consolidacao[[#This Row],[Unid]]</f>
        <v>305</v>
      </c>
      <c r="D39" s="2" t="str">
        <f>tbl_consolidacao[[#This Row],[Apto]]</f>
        <v>305-B1</v>
      </c>
      <c r="E39" s="2">
        <f>tbl_meddez_anterior[[#This Row],[Hidrometro]]</f>
        <v>1270</v>
      </c>
      <c r="F39" s="13"/>
      <c r="G39" s="16">
        <f>tbl_meddez_anterior[[#This Row],[Hidrometro]]</f>
        <v>1270</v>
      </c>
      <c r="H39" s="14"/>
      <c r="I39" s="2">
        <f>tbl_medmai[[#This Row],[Medição 
Água Fria]]/100+tbl_medmai[[#This Row],[Medição 
Água Quente]]/1000</f>
        <v>0</v>
      </c>
      <c r="J39" s="15" t="str">
        <f>IF(tbl_medmai[[#This Row],[Total]]&gt;0,tbl_medmai[[#This Row],[Total]]/VLOOKUP(tbl_medmai[[#This Row],[Apto]],tbl_medfev[[Apto]:[Total]],6,FALSE)-1,"")</f>
        <v/>
      </c>
      <c r="K39" s="15" t="str">
        <f>IF(tbl_medmai[[#This Row],[Utilização (%)]]&lt;&gt;"",ALERTA_INDIVIDUAL-tbl_medmai[[#This Row],[Utilização (%)]],"")</f>
        <v/>
      </c>
    </row>
    <row r="40" spans="1:11" x14ac:dyDescent="0.25">
      <c r="A40" s="2">
        <f>tbl_consolidacao[[#This Row],[Torre]]</f>
        <v>2</v>
      </c>
      <c r="B40" s="2" t="str">
        <f>tbl_consolidacao[[#This Row],[Junta]]</f>
        <v>B</v>
      </c>
      <c r="C40" s="2">
        <f>tbl_consolidacao[[#This Row],[Unid]]</f>
        <v>305</v>
      </c>
      <c r="D40" s="2" t="str">
        <f>tbl_consolidacao[[#This Row],[Apto]]</f>
        <v>305-B2</v>
      </c>
      <c r="E40" s="2">
        <f>tbl_meddez_anterior[[#This Row],[Hidrometro]]</f>
        <v>1271</v>
      </c>
      <c r="F40" s="13"/>
      <c r="G40" s="16">
        <f>tbl_meddez_anterior[[#This Row],[Hidrometro]]</f>
        <v>1271</v>
      </c>
      <c r="H40" s="14"/>
      <c r="I40" s="2">
        <f>tbl_medmai[[#This Row],[Medição 
Água Fria]]/100+tbl_medmai[[#This Row],[Medição 
Água Quente]]/1000</f>
        <v>0</v>
      </c>
      <c r="J40" s="15" t="str">
        <f>IF(tbl_medmai[[#This Row],[Total]]&gt;0,tbl_medmai[[#This Row],[Total]]/VLOOKUP(tbl_medmai[[#This Row],[Apto]],tbl_medfev[[Apto]:[Total]],6,FALSE)-1,"")</f>
        <v/>
      </c>
      <c r="K40" s="15" t="str">
        <f>IF(tbl_medmai[[#This Row],[Utilização (%)]]&lt;&gt;"",ALERTA_INDIVIDUAL-tbl_medmai[[#This Row],[Utilização (%)]],"")</f>
        <v/>
      </c>
    </row>
    <row r="41" spans="1:11" x14ac:dyDescent="0.25">
      <c r="A41" s="2">
        <f>tbl_consolidacao[[#This Row],[Torre]]</f>
        <v>1</v>
      </c>
      <c r="B41" s="2" t="str">
        <f>tbl_consolidacao[[#This Row],[Junta]]</f>
        <v>B</v>
      </c>
      <c r="C41" s="2">
        <f>tbl_consolidacao[[#This Row],[Unid]]</f>
        <v>306</v>
      </c>
      <c r="D41" s="2" t="str">
        <f>tbl_consolidacao[[#This Row],[Apto]]</f>
        <v>306-B1</v>
      </c>
      <c r="E41" s="2">
        <f>tbl_meddez_anterior[[#This Row],[Hidrometro]]</f>
        <v>1272</v>
      </c>
      <c r="F41" s="13"/>
      <c r="G41" s="16">
        <f>tbl_meddez_anterior[[#This Row],[Hidrometro]]</f>
        <v>1272</v>
      </c>
      <c r="H41" s="14"/>
      <c r="I41" s="2">
        <f>tbl_medmai[[#This Row],[Medição 
Água Fria]]/100+tbl_medmai[[#This Row],[Medição 
Água Quente]]/1000</f>
        <v>0</v>
      </c>
      <c r="J41" s="15" t="str">
        <f>IF(tbl_medmai[[#This Row],[Total]]&gt;0,tbl_medmai[[#This Row],[Total]]/VLOOKUP(tbl_medmai[[#This Row],[Apto]],tbl_medfev[[Apto]:[Total]],6,FALSE)-1,"")</f>
        <v/>
      </c>
      <c r="K41" s="15" t="str">
        <f>IF(tbl_medmai[[#This Row],[Utilização (%)]]&lt;&gt;"",ALERTA_INDIVIDUAL-tbl_medmai[[#This Row],[Utilização (%)]],"")</f>
        <v/>
      </c>
    </row>
    <row r="42" spans="1:11" x14ac:dyDescent="0.25">
      <c r="A42" s="2">
        <f>tbl_consolidacao[[#This Row],[Torre]]</f>
        <v>2</v>
      </c>
      <c r="B42" s="2" t="str">
        <f>tbl_consolidacao[[#This Row],[Junta]]</f>
        <v>B</v>
      </c>
      <c r="C42" s="2">
        <f>tbl_consolidacao[[#This Row],[Unid]]</f>
        <v>306</v>
      </c>
      <c r="D42" s="2" t="str">
        <f>tbl_consolidacao[[#This Row],[Apto]]</f>
        <v>306-B2</v>
      </c>
      <c r="E42" s="2">
        <f>tbl_meddez_anterior[[#This Row],[Hidrometro]]</f>
        <v>1273</v>
      </c>
      <c r="F42" s="13"/>
      <c r="G42" s="16">
        <f>tbl_meddez_anterior[[#This Row],[Hidrometro]]</f>
        <v>1273</v>
      </c>
      <c r="H42" s="14"/>
      <c r="I42" s="2">
        <f>tbl_medmai[[#This Row],[Medição 
Água Fria]]/100+tbl_medmai[[#This Row],[Medição 
Água Quente]]/1000</f>
        <v>0</v>
      </c>
      <c r="J42" s="15" t="str">
        <f>IF(tbl_medmai[[#This Row],[Total]]&gt;0,tbl_medmai[[#This Row],[Total]]/VLOOKUP(tbl_medmai[[#This Row],[Apto]],tbl_medfev[[Apto]:[Total]],6,FALSE)-1,"")</f>
        <v/>
      </c>
      <c r="K42" s="15" t="str">
        <f>IF(tbl_medmai[[#This Row],[Utilização (%)]]&lt;&gt;"",ALERTA_INDIVIDUAL-tbl_medmai[[#This Row],[Utilização (%)]],"")</f>
        <v/>
      </c>
    </row>
    <row r="43" spans="1:11" x14ac:dyDescent="0.25">
      <c r="A43" s="2">
        <f>tbl_consolidacao[[#This Row],[Torre]]</f>
        <v>1</v>
      </c>
      <c r="B43" s="2" t="str">
        <f>tbl_consolidacao[[#This Row],[Junta]]</f>
        <v>B</v>
      </c>
      <c r="C43" s="2">
        <f>tbl_consolidacao[[#This Row],[Unid]]</f>
        <v>307</v>
      </c>
      <c r="D43" s="2" t="str">
        <f>tbl_consolidacao[[#This Row],[Apto]]</f>
        <v>307-B1</v>
      </c>
      <c r="E43" s="2">
        <f>tbl_meddez_anterior[[#This Row],[Hidrometro]]</f>
        <v>1274</v>
      </c>
      <c r="F43" s="13"/>
      <c r="G43" s="16">
        <f>tbl_meddez_anterior[[#This Row],[Hidrometro]]</f>
        <v>1274</v>
      </c>
      <c r="H43" s="14"/>
      <c r="I43" s="2">
        <f>tbl_medmai[[#This Row],[Medição 
Água Fria]]/100+tbl_medmai[[#This Row],[Medição 
Água Quente]]/1000</f>
        <v>0</v>
      </c>
      <c r="J43" s="15" t="str">
        <f>IF(tbl_medmai[[#This Row],[Total]]&gt;0,tbl_medmai[[#This Row],[Total]]/VLOOKUP(tbl_medmai[[#This Row],[Apto]],tbl_medfev[[Apto]:[Total]],6,FALSE)-1,"")</f>
        <v/>
      </c>
      <c r="K43" s="15" t="str">
        <f>IF(tbl_medmai[[#This Row],[Utilização (%)]]&lt;&gt;"",ALERTA_INDIVIDUAL-tbl_medmai[[#This Row],[Utilização (%)]],"")</f>
        <v/>
      </c>
    </row>
    <row r="44" spans="1:11" x14ac:dyDescent="0.25">
      <c r="A44" s="2">
        <f>tbl_consolidacao[[#This Row],[Torre]]</f>
        <v>2</v>
      </c>
      <c r="B44" s="2" t="str">
        <f>tbl_consolidacao[[#This Row],[Junta]]</f>
        <v>B</v>
      </c>
      <c r="C44" s="2">
        <f>tbl_consolidacao[[#This Row],[Unid]]</f>
        <v>307</v>
      </c>
      <c r="D44" s="2" t="str">
        <f>tbl_consolidacao[[#This Row],[Apto]]</f>
        <v>307-B2</v>
      </c>
      <c r="E44" s="2">
        <f>tbl_meddez_anterior[[#This Row],[Hidrometro]]</f>
        <v>1275</v>
      </c>
      <c r="F44" s="13"/>
      <c r="G44" s="16">
        <f>tbl_meddez_anterior[[#This Row],[Hidrometro]]</f>
        <v>1275</v>
      </c>
      <c r="H44" s="14"/>
      <c r="I44" s="2">
        <f>tbl_medmai[[#This Row],[Medição 
Água Fria]]/100+tbl_medmai[[#This Row],[Medição 
Água Quente]]/1000</f>
        <v>0</v>
      </c>
      <c r="J44" s="15" t="str">
        <f>IF(tbl_medmai[[#This Row],[Total]]&gt;0,tbl_medmai[[#This Row],[Total]]/VLOOKUP(tbl_medmai[[#This Row],[Apto]],tbl_medfev[[Apto]:[Total]],6,FALSE)-1,"")</f>
        <v/>
      </c>
      <c r="K44" s="15" t="str">
        <f>IF(tbl_medmai[[#This Row],[Utilização (%)]]&lt;&gt;"",ALERTA_INDIVIDUAL-tbl_medmai[[#This Row],[Utilização (%)]],"")</f>
        <v/>
      </c>
    </row>
    <row r="45" spans="1:11" x14ac:dyDescent="0.25">
      <c r="A45" s="2">
        <f>tbl_consolidacao[[#This Row],[Torre]]</f>
        <v>1</v>
      </c>
      <c r="B45" s="2" t="str">
        <f>tbl_consolidacao[[#This Row],[Junta]]</f>
        <v>B</v>
      </c>
      <c r="C45" s="2">
        <f>tbl_consolidacao[[#This Row],[Unid]]</f>
        <v>308</v>
      </c>
      <c r="D45" s="2" t="str">
        <f>tbl_consolidacao[[#This Row],[Apto]]</f>
        <v>308-B1</v>
      </c>
      <c r="E45" s="2">
        <f>tbl_meddez_anterior[[#This Row],[Hidrometro]]</f>
        <v>1276</v>
      </c>
      <c r="F45" s="13"/>
      <c r="G45" s="16">
        <f>tbl_meddez_anterior[[#This Row],[Hidrometro]]</f>
        <v>1276</v>
      </c>
      <c r="H45" s="14"/>
      <c r="I45" s="2">
        <f>tbl_medmai[[#This Row],[Medição 
Água Fria]]/100+tbl_medmai[[#This Row],[Medição 
Água Quente]]/1000</f>
        <v>0</v>
      </c>
      <c r="J45" s="15" t="str">
        <f>IF(tbl_medmai[[#This Row],[Total]]&gt;0,tbl_medmai[[#This Row],[Total]]/VLOOKUP(tbl_medmai[[#This Row],[Apto]],tbl_medfev[[Apto]:[Total]],6,FALSE)-1,"")</f>
        <v/>
      </c>
      <c r="K45" s="15" t="str">
        <f>IF(tbl_medmai[[#This Row],[Utilização (%)]]&lt;&gt;"",ALERTA_INDIVIDUAL-tbl_medmai[[#This Row],[Utilização (%)]],"")</f>
        <v/>
      </c>
    </row>
    <row r="46" spans="1:11" x14ac:dyDescent="0.25">
      <c r="A46" s="2">
        <f>tbl_consolidacao[[#This Row],[Torre]]</f>
        <v>2</v>
      </c>
      <c r="B46" s="2" t="str">
        <f>tbl_consolidacao[[#This Row],[Junta]]</f>
        <v>B</v>
      </c>
      <c r="C46" s="2">
        <f>tbl_consolidacao[[#This Row],[Unid]]</f>
        <v>308</v>
      </c>
      <c r="D46" s="2" t="str">
        <f>tbl_consolidacao[[#This Row],[Apto]]</f>
        <v>308-B2</v>
      </c>
      <c r="E46" s="2">
        <f>tbl_meddez_anterior[[#This Row],[Hidrometro]]</f>
        <v>1277</v>
      </c>
      <c r="F46" s="13"/>
      <c r="G46" s="16">
        <f>tbl_meddez_anterior[[#This Row],[Hidrometro]]</f>
        <v>1277</v>
      </c>
      <c r="H46" s="14"/>
      <c r="I46" s="2">
        <f>tbl_medmai[[#This Row],[Medição 
Água Fria]]/100+tbl_medmai[[#This Row],[Medição 
Água Quente]]/1000</f>
        <v>0</v>
      </c>
      <c r="J46" s="15" t="str">
        <f>IF(tbl_medmai[[#This Row],[Total]]&gt;0,tbl_medmai[[#This Row],[Total]]/VLOOKUP(tbl_medmai[[#This Row],[Apto]],tbl_medfev[[Apto]:[Total]],6,FALSE)-1,"")</f>
        <v/>
      </c>
      <c r="K46" s="15" t="str">
        <f>IF(tbl_medmai[[#This Row],[Utilização (%)]]&lt;&gt;"",ALERTA_INDIVIDUAL-tbl_medmai[[#This Row],[Utilização (%)]],"")</f>
        <v/>
      </c>
    </row>
  </sheetData>
  <sheetProtection algorithmName="SHA-512" hashValue="OfeXQEaHdqCrq3FiOQ7EcHJ+rJ69A1ofKToXWzNpeQP3evkkKrC9kys82Xgc6xXBiDxPNLCgpBJNyruKDsaP2w==" saltValue="covT1FN+cAfcAtBf0ReiWg==" spinCount="100000" sheet="1" objects="1" scenarios="1" selectLockedCells="1"/>
  <mergeCells count="3">
    <mergeCell ref="E1:F1"/>
    <mergeCell ref="G1:H1"/>
    <mergeCell ref="I1:J1"/>
  </mergeCells>
  <conditionalFormatting sqref="K3:K46">
    <cfRule type="iconSet" priority="1">
      <iconSet iconSet="3Flags" showValue="0">
        <cfvo type="percent" val="0"/>
        <cfvo type="percent" val="5"/>
        <cfvo type="percent" val="1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K46"/>
  <sheetViews>
    <sheetView showGridLines="0" workbookViewId="0">
      <selection activeCell="G1" sqref="G1:H1"/>
    </sheetView>
  </sheetViews>
  <sheetFormatPr defaultRowHeight="15" x14ac:dyDescent="0.25"/>
  <cols>
    <col min="1" max="3" width="7.7109375" customWidth="1"/>
    <col min="4" max="4" width="10.7109375" customWidth="1"/>
    <col min="5" max="9" width="12.7109375" customWidth="1"/>
    <col min="10" max="10" width="10.7109375" customWidth="1"/>
    <col min="11" max="11" width="3.7109375" customWidth="1"/>
  </cols>
  <sheetData>
    <row r="1" spans="1:11" ht="23.25" x14ac:dyDescent="0.35">
      <c r="E1" s="53" t="s">
        <v>48</v>
      </c>
      <c r="F1" s="53"/>
      <c r="G1" s="54"/>
      <c r="H1" s="54"/>
      <c r="I1" s="55" t="str">
        <f>IF(G1&lt;&gt;"",TEXT(G1,"mmmm-aa"),"")</f>
        <v/>
      </c>
      <c r="J1" s="55"/>
    </row>
    <row r="2" spans="1:11" ht="65.099999999999994" customHeight="1" x14ac:dyDescent="0.25">
      <c r="A2" s="3" t="s">
        <v>24</v>
      </c>
      <c r="B2" s="3" t="s">
        <v>25</v>
      </c>
      <c r="C2" s="3" t="s">
        <v>26</v>
      </c>
      <c r="D2" s="3" t="s">
        <v>49</v>
      </c>
      <c r="E2" s="3" t="s">
        <v>27</v>
      </c>
      <c r="F2" s="12" t="s">
        <v>43</v>
      </c>
      <c r="G2" s="10" t="s">
        <v>30</v>
      </c>
      <c r="H2" s="11" t="s">
        <v>44</v>
      </c>
      <c r="I2" s="3" t="s">
        <v>45</v>
      </c>
      <c r="J2" s="3" t="s">
        <v>46</v>
      </c>
      <c r="K2" s="3" t="s">
        <v>19</v>
      </c>
    </row>
    <row r="3" spans="1:11" x14ac:dyDescent="0.25">
      <c r="A3" s="2">
        <f>tbl_consolidacao[[#This Row],[Torre]]</f>
        <v>1</v>
      </c>
      <c r="B3" s="2" t="str">
        <f>tbl_consolidacao[[#This Row],[Junta]]</f>
        <v>A</v>
      </c>
      <c r="C3" s="2">
        <f>tbl_consolidacao[[#This Row],[Unid]]</f>
        <v>101</v>
      </c>
      <c r="D3" s="2" t="str">
        <f>tbl_consolidacao[[#This Row],[Apto]]</f>
        <v>101-A1</v>
      </c>
      <c r="E3" s="2">
        <f>tbl_meddez_anterior[[#This Row],[Hidrometro]]</f>
        <v>1234</v>
      </c>
      <c r="F3" s="13"/>
      <c r="G3" s="16">
        <f>tbl_meddez_anterior[[#This Row],[Hidrometro]]</f>
        <v>1234</v>
      </c>
      <c r="H3" s="14"/>
      <c r="I3" s="2">
        <f>tbl_medjun[[#This Row],[Medição 
Água Fria]]/100+tbl_medjun[[#This Row],[Medição 
Água Quente]]/1000</f>
        <v>0</v>
      </c>
      <c r="J3" s="15" t="str">
        <f>IF(tbl_medjun[[#This Row],[Total]]&gt;0,tbl_medjun[[#This Row],[Total]]/VLOOKUP(tbl_medjun[[#This Row],[Apto]],tbl_medfev[[Apto]:[Total]],6,FALSE)-1,"")</f>
        <v/>
      </c>
      <c r="K3" s="15" t="str">
        <f>IF(tbl_medjun[[#This Row],[Utilização (%)]]&lt;&gt;"",ALERTA_INDIVIDUAL-tbl_medjun[[#This Row],[Utilização (%)]],"")</f>
        <v/>
      </c>
    </row>
    <row r="4" spans="1:11" x14ac:dyDescent="0.25">
      <c r="A4" s="2">
        <f>tbl_consolidacao[[#This Row],[Torre]]</f>
        <v>2</v>
      </c>
      <c r="B4" s="2" t="str">
        <f>tbl_consolidacao[[#This Row],[Junta]]</f>
        <v>A</v>
      </c>
      <c r="C4" s="2">
        <f>tbl_consolidacao[[#This Row],[Unid]]</f>
        <v>101</v>
      </c>
      <c r="D4" s="2" t="str">
        <f>tbl_consolidacao[[#This Row],[Apto]]</f>
        <v>101-A2</v>
      </c>
      <c r="E4" s="2">
        <f>tbl_meddez_anterior[[#This Row],[Hidrometro]]</f>
        <v>1235</v>
      </c>
      <c r="F4" s="13"/>
      <c r="G4" s="16">
        <f>tbl_meddez_anterior[[#This Row],[Hidrometro]]</f>
        <v>1235</v>
      </c>
      <c r="H4" s="14"/>
      <c r="I4" s="2">
        <f>tbl_medjun[[#This Row],[Medição 
Água Fria]]/100+tbl_medjun[[#This Row],[Medição 
Água Quente]]/1000</f>
        <v>0</v>
      </c>
      <c r="J4" s="15" t="str">
        <f>IF(tbl_medjun[[#This Row],[Total]]&gt;0,tbl_medjun[[#This Row],[Total]]/VLOOKUP(tbl_medjun[[#This Row],[Apto]],tbl_medfev[[Apto]:[Total]],6,FALSE)-1,"")</f>
        <v/>
      </c>
      <c r="K4" s="15" t="str">
        <f>IF(tbl_medjun[[#This Row],[Utilização (%)]]&lt;&gt;"",ALERTA_INDIVIDUAL-tbl_medjun[[#This Row],[Utilização (%)]],"")</f>
        <v/>
      </c>
    </row>
    <row r="5" spans="1:11" x14ac:dyDescent="0.25">
      <c r="A5" s="2">
        <f>tbl_consolidacao[[#This Row],[Torre]]</f>
        <v>1</v>
      </c>
      <c r="B5" s="2" t="str">
        <f>tbl_consolidacao[[#This Row],[Junta]]</f>
        <v>A</v>
      </c>
      <c r="C5" s="2">
        <f>tbl_consolidacao[[#This Row],[Unid]]</f>
        <v>102</v>
      </c>
      <c r="D5" s="2" t="str">
        <f>tbl_consolidacao[[#This Row],[Apto]]</f>
        <v>102-A1</v>
      </c>
      <c r="E5" s="2">
        <f>tbl_meddez_anterior[[#This Row],[Hidrometro]]</f>
        <v>1236</v>
      </c>
      <c r="F5" s="13"/>
      <c r="G5" s="16">
        <f>tbl_meddez_anterior[[#This Row],[Hidrometro]]</f>
        <v>1236</v>
      </c>
      <c r="H5" s="14"/>
      <c r="I5" s="2">
        <f>tbl_medjun[[#This Row],[Medição 
Água Fria]]/100+tbl_medjun[[#This Row],[Medição 
Água Quente]]/1000</f>
        <v>0</v>
      </c>
      <c r="J5" s="15" t="str">
        <f>IF(tbl_medjun[[#This Row],[Total]]&gt;0,tbl_medjun[[#This Row],[Total]]/VLOOKUP(tbl_medjun[[#This Row],[Apto]],tbl_medfev[[Apto]:[Total]],6,FALSE)-1,"")</f>
        <v/>
      </c>
      <c r="K5" s="15" t="str">
        <f>IF(tbl_medjun[[#This Row],[Utilização (%)]]&lt;&gt;"",ALERTA_INDIVIDUAL-tbl_medjun[[#This Row],[Utilização (%)]],"")</f>
        <v/>
      </c>
    </row>
    <row r="6" spans="1:11" x14ac:dyDescent="0.25">
      <c r="A6" s="2">
        <f>tbl_consolidacao[[#This Row],[Torre]]</f>
        <v>2</v>
      </c>
      <c r="B6" s="2" t="str">
        <f>tbl_consolidacao[[#This Row],[Junta]]</f>
        <v>A</v>
      </c>
      <c r="C6" s="2">
        <f>tbl_consolidacao[[#This Row],[Unid]]</f>
        <v>102</v>
      </c>
      <c r="D6" s="2" t="str">
        <f>tbl_consolidacao[[#This Row],[Apto]]</f>
        <v>102-A2</v>
      </c>
      <c r="E6" s="2">
        <f>tbl_meddez_anterior[[#This Row],[Hidrometro]]</f>
        <v>1237</v>
      </c>
      <c r="F6" s="13"/>
      <c r="G6" s="16">
        <f>tbl_meddez_anterior[[#This Row],[Hidrometro]]</f>
        <v>1237</v>
      </c>
      <c r="H6" s="14"/>
      <c r="I6" s="2">
        <f>tbl_medjun[[#This Row],[Medição 
Água Fria]]/100+tbl_medjun[[#This Row],[Medição 
Água Quente]]/1000</f>
        <v>0</v>
      </c>
      <c r="J6" s="15" t="str">
        <f>IF(tbl_medjun[[#This Row],[Total]]&gt;0,tbl_medjun[[#This Row],[Total]]/VLOOKUP(tbl_medjun[[#This Row],[Apto]],tbl_medfev[[Apto]:[Total]],6,FALSE)-1,"")</f>
        <v/>
      </c>
      <c r="K6" s="15" t="str">
        <f>IF(tbl_medjun[[#This Row],[Utilização (%)]]&lt;&gt;"",ALERTA_INDIVIDUAL-tbl_medjun[[#This Row],[Utilização (%)]],"")</f>
        <v/>
      </c>
    </row>
    <row r="7" spans="1:11" x14ac:dyDescent="0.25">
      <c r="A7" s="2">
        <f>tbl_consolidacao[[#This Row],[Torre]]</f>
        <v>1</v>
      </c>
      <c r="B7" s="2" t="str">
        <f>tbl_consolidacao[[#This Row],[Junta]]</f>
        <v>A</v>
      </c>
      <c r="C7" s="2">
        <f>tbl_consolidacao[[#This Row],[Unid]]</f>
        <v>103</v>
      </c>
      <c r="D7" s="2" t="str">
        <f>tbl_consolidacao[[#This Row],[Apto]]</f>
        <v>103-A1</v>
      </c>
      <c r="E7" s="2">
        <f>tbl_meddez_anterior[[#This Row],[Hidrometro]]</f>
        <v>1238</v>
      </c>
      <c r="F7" s="13"/>
      <c r="G7" s="16">
        <f>tbl_meddez_anterior[[#This Row],[Hidrometro]]</f>
        <v>1238</v>
      </c>
      <c r="H7" s="14"/>
      <c r="I7" s="2">
        <f>tbl_medjun[[#This Row],[Medição 
Água Fria]]/100+tbl_medjun[[#This Row],[Medição 
Água Quente]]/1000</f>
        <v>0</v>
      </c>
      <c r="J7" s="15" t="str">
        <f>IF(tbl_medjun[[#This Row],[Total]]&gt;0,tbl_medjun[[#This Row],[Total]]/VLOOKUP(tbl_medjun[[#This Row],[Apto]],tbl_medfev[[Apto]:[Total]],6,FALSE)-1,"")</f>
        <v/>
      </c>
      <c r="K7" s="15" t="str">
        <f>IF(tbl_medjun[[#This Row],[Utilização (%)]]&lt;&gt;"",ALERTA_INDIVIDUAL-tbl_medjun[[#This Row],[Utilização (%)]],"")</f>
        <v/>
      </c>
    </row>
    <row r="8" spans="1:11" x14ac:dyDescent="0.25">
      <c r="A8" s="2">
        <f>tbl_consolidacao[[#This Row],[Torre]]</f>
        <v>2</v>
      </c>
      <c r="B8" s="2" t="str">
        <f>tbl_consolidacao[[#This Row],[Junta]]</f>
        <v>A</v>
      </c>
      <c r="C8" s="2">
        <f>tbl_consolidacao[[#This Row],[Unid]]</f>
        <v>103</v>
      </c>
      <c r="D8" s="2" t="str">
        <f>tbl_consolidacao[[#This Row],[Apto]]</f>
        <v>103-A2</v>
      </c>
      <c r="E8" s="2">
        <f>tbl_meddez_anterior[[#This Row],[Hidrometro]]</f>
        <v>1239</v>
      </c>
      <c r="F8" s="13"/>
      <c r="G8" s="16">
        <f>tbl_meddez_anterior[[#This Row],[Hidrometro]]</f>
        <v>1239</v>
      </c>
      <c r="H8" s="14"/>
      <c r="I8" s="2">
        <f>tbl_medjun[[#This Row],[Medição 
Água Fria]]/100+tbl_medjun[[#This Row],[Medição 
Água Quente]]/1000</f>
        <v>0</v>
      </c>
      <c r="J8" s="15" t="str">
        <f>IF(tbl_medjun[[#This Row],[Total]]&gt;0,tbl_medjun[[#This Row],[Total]]/VLOOKUP(tbl_medjun[[#This Row],[Apto]],tbl_medfev[[Apto]:[Total]],6,FALSE)-1,"")</f>
        <v/>
      </c>
      <c r="K8" s="15" t="str">
        <f>IF(tbl_medjun[[#This Row],[Utilização (%)]]&lt;&gt;"",ALERTA_INDIVIDUAL-tbl_medjun[[#This Row],[Utilização (%)]],"")</f>
        <v/>
      </c>
    </row>
    <row r="9" spans="1:11" x14ac:dyDescent="0.25">
      <c r="A9" s="2">
        <f>tbl_consolidacao[[#This Row],[Torre]]</f>
        <v>1</v>
      </c>
      <c r="B9" s="2" t="str">
        <f>tbl_consolidacao[[#This Row],[Junta]]</f>
        <v>A</v>
      </c>
      <c r="C9" s="2">
        <f>tbl_consolidacao[[#This Row],[Unid]]</f>
        <v>104</v>
      </c>
      <c r="D9" s="2" t="str">
        <f>tbl_consolidacao[[#This Row],[Apto]]</f>
        <v>104-A1</v>
      </c>
      <c r="E9" s="2">
        <f>tbl_meddez_anterior[[#This Row],[Hidrometro]]</f>
        <v>1240</v>
      </c>
      <c r="F9" s="13"/>
      <c r="G9" s="16">
        <f>tbl_meddez_anterior[[#This Row],[Hidrometro]]</f>
        <v>1240</v>
      </c>
      <c r="H9" s="14"/>
      <c r="I9" s="2">
        <f>tbl_medjun[[#This Row],[Medição 
Água Fria]]/100+tbl_medjun[[#This Row],[Medição 
Água Quente]]/1000</f>
        <v>0</v>
      </c>
      <c r="J9" s="15" t="str">
        <f>IF(tbl_medjun[[#This Row],[Total]]&gt;0,tbl_medjun[[#This Row],[Total]]/VLOOKUP(tbl_medjun[[#This Row],[Apto]],tbl_medfev[[Apto]:[Total]],6,FALSE)-1,"")</f>
        <v/>
      </c>
      <c r="K9" s="15" t="str">
        <f>IF(tbl_medjun[[#This Row],[Utilização (%)]]&lt;&gt;"",ALERTA_INDIVIDUAL-tbl_medjun[[#This Row],[Utilização (%)]],"")</f>
        <v/>
      </c>
    </row>
    <row r="10" spans="1:11" x14ac:dyDescent="0.25">
      <c r="A10" s="2">
        <f>tbl_consolidacao[[#This Row],[Torre]]</f>
        <v>2</v>
      </c>
      <c r="B10" s="2" t="str">
        <f>tbl_consolidacao[[#This Row],[Junta]]</f>
        <v>A</v>
      </c>
      <c r="C10" s="2">
        <f>tbl_consolidacao[[#This Row],[Unid]]</f>
        <v>104</v>
      </c>
      <c r="D10" s="2" t="str">
        <f>tbl_consolidacao[[#This Row],[Apto]]</f>
        <v>104-A2</v>
      </c>
      <c r="E10" s="2">
        <f>tbl_meddez_anterior[[#This Row],[Hidrometro]]</f>
        <v>1241</v>
      </c>
      <c r="F10" s="13"/>
      <c r="G10" s="16">
        <f>tbl_meddez_anterior[[#This Row],[Hidrometro]]</f>
        <v>1241</v>
      </c>
      <c r="H10" s="14"/>
      <c r="I10" s="2">
        <f>tbl_medjun[[#This Row],[Medição 
Água Fria]]/100+tbl_medjun[[#This Row],[Medição 
Água Quente]]/1000</f>
        <v>0</v>
      </c>
      <c r="J10" s="15" t="str">
        <f>IF(tbl_medjun[[#This Row],[Total]]&gt;0,tbl_medjun[[#This Row],[Total]]/VLOOKUP(tbl_medjun[[#This Row],[Apto]],tbl_medfev[[Apto]:[Total]],6,FALSE)-1,"")</f>
        <v/>
      </c>
      <c r="K10" s="15" t="str">
        <f>IF(tbl_medjun[[#This Row],[Utilização (%)]]&lt;&gt;"",ALERTA_INDIVIDUAL-tbl_medjun[[#This Row],[Utilização (%)]],"")</f>
        <v/>
      </c>
    </row>
    <row r="11" spans="1:11" x14ac:dyDescent="0.25">
      <c r="A11" s="2">
        <f>tbl_consolidacao[[#This Row],[Torre]]</f>
        <v>2</v>
      </c>
      <c r="B11" s="2" t="str">
        <f>tbl_consolidacao[[#This Row],[Junta]]</f>
        <v>B</v>
      </c>
      <c r="C11" s="2">
        <f>tbl_consolidacao[[#This Row],[Unid]]</f>
        <v>105</v>
      </c>
      <c r="D11" s="2" t="str">
        <f>tbl_consolidacao[[#This Row],[Apto]]</f>
        <v>105-B2</v>
      </c>
      <c r="E11" s="2">
        <f>tbl_meddez_anterior[[#This Row],[Hidrometro]]</f>
        <v>1242</v>
      </c>
      <c r="F11" s="13"/>
      <c r="G11" s="16">
        <f>tbl_meddez_anterior[[#This Row],[Hidrometro]]</f>
        <v>1242</v>
      </c>
      <c r="H11" s="14"/>
      <c r="I11" s="2">
        <f>tbl_medjun[[#This Row],[Medição 
Água Fria]]/100+tbl_medjun[[#This Row],[Medição 
Água Quente]]/1000</f>
        <v>0</v>
      </c>
      <c r="J11" s="15" t="str">
        <f>IF(tbl_medjun[[#This Row],[Total]]&gt;0,tbl_medjun[[#This Row],[Total]]/VLOOKUP(tbl_medjun[[#This Row],[Apto]],tbl_medfev[[Apto]:[Total]],6,FALSE)-1,"")</f>
        <v/>
      </c>
      <c r="K11" s="15" t="str">
        <f>IF(tbl_medjun[[#This Row],[Utilização (%)]]&lt;&gt;"",ALERTA_INDIVIDUAL-tbl_medjun[[#This Row],[Utilização (%)]],"")</f>
        <v/>
      </c>
    </row>
    <row r="12" spans="1:11" x14ac:dyDescent="0.25">
      <c r="A12" s="2">
        <f>tbl_consolidacao[[#This Row],[Torre]]</f>
        <v>2</v>
      </c>
      <c r="B12" s="2" t="str">
        <f>tbl_consolidacao[[#This Row],[Junta]]</f>
        <v>B</v>
      </c>
      <c r="C12" s="2">
        <f>tbl_consolidacao[[#This Row],[Unid]]</f>
        <v>106</v>
      </c>
      <c r="D12" s="2" t="str">
        <f>tbl_consolidacao[[#This Row],[Apto]]</f>
        <v>106-B2</v>
      </c>
      <c r="E12" s="2">
        <f>tbl_meddez_anterior[[#This Row],[Hidrometro]]</f>
        <v>1243</v>
      </c>
      <c r="F12" s="13"/>
      <c r="G12" s="16">
        <f>tbl_meddez_anterior[[#This Row],[Hidrometro]]</f>
        <v>1243</v>
      </c>
      <c r="H12" s="14"/>
      <c r="I12" s="2">
        <f>tbl_medjun[[#This Row],[Medição 
Água Fria]]/100+tbl_medjun[[#This Row],[Medição 
Água Quente]]/1000</f>
        <v>0</v>
      </c>
      <c r="J12" s="15" t="str">
        <f>IF(tbl_medjun[[#This Row],[Total]]&gt;0,tbl_medjun[[#This Row],[Total]]/VLOOKUP(tbl_medjun[[#This Row],[Apto]],tbl_medfev[[Apto]:[Total]],6,FALSE)-1,"")</f>
        <v/>
      </c>
      <c r="K12" s="15" t="str">
        <f>IF(tbl_medjun[[#This Row],[Utilização (%)]]&lt;&gt;"",ALERTA_INDIVIDUAL-tbl_medjun[[#This Row],[Utilização (%)]],"")</f>
        <v/>
      </c>
    </row>
    <row r="13" spans="1:11" x14ac:dyDescent="0.25">
      <c r="A13" s="2">
        <f>tbl_consolidacao[[#This Row],[Torre]]</f>
        <v>2</v>
      </c>
      <c r="B13" s="2" t="str">
        <f>tbl_consolidacao[[#This Row],[Junta]]</f>
        <v>B</v>
      </c>
      <c r="C13" s="2">
        <f>tbl_consolidacao[[#This Row],[Unid]]</f>
        <v>107</v>
      </c>
      <c r="D13" s="2" t="str">
        <f>tbl_consolidacao[[#This Row],[Apto]]</f>
        <v>107-B2</v>
      </c>
      <c r="E13" s="2">
        <f>tbl_meddez_anterior[[#This Row],[Hidrometro]]</f>
        <v>1244</v>
      </c>
      <c r="F13" s="13"/>
      <c r="G13" s="16">
        <f>tbl_meddez_anterior[[#This Row],[Hidrometro]]</f>
        <v>1244</v>
      </c>
      <c r="H13" s="14"/>
      <c r="I13" s="2">
        <f>tbl_medjun[[#This Row],[Medição 
Água Fria]]/100+tbl_medjun[[#This Row],[Medição 
Água Quente]]/1000</f>
        <v>0</v>
      </c>
      <c r="J13" s="15" t="str">
        <f>IF(tbl_medjun[[#This Row],[Total]]&gt;0,tbl_medjun[[#This Row],[Total]]/VLOOKUP(tbl_medjun[[#This Row],[Apto]],tbl_medfev[[Apto]:[Total]],6,FALSE)-1,"")</f>
        <v/>
      </c>
      <c r="K13" s="15" t="str">
        <f>IF(tbl_medjun[[#This Row],[Utilização (%)]]&lt;&gt;"",ALERTA_INDIVIDUAL-tbl_medjun[[#This Row],[Utilização (%)]],"")</f>
        <v/>
      </c>
    </row>
    <row r="14" spans="1:11" x14ac:dyDescent="0.25">
      <c r="A14" s="2">
        <f>tbl_consolidacao[[#This Row],[Torre]]</f>
        <v>2</v>
      </c>
      <c r="B14" s="2" t="str">
        <f>tbl_consolidacao[[#This Row],[Junta]]</f>
        <v>B</v>
      </c>
      <c r="C14" s="2">
        <f>tbl_consolidacao[[#This Row],[Unid]]</f>
        <v>108</v>
      </c>
      <c r="D14" s="2" t="str">
        <f>tbl_consolidacao[[#This Row],[Apto]]</f>
        <v>108-B2</v>
      </c>
      <c r="E14" s="2">
        <f>tbl_meddez_anterior[[#This Row],[Hidrometro]]</f>
        <v>1245</v>
      </c>
      <c r="F14" s="13"/>
      <c r="G14" s="16">
        <f>tbl_meddez_anterior[[#This Row],[Hidrometro]]</f>
        <v>1245</v>
      </c>
      <c r="H14" s="14"/>
      <c r="I14" s="2">
        <f>tbl_medjun[[#This Row],[Medição 
Água Fria]]/100+tbl_medjun[[#This Row],[Medição 
Água Quente]]/1000</f>
        <v>0</v>
      </c>
      <c r="J14" s="15" t="str">
        <f>IF(tbl_medjun[[#This Row],[Total]]&gt;0,tbl_medjun[[#This Row],[Total]]/VLOOKUP(tbl_medjun[[#This Row],[Apto]],tbl_medfev[[Apto]:[Total]],6,FALSE)-1,"")</f>
        <v/>
      </c>
      <c r="K14" s="15" t="str">
        <f>IF(tbl_medjun[[#This Row],[Utilização (%)]]&lt;&gt;"",ALERTA_INDIVIDUAL-tbl_medjun[[#This Row],[Utilização (%)]],"")</f>
        <v/>
      </c>
    </row>
    <row r="15" spans="1:11" x14ac:dyDescent="0.25">
      <c r="A15" s="2">
        <f>tbl_consolidacao[[#This Row],[Torre]]</f>
        <v>1</v>
      </c>
      <c r="B15" s="2" t="str">
        <f>tbl_consolidacao[[#This Row],[Junta]]</f>
        <v>A</v>
      </c>
      <c r="C15" s="2">
        <f>tbl_consolidacao[[#This Row],[Unid]]</f>
        <v>201</v>
      </c>
      <c r="D15" s="2" t="str">
        <f>tbl_consolidacao[[#This Row],[Apto]]</f>
        <v>201-A1</v>
      </c>
      <c r="E15" s="2">
        <f>tbl_meddez_anterior[[#This Row],[Hidrometro]]</f>
        <v>1246</v>
      </c>
      <c r="F15" s="13"/>
      <c r="G15" s="16">
        <f>tbl_meddez_anterior[[#This Row],[Hidrometro]]</f>
        <v>1246</v>
      </c>
      <c r="H15" s="14"/>
      <c r="I15" s="2">
        <f>tbl_medjun[[#This Row],[Medição 
Água Fria]]/100+tbl_medjun[[#This Row],[Medição 
Água Quente]]/1000</f>
        <v>0</v>
      </c>
      <c r="J15" s="15" t="str">
        <f>IF(tbl_medjun[[#This Row],[Total]]&gt;0,tbl_medjun[[#This Row],[Total]]/VLOOKUP(tbl_medjun[[#This Row],[Apto]],tbl_medfev[[Apto]:[Total]],6,FALSE)-1,"")</f>
        <v/>
      </c>
      <c r="K15" s="15" t="str">
        <f>IF(tbl_medjun[[#This Row],[Utilização (%)]]&lt;&gt;"",ALERTA_INDIVIDUAL-tbl_medjun[[#This Row],[Utilização (%)]],"")</f>
        <v/>
      </c>
    </row>
    <row r="16" spans="1:11" x14ac:dyDescent="0.25">
      <c r="A16" s="2">
        <f>tbl_consolidacao[[#This Row],[Torre]]</f>
        <v>2</v>
      </c>
      <c r="B16" s="2" t="str">
        <f>tbl_consolidacao[[#This Row],[Junta]]</f>
        <v>A</v>
      </c>
      <c r="C16" s="2">
        <f>tbl_consolidacao[[#This Row],[Unid]]</f>
        <v>201</v>
      </c>
      <c r="D16" s="2" t="str">
        <f>tbl_consolidacao[[#This Row],[Apto]]</f>
        <v>201-A2</v>
      </c>
      <c r="E16" s="2">
        <f>tbl_meddez_anterior[[#This Row],[Hidrometro]]</f>
        <v>1247</v>
      </c>
      <c r="F16" s="13"/>
      <c r="G16" s="16">
        <f>tbl_meddez_anterior[[#This Row],[Hidrometro]]</f>
        <v>1247</v>
      </c>
      <c r="H16" s="14"/>
      <c r="I16" s="2">
        <f>tbl_medjun[[#This Row],[Medição 
Água Fria]]/100+tbl_medjun[[#This Row],[Medição 
Água Quente]]/1000</f>
        <v>0</v>
      </c>
      <c r="J16" s="15" t="str">
        <f>IF(tbl_medjun[[#This Row],[Total]]&gt;0,tbl_medjun[[#This Row],[Total]]/VLOOKUP(tbl_medjun[[#This Row],[Apto]],tbl_medfev[[Apto]:[Total]],6,FALSE)-1,"")</f>
        <v/>
      </c>
      <c r="K16" s="15" t="str">
        <f>IF(tbl_medjun[[#This Row],[Utilização (%)]]&lt;&gt;"",ALERTA_INDIVIDUAL-tbl_medjun[[#This Row],[Utilização (%)]],"")</f>
        <v/>
      </c>
    </row>
    <row r="17" spans="1:11" x14ac:dyDescent="0.25">
      <c r="A17" s="2">
        <f>tbl_consolidacao[[#This Row],[Torre]]</f>
        <v>1</v>
      </c>
      <c r="B17" s="2" t="str">
        <f>tbl_consolidacao[[#This Row],[Junta]]</f>
        <v>A</v>
      </c>
      <c r="C17" s="2">
        <f>tbl_consolidacao[[#This Row],[Unid]]</f>
        <v>202</v>
      </c>
      <c r="D17" s="2" t="str">
        <f>tbl_consolidacao[[#This Row],[Apto]]</f>
        <v>202-A1</v>
      </c>
      <c r="E17" s="2">
        <f>tbl_meddez_anterior[[#This Row],[Hidrometro]]</f>
        <v>1248</v>
      </c>
      <c r="F17" s="13"/>
      <c r="G17" s="16">
        <f>tbl_meddez_anterior[[#This Row],[Hidrometro]]</f>
        <v>1248</v>
      </c>
      <c r="H17" s="14"/>
      <c r="I17" s="2">
        <f>tbl_medjun[[#This Row],[Medição 
Água Fria]]/100+tbl_medjun[[#This Row],[Medição 
Água Quente]]/1000</f>
        <v>0</v>
      </c>
      <c r="J17" s="15" t="str">
        <f>IF(tbl_medjun[[#This Row],[Total]]&gt;0,tbl_medjun[[#This Row],[Total]]/VLOOKUP(tbl_medjun[[#This Row],[Apto]],tbl_medfev[[Apto]:[Total]],6,FALSE)-1,"")</f>
        <v/>
      </c>
      <c r="K17" s="15" t="str">
        <f>IF(tbl_medjun[[#This Row],[Utilização (%)]]&lt;&gt;"",ALERTA_INDIVIDUAL-tbl_medjun[[#This Row],[Utilização (%)]],"")</f>
        <v/>
      </c>
    </row>
    <row r="18" spans="1:11" x14ac:dyDescent="0.25">
      <c r="A18" s="2">
        <f>tbl_consolidacao[[#This Row],[Torre]]</f>
        <v>2</v>
      </c>
      <c r="B18" s="2" t="str">
        <f>tbl_consolidacao[[#This Row],[Junta]]</f>
        <v>A</v>
      </c>
      <c r="C18" s="2">
        <f>tbl_consolidacao[[#This Row],[Unid]]</f>
        <v>202</v>
      </c>
      <c r="D18" s="2" t="str">
        <f>tbl_consolidacao[[#This Row],[Apto]]</f>
        <v>202-A2</v>
      </c>
      <c r="E18" s="2">
        <f>tbl_meddez_anterior[[#This Row],[Hidrometro]]</f>
        <v>1249</v>
      </c>
      <c r="F18" s="13"/>
      <c r="G18" s="16">
        <f>tbl_meddez_anterior[[#This Row],[Hidrometro]]</f>
        <v>1249</v>
      </c>
      <c r="H18" s="14"/>
      <c r="I18" s="2">
        <f>tbl_medjun[[#This Row],[Medição 
Água Fria]]/100+tbl_medjun[[#This Row],[Medição 
Água Quente]]/1000</f>
        <v>0</v>
      </c>
      <c r="J18" s="15" t="str">
        <f>IF(tbl_medjun[[#This Row],[Total]]&gt;0,tbl_medjun[[#This Row],[Total]]/VLOOKUP(tbl_medjun[[#This Row],[Apto]],tbl_medfev[[Apto]:[Total]],6,FALSE)-1,"")</f>
        <v/>
      </c>
      <c r="K18" s="15" t="str">
        <f>IF(tbl_medjun[[#This Row],[Utilização (%)]]&lt;&gt;"",ALERTA_INDIVIDUAL-tbl_medjun[[#This Row],[Utilização (%)]],"")</f>
        <v/>
      </c>
    </row>
    <row r="19" spans="1:11" x14ac:dyDescent="0.25">
      <c r="A19" s="2">
        <f>tbl_consolidacao[[#This Row],[Torre]]</f>
        <v>1</v>
      </c>
      <c r="B19" s="2" t="str">
        <f>tbl_consolidacao[[#This Row],[Junta]]</f>
        <v>A</v>
      </c>
      <c r="C19" s="2">
        <f>tbl_consolidacao[[#This Row],[Unid]]</f>
        <v>203</v>
      </c>
      <c r="D19" s="2" t="str">
        <f>tbl_consolidacao[[#This Row],[Apto]]</f>
        <v>203-A1</v>
      </c>
      <c r="E19" s="2">
        <f>tbl_meddez_anterior[[#This Row],[Hidrometro]]</f>
        <v>1250</v>
      </c>
      <c r="F19" s="13"/>
      <c r="G19" s="16">
        <f>tbl_meddez_anterior[[#This Row],[Hidrometro]]</f>
        <v>1250</v>
      </c>
      <c r="H19" s="14"/>
      <c r="I19" s="2">
        <f>tbl_medjun[[#This Row],[Medição 
Água Fria]]/100+tbl_medjun[[#This Row],[Medição 
Água Quente]]/1000</f>
        <v>0</v>
      </c>
      <c r="J19" s="15" t="str">
        <f>IF(tbl_medjun[[#This Row],[Total]]&gt;0,tbl_medjun[[#This Row],[Total]]/VLOOKUP(tbl_medjun[[#This Row],[Apto]],tbl_medfev[[Apto]:[Total]],6,FALSE)-1,"")</f>
        <v/>
      </c>
      <c r="K19" s="15" t="str">
        <f>IF(tbl_medjun[[#This Row],[Utilização (%)]]&lt;&gt;"",ALERTA_INDIVIDUAL-tbl_medjun[[#This Row],[Utilização (%)]],"")</f>
        <v/>
      </c>
    </row>
    <row r="20" spans="1:11" x14ac:dyDescent="0.25">
      <c r="A20" s="2">
        <f>tbl_consolidacao[[#This Row],[Torre]]</f>
        <v>2</v>
      </c>
      <c r="B20" s="2" t="str">
        <f>tbl_consolidacao[[#This Row],[Junta]]</f>
        <v>A</v>
      </c>
      <c r="C20" s="2">
        <f>tbl_consolidacao[[#This Row],[Unid]]</f>
        <v>203</v>
      </c>
      <c r="D20" s="2" t="str">
        <f>tbl_consolidacao[[#This Row],[Apto]]</f>
        <v>203-A2</v>
      </c>
      <c r="E20" s="2">
        <f>tbl_meddez_anterior[[#This Row],[Hidrometro]]</f>
        <v>1251</v>
      </c>
      <c r="F20" s="13"/>
      <c r="G20" s="16">
        <f>tbl_meddez_anterior[[#This Row],[Hidrometro]]</f>
        <v>1251</v>
      </c>
      <c r="H20" s="14"/>
      <c r="I20" s="2">
        <f>tbl_medjun[[#This Row],[Medição 
Água Fria]]/100+tbl_medjun[[#This Row],[Medição 
Água Quente]]/1000</f>
        <v>0</v>
      </c>
      <c r="J20" s="15" t="str">
        <f>IF(tbl_medjun[[#This Row],[Total]]&gt;0,tbl_medjun[[#This Row],[Total]]/VLOOKUP(tbl_medjun[[#This Row],[Apto]],tbl_medfev[[Apto]:[Total]],6,FALSE)-1,"")</f>
        <v/>
      </c>
      <c r="K20" s="15" t="str">
        <f>IF(tbl_medjun[[#This Row],[Utilização (%)]]&lt;&gt;"",ALERTA_INDIVIDUAL-tbl_medjun[[#This Row],[Utilização (%)]],"")</f>
        <v/>
      </c>
    </row>
    <row r="21" spans="1:11" x14ac:dyDescent="0.25">
      <c r="A21" s="2">
        <f>tbl_consolidacao[[#This Row],[Torre]]</f>
        <v>1</v>
      </c>
      <c r="B21" s="2" t="str">
        <f>tbl_consolidacao[[#This Row],[Junta]]</f>
        <v>A</v>
      </c>
      <c r="C21" s="2">
        <f>tbl_consolidacao[[#This Row],[Unid]]</f>
        <v>204</v>
      </c>
      <c r="D21" s="2" t="str">
        <f>tbl_consolidacao[[#This Row],[Apto]]</f>
        <v>204-A1</v>
      </c>
      <c r="E21" s="2">
        <f>tbl_meddez_anterior[[#This Row],[Hidrometro]]</f>
        <v>1252</v>
      </c>
      <c r="F21" s="13"/>
      <c r="G21" s="16">
        <f>tbl_meddez_anterior[[#This Row],[Hidrometro]]</f>
        <v>1252</v>
      </c>
      <c r="H21" s="14"/>
      <c r="I21" s="2">
        <f>tbl_medjun[[#This Row],[Medição 
Água Fria]]/100+tbl_medjun[[#This Row],[Medição 
Água Quente]]/1000</f>
        <v>0</v>
      </c>
      <c r="J21" s="15" t="str">
        <f>IF(tbl_medjun[[#This Row],[Total]]&gt;0,tbl_medjun[[#This Row],[Total]]/VLOOKUP(tbl_medjun[[#This Row],[Apto]],tbl_medfev[[Apto]:[Total]],6,FALSE)-1,"")</f>
        <v/>
      </c>
      <c r="K21" s="15" t="str">
        <f>IF(tbl_medjun[[#This Row],[Utilização (%)]]&lt;&gt;"",ALERTA_INDIVIDUAL-tbl_medjun[[#This Row],[Utilização (%)]],"")</f>
        <v/>
      </c>
    </row>
    <row r="22" spans="1:11" x14ac:dyDescent="0.25">
      <c r="A22" s="2">
        <f>tbl_consolidacao[[#This Row],[Torre]]</f>
        <v>2</v>
      </c>
      <c r="B22" s="2" t="str">
        <f>tbl_consolidacao[[#This Row],[Junta]]</f>
        <v>A</v>
      </c>
      <c r="C22" s="2">
        <f>tbl_consolidacao[[#This Row],[Unid]]</f>
        <v>204</v>
      </c>
      <c r="D22" s="2" t="str">
        <f>tbl_consolidacao[[#This Row],[Apto]]</f>
        <v>204-A2</v>
      </c>
      <c r="E22" s="2">
        <f>tbl_meddez_anterior[[#This Row],[Hidrometro]]</f>
        <v>1253</v>
      </c>
      <c r="F22" s="13"/>
      <c r="G22" s="16">
        <f>tbl_meddez_anterior[[#This Row],[Hidrometro]]</f>
        <v>1253</v>
      </c>
      <c r="H22" s="14"/>
      <c r="I22" s="2">
        <f>tbl_medjun[[#This Row],[Medição 
Água Fria]]/100+tbl_medjun[[#This Row],[Medição 
Água Quente]]/1000</f>
        <v>0</v>
      </c>
      <c r="J22" s="15" t="str">
        <f>IF(tbl_medjun[[#This Row],[Total]]&gt;0,tbl_medjun[[#This Row],[Total]]/VLOOKUP(tbl_medjun[[#This Row],[Apto]],tbl_medfev[[Apto]:[Total]],6,FALSE)-1,"")</f>
        <v/>
      </c>
      <c r="K22" s="15" t="str">
        <f>IF(tbl_medjun[[#This Row],[Utilização (%)]]&lt;&gt;"",ALERTA_INDIVIDUAL-tbl_medjun[[#This Row],[Utilização (%)]],"")</f>
        <v/>
      </c>
    </row>
    <row r="23" spans="1:11" x14ac:dyDescent="0.25">
      <c r="A23" s="2">
        <f>tbl_consolidacao[[#This Row],[Torre]]</f>
        <v>1</v>
      </c>
      <c r="B23" s="2" t="str">
        <f>tbl_consolidacao[[#This Row],[Junta]]</f>
        <v>B</v>
      </c>
      <c r="C23" s="2">
        <f>tbl_consolidacao[[#This Row],[Unid]]</f>
        <v>205</v>
      </c>
      <c r="D23" s="2" t="str">
        <f>tbl_consolidacao[[#This Row],[Apto]]</f>
        <v>205-B1</v>
      </c>
      <c r="E23" s="2">
        <f>tbl_meddez_anterior[[#This Row],[Hidrometro]]</f>
        <v>1254</v>
      </c>
      <c r="F23" s="13"/>
      <c r="G23" s="16">
        <f>tbl_meddez_anterior[[#This Row],[Hidrometro]]</f>
        <v>1254</v>
      </c>
      <c r="H23" s="14"/>
      <c r="I23" s="2">
        <f>tbl_medjun[[#This Row],[Medição 
Água Fria]]/100+tbl_medjun[[#This Row],[Medição 
Água Quente]]/1000</f>
        <v>0</v>
      </c>
      <c r="J23" s="15" t="str">
        <f>IF(tbl_medjun[[#This Row],[Total]]&gt;0,tbl_medjun[[#This Row],[Total]]/VLOOKUP(tbl_medjun[[#This Row],[Apto]],tbl_medfev[[Apto]:[Total]],6,FALSE)-1,"")</f>
        <v/>
      </c>
      <c r="K23" s="15" t="str">
        <f>IF(tbl_medjun[[#This Row],[Utilização (%)]]&lt;&gt;"",ALERTA_INDIVIDUAL-tbl_medjun[[#This Row],[Utilização (%)]],"")</f>
        <v/>
      </c>
    </row>
    <row r="24" spans="1:11" x14ac:dyDescent="0.25">
      <c r="A24" s="2">
        <f>tbl_consolidacao[[#This Row],[Torre]]</f>
        <v>2</v>
      </c>
      <c r="B24" s="2" t="str">
        <f>tbl_consolidacao[[#This Row],[Junta]]</f>
        <v>B</v>
      </c>
      <c r="C24" s="2">
        <f>tbl_consolidacao[[#This Row],[Unid]]</f>
        <v>205</v>
      </c>
      <c r="D24" s="2" t="str">
        <f>tbl_consolidacao[[#This Row],[Apto]]</f>
        <v>205-B2</v>
      </c>
      <c r="E24" s="2">
        <f>tbl_meddez_anterior[[#This Row],[Hidrometro]]</f>
        <v>1255</v>
      </c>
      <c r="F24" s="13"/>
      <c r="G24" s="16">
        <f>tbl_meddez_anterior[[#This Row],[Hidrometro]]</f>
        <v>1255</v>
      </c>
      <c r="H24" s="14"/>
      <c r="I24" s="2">
        <f>tbl_medjun[[#This Row],[Medição 
Água Fria]]/100+tbl_medjun[[#This Row],[Medição 
Água Quente]]/1000</f>
        <v>0</v>
      </c>
      <c r="J24" s="15" t="str">
        <f>IF(tbl_medjun[[#This Row],[Total]]&gt;0,tbl_medjun[[#This Row],[Total]]/VLOOKUP(tbl_medjun[[#This Row],[Apto]],tbl_medfev[[Apto]:[Total]],6,FALSE)-1,"")</f>
        <v/>
      </c>
      <c r="K24" s="15" t="str">
        <f>IF(tbl_medjun[[#This Row],[Utilização (%)]]&lt;&gt;"",ALERTA_INDIVIDUAL-tbl_medjun[[#This Row],[Utilização (%)]],"")</f>
        <v/>
      </c>
    </row>
    <row r="25" spans="1:11" x14ac:dyDescent="0.25">
      <c r="A25" s="2">
        <f>tbl_consolidacao[[#This Row],[Torre]]</f>
        <v>1</v>
      </c>
      <c r="B25" s="2" t="str">
        <f>tbl_consolidacao[[#This Row],[Junta]]</f>
        <v>B</v>
      </c>
      <c r="C25" s="2">
        <f>tbl_consolidacao[[#This Row],[Unid]]</f>
        <v>206</v>
      </c>
      <c r="D25" s="2" t="str">
        <f>tbl_consolidacao[[#This Row],[Apto]]</f>
        <v>206-B1</v>
      </c>
      <c r="E25" s="2">
        <f>tbl_meddez_anterior[[#This Row],[Hidrometro]]</f>
        <v>1256</v>
      </c>
      <c r="F25" s="13"/>
      <c r="G25" s="16">
        <f>tbl_meddez_anterior[[#This Row],[Hidrometro]]</f>
        <v>1256</v>
      </c>
      <c r="H25" s="14"/>
      <c r="I25" s="2">
        <f>tbl_medjun[[#This Row],[Medição 
Água Fria]]/100+tbl_medjun[[#This Row],[Medição 
Água Quente]]/1000</f>
        <v>0</v>
      </c>
      <c r="J25" s="15" t="str">
        <f>IF(tbl_medjun[[#This Row],[Total]]&gt;0,tbl_medjun[[#This Row],[Total]]/VLOOKUP(tbl_medjun[[#This Row],[Apto]],tbl_medfev[[Apto]:[Total]],6,FALSE)-1,"")</f>
        <v/>
      </c>
      <c r="K25" s="15" t="str">
        <f>IF(tbl_medjun[[#This Row],[Utilização (%)]]&lt;&gt;"",ALERTA_INDIVIDUAL-tbl_medjun[[#This Row],[Utilização (%)]],"")</f>
        <v/>
      </c>
    </row>
    <row r="26" spans="1:11" x14ac:dyDescent="0.25">
      <c r="A26" s="2">
        <f>tbl_consolidacao[[#This Row],[Torre]]</f>
        <v>2</v>
      </c>
      <c r="B26" s="2" t="str">
        <f>tbl_consolidacao[[#This Row],[Junta]]</f>
        <v>B</v>
      </c>
      <c r="C26" s="2">
        <f>tbl_consolidacao[[#This Row],[Unid]]</f>
        <v>206</v>
      </c>
      <c r="D26" s="2" t="str">
        <f>tbl_consolidacao[[#This Row],[Apto]]</f>
        <v>206-B2</v>
      </c>
      <c r="E26" s="2">
        <f>tbl_meddez_anterior[[#This Row],[Hidrometro]]</f>
        <v>1257</v>
      </c>
      <c r="F26" s="13"/>
      <c r="G26" s="16">
        <f>tbl_meddez_anterior[[#This Row],[Hidrometro]]</f>
        <v>1257</v>
      </c>
      <c r="H26" s="14"/>
      <c r="I26" s="2">
        <f>tbl_medjun[[#This Row],[Medição 
Água Fria]]/100+tbl_medjun[[#This Row],[Medição 
Água Quente]]/1000</f>
        <v>0</v>
      </c>
      <c r="J26" s="15" t="str">
        <f>IF(tbl_medjun[[#This Row],[Total]]&gt;0,tbl_medjun[[#This Row],[Total]]/VLOOKUP(tbl_medjun[[#This Row],[Apto]],tbl_medfev[[Apto]:[Total]],6,FALSE)-1,"")</f>
        <v/>
      </c>
      <c r="K26" s="15" t="str">
        <f>IF(tbl_medjun[[#This Row],[Utilização (%)]]&lt;&gt;"",ALERTA_INDIVIDUAL-tbl_medjun[[#This Row],[Utilização (%)]],"")</f>
        <v/>
      </c>
    </row>
    <row r="27" spans="1:11" x14ac:dyDescent="0.25">
      <c r="A27" s="2">
        <f>tbl_consolidacao[[#This Row],[Torre]]</f>
        <v>1</v>
      </c>
      <c r="B27" s="2" t="str">
        <f>tbl_consolidacao[[#This Row],[Junta]]</f>
        <v>B</v>
      </c>
      <c r="C27" s="2">
        <f>tbl_consolidacao[[#This Row],[Unid]]</f>
        <v>207</v>
      </c>
      <c r="D27" s="2" t="str">
        <f>tbl_consolidacao[[#This Row],[Apto]]</f>
        <v>207-B1</v>
      </c>
      <c r="E27" s="2">
        <f>tbl_meddez_anterior[[#This Row],[Hidrometro]]</f>
        <v>1258</v>
      </c>
      <c r="F27" s="13"/>
      <c r="G27" s="16">
        <f>tbl_meddez_anterior[[#This Row],[Hidrometro]]</f>
        <v>1258</v>
      </c>
      <c r="H27" s="14"/>
      <c r="I27" s="2">
        <f>tbl_medjun[[#This Row],[Medição 
Água Fria]]/100+tbl_medjun[[#This Row],[Medição 
Água Quente]]/1000</f>
        <v>0</v>
      </c>
      <c r="J27" s="15" t="str">
        <f>IF(tbl_medjun[[#This Row],[Total]]&gt;0,tbl_medjun[[#This Row],[Total]]/VLOOKUP(tbl_medjun[[#This Row],[Apto]],tbl_medfev[[Apto]:[Total]],6,FALSE)-1,"")</f>
        <v/>
      </c>
      <c r="K27" s="15" t="str">
        <f>IF(tbl_medjun[[#This Row],[Utilização (%)]]&lt;&gt;"",ALERTA_INDIVIDUAL-tbl_medjun[[#This Row],[Utilização (%)]],"")</f>
        <v/>
      </c>
    </row>
    <row r="28" spans="1:11" x14ac:dyDescent="0.25">
      <c r="A28" s="2">
        <f>tbl_consolidacao[[#This Row],[Torre]]</f>
        <v>2</v>
      </c>
      <c r="B28" s="2" t="str">
        <f>tbl_consolidacao[[#This Row],[Junta]]</f>
        <v>B</v>
      </c>
      <c r="C28" s="2">
        <f>tbl_consolidacao[[#This Row],[Unid]]</f>
        <v>207</v>
      </c>
      <c r="D28" s="2" t="str">
        <f>tbl_consolidacao[[#This Row],[Apto]]</f>
        <v>207-B2</v>
      </c>
      <c r="E28" s="2">
        <f>tbl_meddez_anterior[[#This Row],[Hidrometro]]</f>
        <v>1259</v>
      </c>
      <c r="F28" s="13"/>
      <c r="G28" s="16">
        <f>tbl_meddez_anterior[[#This Row],[Hidrometro]]</f>
        <v>1259</v>
      </c>
      <c r="H28" s="14"/>
      <c r="I28" s="2">
        <f>tbl_medjun[[#This Row],[Medição 
Água Fria]]/100+tbl_medjun[[#This Row],[Medição 
Água Quente]]/1000</f>
        <v>0</v>
      </c>
      <c r="J28" s="15" t="str">
        <f>IF(tbl_medjun[[#This Row],[Total]]&gt;0,tbl_medjun[[#This Row],[Total]]/VLOOKUP(tbl_medjun[[#This Row],[Apto]],tbl_medfev[[Apto]:[Total]],6,FALSE)-1,"")</f>
        <v/>
      </c>
      <c r="K28" s="15" t="str">
        <f>IF(tbl_medjun[[#This Row],[Utilização (%)]]&lt;&gt;"",ALERTA_INDIVIDUAL-tbl_medjun[[#This Row],[Utilização (%)]],"")</f>
        <v/>
      </c>
    </row>
    <row r="29" spans="1:11" x14ac:dyDescent="0.25">
      <c r="A29" s="2">
        <f>tbl_consolidacao[[#This Row],[Torre]]</f>
        <v>1</v>
      </c>
      <c r="B29" s="2" t="str">
        <f>tbl_consolidacao[[#This Row],[Junta]]</f>
        <v>B</v>
      </c>
      <c r="C29" s="2">
        <f>tbl_consolidacao[[#This Row],[Unid]]</f>
        <v>208</v>
      </c>
      <c r="D29" s="2" t="str">
        <f>tbl_consolidacao[[#This Row],[Apto]]</f>
        <v>208-B1</v>
      </c>
      <c r="E29" s="2">
        <f>tbl_meddez_anterior[[#This Row],[Hidrometro]]</f>
        <v>1260</v>
      </c>
      <c r="F29" s="13"/>
      <c r="G29" s="16">
        <f>tbl_meddez_anterior[[#This Row],[Hidrometro]]</f>
        <v>1260</v>
      </c>
      <c r="H29" s="14"/>
      <c r="I29" s="2">
        <f>tbl_medjun[[#This Row],[Medição 
Água Fria]]/100+tbl_medjun[[#This Row],[Medição 
Água Quente]]/1000</f>
        <v>0</v>
      </c>
      <c r="J29" s="15" t="str">
        <f>IF(tbl_medjun[[#This Row],[Total]]&gt;0,tbl_medjun[[#This Row],[Total]]/VLOOKUP(tbl_medjun[[#This Row],[Apto]],tbl_medfev[[Apto]:[Total]],6,FALSE)-1,"")</f>
        <v/>
      </c>
      <c r="K29" s="15" t="str">
        <f>IF(tbl_medjun[[#This Row],[Utilização (%)]]&lt;&gt;"",ALERTA_INDIVIDUAL-tbl_medjun[[#This Row],[Utilização (%)]],"")</f>
        <v/>
      </c>
    </row>
    <row r="30" spans="1:11" x14ac:dyDescent="0.25">
      <c r="A30" s="2">
        <f>tbl_consolidacao[[#This Row],[Torre]]</f>
        <v>2</v>
      </c>
      <c r="B30" s="2" t="str">
        <f>tbl_consolidacao[[#This Row],[Junta]]</f>
        <v>B</v>
      </c>
      <c r="C30" s="2">
        <f>tbl_consolidacao[[#This Row],[Unid]]</f>
        <v>208</v>
      </c>
      <c r="D30" s="2" t="str">
        <f>tbl_consolidacao[[#This Row],[Apto]]</f>
        <v>208-B2</v>
      </c>
      <c r="E30" s="2">
        <f>tbl_meddez_anterior[[#This Row],[Hidrometro]]</f>
        <v>1261</v>
      </c>
      <c r="F30" s="13"/>
      <c r="G30" s="16">
        <f>tbl_meddez_anterior[[#This Row],[Hidrometro]]</f>
        <v>1261</v>
      </c>
      <c r="H30" s="14"/>
      <c r="I30" s="2">
        <f>tbl_medjun[[#This Row],[Medição 
Água Fria]]/100+tbl_medjun[[#This Row],[Medição 
Água Quente]]/1000</f>
        <v>0</v>
      </c>
      <c r="J30" s="15" t="str">
        <f>IF(tbl_medjun[[#This Row],[Total]]&gt;0,tbl_medjun[[#This Row],[Total]]/VLOOKUP(tbl_medjun[[#This Row],[Apto]],tbl_medfev[[Apto]:[Total]],6,FALSE)-1,"")</f>
        <v/>
      </c>
      <c r="K30" s="15" t="str">
        <f>IF(tbl_medjun[[#This Row],[Utilização (%)]]&lt;&gt;"",ALERTA_INDIVIDUAL-tbl_medjun[[#This Row],[Utilização (%)]],"")</f>
        <v/>
      </c>
    </row>
    <row r="31" spans="1:11" x14ac:dyDescent="0.25">
      <c r="A31" s="2">
        <f>tbl_consolidacao[[#This Row],[Torre]]</f>
        <v>1</v>
      </c>
      <c r="B31" s="2" t="str">
        <f>tbl_consolidacao[[#This Row],[Junta]]</f>
        <v>A</v>
      </c>
      <c r="C31" s="2">
        <f>tbl_consolidacao[[#This Row],[Unid]]</f>
        <v>301</v>
      </c>
      <c r="D31" s="2" t="str">
        <f>tbl_consolidacao[[#This Row],[Apto]]</f>
        <v>301-A1</v>
      </c>
      <c r="E31" s="2">
        <f>tbl_meddez_anterior[[#This Row],[Hidrometro]]</f>
        <v>1262</v>
      </c>
      <c r="F31" s="13"/>
      <c r="G31" s="16">
        <f>tbl_meddez_anterior[[#This Row],[Hidrometro]]</f>
        <v>1262</v>
      </c>
      <c r="H31" s="14"/>
      <c r="I31" s="2">
        <f>tbl_medjun[[#This Row],[Medição 
Água Fria]]/100+tbl_medjun[[#This Row],[Medição 
Água Quente]]/1000</f>
        <v>0</v>
      </c>
      <c r="J31" s="15" t="str">
        <f>IF(tbl_medjun[[#This Row],[Total]]&gt;0,tbl_medjun[[#This Row],[Total]]/VLOOKUP(tbl_medjun[[#This Row],[Apto]],tbl_medfev[[Apto]:[Total]],6,FALSE)-1,"")</f>
        <v/>
      </c>
      <c r="K31" s="15" t="str">
        <f>IF(tbl_medjun[[#This Row],[Utilização (%)]]&lt;&gt;"",ALERTA_INDIVIDUAL-tbl_medjun[[#This Row],[Utilização (%)]],"")</f>
        <v/>
      </c>
    </row>
    <row r="32" spans="1:11" x14ac:dyDescent="0.25">
      <c r="A32" s="2">
        <f>tbl_consolidacao[[#This Row],[Torre]]</f>
        <v>2</v>
      </c>
      <c r="B32" s="2" t="str">
        <f>tbl_consolidacao[[#This Row],[Junta]]</f>
        <v>A</v>
      </c>
      <c r="C32" s="2">
        <f>tbl_consolidacao[[#This Row],[Unid]]</f>
        <v>301</v>
      </c>
      <c r="D32" s="2" t="str">
        <f>tbl_consolidacao[[#This Row],[Apto]]</f>
        <v>301-A2</v>
      </c>
      <c r="E32" s="2">
        <f>tbl_meddez_anterior[[#This Row],[Hidrometro]]</f>
        <v>1263</v>
      </c>
      <c r="F32" s="13"/>
      <c r="G32" s="16">
        <f>tbl_meddez_anterior[[#This Row],[Hidrometro]]</f>
        <v>1263</v>
      </c>
      <c r="H32" s="14"/>
      <c r="I32" s="2">
        <f>tbl_medjun[[#This Row],[Medição 
Água Fria]]/100+tbl_medjun[[#This Row],[Medição 
Água Quente]]/1000</f>
        <v>0</v>
      </c>
      <c r="J32" s="15" t="str">
        <f>IF(tbl_medjun[[#This Row],[Total]]&gt;0,tbl_medjun[[#This Row],[Total]]/VLOOKUP(tbl_medjun[[#This Row],[Apto]],tbl_medfev[[Apto]:[Total]],6,FALSE)-1,"")</f>
        <v/>
      </c>
      <c r="K32" s="15" t="str">
        <f>IF(tbl_medjun[[#This Row],[Utilização (%)]]&lt;&gt;"",ALERTA_INDIVIDUAL-tbl_medjun[[#This Row],[Utilização (%)]],"")</f>
        <v/>
      </c>
    </row>
    <row r="33" spans="1:11" x14ac:dyDescent="0.25">
      <c r="A33" s="2">
        <f>tbl_consolidacao[[#This Row],[Torre]]</f>
        <v>1</v>
      </c>
      <c r="B33" s="2" t="str">
        <f>tbl_consolidacao[[#This Row],[Junta]]</f>
        <v>A</v>
      </c>
      <c r="C33" s="2">
        <f>tbl_consolidacao[[#This Row],[Unid]]</f>
        <v>302</v>
      </c>
      <c r="D33" s="2" t="str">
        <f>tbl_consolidacao[[#This Row],[Apto]]</f>
        <v>302-A1</v>
      </c>
      <c r="E33" s="2">
        <f>tbl_meddez_anterior[[#This Row],[Hidrometro]]</f>
        <v>1264</v>
      </c>
      <c r="F33" s="13"/>
      <c r="G33" s="16">
        <f>tbl_meddez_anterior[[#This Row],[Hidrometro]]</f>
        <v>1264</v>
      </c>
      <c r="H33" s="14"/>
      <c r="I33" s="2">
        <f>tbl_medjun[[#This Row],[Medição 
Água Fria]]/100+tbl_medjun[[#This Row],[Medição 
Água Quente]]/1000</f>
        <v>0</v>
      </c>
      <c r="J33" s="15" t="str">
        <f>IF(tbl_medjun[[#This Row],[Total]]&gt;0,tbl_medjun[[#This Row],[Total]]/VLOOKUP(tbl_medjun[[#This Row],[Apto]],tbl_medfev[[Apto]:[Total]],6,FALSE)-1,"")</f>
        <v/>
      </c>
      <c r="K33" s="15" t="str">
        <f>IF(tbl_medjun[[#This Row],[Utilização (%)]]&lt;&gt;"",ALERTA_INDIVIDUAL-tbl_medjun[[#This Row],[Utilização (%)]],"")</f>
        <v/>
      </c>
    </row>
    <row r="34" spans="1:11" x14ac:dyDescent="0.25">
      <c r="A34" s="2">
        <f>tbl_consolidacao[[#This Row],[Torre]]</f>
        <v>2</v>
      </c>
      <c r="B34" s="2" t="str">
        <f>tbl_consolidacao[[#This Row],[Junta]]</f>
        <v>A</v>
      </c>
      <c r="C34" s="2">
        <f>tbl_consolidacao[[#This Row],[Unid]]</f>
        <v>302</v>
      </c>
      <c r="D34" s="2" t="str">
        <f>tbl_consolidacao[[#This Row],[Apto]]</f>
        <v>302-A2</v>
      </c>
      <c r="E34" s="2">
        <f>tbl_meddez_anterior[[#This Row],[Hidrometro]]</f>
        <v>1265</v>
      </c>
      <c r="F34" s="13"/>
      <c r="G34" s="16">
        <f>tbl_meddez_anterior[[#This Row],[Hidrometro]]</f>
        <v>1265</v>
      </c>
      <c r="H34" s="14"/>
      <c r="I34" s="2">
        <f>tbl_medjun[[#This Row],[Medição 
Água Fria]]/100+tbl_medjun[[#This Row],[Medição 
Água Quente]]/1000</f>
        <v>0</v>
      </c>
      <c r="J34" s="15" t="str">
        <f>IF(tbl_medjun[[#This Row],[Total]]&gt;0,tbl_medjun[[#This Row],[Total]]/VLOOKUP(tbl_medjun[[#This Row],[Apto]],tbl_medfev[[Apto]:[Total]],6,FALSE)-1,"")</f>
        <v/>
      </c>
      <c r="K34" s="15" t="str">
        <f>IF(tbl_medjun[[#This Row],[Utilização (%)]]&lt;&gt;"",ALERTA_INDIVIDUAL-tbl_medjun[[#This Row],[Utilização (%)]],"")</f>
        <v/>
      </c>
    </row>
    <row r="35" spans="1:11" x14ac:dyDescent="0.25">
      <c r="A35" s="2">
        <f>tbl_consolidacao[[#This Row],[Torre]]</f>
        <v>1</v>
      </c>
      <c r="B35" s="2" t="str">
        <f>tbl_consolidacao[[#This Row],[Junta]]</f>
        <v>A</v>
      </c>
      <c r="C35" s="2">
        <f>tbl_consolidacao[[#This Row],[Unid]]</f>
        <v>303</v>
      </c>
      <c r="D35" s="2" t="str">
        <f>tbl_consolidacao[[#This Row],[Apto]]</f>
        <v>303-A1</v>
      </c>
      <c r="E35" s="2">
        <f>tbl_meddez_anterior[[#This Row],[Hidrometro]]</f>
        <v>1266</v>
      </c>
      <c r="F35" s="13"/>
      <c r="G35" s="16">
        <f>tbl_meddez_anterior[[#This Row],[Hidrometro]]</f>
        <v>1266</v>
      </c>
      <c r="H35" s="14"/>
      <c r="I35" s="2">
        <f>tbl_medjun[[#This Row],[Medição 
Água Fria]]/100+tbl_medjun[[#This Row],[Medição 
Água Quente]]/1000</f>
        <v>0</v>
      </c>
      <c r="J35" s="15" t="str">
        <f>IF(tbl_medjun[[#This Row],[Total]]&gt;0,tbl_medjun[[#This Row],[Total]]/VLOOKUP(tbl_medjun[[#This Row],[Apto]],tbl_medfev[[Apto]:[Total]],6,FALSE)-1,"")</f>
        <v/>
      </c>
      <c r="K35" s="15" t="str">
        <f>IF(tbl_medjun[[#This Row],[Utilização (%)]]&lt;&gt;"",ALERTA_INDIVIDUAL-tbl_medjun[[#This Row],[Utilização (%)]],"")</f>
        <v/>
      </c>
    </row>
    <row r="36" spans="1:11" x14ac:dyDescent="0.25">
      <c r="A36" s="2">
        <f>tbl_consolidacao[[#This Row],[Torre]]</f>
        <v>2</v>
      </c>
      <c r="B36" s="2" t="str">
        <f>tbl_consolidacao[[#This Row],[Junta]]</f>
        <v>A</v>
      </c>
      <c r="C36" s="2">
        <f>tbl_consolidacao[[#This Row],[Unid]]</f>
        <v>303</v>
      </c>
      <c r="D36" s="2" t="str">
        <f>tbl_consolidacao[[#This Row],[Apto]]</f>
        <v>303-A2</v>
      </c>
      <c r="E36" s="2">
        <f>tbl_meddez_anterior[[#This Row],[Hidrometro]]</f>
        <v>1267</v>
      </c>
      <c r="F36" s="13"/>
      <c r="G36" s="16">
        <f>tbl_meddez_anterior[[#This Row],[Hidrometro]]</f>
        <v>1267</v>
      </c>
      <c r="H36" s="14"/>
      <c r="I36" s="2">
        <f>tbl_medjun[[#This Row],[Medição 
Água Fria]]/100+tbl_medjun[[#This Row],[Medição 
Água Quente]]/1000</f>
        <v>0</v>
      </c>
      <c r="J36" s="15" t="str">
        <f>IF(tbl_medjun[[#This Row],[Total]]&gt;0,tbl_medjun[[#This Row],[Total]]/VLOOKUP(tbl_medjun[[#This Row],[Apto]],tbl_medfev[[Apto]:[Total]],6,FALSE)-1,"")</f>
        <v/>
      </c>
      <c r="K36" s="15" t="str">
        <f>IF(tbl_medjun[[#This Row],[Utilização (%)]]&lt;&gt;"",ALERTA_INDIVIDUAL-tbl_medjun[[#This Row],[Utilização (%)]],"")</f>
        <v/>
      </c>
    </row>
    <row r="37" spans="1:11" x14ac:dyDescent="0.25">
      <c r="A37" s="2">
        <f>tbl_consolidacao[[#This Row],[Torre]]</f>
        <v>1</v>
      </c>
      <c r="B37" s="2" t="str">
        <f>tbl_consolidacao[[#This Row],[Junta]]</f>
        <v>A</v>
      </c>
      <c r="C37" s="2">
        <f>tbl_consolidacao[[#This Row],[Unid]]</f>
        <v>304</v>
      </c>
      <c r="D37" s="2" t="str">
        <f>tbl_consolidacao[[#This Row],[Apto]]</f>
        <v>304-A1</v>
      </c>
      <c r="E37" s="2">
        <f>tbl_meddez_anterior[[#This Row],[Hidrometro]]</f>
        <v>1268</v>
      </c>
      <c r="F37" s="13"/>
      <c r="G37" s="16">
        <f>tbl_meddez_anterior[[#This Row],[Hidrometro]]</f>
        <v>1268</v>
      </c>
      <c r="H37" s="14"/>
      <c r="I37" s="2">
        <f>tbl_medjun[[#This Row],[Medição 
Água Fria]]/100+tbl_medjun[[#This Row],[Medição 
Água Quente]]/1000</f>
        <v>0</v>
      </c>
      <c r="J37" s="15" t="str">
        <f>IF(tbl_medjun[[#This Row],[Total]]&gt;0,tbl_medjun[[#This Row],[Total]]/VLOOKUP(tbl_medjun[[#This Row],[Apto]],tbl_medfev[[Apto]:[Total]],6,FALSE)-1,"")</f>
        <v/>
      </c>
      <c r="K37" s="15" t="str">
        <f>IF(tbl_medjun[[#This Row],[Utilização (%)]]&lt;&gt;"",ALERTA_INDIVIDUAL-tbl_medjun[[#This Row],[Utilização (%)]],"")</f>
        <v/>
      </c>
    </row>
    <row r="38" spans="1:11" x14ac:dyDescent="0.25">
      <c r="A38" s="2">
        <f>tbl_consolidacao[[#This Row],[Torre]]</f>
        <v>2</v>
      </c>
      <c r="B38" s="2" t="str">
        <f>tbl_consolidacao[[#This Row],[Junta]]</f>
        <v>A</v>
      </c>
      <c r="C38" s="2">
        <f>tbl_consolidacao[[#This Row],[Unid]]</f>
        <v>304</v>
      </c>
      <c r="D38" s="2" t="str">
        <f>tbl_consolidacao[[#This Row],[Apto]]</f>
        <v>304-A2</v>
      </c>
      <c r="E38" s="2">
        <f>tbl_meddez_anterior[[#This Row],[Hidrometro]]</f>
        <v>1269</v>
      </c>
      <c r="F38" s="13"/>
      <c r="G38" s="16">
        <f>tbl_meddez_anterior[[#This Row],[Hidrometro]]</f>
        <v>1269</v>
      </c>
      <c r="H38" s="14"/>
      <c r="I38" s="2">
        <f>tbl_medjun[[#This Row],[Medição 
Água Fria]]/100+tbl_medjun[[#This Row],[Medição 
Água Quente]]/1000</f>
        <v>0</v>
      </c>
      <c r="J38" s="15" t="str">
        <f>IF(tbl_medjun[[#This Row],[Total]]&gt;0,tbl_medjun[[#This Row],[Total]]/VLOOKUP(tbl_medjun[[#This Row],[Apto]],tbl_medfev[[Apto]:[Total]],6,FALSE)-1,"")</f>
        <v/>
      </c>
      <c r="K38" s="15" t="str">
        <f>IF(tbl_medjun[[#This Row],[Utilização (%)]]&lt;&gt;"",ALERTA_INDIVIDUAL-tbl_medjun[[#This Row],[Utilização (%)]],"")</f>
        <v/>
      </c>
    </row>
    <row r="39" spans="1:11" x14ac:dyDescent="0.25">
      <c r="A39" s="2">
        <f>tbl_consolidacao[[#This Row],[Torre]]</f>
        <v>1</v>
      </c>
      <c r="B39" s="2" t="str">
        <f>tbl_consolidacao[[#This Row],[Junta]]</f>
        <v>B</v>
      </c>
      <c r="C39" s="2">
        <f>tbl_consolidacao[[#This Row],[Unid]]</f>
        <v>305</v>
      </c>
      <c r="D39" s="2" t="str">
        <f>tbl_consolidacao[[#This Row],[Apto]]</f>
        <v>305-B1</v>
      </c>
      <c r="E39" s="2">
        <f>tbl_meddez_anterior[[#This Row],[Hidrometro]]</f>
        <v>1270</v>
      </c>
      <c r="F39" s="13"/>
      <c r="G39" s="16">
        <f>tbl_meddez_anterior[[#This Row],[Hidrometro]]</f>
        <v>1270</v>
      </c>
      <c r="H39" s="14"/>
      <c r="I39" s="2">
        <f>tbl_medjun[[#This Row],[Medição 
Água Fria]]/100+tbl_medjun[[#This Row],[Medição 
Água Quente]]/1000</f>
        <v>0</v>
      </c>
      <c r="J39" s="15" t="str">
        <f>IF(tbl_medjun[[#This Row],[Total]]&gt;0,tbl_medjun[[#This Row],[Total]]/VLOOKUP(tbl_medjun[[#This Row],[Apto]],tbl_medfev[[Apto]:[Total]],6,FALSE)-1,"")</f>
        <v/>
      </c>
      <c r="K39" s="15" t="str">
        <f>IF(tbl_medjun[[#This Row],[Utilização (%)]]&lt;&gt;"",ALERTA_INDIVIDUAL-tbl_medjun[[#This Row],[Utilização (%)]],"")</f>
        <v/>
      </c>
    </row>
    <row r="40" spans="1:11" x14ac:dyDescent="0.25">
      <c r="A40" s="2">
        <f>tbl_consolidacao[[#This Row],[Torre]]</f>
        <v>2</v>
      </c>
      <c r="B40" s="2" t="str">
        <f>tbl_consolidacao[[#This Row],[Junta]]</f>
        <v>B</v>
      </c>
      <c r="C40" s="2">
        <f>tbl_consolidacao[[#This Row],[Unid]]</f>
        <v>305</v>
      </c>
      <c r="D40" s="2" t="str">
        <f>tbl_consolidacao[[#This Row],[Apto]]</f>
        <v>305-B2</v>
      </c>
      <c r="E40" s="2">
        <f>tbl_meddez_anterior[[#This Row],[Hidrometro]]</f>
        <v>1271</v>
      </c>
      <c r="F40" s="13"/>
      <c r="G40" s="16">
        <f>tbl_meddez_anterior[[#This Row],[Hidrometro]]</f>
        <v>1271</v>
      </c>
      <c r="H40" s="14"/>
      <c r="I40" s="2">
        <f>tbl_medjun[[#This Row],[Medição 
Água Fria]]/100+tbl_medjun[[#This Row],[Medição 
Água Quente]]/1000</f>
        <v>0</v>
      </c>
      <c r="J40" s="15" t="str">
        <f>IF(tbl_medjun[[#This Row],[Total]]&gt;0,tbl_medjun[[#This Row],[Total]]/VLOOKUP(tbl_medjun[[#This Row],[Apto]],tbl_medfev[[Apto]:[Total]],6,FALSE)-1,"")</f>
        <v/>
      </c>
      <c r="K40" s="15" t="str">
        <f>IF(tbl_medjun[[#This Row],[Utilização (%)]]&lt;&gt;"",ALERTA_INDIVIDUAL-tbl_medjun[[#This Row],[Utilização (%)]],"")</f>
        <v/>
      </c>
    </row>
    <row r="41" spans="1:11" x14ac:dyDescent="0.25">
      <c r="A41" s="2">
        <f>tbl_consolidacao[[#This Row],[Torre]]</f>
        <v>1</v>
      </c>
      <c r="B41" s="2" t="str">
        <f>tbl_consolidacao[[#This Row],[Junta]]</f>
        <v>B</v>
      </c>
      <c r="C41" s="2">
        <f>tbl_consolidacao[[#This Row],[Unid]]</f>
        <v>306</v>
      </c>
      <c r="D41" s="2" t="str">
        <f>tbl_consolidacao[[#This Row],[Apto]]</f>
        <v>306-B1</v>
      </c>
      <c r="E41" s="2">
        <f>tbl_meddez_anterior[[#This Row],[Hidrometro]]</f>
        <v>1272</v>
      </c>
      <c r="F41" s="13"/>
      <c r="G41" s="16">
        <f>tbl_meddez_anterior[[#This Row],[Hidrometro]]</f>
        <v>1272</v>
      </c>
      <c r="H41" s="14"/>
      <c r="I41" s="2">
        <f>tbl_medjun[[#This Row],[Medição 
Água Fria]]/100+tbl_medjun[[#This Row],[Medição 
Água Quente]]/1000</f>
        <v>0</v>
      </c>
      <c r="J41" s="15" t="str">
        <f>IF(tbl_medjun[[#This Row],[Total]]&gt;0,tbl_medjun[[#This Row],[Total]]/VLOOKUP(tbl_medjun[[#This Row],[Apto]],tbl_medfev[[Apto]:[Total]],6,FALSE)-1,"")</f>
        <v/>
      </c>
      <c r="K41" s="15" t="str">
        <f>IF(tbl_medjun[[#This Row],[Utilização (%)]]&lt;&gt;"",ALERTA_INDIVIDUAL-tbl_medjun[[#This Row],[Utilização (%)]],"")</f>
        <v/>
      </c>
    </row>
    <row r="42" spans="1:11" x14ac:dyDescent="0.25">
      <c r="A42" s="2">
        <f>tbl_consolidacao[[#This Row],[Torre]]</f>
        <v>2</v>
      </c>
      <c r="B42" s="2" t="str">
        <f>tbl_consolidacao[[#This Row],[Junta]]</f>
        <v>B</v>
      </c>
      <c r="C42" s="2">
        <f>tbl_consolidacao[[#This Row],[Unid]]</f>
        <v>306</v>
      </c>
      <c r="D42" s="2" t="str">
        <f>tbl_consolidacao[[#This Row],[Apto]]</f>
        <v>306-B2</v>
      </c>
      <c r="E42" s="2">
        <f>tbl_meddez_anterior[[#This Row],[Hidrometro]]</f>
        <v>1273</v>
      </c>
      <c r="F42" s="13"/>
      <c r="G42" s="16">
        <f>tbl_meddez_anterior[[#This Row],[Hidrometro]]</f>
        <v>1273</v>
      </c>
      <c r="H42" s="14"/>
      <c r="I42" s="2">
        <f>tbl_medjun[[#This Row],[Medição 
Água Fria]]/100+tbl_medjun[[#This Row],[Medição 
Água Quente]]/1000</f>
        <v>0</v>
      </c>
      <c r="J42" s="15" t="str">
        <f>IF(tbl_medjun[[#This Row],[Total]]&gt;0,tbl_medjun[[#This Row],[Total]]/VLOOKUP(tbl_medjun[[#This Row],[Apto]],tbl_medfev[[Apto]:[Total]],6,FALSE)-1,"")</f>
        <v/>
      </c>
      <c r="K42" s="15" t="str">
        <f>IF(tbl_medjun[[#This Row],[Utilização (%)]]&lt;&gt;"",ALERTA_INDIVIDUAL-tbl_medjun[[#This Row],[Utilização (%)]],"")</f>
        <v/>
      </c>
    </row>
    <row r="43" spans="1:11" x14ac:dyDescent="0.25">
      <c r="A43" s="2">
        <f>tbl_consolidacao[[#This Row],[Torre]]</f>
        <v>1</v>
      </c>
      <c r="B43" s="2" t="str">
        <f>tbl_consolidacao[[#This Row],[Junta]]</f>
        <v>B</v>
      </c>
      <c r="C43" s="2">
        <f>tbl_consolidacao[[#This Row],[Unid]]</f>
        <v>307</v>
      </c>
      <c r="D43" s="2" t="str">
        <f>tbl_consolidacao[[#This Row],[Apto]]</f>
        <v>307-B1</v>
      </c>
      <c r="E43" s="2">
        <f>tbl_meddez_anterior[[#This Row],[Hidrometro]]</f>
        <v>1274</v>
      </c>
      <c r="F43" s="13"/>
      <c r="G43" s="16">
        <f>tbl_meddez_anterior[[#This Row],[Hidrometro]]</f>
        <v>1274</v>
      </c>
      <c r="H43" s="14"/>
      <c r="I43" s="2">
        <f>tbl_medjun[[#This Row],[Medição 
Água Fria]]/100+tbl_medjun[[#This Row],[Medição 
Água Quente]]/1000</f>
        <v>0</v>
      </c>
      <c r="J43" s="15" t="str">
        <f>IF(tbl_medjun[[#This Row],[Total]]&gt;0,tbl_medjun[[#This Row],[Total]]/VLOOKUP(tbl_medjun[[#This Row],[Apto]],tbl_medfev[[Apto]:[Total]],6,FALSE)-1,"")</f>
        <v/>
      </c>
      <c r="K43" s="15" t="str">
        <f>IF(tbl_medjun[[#This Row],[Utilização (%)]]&lt;&gt;"",ALERTA_INDIVIDUAL-tbl_medjun[[#This Row],[Utilização (%)]],"")</f>
        <v/>
      </c>
    </row>
    <row r="44" spans="1:11" x14ac:dyDescent="0.25">
      <c r="A44" s="2">
        <f>tbl_consolidacao[[#This Row],[Torre]]</f>
        <v>2</v>
      </c>
      <c r="B44" s="2" t="str">
        <f>tbl_consolidacao[[#This Row],[Junta]]</f>
        <v>B</v>
      </c>
      <c r="C44" s="2">
        <f>tbl_consolidacao[[#This Row],[Unid]]</f>
        <v>307</v>
      </c>
      <c r="D44" s="2" t="str">
        <f>tbl_consolidacao[[#This Row],[Apto]]</f>
        <v>307-B2</v>
      </c>
      <c r="E44" s="2">
        <f>tbl_meddez_anterior[[#This Row],[Hidrometro]]</f>
        <v>1275</v>
      </c>
      <c r="F44" s="13"/>
      <c r="G44" s="16">
        <f>tbl_meddez_anterior[[#This Row],[Hidrometro]]</f>
        <v>1275</v>
      </c>
      <c r="H44" s="14"/>
      <c r="I44" s="2">
        <f>tbl_medjun[[#This Row],[Medição 
Água Fria]]/100+tbl_medjun[[#This Row],[Medição 
Água Quente]]/1000</f>
        <v>0</v>
      </c>
      <c r="J44" s="15" t="str">
        <f>IF(tbl_medjun[[#This Row],[Total]]&gt;0,tbl_medjun[[#This Row],[Total]]/VLOOKUP(tbl_medjun[[#This Row],[Apto]],tbl_medfev[[Apto]:[Total]],6,FALSE)-1,"")</f>
        <v/>
      </c>
      <c r="K44" s="15" t="str">
        <f>IF(tbl_medjun[[#This Row],[Utilização (%)]]&lt;&gt;"",ALERTA_INDIVIDUAL-tbl_medjun[[#This Row],[Utilização (%)]],"")</f>
        <v/>
      </c>
    </row>
    <row r="45" spans="1:11" x14ac:dyDescent="0.25">
      <c r="A45" s="2">
        <f>tbl_consolidacao[[#This Row],[Torre]]</f>
        <v>1</v>
      </c>
      <c r="B45" s="2" t="str">
        <f>tbl_consolidacao[[#This Row],[Junta]]</f>
        <v>B</v>
      </c>
      <c r="C45" s="2">
        <f>tbl_consolidacao[[#This Row],[Unid]]</f>
        <v>308</v>
      </c>
      <c r="D45" s="2" t="str">
        <f>tbl_consolidacao[[#This Row],[Apto]]</f>
        <v>308-B1</v>
      </c>
      <c r="E45" s="2">
        <f>tbl_meddez_anterior[[#This Row],[Hidrometro]]</f>
        <v>1276</v>
      </c>
      <c r="F45" s="13"/>
      <c r="G45" s="16">
        <f>tbl_meddez_anterior[[#This Row],[Hidrometro]]</f>
        <v>1276</v>
      </c>
      <c r="H45" s="14"/>
      <c r="I45" s="2">
        <f>tbl_medjun[[#This Row],[Medição 
Água Fria]]/100+tbl_medjun[[#This Row],[Medição 
Água Quente]]/1000</f>
        <v>0</v>
      </c>
      <c r="J45" s="15" t="str">
        <f>IF(tbl_medjun[[#This Row],[Total]]&gt;0,tbl_medjun[[#This Row],[Total]]/VLOOKUP(tbl_medjun[[#This Row],[Apto]],tbl_medfev[[Apto]:[Total]],6,FALSE)-1,"")</f>
        <v/>
      </c>
      <c r="K45" s="15" t="str">
        <f>IF(tbl_medjun[[#This Row],[Utilização (%)]]&lt;&gt;"",ALERTA_INDIVIDUAL-tbl_medjun[[#This Row],[Utilização (%)]],"")</f>
        <v/>
      </c>
    </row>
    <row r="46" spans="1:11" x14ac:dyDescent="0.25">
      <c r="A46" s="2">
        <f>tbl_consolidacao[[#This Row],[Torre]]</f>
        <v>2</v>
      </c>
      <c r="B46" s="2" t="str">
        <f>tbl_consolidacao[[#This Row],[Junta]]</f>
        <v>B</v>
      </c>
      <c r="C46" s="2">
        <f>tbl_consolidacao[[#This Row],[Unid]]</f>
        <v>308</v>
      </c>
      <c r="D46" s="2" t="str">
        <f>tbl_consolidacao[[#This Row],[Apto]]</f>
        <v>308-B2</v>
      </c>
      <c r="E46" s="2">
        <f>tbl_meddez_anterior[[#This Row],[Hidrometro]]</f>
        <v>1277</v>
      </c>
      <c r="F46" s="13"/>
      <c r="G46" s="16">
        <f>tbl_meddez_anterior[[#This Row],[Hidrometro]]</f>
        <v>1277</v>
      </c>
      <c r="H46" s="14"/>
      <c r="I46" s="2">
        <f>tbl_medjun[[#This Row],[Medição 
Água Fria]]/100+tbl_medjun[[#This Row],[Medição 
Água Quente]]/1000</f>
        <v>0</v>
      </c>
      <c r="J46" s="15" t="str">
        <f>IF(tbl_medjun[[#This Row],[Total]]&gt;0,tbl_medjun[[#This Row],[Total]]/VLOOKUP(tbl_medjun[[#This Row],[Apto]],tbl_medfev[[Apto]:[Total]],6,FALSE)-1,"")</f>
        <v/>
      </c>
      <c r="K46" s="15" t="str">
        <f>IF(tbl_medjun[[#This Row],[Utilização (%)]]&lt;&gt;"",ALERTA_INDIVIDUAL-tbl_medjun[[#This Row],[Utilização (%)]],"")</f>
        <v/>
      </c>
    </row>
  </sheetData>
  <sheetProtection algorithmName="SHA-512" hashValue="DpDYrjcJ/jikHvfR5v9ugFXP5ekWIQkKeUPdZgLUNIviV5/fuiGuc+LCUms5UaSb4UE8p5gfcSZe/V0yTPP9hw==" saltValue="SvHCo6rEcEwEJ1YkgC2aUg==" spinCount="100000" sheet="1" objects="1" scenarios="1" selectLockedCells="1"/>
  <mergeCells count="3">
    <mergeCell ref="E1:F1"/>
    <mergeCell ref="G1:H1"/>
    <mergeCell ref="I1:J1"/>
  </mergeCells>
  <conditionalFormatting sqref="K3:K46">
    <cfRule type="iconSet" priority="1">
      <iconSet iconSet="3Flags" showValue="0">
        <cfvo type="percent" val="0"/>
        <cfvo type="percent" val="5"/>
        <cfvo type="percent" val="1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K46"/>
  <sheetViews>
    <sheetView showGridLines="0" workbookViewId="0">
      <selection activeCell="G1" sqref="G1:H1"/>
    </sheetView>
  </sheetViews>
  <sheetFormatPr defaultRowHeight="15" x14ac:dyDescent="0.25"/>
  <cols>
    <col min="1" max="3" width="7.7109375" customWidth="1"/>
    <col min="4" max="4" width="10.7109375" customWidth="1"/>
    <col min="5" max="9" width="12.7109375" customWidth="1"/>
    <col min="10" max="10" width="10.7109375" customWidth="1"/>
    <col min="11" max="11" width="3.7109375" customWidth="1"/>
  </cols>
  <sheetData>
    <row r="1" spans="1:11" ht="23.25" x14ac:dyDescent="0.35">
      <c r="E1" s="53" t="s">
        <v>48</v>
      </c>
      <c r="F1" s="53"/>
      <c r="G1" s="54"/>
      <c r="H1" s="54"/>
      <c r="I1" s="55" t="str">
        <f>IF(G1&lt;&gt;"",TEXT(G1,"mmmm-aa"),"")</f>
        <v/>
      </c>
      <c r="J1" s="55"/>
    </row>
    <row r="2" spans="1:11" ht="65.099999999999994" customHeight="1" x14ac:dyDescent="0.25">
      <c r="A2" s="3" t="s">
        <v>24</v>
      </c>
      <c r="B2" s="3" t="s">
        <v>25</v>
      </c>
      <c r="C2" s="3" t="s">
        <v>26</v>
      </c>
      <c r="D2" s="3" t="s">
        <v>49</v>
      </c>
      <c r="E2" s="3" t="s">
        <v>27</v>
      </c>
      <c r="F2" s="12" t="s">
        <v>43</v>
      </c>
      <c r="G2" s="10" t="s">
        <v>30</v>
      </c>
      <c r="H2" s="11" t="s">
        <v>44</v>
      </c>
      <c r="I2" s="3" t="s">
        <v>45</v>
      </c>
      <c r="J2" s="3" t="s">
        <v>46</v>
      </c>
      <c r="K2" s="3" t="s">
        <v>19</v>
      </c>
    </row>
    <row r="3" spans="1:11" x14ac:dyDescent="0.25">
      <c r="A3" s="2">
        <f>tbl_consolidacao[[#This Row],[Torre]]</f>
        <v>1</v>
      </c>
      <c r="B3" s="2" t="str">
        <f>tbl_consolidacao[[#This Row],[Junta]]</f>
        <v>A</v>
      </c>
      <c r="C3" s="2">
        <f>tbl_consolidacao[[#This Row],[Unid]]</f>
        <v>101</v>
      </c>
      <c r="D3" s="2" t="str">
        <f>tbl_consolidacao[[#This Row],[Apto]]</f>
        <v>101-A1</v>
      </c>
      <c r="E3" s="2">
        <f>tbl_meddez_anterior[[#This Row],[Hidrometro]]</f>
        <v>1234</v>
      </c>
      <c r="F3" s="13"/>
      <c r="G3" s="16">
        <f>tbl_meddez_anterior[[#This Row],[Hidrometro]]</f>
        <v>1234</v>
      </c>
      <c r="H3" s="14"/>
      <c r="I3" s="2">
        <f>tbl_medjul[[#This Row],[Medição 
Água Fria]]/100+tbl_medjul[[#This Row],[Medição 
Água Quente]]/1000</f>
        <v>0</v>
      </c>
      <c r="J3" s="15" t="str">
        <f>IF(tbl_medjul[[#This Row],[Total]]&gt;0,tbl_medjul[[#This Row],[Total]]/VLOOKUP(tbl_medjul[[#This Row],[Apto]],tbl_medfev[[Apto]:[Total]],6,FALSE)-1,"")</f>
        <v/>
      </c>
      <c r="K3" s="15" t="str">
        <f>IF(tbl_medjul[[#This Row],[Utilização (%)]]&lt;&gt;"",ALERTA_INDIVIDUAL-tbl_medjul[[#This Row],[Utilização (%)]],"")</f>
        <v/>
      </c>
    </row>
    <row r="4" spans="1:11" x14ac:dyDescent="0.25">
      <c r="A4" s="2">
        <f>tbl_consolidacao[[#This Row],[Torre]]</f>
        <v>2</v>
      </c>
      <c r="B4" s="2" t="str">
        <f>tbl_consolidacao[[#This Row],[Junta]]</f>
        <v>A</v>
      </c>
      <c r="C4" s="2">
        <f>tbl_consolidacao[[#This Row],[Unid]]</f>
        <v>101</v>
      </c>
      <c r="D4" s="2" t="str">
        <f>tbl_consolidacao[[#This Row],[Apto]]</f>
        <v>101-A2</v>
      </c>
      <c r="E4" s="2">
        <f>tbl_meddez_anterior[[#This Row],[Hidrometro]]</f>
        <v>1235</v>
      </c>
      <c r="F4" s="13"/>
      <c r="G4" s="16">
        <f>tbl_meddez_anterior[[#This Row],[Hidrometro]]</f>
        <v>1235</v>
      </c>
      <c r="H4" s="14"/>
      <c r="I4" s="2">
        <f>tbl_medjul[[#This Row],[Medição 
Água Fria]]/100+tbl_medjul[[#This Row],[Medição 
Água Quente]]/1000</f>
        <v>0</v>
      </c>
      <c r="J4" s="15" t="str">
        <f>IF(tbl_medjul[[#This Row],[Total]]&gt;0,tbl_medjul[[#This Row],[Total]]/VLOOKUP(tbl_medjul[[#This Row],[Apto]],tbl_medfev[[Apto]:[Total]],6,FALSE)-1,"")</f>
        <v/>
      </c>
      <c r="K4" s="15" t="str">
        <f>IF(tbl_medjul[[#This Row],[Utilização (%)]]&lt;&gt;"",ALERTA_INDIVIDUAL-tbl_medjul[[#This Row],[Utilização (%)]],"")</f>
        <v/>
      </c>
    </row>
    <row r="5" spans="1:11" x14ac:dyDescent="0.25">
      <c r="A5" s="2">
        <f>tbl_consolidacao[[#This Row],[Torre]]</f>
        <v>1</v>
      </c>
      <c r="B5" s="2" t="str">
        <f>tbl_consolidacao[[#This Row],[Junta]]</f>
        <v>A</v>
      </c>
      <c r="C5" s="2">
        <f>tbl_consolidacao[[#This Row],[Unid]]</f>
        <v>102</v>
      </c>
      <c r="D5" s="2" t="str">
        <f>tbl_consolidacao[[#This Row],[Apto]]</f>
        <v>102-A1</v>
      </c>
      <c r="E5" s="2">
        <f>tbl_meddez_anterior[[#This Row],[Hidrometro]]</f>
        <v>1236</v>
      </c>
      <c r="F5" s="13"/>
      <c r="G5" s="16">
        <f>tbl_meddez_anterior[[#This Row],[Hidrometro]]</f>
        <v>1236</v>
      </c>
      <c r="H5" s="14"/>
      <c r="I5" s="2">
        <f>tbl_medjul[[#This Row],[Medição 
Água Fria]]/100+tbl_medjul[[#This Row],[Medição 
Água Quente]]/1000</f>
        <v>0</v>
      </c>
      <c r="J5" s="15" t="str">
        <f>IF(tbl_medjul[[#This Row],[Total]]&gt;0,tbl_medjul[[#This Row],[Total]]/VLOOKUP(tbl_medjul[[#This Row],[Apto]],tbl_medfev[[Apto]:[Total]],6,FALSE)-1,"")</f>
        <v/>
      </c>
      <c r="K5" s="15" t="str">
        <f>IF(tbl_medjul[[#This Row],[Utilização (%)]]&lt;&gt;"",ALERTA_INDIVIDUAL-tbl_medjul[[#This Row],[Utilização (%)]],"")</f>
        <v/>
      </c>
    </row>
    <row r="6" spans="1:11" x14ac:dyDescent="0.25">
      <c r="A6" s="2">
        <f>tbl_consolidacao[[#This Row],[Torre]]</f>
        <v>2</v>
      </c>
      <c r="B6" s="2" t="str">
        <f>tbl_consolidacao[[#This Row],[Junta]]</f>
        <v>A</v>
      </c>
      <c r="C6" s="2">
        <f>tbl_consolidacao[[#This Row],[Unid]]</f>
        <v>102</v>
      </c>
      <c r="D6" s="2" t="str">
        <f>tbl_consolidacao[[#This Row],[Apto]]</f>
        <v>102-A2</v>
      </c>
      <c r="E6" s="2">
        <f>tbl_meddez_anterior[[#This Row],[Hidrometro]]</f>
        <v>1237</v>
      </c>
      <c r="F6" s="13"/>
      <c r="G6" s="16">
        <f>tbl_meddez_anterior[[#This Row],[Hidrometro]]</f>
        <v>1237</v>
      </c>
      <c r="H6" s="14"/>
      <c r="I6" s="2">
        <f>tbl_medjul[[#This Row],[Medição 
Água Fria]]/100+tbl_medjul[[#This Row],[Medição 
Água Quente]]/1000</f>
        <v>0</v>
      </c>
      <c r="J6" s="15" t="str">
        <f>IF(tbl_medjul[[#This Row],[Total]]&gt;0,tbl_medjul[[#This Row],[Total]]/VLOOKUP(tbl_medjul[[#This Row],[Apto]],tbl_medfev[[Apto]:[Total]],6,FALSE)-1,"")</f>
        <v/>
      </c>
      <c r="K6" s="15" t="str">
        <f>IF(tbl_medjul[[#This Row],[Utilização (%)]]&lt;&gt;"",ALERTA_INDIVIDUAL-tbl_medjul[[#This Row],[Utilização (%)]],"")</f>
        <v/>
      </c>
    </row>
    <row r="7" spans="1:11" x14ac:dyDescent="0.25">
      <c r="A7" s="2">
        <f>tbl_consolidacao[[#This Row],[Torre]]</f>
        <v>1</v>
      </c>
      <c r="B7" s="2" t="str">
        <f>tbl_consolidacao[[#This Row],[Junta]]</f>
        <v>A</v>
      </c>
      <c r="C7" s="2">
        <f>tbl_consolidacao[[#This Row],[Unid]]</f>
        <v>103</v>
      </c>
      <c r="D7" s="2" t="str">
        <f>tbl_consolidacao[[#This Row],[Apto]]</f>
        <v>103-A1</v>
      </c>
      <c r="E7" s="2">
        <f>tbl_meddez_anterior[[#This Row],[Hidrometro]]</f>
        <v>1238</v>
      </c>
      <c r="F7" s="13"/>
      <c r="G7" s="16">
        <f>tbl_meddez_anterior[[#This Row],[Hidrometro]]</f>
        <v>1238</v>
      </c>
      <c r="H7" s="14"/>
      <c r="I7" s="2">
        <f>tbl_medjul[[#This Row],[Medição 
Água Fria]]/100+tbl_medjul[[#This Row],[Medição 
Água Quente]]/1000</f>
        <v>0</v>
      </c>
      <c r="J7" s="15" t="str">
        <f>IF(tbl_medjul[[#This Row],[Total]]&gt;0,tbl_medjul[[#This Row],[Total]]/VLOOKUP(tbl_medjul[[#This Row],[Apto]],tbl_medfev[[Apto]:[Total]],6,FALSE)-1,"")</f>
        <v/>
      </c>
      <c r="K7" s="15" t="str">
        <f>IF(tbl_medjul[[#This Row],[Utilização (%)]]&lt;&gt;"",ALERTA_INDIVIDUAL-tbl_medjul[[#This Row],[Utilização (%)]],"")</f>
        <v/>
      </c>
    </row>
    <row r="8" spans="1:11" x14ac:dyDescent="0.25">
      <c r="A8" s="2">
        <f>tbl_consolidacao[[#This Row],[Torre]]</f>
        <v>2</v>
      </c>
      <c r="B8" s="2" t="str">
        <f>tbl_consolidacao[[#This Row],[Junta]]</f>
        <v>A</v>
      </c>
      <c r="C8" s="2">
        <f>tbl_consolidacao[[#This Row],[Unid]]</f>
        <v>103</v>
      </c>
      <c r="D8" s="2" t="str">
        <f>tbl_consolidacao[[#This Row],[Apto]]</f>
        <v>103-A2</v>
      </c>
      <c r="E8" s="2">
        <f>tbl_meddez_anterior[[#This Row],[Hidrometro]]</f>
        <v>1239</v>
      </c>
      <c r="F8" s="13"/>
      <c r="G8" s="16">
        <f>tbl_meddez_anterior[[#This Row],[Hidrometro]]</f>
        <v>1239</v>
      </c>
      <c r="H8" s="14"/>
      <c r="I8" s="2">
        <f>tbl_medjul[[#This Row],[Medição 
Água Fria]]/100+tbl_medjul[[#This Row],[Medição 
Água Quente]]/1000</f>
        <v>0</v>
      </c>
      <c r="J8" s="15" t="str">
        <f>IF(tbl_medjul[[#This Row],[Total]]&gt;0,tbl_medjul[[#This Row],[Total]]/VLOOKUP(tbl_medjul[[#This Row],[Apto]],tbl_medfev[[Apto]:[Total]],6,FALSE)-1,"")</f>
        <v/>
      </c>
      <c r="K8" s="15" t="str">
        <f>IF(tbl_medjul[[#This Row],[Utilização (%)]]&lt;&gt;"",ALERTA_INDIVIDUAL-tbl_medjul[[#This Row],[Utilização (%)]],"")</f>
        <v/>
      </c>
    </row>
    <row r="9" spans="1:11" x14ac:dyDescent="0.25">
      <c r="A9" s="2">
        <f>tbl_consolidacao[[#This Row],[Torre]]</f>
        <v>1</v>
      </c>
      <c r="B9" s="2" t="str">
        <f>tbl_consolidacao[[#This Row],[Junta]]</f>
        <v>A</v>
      </c>
      <c r="C9" s="2">
        <f>tbl_consolidacao[[#This Row],[Unid]]</f>
        <v>104</v>
      </c>
      <c r="D9" s="2" t="str">
        <f>tbl_consolidacao[[#This Row],[Apto]]</f>
        <v>104-A1</v>
      </c>
      <c r="E9" s="2">
        <f>tbl_meddez_anterior[[#This Row],[Hidrometro]]</f>
        <v>1240</v>
      </c>
      <c r="F9" s="13"/>
      <c r="G9" s="16">
        <f>tbl_meddez_anterior[[#This Row],[Hidrometro]]</f>
        <v>1240</v>
      </c>
      <c r="H9" s="14"/>
      <c r="I9" s="2">
        <f>tbl_medjul[[#This Row],[Medição 
Água Fria]]/100+tbl_medjul[[#This Row],[Medição 
Água Quente]]/1000</f>
        <v>0</v>
      </c>
      <c r="J9" s="15" t="str">
        <f>IF(tbl_medjul[[#This Row],[Total]]&gt;0,tbl_medjul[[#This Row],[Total]]/VLOOKUP(tbl_medjul[[#This Row],[Apto]],tbl_medfev[[Apto]:[Total]],6,FALSE)-1,"")</f>
        <v/>
      </c>
      <c r="K9" s="15" t="str">
        <f>IF(tbl_medjul[[#This Row],[Utilização (%)]]&lt;&gt;"",ALERTA_INDIVIDUAL-tbl_medjul[[#This Row],[Utilização (%)]],"")</f>
        <v/>
      </c>
    </row>
    <row r="10" spans="1:11" x14ac:dyDescent="0.25">
      <c r="A10" s="2">
        <f>tbl_consolidacao[[#This Row],[Torre]]</f>
        <v>2</v>
      </c>
      <c r="B10" s="2" t="str">
        <f>tbl_consolidacao[[#This Row],[Junta]]</f>
        <v>A</v>
      </c>
      <c r="C10" s="2">
        <f>tbl_consolidacao[[#This Row],[Unid]]</f>
        <v>104</v>
      </c>
      <c r="D10" s="2" t="str">
        <f>tbl_consolidacao[[#This Row],[Apto]]</f>
        <v>104-A2</v>
      </c>
      <c r="E10" s="2">
        <f>tbl_meddez_anterior[[#This Row],[Hidrometro]]</f>
        <v>1241</v>
      </c>
      <c r="F10" s="13"/>
      <c r="G10" s="16">
        <f>tbl_meddez_anterior[[#This Row],[Hidrometro]]</f>
        <v>1241</v>
      </c>
      <c r="H10" s="14"/>
      <c r="I10" s="2">
        <f>tbl_medjul[[#This Row],[Medição 
Água Fria]]/100+tbl_medjul[[#This Row],[Medição 
Água Quente]]/1000</f>
        <v>0</v>
      </c>
      <c r="J10" s="15" t="str">
        <f>IF(tbl_medjul[[#This Row],[Total]]&gt;0,tbl_medjul[[#This Row],[Total]]/VLOOKUP(tbl_medjul[[#This Row],[Apto]],tbl_medfev[[Apto]:[Total]],6,FALSE)-1,"")</f>
        <v/>
      </c>
      <c r="K10" s="15" t="str">
        <f>IF(tbl_medjul[[#This Row],[Utilização (%)]]&lt;&gt;"",ALERTA_INDIVIDUAL-tbl_medjul[[#This Row],[Utilização (%)]],"")</f>
        <v/>
      </c>
    </row>
    <row r="11" spans="1:11" x14ac:dyDescent="0.25">
      <c r="A11" s="2">
        <f>tbl_consolidacao[[#This Row],[Torre]]</f>
        <v>2</v>
      </c>
      <c r="B11" s="2" t="str">
        <f>tbl_consolidacao[[#This Row],[Junta]]</f>
        <v>B</v>
      </c>
      <c r="C11" s="2">
        <f>tbl_consolidacao[[#This Row],[Unid]]</f>
        <v>105</v>
      </c>
      <c r="D11" s="2" t="str">
        <f>tbl_consolidacao[[#This Row],[Apto]]</f>
        <v>105-B2</v>
      </c>
      <c r="E11" s="2">
        <f>tbl_meddez_anterior[[#This Row],[Hidrometro]]</f>
        <v>1242</v>
      </c>
      <c r="F11" s="13"/>
      <c r="G11" s="16">
        <f>tbl_meddez_anterior[[#This Row],[Hidrometro]]</f>
        <v>1242</v>
      </c>
      <c r="H11" s="14"/>
      <c r="I11" s="2">
        <f>tbl_medjul[[#This Row],[Medição 
Água Fria]]/100+tbl_medjul[[#This Row],[Medição 
Água Quente]]/1000</f>
        <v>0</v>
      </c>
      <c r="J11" s="15" t="str">
        <f>IF(tbl_medjul[[#This Row],[Total]]&gt;0,tbl_medjul[[#This Row],[Total]]/VLOOKUP(tbl_medjul[[#This Row],[Apto]],tbl_medfev[[Apto]:[Total]],6,FALSE)-1,"")</f>
        <v/>
      </c>
      <c r="K11" s="15" t="str">
        <f>IF(tbl_medjul[[#This Row],[Utilização (%)]]&lt;&gt;"",ALERTA_INDIVIDUAL-tbl_medjul[[#This Row],[Utilização (%)]],"")</f>
        <v/>
      </c>
    </row>
    <row r="12" spans="1:11" x14ac:dyDescent="0.25">
      <c r="A12" s="2">
        <f>tbl_consolidacao[[#This Row],[Torre]]</f>
        <v>2</v>
      </c>
      <c r="B12" s="2" t="str">
        <f>tbl_consolidacao[[#This Row],[Junta]]</f>
        <v>B</v>
      </c>
      <c r="C12" s="2">
        <f>tbl_consolidacao[[#This Row],[Unid]]</f>
        <v>106</v>
      </c>
      <c r="D12" s="2" t="str">
        <f>tbl_consolidacao[[#This Row],[Apto]]</f>
        <v>106-B2</v>
      </c>
      <c r="E12" s="2">
        <f>tbl_meddez_anterior[[#This Row],[Hidrometro]]</f>
        <v>1243</v>
      </c>
      <c r="F12" s="13"/>
      <c r="G12" s="16">
        <f>tbl_meddez_anterior[[#This Row],[Hidrometro]]</f>
        <v>1243</v>
      </c>
      <c r="H12" s="14"/>
      <c r="I12" s="2">
        <f>tbl_medjul[[#This Row],[Medição 
Água Fria]]/100+tbl_medjul[[#This Row],[Medição 
Água Quente]]/1000</f>
        <v>0</v>
      </c>
      <c r="J12" s="15" t="str">
        <f>IF(tbl_medjul[[#This Row],[Total]]&gt;0,tbl_medjul[[#This Row],[Total]]/VLOOKUP(tbl_medjul[[#This Row],[Apto]],tbl_medfev[[Apto]:[Total]],6,FALSE)-1,"")</f>
        <v/>
      </c>
      <c r="K12" s="15" t="str">
        <f>IF(tbl_medjul[[#This Row],[Utilização (%)]]&lt;&gt;"",ALERTA_INDIVIDUAL-tbl_medjul[[#This Row],[Utilização (%)]],"")</f>
        <v/>
      </c>
    </row>
    <row r="13" spans="1:11" x14ac:dyDescent="0.25">
      <c r="A13" s="2">
        <f>tbl_consolidacao[[#This Row],[Torre]]</f>
        <v>2</v>
      </c>
      <c r="B13" s="2" t="str">
        <f>tbl_consolidacao[[#This Row],[Junta]]</f>
        <v>B</v>
      </c>
      <c r="C13" s="2">
        <f>tbl_consolidacao[[#This Row],[Unid]]</f>
        <v>107</v>
      </c>
      <c r="D13" s="2" t="str">
        <f>tbl_consolidacao[[#This Row],[Apto]]</f>
        <v>107-B2</v>
      </c>
      <c r="E13" s="2">
        <f>tbl_meddez_anterior[[#This Row],[Hidrometro]]</f>
        <v>1244</v>
      </c>
      <c r="F13" s="13"/>
      <c r="G13" s="16">
        <f>tbl_meddez_anterior[[#This Row],[Hidrometro]]</f>
        <v>1244</v>
      </c>
      <c r="H13" s="14"/>
      <c r="I13" s="2">
        <f>tbl_medjul[[#This Row],[Medição 
Água Fria]]/100+tbl_medjul[[#This Row],[Medição 
Água Quente]]/1000</f>
        <v>0</v>
      </c>
      <c r="J13" s="15" t="str">
        <f>IF(tbl_medjul[[#This Row],[Total]]&gt;0,tbl_medjul[[#This Row],[Total]]/VLOOKUP(tbl_medjul[[#This Row],[Apto]],tbl_medfev[[Apto]:[Total]],6,FALSE)-1,"")</f>
        <v/>
      </c>
      <c r="K13" s="15" t="str">
        <f>IF(tbl_medjul[[#This Row],[Utilização (%)]]&lt;&gt;"",ALERTA_INDIVIDUAL-tbl_medjul[[#This Row],[Utilização (%)]],"")</f>
        <v/>
      </c>
    </row>
    <row r="14" spans="1:11" x14ac:dyDescent="0.25">
      <c r="A14" s="2">
        <f>tbl_consolidacao[[#This Row],[Torre]]</f>
        <v>2</v>
      </c>
      <c r="B14" s="2" t="str">
        <f>tbl_consolidacao[[#This Row],[Junta]]</f>
        <v>B</v>
      </c>
      <c r="C14" s="2">
        <f>tbl_consolidacao[[#This Row],[Unid]]</f>
        <v>108</v>
      </c>
      <c r="D14" s="2" t="str">
        <f>tbl_consolidacao[[#This Row],[Apto]]</f>
        <v>108-B2</v>
      </c>
      <c r="E14" s="2">
        <f>tbl_meddez_anterior[[#This Row],[Hidrometro]]</f>
        <v>1245</v>
      </c>
      <c r="F14" s="13"/>
      <c r="G14" s="16">
        <f>tbl_meddez_anterior[[#This Row],[Hidrometro]]</f>
        <v>1245</v>
      </c>
      <c r="H14" s="14"/>
      <c r="I14" s="2">
        <f>tbl_medjul[[#This Row],[Medição 
Água Fria]]/100+tbl_medjul[[#This Row],[Medição 
Água Quente]]/1000</f>
        <v>0</v>
      </c>
      <c r="J14" s="15" t="str">
        <f>IF(tbl_medjul[[#This Row],[Total]]&gt;0,tbl_medjul[[#This Row],[Total]]/VLOOKUP(tbl_medjul[[#This Row],[Apto]],tbl_medfev[[Apto]:[Total]],6,FALSE)-1,"")</f>
        <v/>
      </c>
      <c r="K14" s="15" t="str">
        <f>IF(tbl_medjul[[#This Row],[Utilização (%)]]&lt;&gt;"",ALERTA_INDIVIDUAL-tbl_medjul[[#This Row],[Utilização (%)]],"")</f>
        <v/>
      </c>
    </row>
    <row r="15" spans="1:11" x14ac:dyDescent="0.25">
      <c r="A15" s="2">
        <f>tbl_consolidacao[[#This Row],[Torre]]</f>
        <v>1</v>
      </c>
      <c r="B15" s="2" t="str">
        <f>tbl_consolidacao[[#This Row],[Junta]]</f>
        <v>A</v>
      </c>
      <c r="C15" s="2">
        <f>tbl_consolidacao[[#This Row],[Unid]]</f>
        <v>201</v>
      </c>
      <c r="D15" s="2" t="str">
        <f>tbl_consolidacao[[#This Row],[Apto]]</f>
        <v>201-A1</v>
      </c>
      <c r="E15" s="2">
        <f>tbl_meddez_anterior[[#This Row],[Hidrometro]]</f>
        <v>1246</v>
      </c>
      <c r="F15" s="13"/>
      <c r="G15" s="16">
        <f>tbl_meddez_anterior[[#This Row],[Hidrometro]]</f>
        <v>1246</v>
      </c>
      <c r="H15" s="14"/>
      <c r="I15" s="2">
        <f>tbl_medjul[[#This Row],[Medição 
Água Fria]]/100+tbl_medjul[[#This Row],[Medição 
Água Quente]]/1000</f>
        <v>0</v>
      </c>
      <c r="J15" s="15" t="str">
        <f>IF(tbl_medjul[[#This Row],[Total]]&gt;0,tbl_medjul[[#This Row],[Total]]/VLOOKUP(tbl_medjul[[#This Row],[Apto]],tbl_medfev[[Apto]:[Total]],6,FALSE)-1,"")</f>
        <v/>
      </c>
      <c r="K15" s="15" t="str">
        <f>IF(tbl_medjul[[#This Row],[Utilização (%)]]&lt;&gt;"",ALERTA_INDIVIDUAL-tbl_medjul[[#This Row],[Utilização (%)]],"")</f>
        <v/>
      </c>
    </row>
    <row r="16" spans="1:11" x14ac:dyDescent="0.25">
      <c r="A16" s="2">
        <f>tbl_consolidacao[[#This Row],[Torre]]</f>
        <v>2</v>
      </c>
      <c r="B16" s="2" t="str">
        <f>tbl_consolidacao[[#This Row],[Junta]]</f>
        <v>A</v>
      </c>
      <c r="C16" s="2">
        <f>tbl_consolidacao[[#This Row],[Unid]]</f>
        <v>201</v>
      </c>
      <c r="D16" s="2" t="str">
        <f>tbl_consolidacao[[#This Row],[Apto]]</f>
        <v>201-A2</v>
      </c>
      <c r="E16" s="2">
        <f>tbl_meddez_anterior[[#This Row],[Hidrometro]]</f>
        <v>1247</v>
      </c>
      <c r="F16" s="13"/>
      <c r="G16" s="16">
        <f>tbl_meddez_anterior[[#This Row],[Hidrometro]]</f>
        <v>1247</v>
      </c>
      <c r="H16" s="14"/>
      <c r="I16" s="2">
        <f>tbl_medjul[[#This Row],[Medição 
Água Fria]]/100+tbl_medjul[[#This Row],[Medição 
Água Quente]]/1000</f>
        <v>0</v>
      </c>
      <c r="J16" s="15" t="str">
        <f>IF(tbl_medjul[[#This Row],[Total]]&gt;0,tbl_medjul[[#This Row],[Total]]/VLOOKUP(tbl_medjul[[#This Row],[Apto]],tbl_medfev[[Apto]:[Total]],6,FALSE)-1,"")</f>
        <v/>
      </c>
      <c r="K16" s="15" t="str">
        <f>IF(tbl_medjul[[#This Row],[Utilização (%)]]&lt;&gt;"",ALERTA_INDIVIDUAL-tbl_medjul[[#This Row],[Utilização (%)]],"")</f>
        <v/>
      </c>
    </row>
    <row r="17" spans="1:11" x14ac:dyDescent="0.25">
      <c r="A17" s="2">
        <f>tbl_consolidacao[[#This Row],[Torre]]</f>
        <v>1</v>
      </c>
      <c r="B17" s="2" t="str">
        <f>tbl_consolidacao[[#This Row],[Junta]]</f>
        <v>A</v>
      </c>
      <c r="C17" s="2">
        <f>tbl_consolidacao[[#This Row],[Unid]]</f>
        <v>202</v>
      </c>
      <c r="D17" s="2" t="str">
        <f>tbl_consolidacao[[#This Row],[Apto]]</f>
        <v>202-A1</v>
      </c>
      <c r="E17" s="2">
        <f>tbl_meddez_anterior[[#This Row],[Hidrometro]]</f>
        <v>1248</v>
      </c>
      <c r="F17" s="13"/>
      <c r="G17" s="16">
        <f>tbl_meddez_anterior[[#This Row],[Hidrometro]]</f>
        <v>1248</v>
      </c>
      <c r="H17" s="14"/>
      <c r="I17" s="2">
        <f>tbl_medjul[[#This Row],[Medição 
Água Fria]]/100+tbl_medjul[[#This Row],[Medição 
Água Quente]]/1000</f>
        <v>0</v>
      </c>
      <c r="J17" s="15" t="str">
        <f>IF(tbl_medjul[[#This Row],[Total]]&gt;0,tbl_medjul[[#This Row],[Total]]/VLOOKUP(tbl_medjul[[#This Row],[Apto]],tbl_medfev[[Apto]:[Total]],6,FALSE)-1,"")</f>
        <v/>
      </c>
      <c r="K17" s="15" t="str">
        <f>IF(tbl_medjul[[#This Row],[Utilização (%)]]&lt;&gt;"",ALERTA_INDIVIDUAL-tbl_medjul[[#This Row],[Utilização (%)]],"")</f>
        <v/>
      </c>
    </row>
    <row r="18" spans="1:11" x14ac:dyDescent="0.25">
      <c r="A18" s="2">
        <f>tbl_consolidacao[[#This Row],[Torre]]</f>
        <v>2</v>
      </c>
      <c r="B18" s="2" t="str">
        <f>tbl_consolidacao[[#This Row],[Junta]]</f>
        <v>A</v>
      </c>
      <c r="C18" s="2">
        <f>tbl_consolidacao[[#This Row],[Unid]]</f>
        <v>202</v>
      </c>
      <c r="D18" s="2" t="str">
        <f>tbl_consolidacao[[#This Row],[Apto]]</f>
        <v>202-A2</v>
      </c>
      <c r="E18" s="2">
        <f>tbl_meddez_anterior[[#This Row],[Hidrometro]]</f>
        <v>1249</v>
      </c>
      <c r="F18" s="13"/>
      <c r="G18" s="16">
        <f>tbl_meddez_anterior[[#This Row],[Hidrometro]]</f>
        <v>1249</v>
      </c>
      <c r="H18" s="14"/>
      <c r="I18" s="2">
        <f>tbl_medjul[[#This Row],[Medição 
Água Fria]]/100+tbl_medjul[[#This Row],[Medição 
Água Quente]]/1000</f>
        <v>0</v>
      </c>
      <c r="J18" s="15" t="str">
        <f>IF(tbl_medjul[[#This Row],[Total]]&gt;0,tbl_medjul[[#This Row],[Total]]/VLOOKUP(tbl_medjul[[#This Row],[Apto]],tbl_medfev[[Apto]:[Total]],6,FALSE)-1,"")</f>
        <v/>
      </c>
      <c r="K18" s="15" t="str">
        <f>IF(tbl_medjul[[#This Row],[Utilização (%)]]&lt;&gt;"",ALERTA_INDIVIDUAL-tbl_medjul[[#This Row],[Utilização (%)]],"")</f>
        <v/>
      </c>
    </row>
    <row r="19" spans="1:11" x14ac:dyDescent="0.25">
      <c r="A19" s="2">
        <f>tbl_consolidacao[[#This Row],[Torre]]</f>
        <v>1</v>
      </c>
      <c r="B19" s="2" t="str">
        <f>tbl_consolidacao[[#This Row],[Junta]]</f>
        <v>A</v>
      </c>
      <c r="C19" s="2">
        <f>tbl_consolidacao[[#This Row],[Unid]]</f>
        <v>203</v>
      </c>
      <c r="D19" s="2" t="str">
        <f>tbl_consolidacao[[#This Row],[Apto]]</f>
        <v>203-A1</v>
      </c>
      <c r="E19" s="2">
        <f>tbl_meddez_anterior[[#This Row],[Hidrometro]]</f>
        <v>1250</v>
      </c>
      <c r="F19" s="13"/>
      <c r="G19" s="16">
        <f>tbl_meddez_anterior[[#This Row],[Hidrometro]]</f>
        <v>1250</v>
      </c>
      <c r="H19" s="14"/>
      <c r="I19" s="2">
        <f>tbl_medjul[[#This Row],[Medição 
Água Fria]]/100+tbl_medjul[[#This Row],[Medição 
Água Quente]]/1000</f>
        <v>0</v>
      </c>
      <c r="J19" s="15" t="str">
        <f>IF(tbl_medjul[[#This Row],[Total]]&gt;0,tbl_medjul[[#This Row],[Total]]/VLOOKUP(tbl_medjul[[#This Row],[Apto]],tbl_medfev[[Apto]:[Total]],6,FALSE)-1,"")</f>
        <v/>
      </c>
      <c r="K19" s="15" t="str">
        <f>IF(tbl_medjul[[#This Row],[Utilização (%)]]&lt;&gt;"",ALERTA_INDIVIDUAL-tbl_medjul[[#This Row],[Utilização (%)]],"")</f>
        <v/>
      </c>
    </row>
    <row r="20" spans="1:11" x14ac:dyDescent="0.25">
      <c r="A20" s="2">
        <f>tbl_consolidacao[[#This Row],[Torre]]</f>
        <v>2</v>
      </c>
      <c r="B20" s="2" t="str">
        <f>tbl_consolidacao[[#This Row],[Junta]]</f>
        <v>A</v>
      </c>
      <c r="C20" s="2">
        <f>tbl_consolidacao[[#This Row],[Unid]]</f>
        <v>203</v>
      </c>
      <c r="D20" s="2" t="str">
        <f>tbl_consolidacao[[#This Row],[Apto]]</f>
        <v>203-A2</v>
      </c>
      <c r="E20" s="2">
        <f>tbl_meddez_anterior[[#This Row],[Hidrometro]]</f>
        <v>1251</v>
      </c>
      <c r="F20" s="13"/>
      <c r="G20" s="16">
        <f>tbl_meddez_anterior[[#This Row],[Hidrometro]]</f>
        <v>1251</v>
      </c>
      <c r="H20" s="14"/>
      <c r="I20" s="2">
        <f>tbl_medjul[[#This Row],[Medição 
Água Fria]]/100+tbl_medjul[[#This Row],[Medição 
Água Quente]]/1000</f>
        <v>0</v>
      </c>
      <c r="J20" s="15" t="str">
        <f>IF(tbl_medjul[[#This Row],[Total]]&gt;0,tbl_medjul[[#This Row],[Total]]/VLOOKUP(tbl_medjul[[#This Row],[Apto]],tbl_medfev[[Apto]:[Total]],6,FALSE)-1,"")</f>
        <v/>
      </c>
      <c r="K20" s="15" t="str">
        <f>IF(tbl_medjul[[#This Row],[Utilização (%)]]&lt;&gt;"",ALERTA_INDIVIDUAL-tbl_medjul[[#This Row],[Utilização (%)]],"")</f>
        <v/>
      </c>
    </row>
    <row r="21" spans="1:11" x14ac:dyDescent="0.25">
      <c r="A21" s="2">
        <f>tbl_consolidacao[[#This Row],[Torre]]</f>
        <v>1</v>
      </c>
      <c r="B21" s="2" t="str">
        <f>tbl_consolidacao[[#This Row],[Junta]]</f>
        <v>A</v>
      </c>
      <c r="C21" s="2">
        <f>tbl_consolidacao[[#This Row],[Unid]]</f>
        <v>204</v>
      </c>
      <c r="D21" s="2" t="str">
        <f>tbl_consolidacao[[#This Row],[Apto]]</f>
        <v>204-A1</v>
      </c>
      <c r="E21" s="2">
        <f>tbl_meddez_anterior[[#This Row],[Hidrometro]]</f>
        <v>1252</v>
      </c>
      <c r="F21" s="13"/>
      <c r="G21" s="16">
        <f>tbl_meddez_anterior[[#This Row],[Hidrometro]]</f>
        <v>1252</v>
      </c>
      <c r="H21" s="14"/>
      <c r="I21" s="2">
        <f>tbl_medjul[[#This Row],[Medição 
Água Fria]]/100+tbl_medjul[[#This Row],[Medição 
Água Quente]]/1000</f>
        <v>0</v>
      </c>
      <c r="J21" s="15" t="str">
        <f>IF(tbl_medjul[[#This Row],[Total]]&gt;0,tbl_medjul[[#This Row],[Total]]/VLOOKUP(tbl_medjul[[#This Row],[Apto]],tbl_medfev[[Apto]:[Total]],6,FALSE)-1,"")</f>
        <v/>
      </c>
      <c r="K21" s="15" t="str">
        <f>IF(tbl_medjul[[#This Row],[Utilização (%)]]&lt;&gt;"",ALERTA_INDIVIDUAL-tbl_medjul[[#This Row],[Utilização (%)]],"")</f>
        <v/>
      </c>
    </row>
    <row r="22" spans="1:11" x14ac:dyDescent="0.25">
      <c r="A22" s="2">
        <f>tbl_consolidacao[[#This Row],[Torre]]</f>
        <v>2</v>
      </c>
      <c r="B22" s="2" t="str">
        <f>tbl_consolidacao[[#This Row],[Junta]]</f>
        <v>A</v>
      </c>
      <c r="C22" s="2">
        <f>tbl_consolidacao[[#This Row],[Unid]]</f>
        <v>204</v>
      </c>
      <c r="D22" s="2" t="str">
        <f>tbl_consolidacao[[#This Row],[Apto]]</f>
        <v>204-A2</v>
      </c>
      <c r="E22" s="2">
        <f>tbl_meddez_anterior[[#This Row],[Hidrometro]]</f>
        <v>1253</v>
      </c>
      <c r="F22" s="13"/>
      <c r="G22" s="16">
        <f>tbl_meddez_anterior[[#This Row],[Hidrometro]]</f>
        <v>1253</v>
      </c>
      <c r="H22" s="14"/>
      <c r="I22" s="2">
        <f>tbl_medjul[[#This Row],[Medição 
Água Fria]]/100+tbl_medjul[[#This Row],[Medição 
Água Quente]]/1000</f>
        <v>0</v>
      </c>
      <c r="J22" s="15" t="str">
        <f>IF(tbl_medjul[[#This Row],[Total]]&gt;0,tbl_medjul[[#This Row],[Total]]/VLOOKUP(tbl_medjul[[#This Row],[Apto]],tbl_medfev[[Apto]:[Total]],6,FALSE)-1,"")</f>
        <v/>
      </c>
      <c r="K22" s="15" t="str">
        <f>IF(tbl_medjul[[#This Row],[Utilização (%)]]&lt;&gt;"",ALERTA_INDIVIDUAL-tbl_medjul[[#This Row],[Utilização (%)]],"")</f>
        <v/>
      </c>
    </row>
    <row r="23" spans="1:11" x14ac:dyDescent="0.25">
      <c r="A23" s="2">
        <f>tbl_consolidacao[[#This Row],[Torre]]</f>
        <v>1</v>
      </c>
      <c r="B23" s="2" t="str">
        <f>tbl_consolidacao[[#This Row],[Junta]]</f>
        <v>B</v>
      </c>
      <c r="C23" s="2">
        <f>tbl_consolidacao[[#This Row],[Unid]]</f>
        <v>205</v>
      </c>
      <c r="D23" s="2" t="str">
        <f>tbl_consolidacao[[#This Row],[Apto]]</f>
        <v>205-B1</v>
      </c>
      <c r="E23" s="2">
        <f>tbl_meddez_anterior[[#This Row],[Hidrometro]]</f>
        <v>1254</v>
      </c>
      <c r="F23" s="13"/>
      <c r="G23" s="16">
        <f>tbl_meddez_anterior[[#This Row],[Hidrometro]]</f>
        <v>1254</v>
      </c>
      <c r="H23" s="14"/>
      <c r="I23" s="2">
        <f>tbl_medjul[[#This Row],[Medição 
Água Fria]]/100+tbl_medjul[[#This Row],[Medição 
Água Quente]]/1000</f>
        <v>0</v>
      </c>
      <c r="J23" s="15" t="str">
        <f>IF(tbl_medjul[[#This Row],[Total]]&gt;0,tbl_medjul[[#This Row],[Total]]/VLOOKUP(tbl_medjul[[#This Row],[Apto]],tbl_medfev[[Apto]:[Total]],6,FALSE)-1,"")</f>
        <v/>
      </c>
      <c r="K23" s="15" t="str">
        <f>IF(tbl_medjul[[#This Row],[Utilização (%)]]&lt;&gt;"",ALERTA_INDIVIDUAL-tbl_medjul[[#This Row],[Utilização (%)]],"")</f>
        <v/>
      </c>
    </row>
    <row r="24" spans="1:11" x14ac:dyDescent="0.25">
      <c r="A24" s="2">
        <f>tbl_consolidacao[[#This Row],[Torre]]</f>
        <v>2</v>
      </c>
      <c r="B24" s="2" t="str">
        <f>tbl_consolidacao[[#This Row],[Junta]]</f>
        <v>B</v>
      </c>
      <c r="C24" s="2">
        <f>tbl_consolidacao[[#This Row],[Unid]]</f>
        <v>205</v>
      </c>
      <c r="D24" s="2" t="str">
        <f>tbl_consolidacao[[#This Row],[Apto]]</f>
        <v>205-B2</v>
      </c>
      <c r="E24" s="2">
        <f>tbl_meddez_anterior[[#This Row],[Hidrometro]]</f>
        <v>1255</v>
      </c>
      <c r="F24" s="13"/>
      <c r="G24" s="16">
        <f>tbl_meddez_anterior[[#This Row],[Hidrometro]]</f>
        <v>1255</v>
      </c>
      <c r="H24" s="14"/>
      <c r="I24" s="2">
        <f>tbl_medjul[[#This Row],[Medição 
Água Fria]]/100+tbl_medjul[[#This Row],[Medição 
Água Quente]]/1000</f>
        <v>0</v>
      </c>
      <c r="J24" s="15" t="str">
        <f>IF(tbl_medjul[[#This Row],[Total]]&gt;0,tbl_medjul[[#This Row],[Total]]/VLOOKUP(tbl_medjul[[#This Row],[Apto]],tbl_medfev[[Apto]:[Total]],6,FALSE)-1,"")</f>
        <v/>
      </c>
      <c r="K24" s="15" t="str">
        <f>IF(tbl_medjul[[#This Row],[Utilização (%)]]&lt;&gt;"",ALERTA_INDIVIDUAL-tbl_medjul[[#This Row],[Utilização (%)]],"")</f>
        <v/>
      </c>
    </row>
    <row r="25" spans="1:11" x14ac:dyDescent="0.25">
      <c r="A25" s="2">
        <f>tbl_consolidacao[[#This Row],[Torre]]</f>
        <v>1</v>
      </c>
      <c r="B25" s="2" t="str">
        <f>tbl_consolidacao[[#This Row],[Junta]]</f>
        <v>B</v>
      </c>
      <c r="C25" s="2">
        <f>tbl_consolidacao[[#This Row],[Unid]]</f>
        <v>206</v>
      </c>
      <c r="D25" s="2" t="str">
        <f>tbl_consolidacao[[#This Row],[Apto]]</f>
        <v>206-B1</v>
      </c>
      <c r="E25" s="2">
        <f>tbl_meddez_anterior[[#This Row],[Hidrometro]]</f>
        <v>1256</v>
      </c>
      <c r="F25" s="13"/>
      <c r="G25" s="16">
        <f>tbl_meddez_anterior[[#This Row],[Hidrometro]]</f>
        <v>1256</v>
      </c>
      <c r="H25" s="14"/>
      <c r="I25" s="2">
        <f>tbl_medjul[[#This Row],[Medição 
Água Fria]]/100+tbl_medjul[[#This Row],[Medição 
Água Quente]]/1000</f>
        <v>0</v>
      </c>
      <c r="J25" s="15" t="str">
        <f>IF(tbl_medjul[[#This Row],[Total]]&gt;0,tbl_medjul[[#This Row],[Total]]/VLOOKUP(tbl_medjul[[#This Row],[Apto]],tbl_medfev[[Apto]:[Total]],6,FALSE)-1,"")</f>
        <v/>
      </c>
      <c r="K25" s="15" t="str">
        <f>IF(tbl_medjul[[#This Row],[Utilização (%)]]&lt;&gt;"",ALERTA_INDIVIDUAL-tbl_medjul[[#This Row],[Utilização (%)]],"")</f>
        <v/>
      </c>
    </row>
    <row r="26" spans="1:11" x14ac:dyDescent="0.25">
      <c r="A26" s="2">
        <f>tbl_consolidacao[[#This Row],[Torre]]</f>
        <v>2</v>
      </c>
      <c r="B26" s="2" t="str">
        <f>tbl_consolidacao[[#This Row],[Junta]]</f>
        <v>B</v>
      </c>
      <c r="C26" s="2">
        <f>tbl_consolidacao[[#This Row],[Unid]]</f>
        <v>206</v>
      </c>
      <c r="D26" s="2" t="str">
        <f>tbl_consolidacao[[#This Row],[Apto]]</f>
        <v>206-B2</v>
      </c>
      <c r="E26" s="2">
        <f>tbl_meddez_anterior[[#This Row],[Hidrometro]]</f>
        <v>1257</v>
      </c>
      <c r="F26" s="13"/>
      <c r="G26" s="16">
        <f>tbl_meddez_anterior[[#This Row],[Hidrometro]]</f>
        <v>1257</v>
      </c>
      <c r="H26" s="14"/>
      <c r="I26" s="2">
        <f>tbl_medjul[[#This Row],[Medição 
Água Fria]]/100+tbl_medjul[[#This Row],[Medição 
Água Quente]]/1000</f>
        <v>0</v>
      </c>
      <c r="J26" s="15" t="str">
        <f>IF(tbl_medjul[[#This Row],[Total]]&gt;0,tbl_medjul[[#This Row],[Total]]/VLOOKUP(tbl_medjul[[#This Row],[Apto]],tbl_medfev[[Apto]:[Total]],6,FALSE)-1,"")</f>
        <v/>
      </c>
      <c r="K26" s="15" t="str">
        <f>IF(tbl_medjul[[#This Row],[Utilização (%)]]&lt;&gt;"",ALERTA_INDIVIDUAL-tbl_medjul[[#This Row],[Utilização (%)]],"")</f>
        <v/>
      </c>
    </row>
    <row r="27" spans="1:11" x14ac:dyDescent="0.25">
      <c r="A27" s="2">
        <f>tbl_consolidacao[[#This Row],[Torre]]</f>
        <v>1</v>
      </c>
      <c r="B27" s="2" t="str">
        <f>tbl_consolidacao[[#This Row],[Junta]]</f>
        <v>B</v>
      </c>
      <c r="C27" s="2">
        <f>tbl_consolidacao[[#This Row],[Unid]]</f>
        <v>207</v>
      </c>
      <c r="D27" s="2" t="str">
        <f>tbl_consolidacao[[#This Row],[Apto]]</f>
        <v>207-B1</v>
      </c>
      <c r="E27" s="2">
        <f>tbl_meddez_anterior[[#This Row],[Hidrometro]]</f>
        <v>1258</v>
      </c>
      <c r="F27" s="13"/>
      <c r="G27" s="16">
        <f>tbl_meddez_anterior[[#This Row],[Hidrometro]]</f>
        <v>1258</v>
      </c>
      <c r="H27" s="14"/>
      <c r="I27" s="2">
        <f>tbl_medjul[[#This Row],[Medição 
Água Fria]]/100+tbl_medjul[[#This Row],[Medição 
Água Quente]]/1000</f>
        <v>0</v>
      </c>
      <c r="J27" s="15" t="str">
        <f>IF(tbl_medjul[[#This Row],[Total]]&gt;0,tbl_medjul[[#This Row],[Total]]/VLOOKUP(tbl_medjul[[#This Row],[Apto]],tbl_medfev[[Apto]:[Total]],6,FALSE)-1,"")</f>
        <v/>
      </c>
      <c r="K27" s="15" t="str">
        <f>IF(tbl_medjul[[#This Row],[Utilização (%)]]&lt;&gt;"",ALERTA_INDIVIDUAL-tbl_medjul[[#This Row],[Utilização (%)]],"")</f>
        <v/>
      </c>
    </row>
    <row r="28" spans="1:11" x14ac:dyDescent="0.25">
      <c r="A28" s="2">
        <f>tbl_consolidacao[[#This Row],[Torre]]</f>
        <v>2</v>
      </c>
      <c r="B28" s="2" t="str">
        <f>tbl_consolidacao[[#This Row],[Junta]]</f>
        <v>B</v>
      </c>
      <c r="C28" s="2">
        <f>tbl_consolidacao[[#This Row],[Unid]]</f>
        <v>207</v>
      </c>
      <c r="D28" s="2" t="str">
        <f>tbl_consolidacao[[#This Row],[Apto]]</f>
        <v>207-B2</v>
      </c>
      <c r="E28" s="2">
        <f>tbl_meddez_anterior[[#This Row],[Hidrometro]]</f>
        <v>1259</v>
      </c>
      <c r="F28" s="13"/>
      <c r="G28" s="16">
        <f>tbl_meddez_anterior[[#This Row],[Hidrometro]]</f>
        <v>1259</v>
      </c>
      <c r="H28" s="14"/>
      <c r="I28" s="2">
        <f>tbl_medjul[[#This Row],[Medição 
Água Fria]]/100+tbl_medjul[[#This Row],[Medição 
Água Quente]]/1000</f>
        <v>0</v>
      </c>
      <c r="J28" s="15" t="str">
        <f>IF(tbl_medjul[[#This Row],[Total]]&gt;0,tbl_medjul[[#This Row],[Total]]/VLOOKUP(tbl_medjul[[#This Row],[Apto]],tbl_medfev[[Apto]:[Total]],6,FALSE)-1,"")</f>
        <v/>
      </c>
      <c r="K28" s="15" t="str">
        <f>IF(tbl_medjul[[#This Row],[Utilização (%)]]&lt;&gt;"",ALERTA_INDIVIDUAL-tbl_medjul[[#This Row],[Utilização (%)]],"")</f>
        <v/>
      </c>
    </row>
    <row r="29" spans="1:11" x14ac:dyDescent="0.25">
      <c r="A29" s="2">
        <f>tbl_consolidacao[[#This Row],[Torre]]</f>
        <v>1</v>
      </c>
      <c r="B29" s="2" t="str">
        <f>tbl_consolidacao[[#This Row],[Junta]]</f>
        <v>B</v>
      </c>
      <c r="C29" s="2">
        <f>tbl_consolidacao[[#This Row],[Unid]]</f>
        <v>208</v>
      </c>
      <c r="D29" s="2" t="str">
        <f>tbl_consolidacao[[#This Row],[Apto]]</f>
        <v>208-B1</v>
      </c>
      <c r="E29" s="2">
        <f>tbl_meddez_anterior[[#This Row],[Hidrometro]]</f>
        <v>1260</v>
      </c>
      <c r="F29" s="13"/>
      <c r="G29" s="16">
        <f>tbl_meddez_anterior[[#This Row],[Hidrometro]]</f>
        <v>1260</v>
      </c>
      <c r="H29" s="14"/>
      <c r="I29" s="2">
        <f>tbl_medjul[[#This Row],[Medição 
Água Fria]]/100+tbl_medjul[[#This Row],[Medição 
Água Quente]]/1000</f>
        <v>0</v>
      </c>
      <c r="J29" s="15" t="str">
        <f>IF(tbl_medjul[[#This Row],[Total]]&gt;0,tbl_medjul[[#This Row],[Total]]/VLOOKUP(tbl_medjul[[#This Row],[Apto]],tbl_medfev[[Apto]:[Total]],6,FALSE)-1,"")</f>
        <v/>
      </c>
      <c r="K29" s="15" t="str">
        <f>IF(tbl_medjul[[#This Row],[Utilização (%)]]&lt;&gt;"",ALERTA_INDIVIDUAL-tbl_medjul[[#This Row],[Utilização (%)]],"")</f>
        <v/>
      </c>
    </row>
    <row r="30" spans="1:11" x14ac:dyDescent="0.25">
      <c r="A30" s="2">
        <f>tbl_consolidacao[[#This Row],[Torre]]</f>
        <v>2</v>
      </c>
      <c r="B30" s="2" t="str">
        <f>tbl_consolidacao[[#This Row],[Junta]]</f>
        <v>B</v>
      </c>
      <c r="C30" s="2">
        <f>tbl_consolidacao[[#This Row],[Unid]]</f>
        <v>208</v>
      </c>
      <c r="D30" s="2" t="str">
        <f>tbl_consolidacao[[#This Row],[Apto]]</f>
        <v>208-B2</v>
      </c>
      <c r="E30" s="2">
        <f>tbl_meddez_anterior[[#This Row],[Hidrometro]]</f>
        <v>1261</v>
      </c>
      <c r="F30" s="13"/>
      <c r="G30" s="16">
        <f>tbl_meddez_anterior[[#This Row],[Hidrometro]]</f>
        <v>1261</v>
      </c>
      <c r="H30" s="14"/>
      <c r="I30" s="2">
        <f>tbl_medjul[[#This Row],[Medição 
Água Fria]]/100+tbl_medjul[[#This Row],[Medição 
Água Quente]]/1000</f>
        <v>0</v>
      </c>
      <c r="J30" s="15" t="str">
        <f>IF(tbl_medjul[[#This Row],[Total]]&gt;0,tbl_medjul[[#This Row],[Total]]/VLOOKUP(tbl_medjul[[#This Row],[Apto]],tbl_medfev[[Apto]:[Total]],6,FALSE)-1,"")</f>
        <v/>
      </c>
      <c r="K30" s="15" t="str">
        <f>IF(tbl_medjul[[#This Row],[Utilização (%)]]&lt;&gt;"",ALERTA_INDIVIDUAL-tbl_medjul[[#This Row],[Utilização (%)]],"")</f>
        <v/>
      </c>
    </row>
    <row r="31" spans="1:11" x14ac:dyDescent="0.25">
      <c r="A31" s="2">
        <f>tbl_consolidacao[[#This Row],[Torre]]</f>
        <v>1</v>
      </c>
      <c r="B31" s="2" t="str">
        <f>tbl_consolidacao[[#This Row],[Junta]]</f>
        <v>A</v>
      </c>
      <c r="C31" s="2">
        <f>tbl_consolidacao[[#This Row],[Unid]]</f>
        <v>301</v>
      </c>
      <c r="D31" s="2" t="str">
        <f>tbl_consolidacao[[#This Row],[Apto]]</f>
        <v>301-A1</v>
      </c>
      <c r="E31" s="2">
        <f>tbl_meddez_anterior[[#This Row],[Hidrometro]]</f>
        <v>1262</v>
      </c>
      <c r="F31" s="13"/>
      <c r="G31" s="16">
        <f>tbl_meddez_anterior[[#This Row],[Hidrometro]]</f>
        <v>1262</v>
      </c>
      <c r="H31" s="14"/>
      <c r="I31" s="2">
        <f>tbl_medjul[[#This Row],[Medição 
Água Fria]]/100+tbl_medjul[[#This Row],[Medição 
Água Quente]]/1000</f>
        <v>0</v>
      </c>
      <c r="J31" s="15" t="str">
        <f>IF(tbl_medjul[[#This Row],[Total]]&gt;0,tbl_medjul[[#This Row],[Total]]/VLOOKUP(tbl_medjul[[#This Row],[Apto]],tbl_medfev[[Apto]:[Total]],6,FALSE)-1,"")</f>
        <v/>
      </c>
      <c r="K31" s="15" t="str">
        <f>IF(tbl_medjul[[#This Row],[Utilização (%)]]&lt;&gt;"",ALERTA_INDIVIDUAL-tbl_medjul[[#This Row],[Utilização (%)]],"")</f>
        <v/>
      </c>
    </row>
    <row r="32" spans="1:11" x14ac:dyDescent="0.25">
      <c r="A32" s="2">
        <f>tbl_consolidacao[[#This Row],[Torre]]</f>
        <v>2</v>
      </c>
      <c r="B32" s="2" t="str">
        <f>tbl_consolidacao[[#This Row],[Junta]]</f>
        <v>A</v>
      </c>
      <c r="C32" s="2">
        <f>tbl_consolidacao[[#This Row],[Unid]]</f>
        <v>301</v>
      </c>
      <c r="D32" s="2" t="str">
        <f>tbl_consolidacao[[#This Row],[Apto]]</f>
        <v>301-A2</v>
      </c>
      <c r="E32" s="2">
        <f>tbl_meddez_anterior[[#This Row],[Hidrometro]]</f>
        <v>1263</v>
      </c>
      <c r="F32" s="13"/>
      <c r="G32" s="16">
        <f>tbl_meddez_anterior[[#This Row],[Hidrometro]]</f>
        <v>1263</v>
      </c>
      <c r="H32" s="14"/>
      <c r="I32" s="2">
        <f>tbl_medjul[[#This Row],[Medição 
Água Fria]]/100+tbl_medjul[[#This Row],[Medição 
Água Quente]]/1000</f>
        <v>0</v>
      </c>
      <c r="J32" s="15" t="str">
        <f>IF(tbl_medjul[[#This Row],[Total]]&gt;0,tbl_medjul[[#This Row],[Total]]/VLOOKUP(tbl_medjul[[#This Row],[Apto]],tbl_medfev[[Apto]:[Total]],6,FALSE)-1,"")</f>
        <v/>
      </c>
      <c r="K32" s="15" t="str">
        <f>IF(tbl_medjul[[#This Row],[Utilização (%)]]&lt;&gt;"",ALERTA_INDIVIDUAL-tbl_medjul[[#This Row],[Utilização (%)]],"")</f>
        <v/>
      </c>
    </row>
    <row r="33" spans="1:11" x14ac:dyDescent="0.25">
      <c r="A33" s="2">
        <f>tbl_consolidacao[[#This Row],[Torre]]</f>
        <v>1</v>
      </c>
      <c r="B33" s="2" t="str">
        <f>tbl_consolidacao[[#This Row],[Junta]]</f>
        <v>A</v>
      </c>
      <c r="C33" s="2">
        <f>tbl_consolidacao[[#This Row],[Unid]]</f>
        <v>302</v>
      </c>
      <c r="D33" s="2" t="str">
        <f>tbl_consolidacao[[#This Row],[Apto]]</f>
        <v>302-A1</v>
      </c>
      <c r="E33" s="2">
        <f>tbl_meddez_anterior[[#This Row],[Hidrometro]]</f>
        <v>1264</v>
      </c>
      <c r="F33" s="13"/>
      <c r="G33" s="16">
        <f>tbl_meddez_anterior[[#This Row],[Hidrometro]]</f>
        <v>1264</v>
      </c>
      <c r="H33" s="14"/>
      <c r="I33" s="2">
        <f>tbl_medjul[[#This Row],[Medição 
Água Fria]]/100+tbl_medjul[[#This Row],[Medição 
Água Quente]]/1000</f>
        <v>0</v>
      </c>
      <c r="J33" s="15" t="str">
        <f>IF(tbl_medjul[[#This Row],[Total]]&gt;0,tbl_medjul[[#This Row],[Total]]/VLOOKUP(tbl_medjul[[#This Row],[Apto]],tbl_medfev[[Apto]:[Total]],6,FALSE)-1,"")</f>
        <v/>
      </c>
      <c r="K33" s="15" t="str">
        <f>IF(tbl_medjul[[#This Row],[Utilização (%)]]&lt;&gt;"",ALERTA_INDIVIDUAL-tbl_medjul[[#This Row],[Utilização (%)]],"")</f>
        <v/>
      </c>
    </row>
    <row r="34" spans="1:11" x14ac:dyDescent="0.25">
      <c r="A34" s="2">
        <f>tbl_consolidacao[[#This Row],[Torre]]</f>
        <v>2</v>
      </c>
      <c r="B34" s="2" t="str">
        <f>tbl_consolidacao[[#This Row],[Junta]]</f>
        <v>A</v>
      </c>
      <c r="C34" s="2">
        <f>tbl_consolidacao[[#This Row],[Unid]]</f>
        <v>302</v>
      </c>
      <c r="D34" s="2" t="str">
        <f>tbl_consolidacao[[#This Row],[Apto]]</f>
        <v>302-A2</v>
      </c>
      <c r="E34" s="2">
        <f>tbl_meddez_anterior[[#This Row],[Hidrometro]]</f>
        <v>1265</v>
      </c>
      <c r="F34" s="13"/>
      <c r="G34" s="16">
        <f>tbl_meddez_anterior[[#This Row],[Hidrometro]]</f>
        <v>1265</v>
      </c>
      <c r="H34" s="14"/>
      <c r="I34" s="2">
        <f>tbl_medjul[[#This Row],[Medição 
Água Fria]]/100+tbl_medjul[[#This Row],[Medição 
Água Quente]]/1000</f>
        <v>0</v>
      </c>
      <c r="J34" s="15" t="str">
        <f>IF(tbl_medjul[[#This Row],[Total]]&gt;0,tbl_medjul[[#This Row],[Total]]/VLOOKUP(tbl_medjul[[#This Row],[Apto]],tbl_medfev[[Apto]:[Total]],6,FALSE)-1,"")</f>
        <v/>
      </c>
      <c r="K34" s="15" t="str">
        <f>IF(tbl_medjul[[#This Row],[Utilização (%)]]&lt;&gt;"",ALERTA_INDIVIDUAL-tbl_medjul[[#This Row],[Utilização (%)]],"")</f>
        <v/>
      </c>
    </row>
    <row r="35" spans="1:11" x14ac:dyDescent="0.25">
      <c r="A35" s="2">
        <f>tbl_consolidacao[[#This Row],[Torre]]</f>
        <v>1</v>
      </c>
      <c r="B35" s="2" t="str">
        <f>tbl_consolidacao[[#This Row],[Junta]]</f>
        <v>A</v>
      </c>
      <c r="C35" s="2">
        <f>tbl_consolidacao[[#This Row],[Unid]]</f>
        <v>303</v>
      </c>
      <c r="D35" s="2" t="str">
        <f>tbl_consolidacao[[#This Row],[Apto]]</f>
        <v>303-A1</v>
      </c>
      <c r="E35" s="2">
        <f>tbl_meddez_anterior[[#This Row],[Hidrometro]]</f>
        <v>1266</v>
      </c>
      <c r="F35" s="13"/>
      <c r="G35" s="16">
        <f>tbl_meddez_anterior[[#This Row],[Hidrometro]]</f>
        <v>1266</v>
      </c>
      <c r="H35" s="14"/>
      <c r="I35" s="2">
        <f>tbl_medjul[[#This Row],[Medição 
Água Fria]]/100+tbl_medjul[[#This Row],[Medição 
Água Quente]]/1000</f>
        <v>0</v>
      </c>
      <c r="J35" s="15" t="str">
        <f>IF(tbl_medjul[[#This Row],[Total]]&gt;0,tbl_medjul[[#This Row],[Total]]/VLOOKUP(tbl_medjul[[#This Row],[Apto]],tbl_medfev[[Apto]:[Total]],6,FALSE)-1,"")</f>
        <v/>
      </c>
      <c r="K35" s="15" t="str">
        <f>IF(tbl_medjul[[#This Row],[Utilização (%)]]&lt;&gt;"",ALERTA_INDIVIDUAL-tbl_medjul[[#This Row],[Utilização (%)]],"")</f>
        <v/>
      </c>
    </row>
    <row r="36" spans="1:11" x14ac:dyDescent="0.25">
      <c r="A36" s="2">
        <f>tbl_consolidacao[[#This Row],[Torre]]</f>
        <v>2</v>
      </c>
      <c r="B36" s="2" t="str">
        <f>tbl_consolidacao[[#This Row],[Junta]]</f>
        <v>A</v>
      </c>
      <c r="C36" s="2">
        <f>tbl_consolidacao[[#This Row],[Unid]]</f>
        <v>303</v>
      </c>
      <c r="D36" s="2" t="str">
        <f>tbl_consolidacao[[#This Row],[Apto]]</f>
        <v>303-A2</v>
      </c>
      <c r="E36" s="2">
        <f>tbl_meddez_anterior[[#This Row],[Hidrometro]]</f>
        <v>1267</v>
      </c>
      <c r="F36" s="13"/>
      <c r="G36" s="16">
        <f>tbl_meddez_anterior[[#This Row],[Hidrometro]]</f>
        <v>1267</v>
      </c>
      <c r="H36" s="14"/>
      <c r="I36" s="2">
        <f>tbl_medjul[[#This Row],[Medição 
Água Fria]]/100+tbl_medjul[[#This Row],[Medição 
Água Quente]]/1000</f>
        <v>0</v>
      </c>
      <c r="J36" s="15" t="str">
        <f>IF(tbl_medjul[[#This Row],[Total]]&gt;0,tbl_medjul[[#This Row],[Total]]/VLOOKUP(tbl_medjul[[#This Row],[Apto]],tbl_medfev[[Apto]:[Total]],6,FALSE)-1,"")</f>
        <v/>
      </c>
      <c r="K36" s="15" t="str">
        <f>IF(tbl_medjul[[#This Row],[Utilização (%)]]&lt;&gt;"",ALERTA_INDIVIDUAL-tbl_medjul[[#This Row],[Utilização (%)]],"")</f>
        <v/>
      </c>
    </row>
    <row r="37" spans="1:11" x14ac:dyDescent="0.25">
      <c r="A37" s="2">
        <f>tbl_consolidacao[[#This Row],[Torre]]</f>
        <v>1</v>
      </c>
      <c r="B37" s="2" t="str">
        <f>tbl_consolidacao[[#This Row],[Junta]]</f>
        <v>A</v>
      </c>
      <c r="C37" s="2">
        <f>tbl_consolidacao[[#This Row],[Unid]]</f>
        <v>304</v>
      </c>
      <c r="D37" s="2" t="str">
        <f>tbl_consolidacao[[#This Row],[Apto]]</f>
        <v>304-A1</v>
      </c>
      <c r="E37" s="2">
        <f>tbl_meddez_anterior[[#This Row],[Hidrometro]]</f>
        <v>1268</v>
      </c>
      <c r="F37" s="13"/>
      <c r="G37" s="16">
        <f>tbl_meddez_anterior[[#This Row],[Hidrometro]]</f>
        <v>1268</v>
      </c>
      <c r="H37" s="14"/>
      <c r="I37" s="2">
        <f>tbl_medjul[[#This Row],[Medição 
Água Fria]]/100+tbl_medjul[[#This Row],[Medição 
Água Quente]]/1000</f>
        <v>0</v>
      </c>
      <c r="J37" s="15" t="str">
        <f>IF(tbl_medjul[[#This Row],[Total]]&gt;0,tbl_medjul[[#This Row],[Total]]/VLOOKUP(tbl_medjul[[#This Row],[Apto]],tbl_medfev[[Apto]:[Total]],6,FALSE)-1,"")</f>
        <v/>
      </c>
      <c r="K37" s="15" t="str">
        <f>IF(tbl_medjul[[#This Row],[Utilização (%)]]&lt;&gt;"",ALERTA_INDIVIDUAL-tbl_medjul[[#This Row],[Utilização (%)]],"")</f>
        <v/>
      </c>
    </row>
    <row r="38" spans="1:11" x14ac:dyDescent="0.25">
      <c r="A38" s="2">
        <f>tbl_consolidacao[[#This Row],[Torre]]</f>
        <v>2</v>
      </c>
      <c r="B38" s="2" t="str">
        <f>tbl_consolidacao[[#This Row],[Junta]]</f>
        <v>A</v>
      </c>
      <c r="C38" s="2">
        <f>tbl_consolidacao[[#This Row],[Unid]]</f>
        <v>304</v>
      </c>
      <c r="D38" s="2" t="str">
        <f>tbl_consolidacao[[#This Row],[Apto]]</f>
        <v>304-A2</v>
      </c>
      <c r="E38" s="2">
        <f>tbl_meddez_anterior[[#This Row],[Hidrometro]]</f>
        <v>1269</v>
      </c>
      <c r="F38" s="13"/>
      <c r="G38" s="16">
        <f>tbl_meddez_anterior[[#This Row],[Hidrometro]]</f>
        <v>1269</v>
      </c>
      <c r="H38" s="14"/>
      <c r="I38" s="2">
        <f>tbl_medjul[[#This Row],[Medição 
Água Fria]]/100+tbl_medjul[[#This Row],[Medição 
Água Quente]]/1000</f>
        <v>0</v>
      </c>
      <c r="J38" s="15" t="str">
        <f>IF(tbl_medjul[[#This Row],[Total]]&gt;0,tbl_medjul[[#This Row],[Total]]/VLOOKUP(tbl_medjul[[#This Row],[Apto]],tbl_medfev[[Apto]:[Total]],6,FALSE)-1,"")</f>
        <v/>
      </c>
      <c r="K38" s="15" t="str">
        <f>IF(tbl_medjul[[#This Row],[Utilização (%)]]&lt;&gt;"",ALERTA_INDIVIDUAL-tbl_medjul[[#This Row],[Utilização (%)]],"")</f>
        <v/>
      </c>
    </row>
    <row r="39" spans="1:11" x14ac:dyDescent="0.25">
      <c r="A39" s="2">
        <f>tbl_consolidacao[[#This Row],[Torre]]</f>
        <v>1</v>
      </c>
      <c r="B39" s="2" t="str">
        <f>tbl_consolidacao[[#This Row],[Junta]]</f>
        <v>B</v>
      </c>
      <c r="C39" s="2">
        <f>tbl_consolidacao[[#This Row],[Unid]]</f>
        <v>305</v>
      </c>
      <c r="D39" s="2" t="str">
        <f>tbl_consolidacao[[#This Row],[Apto]]</f>
        <v>305-B1</v>
      </c>
      <c r="E39" s="2">
        <f>tbl_meddez_anterior[[#This Row],[Hidrometro]]</f>
        <v>1270</v>
      </c>
      <c r="F39" s="13"/>
      <c r="G39" s="16">
        <f>tbl_meddez_anterior[[#This Row],[Hidrometro]]</f>
        <v>1270</v>
      </c>
      <c r="H39" s="14"/>
      <c r="I39" s="2">
        <f>tbl_medjul[[#This Row],[Medição 
Água Fria]]/100+tbl_medjul[[#This Row],[Medição 
Água Quente]]/1000</f>
        <v>0</v>
      </c>
      <c r="J39" s="15" t="str">
        <f>IF(tbl_medjul[[#This Row],[Total]]&gt;0,tbl_medjul[[#This Row],[Total]]/VLOOKUP(tbl_medjul[[#This Row],[Apto]],tbl_medfev[[Apto]:[Total]],6,FALSE)-1,"")</f>
        <v/>
      </c>
      <c r="K39" s="15" t="str">
        <f>IF(tbl_medjul[[#This Row],[Utilização (%)]]&lt;&gt;"",ALERTA_INDIVIDUAL-tbl_medjul[[#This Row],[Utilização (%)]],"")</f>
        <v/>
      </c>
    </row>
    <row r="40" spans="1:11" x14ac:dyDescent="0.25">
      <c r="A40" s="2">
        <f>tbl_consolidacao[[#This Row],[Torre]]</f>
        <v>2</v>
      </c>
      <c r="B40" s="2" t="str">
        <f>tbl_consolidacao[[#This Row],[Junta]]</f>
        <v>B</v>
      </c>
      <c r="C40" s="2">
        <f>tbl_consolidacao[[#This Row],[Unid]]</f>
        <v>305</v>
      </c>
      <c r="D40" s="2" t="str">
        <f>tbl_consolidacao[[#This Row],[Apto]]</f>
        <v>305-B2</v>
      </c>
      <c r="E40" s="2">
        <f>tbl_meddez_anterior[[#This Row],[Hidrometro]]</f>
        <v>1271</v>
      </c>
      <c r="F40" s="13"/>
      <c r="G40" s="16">
        <f>tbl_meddez_anterior[[#This Row],[Hidrometro]]</f>
        <v>1271</v>
      </c>
      <c r="H40" s="14"/>
      <c r="I40" s="2">
        <f>tbl_medjul[[#This Row],[Medição 
Água Fria]]/100+tbl_medjul[[#This Row],[Medição 
Água Quente]]/1000</f>
        <v>0</v>
      </c>
      <c r="J40" s="15" t="str">
        <f>IF(tbl_medjul[[#This Row],[Total]]&gt;0,tbl_medjul[[#This Row],[Total]]/VLOOKUP(tbl_medjul[[#This Row],[Apto]],tbl_medfev[[Apto]:[Total]],6,FALSE)-1,"")</f>
        <v/>
      </c>
      <c r="K40" s="15" t="str">
        <f>IF(tbl_medjul[[#This Row],[Utilização (%)]]&lt;&gt;"",ALERTA_INDIVIDUAL-tbl_medjul[[#This Row],[Utilização (%)]],"")</f>
        <v/>
      </c>
    </row>
    <row r="41" spans="1:11" x14ac:dyDescent="0.25">
      <c r="A41" s="2">
        <f>tbl_consolidacao[[#This Row],[Torre]]</f>
        <v>1</v>
      </c>
      <c r="B41" s="2" t="str">
        <f>tbl_consolidacao[[#This Row],[Junta]]</f>
        <v>B</v>
      </c>
      <c r="C41" s="2">
        <f>tbl_consolidacao[[#This Row],[Unid]]</f>
        <v>306</v>
      </c>
      <c r="D41" s="2" t="str">
        <f>tbl_consolidacao[[#This Row],[Apto]]</f>
        <v>306-B1</v>
      </c>
      <c r="E41" s="2">
        <f>tbl_meddez_anterior[[#This Row],[Hidrometro]]</f>
        <v>1272</v>
      </c>
      <c r="F41" s="13"/>
      <c r="G41" s="16">
        <f>tbl_meddez_anterior[[#This Row],[Hidrometro]]</f>
        <v>1272</v>
      </c>
      <c r="H41" s="14"/>
      <c r="I41" s="2">
        <f>tbl_medjul[[#This Row],[Medição 
Água Fria]]/100+tbl_medjul[[#This Row],[Medição 
Água Quente]]/1000</f>
        <v>0</v>
      </c>
      <c r="J41" s="15" t="str">
        <f>IF(tbl_medjul[[#This Row],[Total]]&gt;0,tbl_medjul[[#This Row],[Total]]/VLOOKUP(tbl_medjul[[#This Row],[Apto]],tbl_medfev[[Apto]:[Total]],6,FALSE)-1,"")</f>
        <v/>
      </c>
      <c r="K41" s="15" t="str">
        <f>IF(tbl_medjul[[#This Row],[Utilização (%)]]&lt;&gt;"",ALERTA_INDIVIDUAL-tbl_medjul[[#This Row],[Utilização (%)]],"")</f>
        <v/>
      </c>
    </row>
    <row r="42" spans="1:11" x14ac:dyDescent="0.25">
      <c r="A42" s="2">
        <f>tbl_consolidacao[[#This Row],[Torre]]</f>
        <v>2</v>
      </c>
      <c r="B42" s="2" t="str">
        <f>tbl_consolidacao[[#This Row],[Junta]]</f>
        <v>B</v>
      </c>
      <c r="C42" s="2">
        <f>tbl_consolidacao[[#This Row],[Unid]]</f>
        <v>306</v>
      </c>
      <c r="D42" s="2" t="str">
        <f>tbl_consolidacao[[#This Row],[Apto]]</f>
        <v>306-B2</v>
      </c>
      <c r="E42" s="2">
        <f>tbl_meddez_anterior[[#This Row],[Hidrometro]]</f>
        <v>1273</v>
      </c>
      <c r="F42" s="13"/>
      <c r="G42" s="16">
        <f>tbl_meddez_anterior[[#This Row],[Hidrometro]]</f>
        <v>1273</v>
      </c>
      <c r="H42" s="14"/>
      <c r="I42" s="2">
        <f>tbl_medjul[[#This Row],[Medição 
Água Fria]]/100+tbl_medjul[[#This Row],[Medição 
Água Quente]]/1000</f>
        <v>0</v>
      </c>
      <c r="J42" s="15" t="str">
        <f>IF(tbl_medjul[[#This Row],[Total]]&gt;0,tbl_medjul[[#This Row],[Total]]/VLOOKUP(tbl_medjul[[#This Row],[Apto]],tbl_medfev[[Apto]:[Total]],6,FALSE)-1,"")</f>
        <v/>
      </c>
      <c r="K42" s="15" t="str">
        <f>IF(tbl_medjul[[#This Row],[Utilização (%)]]&lt;&gt;"",ALERTA_INDIVIDUAL-tbl_medjul[[#This Row],[Utilização (%)]],"")</f>
        <v/>
      </c>
    </row>
    <row r="43" spans="1:11" x14ac:dyDescent="0.25">
      <c r="A43" s="2">
        <f>tbl_consolidacao[[#This Row],[Torre]]</f>
        <v>1</v>
      </c>
      <c r="B43" s="2" t="str">
        <f>tbl_consolidacao[[#This Row],[Junta]]</f>
        <v>B</v>
      </c>
      <c r="C43" s="2">
        <f>tbl_consolidacao[[#This Row],[Unid]]</f>
        <v>307</v>
      </c>
      <c r="D43" s="2" t="str">
        <f>tbl_consolidacao[[#This Row],[Apto]]</f>
        <v>307-B1</v>
      </c>
      <c r="E43" s="2">
        <f>tbl_meddez_anterior[[#This Row],[Hidrometro]]</f>
        <v>1274</v>
      </c>
      <c r="F43" s="13"/>
      <c r="G43" s="16">
        <f>tbl_meddez_anterior[[#This Row],[Hidrometro]]</f>
        <v>1274</v>
      </c>
      <c r="H43" s="14"/>
      <c r="I43" s="2">
        <f>tbl_medjul[[#This Row],[Medição 
Água Fria]]/100+tbl_medjul[[#This Row],[Medição 
Água Quente]]/1000</f>
        <v>0</v>
      </c>
      <c r="J43" s="15" t="str">
        <f>IF(tbl_medjul[[#This Row],[Total]]&gt;0,tbl_medjul[[#This Row],[Total]]/VLOOKUP(tbl_medjul[[#This Row],[Apto]],tbl_medfev[[Apto]:[Total]],6,FALSE)-1,"")</f>
        <v/>
      </c>
      <c r="K43" s="15" t="str">
        <f>IF(tbl_medjul[[#This Row],[Utilização (%)]]&lt;&gt;"",ALERTA_INDIVIDUAL-tbl_medjul[[#This Row],[Utilização (%)]],"")</f>
        <v/>
      </c>
    </row>
    <row r="44" spans="1:11" x14ac:dyDescent="0.25">
      <c r="A44" s="2">
        <f>tbl_consolidacao[[#This Row],[Torre]]</f>
        <v>2</v>
      </c>
      <c r="B44" s="2" t="str">
        <f>tbl_consolidacao[[#This Row],[Junta]]</f>
        <v>B</v>
      </c>
      <c r="C44" s="2">
        <f>tbl_consolidacao[[#This Row],[Unid]]</f>
        <v>307</v>
      </c>
      <c r="D44" s="2" t="str">
        <f>tbl_consolidacao[[#This Row],[Apto]]</f>
        <v>307-B2</v>
      </c>
      <c r="E44" s="2">
        <f>tbl_meddez_anterior[[#This Row],[Hidrometro]]</f>
        <v>1275</v>
      </c>
      <c r="F44" s="13"/>
      <c r="G44" s="16">
        <f>tbl_meddez_anterior[[#This Row],[Hidrometro]]</f>
        <v>1275</v>
      </c>
      <c r="H44" s="14"/>
      <c r="I44" s="2">
        <f>tbl_medjul[[#This Row],[Medição 
Água Fria]]/100+tbl_medjul[[#This Row],[Medição 
Água Quente]]/1000</f>
        <v>0</v>
      </c>
      <c r="J44" s="15" t="str">
        <f>IF(tbl_medjul[[#This Row],[Total]]&gt;0,tbl_medjul[[#This Row],[Total]]/VLOOKUP(tbl_medjul[[#This Row],[Apto]],tbl_medfev[[Apto]:[Total]],6,FALSE)-1,"")</f>
        <v/>
      </c>
      <c r="K44" s="15" t="str">
        <f>IF(tbl_medjul[[#This Row],[Utilização (%)]]&lt;&gt;"",ALERTA_INDIVIDUAL-tbl_medjul[[#This Row],[Utilização (%)]],"")</f>
        <v/>
      </c>
    </row>
    <row r="45" spans="1:11" x14ac:dyDescent="0.25">
      <c r="A45" s="2">
        <f>tbl_consolidacao[[#This Row],[Torre]]</f>
        <v>1</v>
      </c>
      <c r="B45" s="2" t="str">
        <f>tbl_consolidacao[[#This Row],[Junta]]</f>
        <v>B</v>
      </c>
      <c r="C45" s="2">
        <f>tbl_consolidacao[[#This Row],[Unid]]</f>
        <v>308</v>
      </c>
      <c r="D45" s="2" t="str">
        <f>tbl_consolidacao[[#This Row],[Apto]]</f>
        <v>308-B1</v>
      </c>
      <c r="E45" s="2">
        <f>tbl_meddez_anterior[[#This Row],[Hidrometro]]</f>
        <v>1276</v>
      </c>
      <c r="F45" s="13"/>
      <c r="G45" s="16">
        <f>tbl_meddez_anterior[[#This Row],[Hidrometro]]</f>
        <v>1276</v>
      </c>
      <c r="H45" s="14"/>
      <c r="I45" s="2">
        <f>tbl_medjul[[#This Row],[Medição 
Água Fria]]/100+tbl_medjul[[#This Row],[Medição 
Água Quente]]/1000</f>
        <v>0</v>
      </c>
      <c r="J45" s="15" t="str">
        <f>IF(tbl_medjul[[#This Row],[Total]]&gt;0,tbl_medjul[[#This Row],[Total]]/VLOOKUP(tbl_medjul[[#This Row],[Apto]],tbl_medfev[[Apto]:[Total]],6,FALSE)-1,"")</f>
        <v/>
      </c>
      <c r="K45" s="15" t="str">
        <f>IF(tbl_medjul[[#This Row],[Utilização (%)]]&lt;&gt;"",ALERTA_INDIVIDUAL-tbl_medjul[[#This Row],[Utilização (%)]],"")</f>
        <v/>
      </c>
    </row>
    <row r="46" spans="1:11" x14ac:dyDescent="0.25">
      <c r="A46" s="2">
        <f>tbl_consolidacao[[#This Row],[Torre]]</f>
        <v>2</v>
      </c>
      <c r="B46" s="2" t="str">
        <f>tbl_consolidacao[[#This Row],[Junta]]</f>
        <v>B</v>
      </c>
      <c r="C46" s="2">
        <f>tbl_consolidacao[[#This Row],[Unid]]</f>
        <v>308</v>
      </c>
      <c r="D46" s="2" t="str">
        <f>tbl_consolidacao[[#This Row],[Apto]]</f>
        <v>308-B2</v>
      </c>
      <c r="E46" s="2">
        <f>tbl_meddez_anterior[[#This Row],[Hidrometro]]</f>
        <v>1277</v>
      </c>
      <c r="F46" s="13"/>
      <c r="G46" s="16">
        <f>tbl_meddez_anterior[[#This Row],[Hidrometro]]</f>
        <v>1277</v>
      </c>
      <c r="H46" s="14"/>
      <c r="I46" s="2">
        <f>tbl_medjul[[#This Row],[Medição 
Água Fria]]/100+tbl_medjul[[#This Row],[Medição 
Água Quente]]/1000</f>
        <v>0</v>
      </c>
      <c r="J46" s="15" t="str">
        <f>IF(tbl_medjul[[#This Row],[Total]]&gt;0,tbl_medjul[[#This Row],[Total]]/VLOOKUP(tbl_medjul[[#This Row],[Apto]],tbl_medfev[[Apto]:[Total]],6,FALSE)-1,"")</f>
        <v/>
      </c>
      <c r="K46" s="15" t="str">
        <f>IF(tbl_medjul[[#This Row],[Utilização (%)]]&lt;&gt;"",ALERTA_INDIVIDUAL-tbl_medjul[[#This Row],[Utilização (%)]],"")</f>
        <v/>
      </c>
    </row>
  </sheetData>
  <sheetProtection algorithmName="SHA-512" hashValue="XsOgCVXtdSUntzR/TbkIRNhlLhl8SqGUAFTJRXp1OZM9DqebU4lc3cUU6+gvxebCzsrzmTgt/foL71sCqW9nkw==" saltValue="4dRJ1sHZ88pEJrwSMGBcPg==" spinCount="100000" sheet="1" objects="1" scenarios="1" selectLockedCells="1"/>
  <mergeCells count="3">
    <mergeCell ref="E1:F1"/>
    <mergeCell ref="G1:H1"/>
    <mergeCell ref="I1:J1"/>
  </mergeCells>
  <conditionalFormatting sqref="K3:K46">
    <cfRule type="iconSet" priority="1">
      <iconSet iconSet="3Flags" showValue="0">
        <cfvo type="percent" val="0"/>
        <cfvo type="percent" val="5"/>
        <cfvo type="percent" val="1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K46"/>
  <sheetViews>
    <sheetView showGridLines="0" workbookViewId="0">
      <selection activeCell="G1" sqref="G1:H1"/>
    </sheetView>
  </sheetViews>
  <sheetFormatPr defaultRowHeight="15" x14ac:dyDescent="0.25"/>
  <cols>
    <col min="1" max="3" width="7.7109375" customWidth="1"/>
    <col min="4" max="4" width="10.7109375" customWidth="1"/>
    <col min="5" max="9" width="12.7109375" customWidth="1"/>
    <col min="10" max="10" width="10.7109375" customWidth="1"/>
    <col min="11" max="11" width="3.7109375" customWidth="1"/>
  </cols>
  <sheetData>
    <row r="1" spans="1:11" ht="23.25" x14ac:dyDescent="0.35">
      <c r="E1" s="53" t="s">
        <v>48</v>
      </c>
      <c r="F1" s="53"/>
      <c r="G1" s="54"/>
      <c r="H1" s="54"/>
      <c r="I1" s="55" t="str">
        <f>IF(G1&lt;&gt;"",TEXT(G1,"mmmm-aa"),"")</f>
        <v/>
      </c>
      <c r="J1" s="55"/>
    </row>
    <row r="2" spans="1:11" ht="65.099999999999994" customHeight="1" x14ac:dyDescent="0.25">
      <c r="A2" s="3" t="s">
        <v>24</v>
      </c>
      <c r="B2" s="3" t="s">
        <v>25</v>
      </c>
      <c r="C2" s="3" t="s">
        <v>26</v>
      </c>
      <c r="D2" s="3" t="s">
        <v>49</v>
      </c>
      <c r="E2" s="3" t="s">
        <v>27</v>
      </c>
      <c r="F2" s="12" t="s">
        <v>43</v>
      </c>
      <c r="G2" s="10" t="s">
        <v>30</v>
      </c>
      <c r="H2" s="11" t="s">
        <v>44</v>
      </c>
      <c r="I2" s="3" t="s">
        <v>45</v>
      </c>
      <c r="J2" s="3" t="s">
        <v>46</v>
      </c>
      <c r="K2" s="3" t="s">
        <v>19</v>
      </c>
    </row>
    <row r="3" spans="1:11" x14ac:dyDescent="0.25">
      <c r="A3" s="2">
        <f>tbl_consolidacao[[#This Row],[Torre]]</f>
        <v>1</v>
      </c>
      <c r="B3" s="2" t="str">
        <f>tbl_consolidacao[[#This Row],[Junta]]</f>
        <v>A</v>
      </c>
      <c r="C3" s="2">
        <f>tbl_consolidacao[[#This Row],[Unid]]</f>
        <v>101</v>
      </c>
      <c r="D3" s="2" t="str">
        <f>tbl_consolidacao[[#This Row],[Apto]]</f>
        <v>101-A1</v>
      </c>
      <c r="E3" s="2">
        <f>tbl_meddez_anterior[[#This Row],[Hidrometro]]</f>
        <v>1234</v>
      </c>
      <c r="F3" s="13"/>
      <c r="G3" s="16">
        <f>tbl_meddez_anterior[[#This Row],[Hidrometro]]</f>
        <v>1234</v>
      </c>
      <c r="H3" s="14"/>
      <c r="I3" s="2">
        <f>tbl_medago[[#This Row],[Medição 
Água Fria]]/100+tbl_medago[[#This Row],[Medição 
Água Quente]]/1000</f>
        <v>0</v>
      </c>
      <c r="J3" s="15" t="str">
        <f>IF(tbl_medago[[#This Row],[Total]]&gt;0,tbl_medago[[#This Row],[Total]]/VLOOKUP(tbl_medago[[#This Row],[Apto]],tbl_medfev[[Apto]:[Total]],6,FALSE)-1,"")</f>
        <v/>
      </c>
      <c r="K3" s="15" t="str">
        <f>IF(tbl_medago[[#This Row],[Utilização (%)]]&lt;&gt;"",ALERTA_INDIVIDUAL-tbl_medago[[#This Row],[Utilização (%)]],"")</f>
        <v/>
      </c>
    </row>
    <row r="4" spans="1:11" x14ac:dyDescent="0.25">
      <c r="A4" s="2">
        <f>tbl_consolidacao[[#This Row],[Torre]]</f>
        <v>2</v>
      </c>
      <c r="B4" s="2" t="str">
        <f>tbl_consolidacao[[#This Row],[Junta]]</f>
        <v>A</v>
      </c>
      <c r="C4" s="2">
        <f>tbl_consolidacao[[#This Row],[Unid]]</f>
        <v>101</v>
      </c>
      <c r="D4" s="2" t="str">
        <f>tbl_consolidacao[[#This Row],[Apto]]</f>
        <v>101-A2</v>
      </c>
      <c r="E4" s="2">
        <f>tbl_meddez_anterior[[#This Row],[Hidrometro]]</f>
        <v>1235</v>
      </c>
      <c r="F4" s="13"/>
      <c r="G4" s="16">
        <f>tbl_meddez_anterior[[#This Row],[Hidrometro]]</f>
        <v>1235</v>
      </c>
      <c r="H4" s="14"/>
      <c r="I4" s="2">
        <f>tbl_medago[[#This Row],[Medição 
Água Fria]]/100+tbl_medago[[#This Row],[Medição 
Água Quente]]/1000</f>
        <v>0</v>
      </c>
      <c r="J4" s="15" t="str">
        <f>IF(tbl_medago[[#This Row],[Total]]&gt;0,tbl_medago[[#This Row],[Total]]/VLOOKUP(tbl_medago[[#This Row],[Apto]],tbl_medfev[[Apto]:[Total]],6,FALSE)-1,"")</f>
        <v/>
      </c>
      <c r="K4" s="15" t="str">
        <f>IF(tbl_medago[[#This Row],[Utilização (%)]]&lt;&gt;"",ALERTA_INDIVIDUAL-tbl_medago[[#This Row],[Utilização (%)]],"")</f>
        <v/>
      </c>
    </row>
    <row r="5" spans="1:11" x14ac:dyDescent="0.25">
      <c r="A5" s="2">
        <f>tbl_consolidacao[[#This Row],[Torre]]</f>
        <v>1</v>
      </c>
      <c r="B5" s="2" t="str">
        <f>tbl_consolidacao[[#This Row],[Junta]]</f>
        <v>A</v>
      </c>
      <c r="C5" s="2">
        <f>tbl_consolidacao[[#This Row],[Unid]]</f>
        <v>102</v>
      </c>
      <c r="D5" s="2" t="str">
        <f>tbl_consolidacao[[#This Row],[Apto]]</f>
        <v>102-A1</v>
      </c>
      <c r="E5" s="2">
        <f>tbl_meddez_anterior[[#This Row],[Hidrometro]]</f>
        <v>1236</v>
      </c>
      <c r="F5" s="13"/>
      <c r="G5" s="16">
        <f>tbl_meddez_anterior[[#This Row],[Hidrometro]]</f>
        <v>1236</v>
      </c>
      <c r="H5" s="14"/>
      <c r="I5" s="2">
        <f>tbl_medago[[#This Row],[Medição 
Água Fria]]/100+tbl_medago[[#This Row],[Medição 
Água Quente]]/1000</f>
        <v>0</v>
      </c>
      <c r="J5" s="15" t="str">
        <f>IF(tbl_medago[[#This Row],[Total]]&gt;0,tbl_medago[[#This Row],[Total]]/VLOOKUP(tbl_medago[[#This Row],[Apto]],tbl_medfev[[Apto]:[Total]],6,FALSE)-1,"")</f>
        <v/>
      </c>
      <c r="K5" s="15" t="str">
        <f>IF(tbl_medago[[#This Row],[Utilização (%)]]&lt;&gt;"",ALERTA_INDIVIDUAL-tbl_medago[[#This Row],[Utilização (%)]],"")</f>
        <v/>
      </c>
    </row>
    <row r="6" spans="1:11" x14ac:dyDescent="0.25">
      <c r="A6" s="2">
        <f>tbl_consolidacao[[#This Row],[Torre]]</f>
        <v>2</v>
      </c>
      <c r="B6" s="2" t="str">
        <f>tbl_consolidacao[[#This Row],[Junta]]</f>
        <v>A</v>
      </c>
      <c r="C6" s="2">
        <f>tbl_consolidacao[[#This Row],[Unid]]</f>
        <v>102</v>
      </c>
      <c r="D6" s="2" t="str">
        <f>tbl_consolidacao[[#This Row],[Apto]]</f>
        <v>102-A2</v>
      </c>
      <c r="E6" s="2">
        <f>tbl_meddez_anterior[[#This Row],[Hidrometro]]</f>
        <v>1237</v>
      </c>
      <c r="F6" s="13"/>
      <c r="G6" s="16">
        <f>tbl_meddez_anterior[[#This Row],[Hidrometro]]</f>
        <v>1237</v>
      </c>
      <c r="H6" s="14"/>
      <c r="I6" s="2">
        <f>tbl_medago[[#This Row],[Medição 
Água Fria]]/100+tbl_medago[[#This Row],[Medição 
Água Quente]]/1000</f>
        <v>0</v>
      </c>
      <c r="J6" s="15" t="str">
        <f>IF(tbl_medago[[#This Row],[Total]]&gt;0,tbl_medago[[#This Row],[Total]]/VLOOKUP(tbl_medago[[#This Row],[Apto]],tbl_medfev[[Apto]:[Total]],6,FALSE)-1,"")</f>
        <v/>
      </c>
      <c r="K6" s="15" t="str">
        <f>IF(tbl_medago[[#This Row],[Utilização (%)]]&lt;&gt;"",ALERTA_INDIVIDUAL-tbl_medago[[#This Row],[Utilização (%)]],"")</f>
        <v/>
      </c>
    </row>
    <row r="7" spans="1:11" x14ac:dyDescent="0.25">
      <c r="A7" s="2">
        <f>tbl_consolidacao[[#This Row],[Torre]]</f>
        <v>1</v>
      </c>
      <c r="B7" s="2" t="str">
        <f>tbl_consolidacao[[#This Row],[Junta]]</f>
        <v>A</v>
      </c>
      <c r="C7" s="2">
        <f>tbl_consolidacao[[#This Row],[Unid]]</f>
        <v>103</v>
      </c>
      <c r="D7" s="2" t="str">
        <f>tbl_consolidacao[[#This Row],[Apto]]</f>
        <v>103-A1</v>
      </c>
      <c r="E7" s="2">
        <f>tbl_meddez_anterior[[#This Row],[Hidrometro]]</f>
        <v>1238</v>
      </c>
      <c r="F7" s="13"/>
      <c r="G7" s="16">
        <f>tbl_meddez_anterior[[#This Row],[Hidrometro]]</f>
        <v>1238</v>
      </c>
      <c r="H7" s="14"/>
      <c r="I7" s="2">
        <f>tbl_medago[[#This Row],[Medição 
Água Fria]]/100+tbl_medago[[#This Row],[Medição 
Água Quente]]/1000</f>
        <v>0</v>
      </c>
      <c r="J7" s="15" t="str">
        <f>IF(tbl_medago[[#This Row],[Total]]&gt;0,tbl_medago[[#This Row],[Total]]/VLOOKUP(tbl_medago[[#This Row],[Apto]],tbl_medfev[[Apto]:[Total]],6,FALSE)-1,"")</f>
        <v/>
      </c>
      <c r="K7" s="15" t="str">
        <f>IF(tbl_medago[[#This Row],[Utilização (%)]]&lt;&gt;"",ALERTA_INDIVIDUAL-tbl_medago[[#This Row],[Utilização (%)]],"")</f>
        <v/>
      </c>
    </row>
    <row r="8" spans="1:11" x14ac:dyDescent="0.25">
      <c r="A8" s="2">
        <f>tbl_consolidacao[[#This Row],[Torre]]</f>
        <v>2</v>
      </c>
      <c r="B8" s="2" t="str">
        <f>tbl_consolidacao[[#This Row],[Junta]]</f>
        <v>A</v>
      </c>
      <c r="C8" s="2">
        <f>tbl_consolidacao[[#This Row],[Unid]]</f>
        <v>103</v>
      </c>
      <c r="D8" s="2" t="str">
        <f>tbl_consolidacao[[#This Row],[Apto]]</f>
        <v>103-A2</v>
      </c>
      <c r="E8" s="2">
        <f>tbl_meddez_anterior[[#This Row],[Hidrometro]]</f>
        <v>1239</v>
      </c>
      <c r="F8" s="13"/>
      <c r="G8" s="16">
        <f>tbl_meddez_anterior[[#This Row],[Hidrometro]]</f>
        <v>1239</v>
      </c>
      <c r="H8" s="14"/>
      <c r="I8" s="2">
        <f>tbl_medago[[#This Row],[Medição 
Água Fria]]/100+tbl_medago[[#This Row],[Medição 
Água Quente]]/1000</f>
        <v>0</v>
      </c>
      <c r="J8" s="15" t="str">
        <f>IF(tbl_medago[[#This Row],[Total]]&gt;0,tbl_medago[[#This Row],[Total]]/VLOOKUP(tbl_medago[[#This Row],[Apto]],tbl_medfev[[Apto]:[Total]],6,FALSE)-1,"")</f>
        <v/>
      </c>
      <c r="K8" s="15" t="str">
        <f>IF(tbl_medago[[#This Row],[Utilização (%)]]&lt;&gt;"",ALERTA_INDIVIDUAL-tbl_medago[[#This Row],[Utilização (%)]],"")</f>
        <v/>
      </c>
    </row>
    <row r="9" spans="1:11" x14ac:dyDescent="0.25">
      <c r="A9" s="2">
        <f>tbl_consolidacao[[#This Row],[Torre]]</f>
        <v>1</v>
      </c>
      <c r="B9" s="2" t="str">
        <f>tbl_consolidacao[[#This Row],[Junta]]</f>
        <v>A</v>
      </c>
      <c r="C9" s="2">
        <f>tbl_consolidacao[[#This Row],[Unid]]</f>
        <v>104</v>
      </c>
      <c r="D9" s="2" t="str">
        <f>tbl_consolidacao[[#This Row],[Apto]]</f>
        <v>104-A1</v>
      </c>
      <c r="E9" s="2">
        <f>tbl_meddez_anterior[[#This Row],[Hidrometro]]</f>
        <v>1240</v>
      </c>
      <c r="F9" s="13"/>
      <c r="G9" s="16">
        <f>tbl_meddez_anterior[[#This Row],[Hidrometro]]</f>
        <v>1240</v>
      </c>
      <c r="H9" s="14"/>
      <c r="I9" s="2">
        <f>tbl_medago[[#This Row],[Medição 
Água Fria]]/100+tbl_medago[[#This Row],[Medição 
Água Quente]]/1000</f>
        <v>0</v>
      </c>
      <c r="J9" s="15" t="str">
        <f>IF(tbl_medago[[#This Row],[Total]]&gt;0,tbl_medago[[#This Row],[Total]]/VLOOKUP(tbl_medago[[#This Row],[Apto]],tbl_medfev[[Apto]:[Total]],6,FALSE)-1,"")</f>
        <v/>
      </c>
      <c r="K9" s="15" t="str">
        <f>IF(tbl_medago[[#This Row],[Utilização (%)]]&lt;&gt;"",ALERTA_INDIVIDUAL-tbl_medago[[#This Row],[Utilização (%)]],"")</f>
        <v/>
      </c>
    </row>
    <row r="10" spans="1:11" x14ac:dyDescent="0.25">
      <c r="A10" s="2">
        <f>tbl_consolidacao[[#This Row],[Torre]]</f>
        <v>2</v>
      </c>
      <c r="B10" s="2" t="str">
        <f>tbl_consolidacao[[#This Row],[Junta]]</f>
        <v>A</v>
      </c>
      <c r="C10" s="2">
        <f>tbl_consolidacao[[#This Row],[Unid]]</f>
        <v>104</v>
      </c>
      <c r="D10" s="2" t="str">
        <f>tbl_consolidacao[[#This Row],[Apto]]</f>
        <v>104-A2</v>
      </c>
      <c r="E10" s="2">
        <f>tbl_meddez_anterior[[#This Row],[Hidrometro]]</f>
        <v>1241</v>
      </c>
      <c r="F10" s="13"/>
      <c r="G10" s="16">
        <f>tbl_meddez_anterior[[#This Row],[Hidrometro]]</f>
        <v>1241</v>
      </c>
      <c r="H10" s="14"/>
      <c r="I10" s="2">
        <f>tbl_medago[[#This Row],[Medição 
Água Fria]]/100+tbl_medago[[#This Row],[Medição 
Água Quente]]/1000</f>
        <v>0</v>
      </c>
      <c r="J10" s="15" t="str">
        <f>IF(tbl_medago[[#This Row],[Total]]&gt;0,tbl_medago[[#This Row],[Total]]/VLOOKUP(tbl_medago[[#This Row],[Apto]],tbl_medfev[[Apto]:[Total]],6,FALSE)-1,"")</f>
        <v/>
      </c>
      <c r="K10" s="15" t="str">
        <f>IF(tbl_medago[[#This Row],[Utilização (%)]]&lt;&gt;"",ALERTA_INDIVIDUAL-tbl_medago[[#This Row],[Utilização (%)]],"")</f>
        <v/>
      </c>
    </row>
    <row r="11" spans="1:11" x14ac:dyDescent="0.25">
      <c r="A11" s="2">
        <f>tbl_consolidacao[[#This Row],[Torre]]</f>
        <v>2</v>
      </c>
      <c r="B11" s="2" t="str">
        <f>tbl_consolidacao[[#This Row],[Junta]]</f>
        <v>B</v>
      </c>
      <c r="C11" s="2">
        <f>tbl_consolidacao[[#This Row],[Unid]]</f>
        <v>105</v>
      </c>
      <c r="D11" s="2" t="str">
        <f>tbl_consolidacao[[#This Row],[Apto]]</f>
        <v>105-B2</v>
      </c>
      <c r="E11" s="2">
        <f>tbl_meddez_anterior[[#This Row],[Hidrometro]]</f>
        <v>1242</v>
      </c>
      <c r="F11" s="13"/>
      <c r="G11" s="16">
        <f>tbl_meddez_anterior[[#This Row],[Hidrometro]]</f>
        <v>1242</v>
      </c>
      <c r="H11" s="14"/>
      <c r="I11" s="2">
        <f>tbl_medago[[#This Row],[Medição 
Água Fria]]/100+tbl_medago[[#This Row],[Medição 
Água Quente]]/1000</f>
        <v>0</v>
      </c>
      <c r="J11" s="15" t="str">
        <f>IF(tbl_medago[[#This Row],[Total]]&gt;0,tbl_medago[[#This Row],[Total]]/VLOOKUP(tbl_medago[[#This Row],[Apto]],tbl_medfev[[Apto]:[Total]],6,FALSE)-1,"")</f>
        <v/>
      </c>
      <c r="K11" s="15" t="str">
        <f>IF(tbl_medago[[#This Row],[Utilização (%)]]&lt;&gt;"",ALERTA_INDIVIDUAL-tbl_medago[[#This Row],[Utilização (%)]],"")</f>
        <v/>
      </c>
    </row>
    <row r="12" spans="1:11" x14ac:dyDescent="0.25">
      <c r="A12" s="2">
        <f>tbl_consolidacao[[#This Row],[Torre]]</f>
        <v>2</v>
      </c>
      <c r="B12" s="2" t="str">
        <f>tbl_consolidacao[[#This Row],[Junta]]</f>
        <v>B</v>
      </c>
      <c r="C12" s="2">
        <f>tbl_consolidacao[[#This Row],[Unid]]</f>
        <v>106</v>
      </c>
      <c r="D12" s="2" t="str">
        <f>tbl_consolidacao[[#This Row],[Apto]]</f>
        <v>106-B2</v>
      </c>
      <c r="E12" s="2">
        <f>tbl_meddez_anterior[[#This Row],[Hidrometro]]</f>
        <v>1243</v>
      </c>
      <c r="F12" s="13"/>
      <c r="G12" s="16">
        <f>tbl_meddez_anterior[[#This Row],[Hidrometro]]</f>
        <v>1243</v>
      </c>
      <c r="H12" s="14"/>
      <c r="I12" s="2">
        <f>tbl_medago[[#This Row],[Medição 
Água Fria]]/100+tbl_medago[[#This Row],[Medição 
Água Quente]]/1000</f>
        <v>0</v>
      </c>
      <c r="J12" s="15" t="str">
        <f>IF(tbl_medago[[#This Row],[Total]]&gt;0,tbl_medago[[#This Row],[Total]]/VLOOKUP(tbl_medago[[#This Row],[Apto]],tbl_medfev[[Apto]:[Total]],6,FALSE)-1,"")</f>
        <v/>
      </c>
      <c r="K12" s="15" t="str">
        <f>IF(tbl_medago[[#This Row],[Utilização (%)]]&lt;&gt;"",ALERTA_INDIVIDUAL-tbl_medago[[#This Row],[Utilização (%)]],"")</f>
        <v/>
      </c>
    </row>
    <row r="13" spans="1:11" x14ac:dyDescent="0.25">
      <c r="A13" s="2">
        <f>tbl_consolidacao[[#This Row],[Torre]]</f>
        <v>2</v>
      </c>
      <c r="B13" s="2" t="str">
        <f>tbl_consolidacao[[#This Row],[Junta]]</f>
        <v>B</v>
      </c>
      <c r="C13" s="2">
        <f>tbl_consolidacao[[#This Row],[Unid]]</f>
        <v>107</v>
      </c>
      <c r="D13" s="2" t="str">
        <f>tbl_consolidacao[[#This Row],[Apto]]</f>
        <v>107-B2</v>
      </c>
      <c r="E13" s="2">
        <f>tbl_meddez_anterior[[#This Row],[Hidrometro]]</f>
        <v>1244</v>
      </c>
      <c r="F13" s="13"/>
      <c r="G13" s="16">
        <f>tbl_meddez_anterior[[#This Row],[Hidrometro]]</f>
        <v>1244</v>
      </c>
      <c r="H13" s="14"/>
      <c r="I13" s="2">
        <f>tbl_medago[[#This Row],[Medição 
Água Fria]]/100+tbl_medago[[#This Row],[Medição 
Água Quente]]/1000</f>
        <v>0</v>
      </c>
      <c r="J13" s="15" t="str">
        <f>IF(tbl_medago[[#This Row],[Total]]&gt;0,tbl_medago[[#This Row],[Total]]/VLOOKUP(tbl_medago[[#This Row],[Apto]],tbl_medfev[[Apto]:[Total]],6,FALSE)-1,"")</f>
        <v/>
      </c>
      <c r="K13" s="15" t="str">
        <f>IF(tbl_medago[[#This Row],[Utilização (%)]]&lt;&gt;"",ALERTA_INDIVIDUAL-tbl_medago[[#This Row],[Utilização (%)]],"")</f>
        <v/>
      </c>
    </row>
    <row r="14" spans="1:11" x14ac:dyDescent="0.25">
      <c r="A14" s="2">
        <f>tbl_consolidacao[[#This Row],[Torre]]</f>
        <v>2</v>
      </c>
      <c r="B14" s="2" t="str">
        <f>tbl_consolidacao[[#This Row],[Junta]]</f>
        <v>B</v>
      </c>
      <c r="C14" s="2">
        <f>tbl_consolidacao[[#This Row],[Unid]]</f>
        <v>108</v>
      </c>
      <c r="D14" s="2" t="str">
        <f>tbl_consolidacao[[#This Row],[Apto]]</f>
        <v>108-B2</v>
      </c>
      <c r="E14" s="2">
        <f>tbl_meddez_anterior[[#This Row],[Hidrometro]]</f>
        <v>1245</v>
      </c>
      <c r="F14" s="13"/>
      <c r="G14" s="16">
        <f>tbl_meddez_anterior[[#This Row],[Hidrometro]]</f>
        <v>1245</v>
      </c>
      <c r="H14" s="14"/>
      <c r="I14" s="2">
        <f>tbl_medago[[#This Row],[Medição 
Água Fria]]/100+tbl_medago[[#This Row],[Medição 
Água Quente]]/1000</f>
        <v>0</v>
      </c>
      <c r="J14" s="15" t="str">
        <f>IF(tbl_medago[[#This Row],[Total]]&gt;0,tbl_medago[[#This Row],[Total]]/VLOOKUP(tbl_medago[[#This Row],[Apto]],tbl_medfev[[Apto]:[Total]],6,FALSE)-1,"")</f>
        <v/>
      </c>
      <c r="K14" s="15" t="str">
        <f>IF(tbl_medago[[#This Row],[Utilização (%)]]&lt;&gt;"",ALERTA_INDIVIDUAL-tbl_medago[[#This Row],[Utilização (%)]],"")</f>
        <v/>
      </c>
    </row>
    <row r="15" spans="1:11" x14ac:dyDescent="0.25">
      <c r="A15" s="2">
        <f>tbl_consolidacao[[#This Row],[Torre]]</f>
        <v>1</v>
      </c>
      <c r="B15" s="2" t="str">
        <f>tbl_consolidacao[[#This Row],[Junta]]</f>
        <v>A</v>
      </c>
      <c r="C15" s="2">
        <f>tbl_consolidacao[[#This Row],[Unid]]</f>
        <v>201</v>
      </c>
      <c r="D15" s="2" t="str">
        <f>tbl_consolidacao[[#This Row],[Apto]]</f>
        <v>201-A1</v>
      </c>
      <c r="E15" s="2">
        <f>tbl_meddez_anterior[[#This Row],[Hidrometro]]</f>
        <v>1246</v>
      </c>
      <c r="F15" s="13"/>
      <c r="G15" s="16">
        <f>tbl_meddez_anterior[[#This Row],[Hidrometro]]</f>
        <v>1246</v>
      </c>
      <c r="H15" s="14"/>
      <c r="I15" s="2">
        <f>tbl_medago[[#This Row],[Medição 
Água Fria]]/100+tbl_medago[[#This Row],[Medição 
Água Quente]]/1000</f>
        <v>0</v>
      </c>
      <c r="J15" s="15" t="str">
        <f>IF(tbl_medago[[#This Row],[Total]]&gt;0,tbl_medago[[#This Row],[Total]]/VLOOKUP(tbl_medago[[#This Row],[Apto]],tbl_medfev[[Apto]:[Total]],6,FALSE)-1,"")</f>
        <v/>
      </c>
      <c r="K15" s="15" t="str">
        <f>IF(tbl_medago[[#This Row],[Utilização (%)]]&lt;&gt;"",ALERTA_INDIVIDUAL-tbl_medago[[#This Row],[Utilização (%)]],"")</f>
        <v/>
      </c>
    </row>
    <row r="16" spans="1:11" x14ac:dyDescent="0.25">
      <c r="A16" s="2">
        <f>tbl_consolidacao[[#This Row],[Torre]]</f>
        <v>2</v>
      </c>
      <c r="B16" s="2" t="str">
        <f>tbl_consolidacao[[#This Row],[Junta]]</f>
        <v>A</v>
      </c>
      <c r="C16" s="2">
        <f>tbl_consolidacao[[#This Row],[Unid]]</f>
        <v>201</v>
      </c>
      <c r="D16" s="2" t="str">
        <f>tbl_consolidacao[[#This Row],[Apto]]</f>
        <v>201-A2</v>
      </c>
      <c r="E16" s="2">
        <f>tbl_meddez_anterior[[#This Row],[Hidrometro]]</f>
        <v>1247</v>
      </c>
      <c r="F16" s="13"/>
      <c r="G16" s="16">
        <f>tbl_meddez_anterior[[#This Row],[Hidrometro]]</f>
        <v>1247</v>
      </c>
      <c r="H16" s="14"/>
      <c r="I16" s="2">
        <f>tbl_medago[[#This Row],[Medição 
Água Fria]]/100+tbl_medago[[#This Row],[Medição 
Água Quente]]/1000</f>
        <v>0</v>
      </c>
      <c r="J16" s="15" t="str">
        <f>IF(tbl_medago[[#This Row],[Total]]&gt;0,tbl_medago[[#This Row],[Total]]/VLOOKUP(tbl_medago[[#This Row],[Apto]],tbl_medfev[[Apto]:[Total]],6,FALSE)-1,"")</f>
        <v/>
      </c>
      <c r="K16" s="15" t="str">
        <f>IF(tbl_medago[[#This Row],[Utilização (%)]]&lt;&gt;"",ALERTA_INDIVIDUAL-tbl_medago[[#This Row],[Utilização (%)]],"")</f>
        <v/>
      </c>
    </row>
    <row r="17" spans="1:11" x14ac:dyDescent="0.25">
      <c r="A17" s="2">
        <f>tbl_consolidacao[[#This Row],[Torre]]</f>
        <v>1</v>
      </c>
      <c r="B17" s="2" t="str">
        <f>tbl_consolidacao[[#This Row],[Junta]]</f>
        <v>A</v>
      </c>
      <c r="C17" s="2">
        <f>tbl_consolidacao[[#This Row],[Unid]]</f>
        <v>202</v>
      </c>
      <c r="D17" s="2" t="str">
        <f>tbl_consolidacao[[#This Row],[Apto]]</f>
        <v>202-A1</v>
      </c>
      <c r="E17" s="2">
        <f>tbl_meddez_anterior[[#This Row],[Hidrometro]]</f>
        <v>1248</v>
      </c>
      <c r="F17" s="13"/>
      <c r="G17" s="16">
        <f>tbl_meddez_anterior[[#This Row],[Hidrometro]]</f>
        <v>1248</v>
      </c>
      <c r="H17" s="14"/>
      <c r="I17" s="2">
        <f>tbl_medago[[#This Row],[Medição 
Água Fria]]/100+tbl_medago[[#This Row],[Medição 
Água Quente]]/1000</f>
        <v>0</v>
      </c>
      <c r="J17" s="15" t="str">
        <f>IF(tbl_medago[[#This Row],[Total]]&gt;0,tbl_medago[[#This Row],[Total]]/VLOOKUP(tbl_medago[[#This Row],[Apto]],tbl_medfev[[Apto]:[Total]],6,FALSE)-1,"")</f>
        <v/>
      </c>
      <c r="K17" s="15" t="str">
        <f>IF(tbl_medago[[#This Row],[Utilização (%)]]&lt;&gt;"",ALERTA_INDIVIDUAL-tbl_medago[[#This Row],[Utilização (%)]],"")</f>
        <v/>
      </c>
    </row>
    <row r="18" spans="1:11" x14ac:dyDescent="0.25">
      <c r="A18" s="2">
        <f>tbl_consolidacao[[#This Row],[Torre]]</f>
        <v>2</v>
      </c>
      <c r="B18" s="2" t="str">
        <f>tbl_consolidacao[[#This Row],[Junta]]</f>
        <v>A</v>
      </c>
      <c r="C18" s="2">
        <f>tbl_consolidacao[[#This Row],[Unid]]</f>
        <v>202</v>
      </c>
      <c r="D18" s="2" t="str">
        <f>tbl_consolidacao[[#This Row],[Apto]]</f>
        <v>202-A2</v>
      </c>
      <c r="E18" s="2">
        <f>tbl_meddez_anterior[[#This Row],[Hidrometro]]</f>
        <v>1249</v>
      </c>
      <c r="F18" s="13"/>
      <c r="G18" s="16">
        <f>tbl_meddez_anterior[[#This Row],[Hidrometro]]</f>
        <v>1249</v>
      </c>
      <c r="H18" s="14"/>
      <c r="I18" s="2">
        <f>tbl_medago[[#This Row],[Medição 
Água Fria]]/100+tbl_medago[[#This Row],[Medição 
Água Quente]]/1000</f>
        <v>0</v>
      </c>
      <c r="J18" s="15" t="str">
        <f>IF(tbl_medago[[#This Row],[Total]]&gt;0,tbl_medago[[#This Row],[Total]]/VLOOKUP(tbl_medago[[#This Row],[Apto]],tbl_medfev[[Apto]:[Total]],6,FALSE)-1,"")</f>
        <v/>
      </c>
      <c r="K18" s="15" t="str">
        <f>IF(tbl_medago[[#This Row],[Utilização (%)]]&lt;&gt;"",ALERTA_INDIVIDUAL-tbl_medago[[#This Row],[Utilização (%)]],"")</f>
        <v/>
      </c>
    </row>
    <row r="19" spans="1:11" x14ac:dyDescent="0.25">
      <c r="A19" s="2">
        <f>tbl_consolidacao[[#This Row],[Torre]]</f>
        <v>1</v>
      </c>
      <c r="B19" s="2" t="str">
        <f>tbl_consolidacao[[#This Row],[Junta]]</f>
        <v>A</v>
      </c>
      <c r="C19" s="2">
        <f>tbl_consolidacao[[#This Row],[Unid]]</f>
        <v>203</v>
      </c>
      <c r="D19" s="2" t="str">
        <f>tbl_consolidacao[[#This Row],[Apto]]</f>
        <v>203-A1</v>
      </c>
      <c r="E19" s="2">
        <f>tbl_meddez_anterior[[#This Row],[Hidrometro]]</f>
        <v>1250</v>
      </c>
      <c r="F19" s="13"/>
      <c r="G19" s="16">
        <f>tbl_meddez_anterior[[#This Row],[Hidrometro]]</f>
        <v>1250</v>
      </c>
      <c r="H19" s="14"/>
      <c r="I19" s="2">
        <f>tbl_medago[[#This Row],[Medição 
Água Fria]]/100+tbl_medago[[#This Row],[Medição 
Água Quente]]/1000</f>
        <v>0</v>
      </c>
      <c r="J19" s="15" t="str">
        <f>IF(tbl_medago[[#This Row],[Total]]&gt;0,tbl_medago[[#This Row],[Total]]/VLOOKUP(tbl_medago[[#This Row],[Apto]],tbl_medfev[[Apto]:[Total]],6,FALSE)-1,"")</f>
        <v/>
      </c>
      <c r="K19" s="15" t="str">
        <f>IF(tbl_medago[[#This Row],[Utilização (%)]]&lt;&gt;"",ALERTA_INDIVIDUAL-tbl_medago[[#This Row],[Utilização (%)]],"")</f>
        <v/>
      </c>
    </row>
    <row r="20" spans="1:11" x14ac:dyDescent="0.25">
      <c r="A20" s="2">
        <f>tbl_consolidacao[[#This Row],[Torre]]</f>
        <v>2</v>
      </c>
      <c r="B20" s="2" t="str">
        <f>tbl_consolidacao[[#This Row],[Junta]]</f>
        <v>A</v>
      </c>
      <c r="C20" s="2">
        <f>tbl_consolidacao[[#This Row],[Unid]]</f>
        <v>203</v>
      </c>
      <c r="D20" s="2" t="str">
        <f>tbl_consolidacao[[#This Row],[Apto]]</f>
        <v>203-A2</v>
      </c>
      <c r="E20" s="2">
        <f>tbl_meddez_anterior[[#This Row],[Hidrometro]]</f>
        <v>1251</v>
      </c>
      <c r="F20" s="13"/>
      <c r="G20" s="16">
        <f>tbl_meddez_anterior[[#This Row],[Hidrometro]]</f>
        <v>1251</v>
      </c>
      <c r="H20" s="14"/>
      <c r="I20" s="2">
        <f>tbl_medago[[#This Row],[Medição 
Água Fria]]/100+tbl_medago[[#This Row],[Medição 
Água Quente]]/1000</f>
        <v>0</v>
      </c>
      <c r="J20" s="15" t="str">
        <f>IF(tbl_medago[[#This Row],[Total]]&gt;0,tbl_medago[[#This Row],[Total]]/VLOOKUP(tbl_medago[[#This Row],[Apto]],tbl_medfev[[Apto]:[Total]],6,FALSE)-1,"")</f>
        <v/>
      </c>
      <c r="K20" s="15" t="str">
        <f>IF(tbl_medago[[#This Row],[Utilização (%)]]&lt;&gt;"",ALERTA_INDIVIDUAL-tbl_medago[[#This Row],[Utilização (%)]],"")</f>
        <v/>
      </c>
    </row>
    <row r="21" spans="1:11" x14ac:dyDescent="0.25">
      <c r="A21" s="2">
        <f>tbl_consolidacao[[#This Row],[Torre]]</f>
        <v>1</v>
      </c>
      <c r="B21" s="2" t="str">
        <f>tbl_consolidacao[[#This Row],[Junta]]</f>
        <v>A</v>
      </c>
      <c r="C21" s="2">
        <f>tbl_consolidacao[[#This Row],[Unid]]</f>
        <v>204</v>
      </c>
      <c r="D21" s="2" t="str">
        <f>tbl_consolidacao[[#This Row],[Apto]]</f>
        <v>204-A1</v>
      </c>
      <c r="E21" s="2">
        <f>tbl_meddez_anterior[[#This Row],[Hidrometro]]</f>
        <v>1252</v>
      </c>
      <c r="F21" s="13"/>
      <c r="G21" s="16">
        <f>tbl_meddez_anterior[[#This Row],[Hidrometro]]</f>
        <v>1252</v>
      </c>
      <c r="H21" s="14"/>
      <c r="I21" s="2">
        <f>tbl_medago[[#This Row],[Medição 
Água Fria]]/100+tbl_medago[[#This Row],[Medição 
Água Quente]]/1000</f>
        <v>0</v>
      </c>
      <c r="J21" s="15" t="str">
        <f>IF(tbl_medago[[#This Row],[Total]]&gt;0,tbl_medago[[#This Row],[Total]]/VLOOKUP(tbl_medago[[#This Row],[Apto]],tbl_medfev[[Apto]:[Total]],6,FALSE)-1,"")</f>
        <v/>
      </c>
      <c r="K21" s="15" t="str">
        <f>IF(tbl_medago[[#This Row],[Utilização (%)]]&lt;&gt;"",ALERTA_INDIVIDUAL-tbl_medago[[#This Row],[Utilização (%)]],"")</f>
        <v/>
      </c>
    </row>
    <row r="22" spans="1:11" x14ac:dyDescent="0.25">
      <c r="A22" s="2">
        <f>tbl_consolidacao[[#This Row],[Torre]]</f>
        <v>2</v>
      </c>
      <c r="B22" s="2" t="str">
        <f>tbl_consolidacao[[#This Row],[Junta]]</f>
        <v>A</v>
      </c>
      <c r="C22" s="2">
        <f>tbl_consolidacao[[#This Row],[Unid]]</f>
        <v>204</v>
      </c>
      <c r="D22" s="2" t="str">
        <f>tbl_consolidacao[[#This Row],[Apto]]</f>
        <v>204-A2</v>
      </c>
      <c r="E22" s="2">
        <f>tbl_meddez_anterior[[#This Row],[Hidrometro]]</f>
        <v>1253</v>
      </c>
      <c r="F22" s="13"/>
      <c r="G22" s="16">
        <f>tbl_meddez_anterior[[#This Row],[Hidrometro]]</f>
        <v>1253</v>
      </c>
      <c r="H22" s="14"/>
      <c r="I22" s="2">
        <f>tbl_medago[[#This Row],[Medição 
Água Fria]]/100+tbl_medago[[#This Row],[Medição 
Água Quente]]/1000</f>
        <v>0</v>
      </c>
      <c r="J22" s="15" t="str">
        <f>IF(tbl_medago[[#This Row],[Total]]&gt;0,tbl_medago[[#This Row],[Total]]/VLOOKUP(tbl_medago[[#This Row],[Apto]],tbl_medfev[[Apto]:[Total]],6,FALSE)-1,"")</f>
        <v/>
      </c>
      <c r="K22" s="15" t="str">
        <f>IF(tbl_medago[[#This Row],[Utilização (%)]]&lt;&gt;"",ALERTA_INDIVIDUAL-tbl_medago[[#This Row],[Utilização (%)]],"")</f>
        <v/>
      </c>
    </row>
    <row r="23" spans="1:11" x14ac:dyDescent="0.25">
      <c r="A23" s="2">
        <f>tbl_consolidacao[[#This Row],[Torre]]</f>
        <v>1</v>
      </c>
      <c r="B23" s="2" t="str">
        <f>tbl_consolidacao[[#This Row],[Junta]]</f>
        <v>B</v>
      </c>
      <c r="C23" s="2">
        <f>tbl_consolidacao[[#This Row],[Unid]]</f>
        <v>205</v>
      </c>
      <c r="D23" s="2" t="str">
        <f>tbl_consolidacao[[#This Row],[Apto]]</f>
        <v>205-B1</v>
      </c>
      <c r="E23" s="2">
        <f>tbl_meddez_anterior[[#This Row],[Hidrometro]]</f>
        <v>1254</v>
      </c>
      <c r="F23" s="13"/>
      <c r="G23" s="16">
        <f>tbl_meddez_anterior[[#This Row],[Hidrometro]]</f>
        <v>1254</v>
      </c>
      <c r="H23" s="14"/>
      <c r="I23" s="2">
        <f>tbl_medago[[#This Row],[Medição 
Água Fria]]/100+tbl_medago[[#This Row],[Medição 
Água Quente]]/1000</f>
        <v>0</v>
      </c>
      <c r="J23" s="15" t="str">
        <f>IF(tbl_medago[[#This Row],[Total]]&gt;0,tbl_medago[[#This Row],[Total]]/VLOOKUP(tbl_medago[[#This Row],[Apto]],tbl_medfev[[Apto]:[Total]],6,FALSE)-1,"")</f>
        <v/>
      </c>
      <c r="K23" s="15" t="str">
        <f>IF(tbl_medago[[#This Row],[Utilização (%)]]&lt;&gt;"",ALERTA_INDIVIDUAL-tbl_medago[[#This Row],[Utilização (%)]],"")</f>
        <v/>
      </c>
    </row>
    <row r="24" spans="1:11" x14ac:dyDescent="0.25">
      <c r="A24" s="2">
        <f>tbl_consolidacao[[#This Row],[Torre]]</f>
        <v>2</v>
      </c>
      <c r="B24" s="2" t="str">
        <f>tbl_consolidacao[[#This Row],[Junta]]</f>
        <v>B</v>
      </c>
      <c r="C24" s="2">
        <f>tbl_consolidacao[[#This Row],[Unid]]</f>
        <v>205</v>
      </c>
      <c r="D24" s="2" t="str">
        <f>tbl_consolidacao[[#This Row],[Apto]]</f>
        <v>205-B2</v>
      </c>
      <c r="E24" s="2">
        <f>tbl_meddez_anterior[[#This Row],[Hidrometro]]</f>
        <v>1255</v>
      </c>
      <c r="F24" s="13"/>
      <c r="G24" s="16">
        <f>tbl_meddez_anterior[[#This Row],[Hidrometro]]</f>
        <v>1255</v>
      </c>
      <c r="H24" s="14"/>
      <c r="I24" s="2">
        <f>tbl_medago[[#This Row],[Medição 
Água Fria]]/100+tbl_medago[[#This Row],[Medição 
Água Quente]]/1000</f>
        <v>0</v>
      </c>
      <c r="J24" s="15" t="str">
        <f>IF(tbl_medago[[#This Row],[Total]]&gt;0,tbl_medago[[#This Row],[Total]]/VLOOKUP(tbl_medago[[#This Row],[Apto]],tbl_medfev[[Apto]:[Total]],6,FALSE)-1,"")</f>
        <v/>
      </c>
      <c r="K24" s="15" t="str">
        <f>IF(tbl_medago[[#This Row],[Utilização (%)]]&lt;&gt;"",ALERTA_INDIVIDUAL-tbl_medago[[#This Row],[Utilização (%)]],"")</f>
        <v/>
      </c>
    </row>
    <row r="25" spans="1:11" x14ac:dyDescent="0.25">
      <c r="A25" s="2">
        <f>tbl_consolidacao[[#This Row],[Torre]]</f>
        <v>1</v>
      </c>
      <c r="B25" s="2" t="str">
        <f>tbl_consolidacao[[#This Row],[Junta]]</f>
        <v>B</v>
      </c>
      <c r="C25" s="2">
        <f>tbl_consolidacao[[#This Row],[Unid]]</f>
        <v>206</v>
      </c>
      <c r="D25" s="2" t="str">
        <f>tbl_consolidacao[[#This Row],[Apto]]</f>
        <v>206-B1</v>
      </c>
      <c r="E25" s="2">
        <f>tbl_meddez_anterior[[#This Row],[Hidrometro]]</f>
        <v>1256</v>
      </c>
      <c r="F25" s="13"/>
      <c r="G25" s="16">
        <f>tbl_meddez_anterior[[#This Row],[Hidrometro]]</f>
        <v>1256</v>
      </c>
      <c r="H25" s="14"/>
      <c r="I25" s="2">
        <f>tbl_medago[[#This Row],[Medição 
Água Fria]]/100+tbl_medago[[#This Row],[Medição 
Água Quente]]/1000</f>
        <v>0</v>
      </c>
      <c r="J25" s="15" t="str">
        <f>IF(tbl_medago[[#This Row],[Total]]&gt;0,tbl_medago[[#This Row],[Total]]/VLOOKUP(tbl_medago[[#This Row],[Apto]],tbl_medfev[[Apto]:[Total]],6,FALSE)-1,"")</f>
        <v/>
      </c>
      <c r="K25" s="15" t="str">
        <f>IF(tbl_medago[[#This Row],[Utilização (%)]]&lt;&gt;"",ALERTA_INDIVIDUAL-tbl_medago[[#This Row],[Utilização (%)]],"")</f>
        <v/>
      </c>
    </row>
    <row r="26" spans="1:11" x14ac:dyDescent="0.25">
      <c r="A26" s="2">
        <f>tbl_consolidacao[[#This Row],[Torre]]</f>
        <v>2</v>
      </c>
      <c r="B26" s="2" t="str">
        <f>tbl_consolidacao[[#This Row],[Junta]]</f>
        <v>B</v>
      </c>
      <c r="C26" s="2">
        <f>tbl_consolidacao[[#This Row],[Unid]]</f>
        <v>206</v>
      </c>
      <c r="D26" s="2" t="str">
        <f>tbl_consolidacao[[#This Row],[Apto]]</f>
        <v>206-B2</v>
      </c>
      <c r="E26" s="2">
        <f>tbl_meddez_anterior[[#This Row],[Hidrometro]]</f>
        <v>1257</v>
      </c>
      <c r="F26" s="13"/>
      <c r="G26" s="16">
        <f>tbl_meddez_anterior[[#This Row],[Hidrometro]]</f>
        <v>1257</v>
      </c>
      <c r="H26" s="14"/>
      <c r="I26" s="2">
        <f>tbl_medago[[#This Row],[Medição 
Água Fria]]/100+tbl_medago[[#This Row],[Medição 
Água Quente]]/1000</f>
        <v>0</v>
      </c>
      <c r="J26" s="15" t="str">
        <f>IF(tbl_medago[[#This Row],[Total]]&gt;0,tbl_medago[[#This Row],[Total]]/VLOOKUP(tbl_medago[[#This Row],[Apto]],tbl_medfev[[Apto]:[Total]],6,FALSE)-1,"")</f>
        <v/>
      </c>
      <c r="K26" s="15" t="str">
        <f>IF(tbl_medago[[#This Row],[Utilização (%)]]&lt;&gt;"",ALERTA_INDIVIDUAL-tbl_medago[[#This Row],[Utilização (%)]],"")</f>
        <v/>
      </c>
    </row>
    <row r="27" spans="1:11" x14ac:dyDescent="0.25">
      <c r="A27" s="2">
        <f>tbl_consolidacao[[#This Row],[Torre]]</f>
        <v>1</v>
      </c>
      <c r="B27" s="2" t="str">
        <f>tbl_consolidacao[[#This Row],[Junta]]</f>
        <v>B</v>
      </c>
      <c r="C27" s="2">
        <f>tbl_consolidacao[[#This Row],[Unid]]</f>
        <v>207</v>
      </c>
      <c r="D27" s="2" t="str">
        <f>tbl_consolidacao[[#This Row],[Apto]]</f>
        <v>207-B1</v>
      </c>
      <c r="E27" s="2">
        <f>tbl_meddez_anterior[[#This Row],[Hidrometro]]</f>
        <v>1258</v>
      </c>
      <c r="F27" s="13"/>
      <c r="G27" s="16">
        <f>tbl_meddez_anterior[[#This Row],[Hidrometro]]</f>
        <v>1258</v>
      </c>
      <c r="H27" s="14"/>
      <c r="I27" s="2">
        <f>tbl_medago[[#This Row],[Medição 
Água Fria]]/100+tbl_medago[[#This Row],[Medição 
Água Quente]]/1000</f>
        <v>0</v>
      </c>
      <c r="J27" s="15" t="str">
        <f>IF(tbl_medago[[#This Row],[Total]]&gt;0,tbl_medago[[#This Row],[Total]]/VLOOKUP(tbl_medago[[#This Row],[Apto]],tbl_medfev[[Apto]:[Total]],6,FALSE)-1,"")</f>
        <v/>
      </c>
      <c r="K27" s="15" t="str">
        <f>IF(tbl_medago[[#This Row],[Utilização (%)]]&lt;&gt;"",ALERTA_INDIVIDUAL-tbl_medago[[#This Row],[Utilização (%)]],"")</f>
        <v/>
      </c>
    </row>
    <row r="28" spans="1:11" x14ac:dyDescent="0.25">
      <c r="A28" s="2">
        <f>tbl_consolidacao[[#This Row],[Torre]]</f>
        <v>2</v>
      </c>
      <c r="B28" s="2" t="str">
        <f>tbl_consolidacao[[#This Row],[Junta]]</f>
        <v>B</v>
      </c>
      <c r="C28" s="2">
        <f>tbl_consolidacao[[#This Row],[Unid]]</f>
        <v>207</v>
      </c>
      <c r="D28" s="2" t="str">
        <f>tbl_consolidacao[[#This Row],[Apto]]</f>
        <v>207-B2</v>
      </c>
      <c r="E28" s="2">
        <f>tbl_meddez_anterior[[#This Row],[Hidrometro]]</f>
        <v>1259</v>
      </c>
      <c r="F28" s="13"/>
      <c r="G28" s="16">
        <f>tbl_meddez_anterior[[#This Row],[Hidrometro]]</f>
        <v>1259</v>
      </c>
      <c r="H28" s="14"/>
      <c r="I28" s="2">
        <f>tbl_medago[[#This Row],[Medição 
Água Fria]]/100+tbl_medago[[#This Row],[Medição 
Água Quente]]/1000</f>
        <v>0</v>
      </c>
      <c r="J28" s="15" t="str">
        <f>IF(tbl_medago[[#This Row],[Total]]&gt;0,tbl_medago[[#This Row],[Total]]/VLOOKUP(tbl_medago[[#This Row],[Apto]],tbl_medfev[[Apto]:[Total]],6,FALSE)-1,"")</f>
        <v/>
      </c>
      <c r="K28" s="15" t="str">
        <f>IF(tbl_medago[[#This Row],[Utilização (%)]]&lt;&gt;"",ALERTA_INDIVIDUAL-tbl_medago[[#This Row],[Utilização (%)]],"")</f>
        <v/>
      </c>
    </row>
    <row r="29" spans="1:11" x14ac:dyDescent="0.25">
      <c r="A29" s="2">
        <f>tbl_consolidacao[[#This Row],[Torre]]</f>
        <v>1</v>
      </c>
      <c r="B29" s="2" t="str">
        <f>tbl_consolidacao[[#This Row],[Junta]]</f>
        <v>B</v>
      </c>
      <c r="C29" s="2">
        <f>tbl_consolidacao[[#This Row],[Unid]]</f>
        <v>208</v>
      </c>
      <c r="D29" s="2" t="str">
        <f>tbl_consolidacao[[#This Row],[Apto]]</f>
        <v>208-B1</v>
      </c>
      <c r="E29" s="2">
        <f>tbl_meddez_anterior[[#This Row],[Hidrometro]]</f>
        <v>1260</v>
      </c>
      <c r="F29" s="13"/>
      <c r="G29" s="16">
        <f>tbl_meddez_anterior[[#This Row],[Hidrometro]]</f>
        <v>1260</v>
      </c>
      <c r="H29" s="14"/>
      <c r="I29" s="2">
        <f>tbl_medago[[#This Row],[Medição 
Água Fria]]/100+tbl_medago[[#This Row],[Medição 
Água Quente]]/1000</f>
        <v>0</v>
      </c>
      <c r="J29" s="15" t="str">
        <f>IF(tbl_medago[[#This Row],[Total]]&gt;0,tbl_medago[[#This Row],[Total]]/VLOOKUP(tbl_medago[[#This Row],[Apto]],tbl_medfev[[Apto]:[Total]],6,FALSE)-1,"")</f>
        <v/>
      </c>
      <c r="K29" s="15" t="str">
        <f>IF(tbl_medago[[#This Row],[Utilização (%)]]&lt;&gt;"",ALERTA_INDIVIDUAL-tbl_medago[[#This Row],[Utilização (%)]],"")</f>
        <v/>
      </c>
    </row>
    <row r="30" spans="1:11" x14ac:dyDescent="0.25">
      <c r="A30" s="2">
        <f>tbl_consolidacao[[#This Row],[Torre]]</f>
        <v>2</v>
      </c>
      <c r="B30" s="2" t="str">
        <f>tbl_consolidacao[[#This Row],[Junta]]</f>
        <v>B</v>
      </c>
      <c r="C30" s="2">
        <f>tbl_consolidacao[[#This Row],[Unid]]</f>
        <v>208</v>
      </c>
      <c r="D30" s="2" t="str">
        <f>tbl_consolidacao[[#This Row],[Apto]]</f>
        <v>208-B2</v>
      </c>
      <c r="E30" s="2">
        <f>tbl_meddez_anterior[[#This Row],[Hidrometro]]</f>
        <v>1261</v>
      </c>
      <c r="F30" s="13"/>
      <c r="G30" s="16">
        <f>tbl_meddez_anterior[[#This Row],[Hidrometro]]</f>
        <v>1261</v>
      </c>
      <c r="H30" s="14"/>
      <c r="I30" s="2">
        <f>tbl_medago[[#This Row],[Medição 
Água Fria]]/100+tbl_medago[[#This Row],[Medição 
Água Quente]]/1000</f>
        <v>0</v>
      </c>
      <c r="J30" s="15" t="str">
        <f>IF(tbl_medago[[#This Row],[Total]]&gt;0,tbl_medago[[#This Row],[Total]]/VLOOKUP(tbl_medago[[#This Row],[Apto]],tbl_medfev[[Apto]:[Total]],6,FALSE)-1,"")</f>
        <v/>
      </c>
      <c r="K30" s="15" t="str">
        <f>IF(tbl_medago[[#This Row],[Utilização (%)]]&lt;&gt;"",ALERTA_INDIVIDUAL-tbl_medago[[#This Row],[Utilização (%)]],"")</f>
        <v/>
      </c>
    </row>
    <row r="31" spans="1:11" x14ac:dyDescent="0.25">
      <c r="A31" s="2">
        <f>tbl_consolidacao[[#This Row],[Torre]]</f>
        <v>1</v>
      </c>
      <c r="B31" s="2" t="str">
        <f>tbl_consolidacao[[#This Row],[Junta]]</f>
        <v>A</v>
      </c>
      <c r="C31" s="2">
        <f>tbl_consolidacao[[#This Row],[Unid]]</f>
        <v>301</v>
      </c>
      <c r="D31" s="2" t="str">
        <f>tbl_consolidacao[[#This Row],[Apto]]</f>
        <v>301-A1</v>
      </c>
      <c r="E31" s="2">
        <f>tbl_meddez_anterior[[#This Row],[Hidrometro]]</f>
        <v>1262</v>
      </c>
      <c r="F31" s="13"/>
      <c r="G31" s="16">
        <f>tbl_meddez_anterior[[#This Row],[Hidrometro]]</f>
        <v>1262</v>
      </c>
      <c r="H31" s="14"/>
      <c r="I31" s="2">
        <f>tbl_medago[[#This Row],[Medição 
Água Fria]]/100+tbl_medago[[#This Row],[Medição 
Água Quente]]/1000</f>
        <v>0</v>
      </c>
      <c r="J31" s="15" t="str">
        <f>IF(tbl_medago[[#This Row],[Total]]&gt;0,tbl_medago[[#This Row],[Total]]/VLOOKUP(tbl_medago[[#This Row],[Apto]],tbl_medfev[[Apto]:[Total]],6,FALSE)-1,"")</f>
        <v/>
      </c>
      <c r="K31" s="15" t="str">
        <f>IF(tbl_medago[[#This Row],[Utilização (%)]]&lt;&gt;"",ALERTA_INDIVIDUAL-tbl_medago[[#This Row],[Utilização (%)]],"")</f>
        <v/>
      </c>
    </row>
    <row r="32" spans="1:11" x14ac:dyDescent="0.25">
      <c r="A32" s="2">
        <f>tbl_consolidacao[[#This Row],[Torre]]</f>
        <v>2</v>
      </c>
      <c r="B32" s="2" t="str">
        <f>tbl_consolidacao[[#This Row],[Junta]]</f>
        <v>A</v>
      </c>
      <c r="C32" s="2">
        <f>tbl_consolidacao[[#This Row],[Unid]]</f>
        <v>301</v>
      </c>
      <c r="D32" s="2" t="str">
        <f>tbl_consolidacao[[#This Row],[Apto]]</f>
        <v>301-A2</v>
      </c>
      <c r="E32" s="2">
        <f>tbl_meddez_anterior[[#This Row],[Hidrometro]]</f>
        <v>1263</v>
      </c>
      <c r="F32" s="13"/>
      <c r="G32" s="16">
        <f>tbl_meddez_anterior[[#This Row],[Hidrometro]]</f>
        <v>1263</v>
      </c>
      <c r="H32" s="14"/>
      <c r="I32" s="2">
        <f>tbl_medago[[#This Row],[Medição 
Água Fria]]/100+tbl_medago[[#This Row],[Medição 
Água Quente]]/1000</f>
        <v>0</v>
      </c>
      <c r="J32" s="15" t="str">
        <f>IF(tbl_medago[[#This Row],[Total]]&gt;0,tbl_medago[[#This Row],[Total]]/VLOOKUP(tbl_medago[[#This Row],[Apto]],tbl_medfev[[Apto]:[Total]],6,FALSE)-1,"")</f>
        <v/>
      </c>
      <c r="K32" s="15" t="str">
        <f>IF(tbl_medago[[#This Row],[Utilização (%)]]&lt;&gt;"",ALERTA_INDIVIDUAL-tbl_medago[[#This Row],[Utilização (%)]],"")</f>
        <v/>
      </c>
    </row>
    <row r="33" spans="1:11" x14ac:dyDescent="0.25">
      <c r="A33" s="2">
        <f>tbl_consolidacao[[#This Row],[Torre]]</f>
        <v>1</v>
      </c>
      <c r="B33" s="2" t="str">
        <f>tbl_consolidacao[[#This Row],[Junta]]</f>
        <v>A</v>
      </c>
      <c r="C33" s="2">
        <f>tbl_consolidacao[[#This Row],[Unid]]</f>
        <v>302</v>
      </c>
      <c r="D33" s="2" t="str">
        <f>tbl_consolidacao[[#This Row],[Apto]]</f>
        <v>302-A1</v>
      </c>
      <c r="E33" s="2">
        <f>tbl_meddez_anterior[[#This Row],[Hidrometro]]</f>
        <v>1264</v>
      </c>
      <c r="F33" s="13"/>
      <c r="G33" s="16">
        <f>tbl_meddez_anterior[[#This Row],[Hidrometro]]</f>
        <v>1264</v>
      </c>
      <c r="H33" s="14"/>
      <c r="I33" s="2">
        <f>tbl_medago[[#This Row],[Medição 
Água Fria]]/100+tbl_medago[[#This Row],[Medição 
Água Quente]]/1000</f>
        <v>0</v>
      </c>
      <c r="J33" s="15" t="str">
        <f>IF(tbl_medago[[#This Row],[Total]]&gt;0,tbl_medago[[#This Row],[Total]]/VLOOKUP(tbl_medago[[#This Row],[Apto]],tbl_medfev[[Apto]:[Total]],6,FALSE)-1,"")</f>
        <v/>
      </c>
      <c r="K33" s="15" t="str">
        <f>IF(tbl_medago[[#This Row],[Utilização (%)]]&lt;&gt;"",ALERTA_INDIVIDUAL-tbl_medago[[#This Row],[Utilização (%)]],"")</f>
        <v/>
      </c>
    </row>
    <row r="34" spans="1:11" x14ac:dyDescent="0.25">
      <c r="A34" s="2">
        <f>tbl_consolidacao[[#This Row],[Torre]]</f>
        <v>2</v>
      </c>
      <c r="B34" s="2" t="str">
        <f>tbl_consolidacao[[#This Row],[Junta]]</f>
        <v>A</v>
      </c>
      <c r="C34" s="2">
        <f>tbl_consolidacao[[#This Row],[Unid]]</f>
        <v>302</v>
      </c>
      <c r="D34" s="2" t="str">
        <f>tbl_consolidacao[[#This Row],[Apto]]</f>
        <v>302-A2</v>
      </c>
      <c r="E34" s="2">
        <f>tbl_meddez_anterior[[#This Row],[Hidrometro]]</f>
        <v>1265</v>
      </c>
      <c r="F34" s="13"/>
      <c r="G34" s="16">
        <f>tbl_meddez_anterior[[#This Row],[Hidrometro]]</f>
        <v>1265</v>
      </c>
      <c r="H34" s="14"/>
      <c r="I34" s="2">
        <f>tbl_medago[[#This Row],[Medição 
Água Fria]]/100+tbl_medago[[#This Row],[Medição 
Água Quente]]/1000</f>
        <v>0</v>
      </c>
      <c r="J34" s="15" t="str">
        <f>IF(tbl_medago[[#This Row],[Total]]&gt;0,tbl_medago[[#This Row],[Total]]/VLOOKUP(tbl_medago[[#This Row],[Apto]],tbl_medfev[[Apto]:[Total]],6,FALSE)-1,"")</f>
        <v/>
      </c>
      <c r="K34" s="15" t="str">
        <f>IF(tbl_medago[[#This Row],[Utilização (%)]]&lt;&gt;"",ALERTA_INDIVIDUAL-tbl_medago[[#This Row],[Utilização (%)]],"")</f>
        <v/>
      </c>
    </row>
    <row r="35" spans="1:11" x14ac:dyDescent="0.25">
      <c r="A35" s="2">
        <f>tbl_consolidacao[[#This Row],[Torre]]</f>
        <v>1</v>
      </c>
      <c r="B35" s="2" t="str">
        <f>tbl_consolidacao[[#This Row],[Junta]]</f>
        <v>A</v>
      </c>
      <c r="C35" s="2">
        <f>tbl_consolidacao[[#This Row],[Unid]]</f>
        <v>303</v>
      </c>
      <c r="D35" s="2" t="str">
        <f>tbl_consolidacao[[#This Row],[Apto]]</f>
        <v>303-A1</v>
      </c>
      <c r="E35" s="2">
        <f>tbl_meddez_anterior[[#This Row],[Hidrometro]]</f>
        <v>1266</v>
      </c>
      <c r="F35" s="13"/>
      <c r="G35" s="16">
        <f>tbl_meddez_anterior[[#This Row],[Hidrometro]]</f>
        <v>1266</v>
      </c>
      <c r="H35" s="14"/>
      <c r="I35" s="2">
        <f>tbl_medago[[#This Row],[Medição 
Água Fria]]/100+tbl_medago[[#This Row],[Medição 
Água Quente]]/1000</f>
        <v>0</v>
      </c>
      <c r="J35" s="15" t="str">
        <f>IF(tbl_medago[[#This Row],[Total]]&gt;0,tbl_medago[[#This Row],[Total]]/VLOOKUP(tbl_medago[[#This Row],[Apto]],tbl_medfev[[Apto]:[Total]],6,FALSE)-1,"")</f>
        <v/>
      </c>
      <c r="K35" s="15" t="str">
        <f>IF(tbl_medago[[#This Row],[Utilização (%)]]&lt;&gt;"",ALERTA_INDIVIDUAL-tbl_medago[[#This Row],[Utilização (%)]],"")</f>
        <v/>
      </c>
    </row>
    <row r="36" spans="1:11" x14ac:dyDescent="0.25">
      <c r="A36" s="2">
        <f>tbl_consolidacao[[#This Row],[Torre]]</f>
        <v>2</v>
      </c>
      <c r="B36" s="2" t="str">
        <f>tbl_consolidacao[[#This Row],[Junta]]</f>
        <v>A</v>
      </c>
      <c r="C36" s="2">
        <f>tbl_consolidacao[[#This Row],[Unid]]</f>
        <v>303</v>
      </c>
      <c r="D36" s="2" t="str">
        <f>tbl_consolidacao[[#This Row],[Apto]]</f>
        <v>303-A2</v>
      </c>
      <c r="E36" s="2">
        <f>tbl_meddez_anterior[[#This Row],[Hidrometro]]</f>
        <v>1267</v>
      </c>
      <c r="F36" s="13"/>
      <c r="G36" s="16">
        <f>tbl_meddez_anterior[[#This Row],[Hidrometro]]</f>
        <v>1267</v>
      </c>
      <c r="H36" s="14"/>
      <c r="I36" s="2">
        <f>tbl_medago[[#This Row],[Medição 
Água Fria]]/100+tbl_medago[[#This Row],[Medição 
Água Quente]]/1000</f>
        <v>0</v>
      </c>
      <c r="J36" s="15" t="str">
        <f>IF(tbl_medago[[#This Row],[Total]]&gt;0,tbl_medago[[#This Row],[Total]]/VLOOKUP(tbl_medago[[#This Row],[Apto]],tbl_medfev[[Apto]:[Total]],6,FALSE)-1,"")</f>
        <v/>
      </c>
      <c r="K36" s="15" t="str">
        <f>IF(tbl_medago[[#This Row],[Utilização (%)]]&lt;&gt;"",ALERTA_INDIVIDUAL-tbl_medago[[#This Row],[Utilização (%)]],"")</f>
        <v/>
      </c>
    </row>
    <row r="37" spans="1:11" x14ac:dyDescent="0.25">
      <c r="A37" s="2">
        <f>tbl_consolidacao[[#This Row],[Torre]]</f>
        <v>1</v>
      </c>
      <c r="B37" s="2" t="str">
        <f>tbl_consolidacao[[#This Row],[Junta]]</f>
        <v>A</v>
      </c>
      <c r="C37" s="2">
        <f>tbl_consolidacao[[#This Row],[Unid]]</f>
        <v>304</v>
      </c>
      <c r="D37" s="2" t="str">
        <f>tbl_consolidacao[[#This Row],[Apto]]</f>
        <v>304-A1</v>
      </c>
      <c r="E37" s="2">
        <f>tbl_meddez_anterior[[#This Row],[Hidrometro]]</f>
        <v>1268</v>
      </c>
      <c r="F37" s="13"/>
      <c r="G37" s="16">
        <f>tbl_meddez_anterior[[#This Row],[Hidrometro]]</f>
        <v>1268</v>
      </c>
      <c r="H37" s="14"/>
      <c r="I37" s="2">
        <f>tbl_medago[[#This Row],[Medição 
Água Fria]]/100+tbl_medago[[#This Row],[Medição 
Água Quente]]/1000</f>
        <v>0</v>
      </c>
      <c r="J37" s="15" t="str">
        <f>IF(tbl_medago[[#This Row],[Total]]&gt;0,tbl_medago[[#This Row],[Total]]/VLOOKUP(tbl_medago[[#This Row],[Apto]],tbl_medfev[[Apto]:[Total]],6,FALSE)-1,"")</f>
        <v/>
      </c>
      <c r="K37" s="15" t="str">
        <f>IF(tbl_medago[[#This Row],[Utilização (%)]]&lt;&gt;"",ALERTA_INDIVIDUAL-tbl_medago[[#This Row],[Utilização (%)]],"")</f>
        <v/>
      </c>
    </row>
    <row r="38" spans="1:11" x14ac:dyDescent="0.25">
      <c r="A38" s="2">
        <f>tbl_consolidacao[[#This Row],[Torre]]</f>
        <v>2</v>
      </c>
      <c r="B38" s="2" t="str">
        <f>tbl_consolidacao[[#This Row],[Junta]]</f>
        <v>A</v>
      </c>
      <c r="C38" s="2">
        <f>tbl_consolidacao[[#This Row],[Unid]]</f>
        <v>304</v>
      </c>
      <c r="D38" s="2" t="str">
        <f>tbl_consolidacao[[#This Row],[Apto]]</f>
        <v>304-A2</v>
      </c>
      <c r="E38" s="2">
        <f>tbl_meddez_anterior[[#This Row],[Hidrometro]]</f>
        <v>1269</v>
      </c>
      <c r="F38" s="13"/>
      <c r="G38" s="16">
        <f>tbl_meddez_anterior[[#This Row],[Hidrometro]]</f>
        <v>1269</v>
      </c>
      <c r="H38" s="14"/>
      <c r="I38" s="2">
        <f>tbl_medago[[#This Row],[Medição 
Água Fria]]/100+tbl_medago[[#This Row],[Medição 
Água Quente]]/1000</f>
        <v>0</v>
      </c>
      <c r="J38" s="15" t="str">
        <f>IF(tbl_medago[[#This Row],[Total]]&gt;0,tbl_medago[[#This Row],[Total]]/VLOOKUP(tbl_medago[[#This Row],[Apto]],tbl_medfev[[Apto]:[Total]],6,FALSE)-1,"")</f>
        <v/>
      </c>
      <c r="K38" s="15" t="str">
        <f>IF(tbl_medago[[#This Row],[Utilização (%)]]&lt;&gt;"",ALERTA_INDIVIDUAL-tbl_medago[[#This Row],[Utilização (%)]],"")</f>
        <v/>
      </c>
    </row>
    <row r="39" spans="1:11" x14ac:dyDescent="0.25">
      <c r="A39" s="2">
        <f>tbl_consolidacao[[#This Row],[Torre]]</f>
        <v>1</v>
      </c>
      <c r="B39" s="2" t="str">
        <f>tbl_consolidacao[[#This Row],[Junta]]</f>
        <v>B</v>
      </c>
      <c r="C39" s="2">
        <f>tbl_consolidacao[[#This Row],[Unid]]</f>
        <v>305</v>
      </c>
      <c r="D39" s="2" t="str">
        <f>tbl_consolidacao[[#This Row],[Apto]]</f>
        <v>305-B1</v>
      </c>
      <c r="E39" s="2">
        <f>tbl_meddez_anterior[[#This Row],[Hidrometro]]</f>
        <v>1270</v>
      </c>
      <c r="F39" s="13"/>
      <c r="G39" s="16">
        <f>tbl_meddez_anterior[[#This Row],[Hidrometro]]</f>
        <v>1270</v>
      </c>
      <c r="H39" s="14"/>
      <c r="I39" s="2">
        <f>tbl_medago[[#This Row],[Medição 
Água Fria]]/100+tbl_medago[[#This Row],[Medição 
Água Quente]]/1000</f>
        <v>0</v>
      </c>
      <c r="J39" s="15" t="str">
        <f>IF(tbl_medago[[#This Row],[Total]]&gt;0,tbl_medago[[#This Row],[Total]]/VLOOKUP(tbl_medago[[#This Row],[Apto]],tbl_medfev[[Apto]:[Total]],6,FALSE)-1,"")</f>
        <v/>
      </c>
      <c r="K39" s="15" t="str">
        <f>IF(tbl_medago[[#This Row],[Utilização (%)]]&lt;&gt;"",ALERTA_INDIVIDUAL-tbl_medago[[#This Row],[Utilização (%)]],"")</f>
        <v/>
      </c>
    </row>
    <row r="40" spans="1:11" x14ac:dyDescent="0.25">
      <c r="A40" s="2">
        <f>tbl_consolidacao[[#This Row],[Torre]]</f>
        <v>2</v>
      </c>
      <c r="B40" s="2" t="str">
        <f>tbl_consolidacao[[#This Row],[Junta]]</f>
        <v>B</v>
      </c>
      <c r="C40" s="2">
        <f>tbl_consolidacao[[#This Row],[Unid]]</f>
        <v>305</v>
      </c>
      <c r="D40" s="2" t="str">
        <f>tbl_consolidacao[[#This Row],[Apto]]</f>
        <v>305-B2</v>
      </c>
      <c r="E40" s="2">
        <f>tbl_meddez_anterior[[#This Row],[Hidrometro]]</f>
        <v>1271</v>
      </c>
      <c r="F40" s="13"/>
      <c r="G40" s="16">
        <f>tbl_meddez_anterior[[#This Row],[Hidrometro]]</f>
        <v>1271</v>
      </c>
      <c r="H40" s="14"/>
      <c r="I40" s="2">
        <f>tbl_medago[[#This Row],[Medição 
Água Fria]]/100+tbl_medago[[#This Row],[Medição 
Água Quente]]/1000</f>
        <v>0</v>
      </c>
      <c r="J40" s="15" t="str">
        <f>IF(tbl_medago[[#This Row],[Total]]&gt;0,tbl_medago[[#This Row],[Total]]/VLOOKUP(tbl_medago[[#This Row],[Apto]],tbl_medfev[[Apto]:[Total]],6,FALSE)-1,"")</f>
        <v/>
      </c>
      <c r="K40" s="15" t="str">
        <f>IF(tbl_medago[[#This Row],[Utilização (%)]]&lt;&gt;"",ALERTA_INDIVIDUAL-tbl_medago[[#This Row],[Utilização (%)]],"")</f>
        <v/>
      </c>
    </row>
    <row r="41" spans="1:11" x14ac:dyDescent="0.25">
      <c r="A41" s="2">
        <f>tbl_consolidacao[[#This Row],[Torre]]</f>
        <v>1</v>
      </c>
      <c r="B41" s="2" t="str">
        <f>tbl_consolidacao[[#This Row],[Junta]]</f>
        <v>B</v>
      </c>
      <c r="C41" s="2">
        <f>tbl_consolidacao[[#This Row],[Unid]]</f>
        <v>306</v>
      </c>
      <c r="D41" s="2" t="str">
        <f>tbl_consolidacao[[#This Row],[Apto]]</f>
        <v>306-B1</v>
      </c>
      <c r="E41" s="2">
        <f>tbl_meddez_anterior[[#This Row],[Hidrometro]]</f>
        <v>1272</v>
      </c>
      <c r="F41" s="13"/>
      <c r="G41" s="16">
        <f>tbl_meddez_anterior[[#This Row],[Hidrometro]]</f>
        <v>1272</v>
      </c>
      <c r="H41" s="14"/>
      <c r="I41" s="2">
        <f>tbl_medago[[#This Row],[Medição 
Água Fria]]/100+tbl_medago[[#This Row],[Medição 
Água Quente]]/1000</f>
        <v>0</v>
      </c>
      <c r="J41" s="15" t="str">
        <f>IF(tbl_medago[[#This Row],[Total]]&gt;0,tbl_medago[[#This Row],[Total]]/VLOOKUP(tbl_medago[[#This Row],[Apto]],tbl_medfev[[Apto]:[Total]],6,FALSE)-1,"")</f>
        <v/>
      </c>
      <c r="K41" s="15" t="str">
        <f>IF(tbl_medago[[#This Row],[Utilização (%)]]&lt;&gt;"",ALERTA_INDIVIDUAL-tbl_medago[[#This Row],[Utilização (%)]],"")</f>
        <v/>
      </c>
    </row>
    <row r="42" spans="1:11" x14ac:dyDescent="0.25">
      <c r="A42" s="2">
        <f>tbl_consolidacao[[#This Row],[Torre]]</f>
        <v>2</v>
      </c>
      <c r="B42" s="2" t="str">
        <f>tbl_consolidacao[[#This Row],[Junta]]</f>
        <v>B</v>
      </c>
      <c r="C42" s="2">
        <f>tbl_consolidacao[[#This Row],[Unid]]</f>
        <v>306</v>
      </c>
      <c r="D42" s="2" t="str">
        <f>tbl_consolidacao[[#This Row],[Apto]]</f>
        <v>306-B2</v>
      </c>
      <c r="E42" s="2">
        <f>tbl_meddez_anterior[[#This Row],[Hidrometro]]</f>
        <v>1273</v>
      </c>
      <c r="F42" s="13"/>
      <c r="G42" s="16">
        <f>tbl_meddez_anterior[[#This Row],[Hidrometro]]</f>
        <v>1273</v>
      </c>
      <c r="H42" s="14"/>
      <c r="I42" s="2">
        <f>tbl_medago[[#This Row],[Medição 
Água Fria]]/100+tbl_medago[[#This Row],[Medição 
Água Quente]]/1000</f>
        <v>0</v>
      </c>
      <c r="J42" s="15" t="str">
        <f>IF(tbl_medago[[#This Row],[Total]]&gt;0,tbl_medago[[#This Row],[Total]]/VLOOKUP(tbl_medago[[#This Row],[Apto]],tbl_medfev[[Apto]:[Total]],6,FALSE)-1,"")</f>
        <v/>
      </c>
      <c r="K42" s="15" t="str">
        <f>IF(tbl_medago[[#This Row],[Utilização (%)]]&lt;&gt;"",ALERTA_INDIVIDUAL-tbl_medago[[#This Row],[Utilização (%)]],"")</f>
        <v/>
      </c>
    </row>
    <row r="43" spans="1:11" x14ac:dyDescent="0.25">
      <c r="A43" s="2">
        <f>tbl_consolidacao[[#This Row],[Torre]]</f>
        <v>1</v>
      </c>
      <c r="B43" s="2" t="str">
        <f>tbl_consolidacao[[#This Row],[Junta]]</f>
        <v>B</v>
      </c>
      <c r="C43" s="2">
        <f>tbl_consolidacao[[#This Row],[Unid]]</f>
        <v>307</v>
      </c>
      <c r="D43" s="2" t="str">
        <f>tbl_consolidacao[[#This Row],[Apto]]</f>
        <v>307-B1</v>
      </c>
      <c r="E43" s="2">
        <f>tbl_meddez_anterior[[#This Row],[Hidrometro]]</f>
        <v>1274</v>
      </c>
      <c r="F43" s="13"/>
      <c r="G43" s="16">
        <f>tbl_meddez_anterior[[#This Row],[Hidrometro]]</f>
        <v>1274</v>
      </c>
      <c r="H43" s="14"/>
      <c r="I43" s="2">
        <f>tbl_medago[[#This Row],[Medição 
Água Fria]]/100+tbl_medago[[#This Row],[Medição 
Água Quente]]/1000</f>
        <v>0</v>
      </c>
      <c r="J43" s="15" t="str">
        <f>IF(tbl_medago[[#This Row],[Total]]&gt;0,tbl_medago[[#This Row],[Total]]/VLOOKUP(tbl_medago[[#This Row],[Apto]],tbl_medfev[[Apto]:[Total]],6,FALSE)-1,"")</f>
        <v/>
      </c>
      <c r="K43" s="15" t="str">
        <f>IF(tbl_medago[[#This Row],[Utilização (%)]]&lt;&gt;"",ALERTA_INDIVIDUAL-tbl_medago[[#This Row],[Utilização (%)]],"")</f>
        <v/>
      </c>
    </row>
    <row r="44" spans="1:11" x14ac:dyDescent="0.25">
      <c r="A44" s="2">
        <f>tbl_consolidacao[[#This Row],[Torre]]</f>
        <v>2</v>
      </c>
      <c r="B44" s="2" t="str">
        <f>tbl_consolidacao[[#This Row],[Junta]]</f>
        <v>B</v>
      </c>
      <c r="C44" s="2">
        <f>tbl_consolidacao[[#This Row],[Unid]]</f>
        <v>307</v>
      </c>
      <c r="D44" s="2" t="str">
        <f>tbl_consolidacao[[#This Row],[Apto]]</f>
        <v>307-B2</v>
      </c>
      <c r="E44" s="2">
        <f>tbl_meddez_anterior[[#This Row],[Hidrometro]]</f>
        <v>1275</v>
      </c>
      <c r="F44" s="13"/>
      <c r="G44" s="16">
        <f>tbl_meddez_anterior[[#This Row],[Hidrometro]]</f>
        <v>1275</v>
      </c>
      <c r="H44" s="14"/>
      <c r="I44" s="2">
        <f>tbl_medago[[#This Row],[Medição 
Água Fria]]/100+tbl_medago[[#This Row],[Medição 
Água Quente]]/1000</f>
        <v>0</v>
      </c>
      <c r="J44" s="15" t="str">
        <f>IF(tbl_medago[[#This Row],[Total]]&gt;0,tbl_medago[[#This Row],[Total]]/VLOOKUP(tbl_medago[[#This Row],[Apto]],tbl_medfev[[Apto]:[Total]],6,FALSE)-1,"")</f>
        <v/>
      </c>
      <c r="K44" s="15" t="str">
        <f>IF(tbl_medago[[#This Row],[Utilização (%)]]&lt;&gt;"",ALERTA_INDIVIDUAL-tbl_medago[[#This Row],[Utilização (%)]],"")</f>
        <v/>
      </c>
    </row>
    <row r="45" spans="1:11" x14ac:dyDescent="0.25">
      <c r="A45" s="2">
        <f>tbl_consolidacao[[#This Row],[Torre]]</f>
        <v>1</v>
      </c>
      <c r="B45" s="2" t="str">
        <f>tbl_consolidacao[[#This Row],[Junta]]</f>
        <v>B</v>
      </c>
      <c r="C45" s="2">
        <f>tbl_consolidacao[[#This Row],[Unid]]</f>
        <v>308</v>
      </c>
      <c r="D45" s="2" t="str">
        <f>tbl_consolidacao[[#This Row],[Apto]]</f>
        <v>308-B1</v>
      </c>
      <c r="E45" s="2">
        <f>tbl_meddez_anterior[[#This Row],[Hidrometro]]</f>
        <v>1276</v>
      </c>
      <c r="F45" s="13"/>
      <c r="G45" s="16">
        <f>tbl_meddez_anterior[[#This Row],[Hidrometro]]</f>
        <v>1276</v>
      </c>
      <c r="H45" s="14"/>
      <c r="I45" s="2">
        <f>tbl_medago[[#This Row],[Medição 
Água Fria]]/100+tbl_medago[[#This Row],[Medição 
Água Quente]]/1000</f>
        <v>0</v>
      </c>
      <c r="J45" s="15" t="str">
        <f>IF(tbl_medago[[#This Row],[Total]]&gt;0,tbl_medago[[#This Row],[Total]]/VLOOKUP(tbl_medago[[#This Row],[Apto]],tbl_medfev[[Apto]:[Total]],6,FALSE)-1,"")</f>
        <v/>
      </c>
      <c r="K45" s="15" t="str">
        <f>IF(tbl_medago[[#This Row],[Utilização (%)]]&lt;&gt;"",ALERTA_INDIVIDUAL-tbl_medago[[#This Row],[Utilização (%)]],"")</f>
        <v/>
      </c>
    </row>
    <row r="46" spans="1:11" x14ac:dyDescent="0.25">
      <c r="A46" s="2">
        <f>tbl_consolidacao[[#This Row],[Torre]]</f>
        <v>2</v>
      </c>
      <c r="B46" s="2" t="str">
        <f>tbl_consolidacao[[#This Row],[Junta]]</f>
        <v>B</v>
      </c>
      <c r="C46" s="2">
        <f>tbl_consolidacao[[#This Row],[Unid]]</f>
        <v>308</v>
      </c>
      <c r="D46" s="2" t="str">
        <f>tbl_consolidacao[[#This Row],[Apto]]</f>
        <v>308-B2</v>
      </c>
      <c r="E46" s="2">
        <f>tbl_meddez_anterior[[#This Row],[Hidrometro]]</f>
        <v>1277</v>
      </c>
      <c r="F46" s="13"/>
      <c r="G46" s="16">
        <f>tbl_meddez_anterior[[#This Row],[Hidrometro]]</f>
        <v>1277</v>
      </c>
      <c r="H46" s="14"/>
      <c r="I46" s="2">
        <f>tbl_medago[[#This Row],[Medição 
Água Fria]]/100+tbl_medago[[#This Row],[Medição 
Água Quente]]/1000</f>
        <v>0</v>
      </c>
      <c r="J46" s="15" t="str">
        <f>IF(tbl_medago[[#This Row],[Total]]&gt;0,tbl_medago[[#This Row],[Total]]/VLOOKUP(tbl_medago[[#This Row],[Apto]],tbl_medfev[[Apto]:[Total]],6,FALSE)-1,"")</f>
        <v/>
      </c>
      <c r="K46" s="15" t="str">
        <f>IF(tbl_medago[[#This Row],[Utilização (%)]]&lt;&gt;"",ALERTA_INDIVIDUAL-tbl_medago[[#This Row],[Utilização (%)]],"")</f>
        <v/>
      </c>
    </row>
  </sheetData>
  <sheetProtection algorithmName="SHA-512" hashValue="8sLh9b9LmOyWFyK7LrzvltE/MRyQsX0VoUyDijoSbk6uiNPusNZ56/2HPSKPJoC0SzP970ItKeoX9e06n/cNiA==" saltValue="uSoVYJO8NwxD/3D8ZaaswA==" spinCount="100000" sheet="1" objects="1" scenarios="1" selectLockedCells="1"/>
  <mergeCells count="3">
    <mergeCell ref="E1:F1"/>
    <mergeCell ref="G1:H1"/>
    <mergeCell ref="I1:J1"/>
  </mergeCells>
  <conditionalFormatting sqref="K3:K46">
    <cfRule type="iconSet" priority="1">
      <iconSet iconSet="3Flags" showValue="0">
        <cfvo type="percent" val="0"/>
        <cfvo type="percent" val="5"/>
        <cfvo type="percent" val="1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K46"/>
  <sheetViews>
    <sheetView showGridLines="0" workbookViewId="0">
      <selection activeCell="G1" sqref="G1:H1"/>
    </sheetView>
  </sheetViews>
  <sheetFormatPr defaultRowHeight="15" x14ac:dyDescent="0.25"/>
  <cols>
    <col min="1" max="3" width="7.7109375" customWidth="1"/>
    <col min="4" max="4" width="10.7109375" customWidth="1"/>
    <col min="5" max="9" width="12.7109375" customWidth="1"/>
    <col min="10" max="10" width="10.7109375" customWidth="1"/>
    <col min="11" max="11" width="3.7109375" customWidth="1"/>
  </cols>
  <sheetData>
    <row r="1" spans="1:11" ht="23.25" x14ac:dyDescent="0.35">
      <c r="E1" s="53" t="s">
        <v>48</v>
      </c>
      <c r="F1" s="53"/>
      <c r="G1" s="54"/>
      <c r="H1" s="54"/>
      <c r="I1" s="55" t="str">
        <f>IF(G1&lt;&gt;"",TEXT(G1,"mmmm-aa"),"")</f>
        <v/>
      </c>
      <c r="J1" s="55"/>
    </row>
    <row r="2" spans="1:11" ht="65.099999999999994" customHeight="1" x14ac:dyDescent="0.25">
      <c r="A2" s="3" t="s">
        <v>24</v>
      </c>
      <c r="B2" s="3" t="s">
        <v>25</v>
      </c>
      <c r="C2" s="3" t="s">
        <v>26</v>
      </c>
      <c r="D2" s="3" t="s">
        <v>49</v>
      </c>
      <c r="E2" s="3" t="s">
        <v>27</v>
      </c>
      <c r="F2" s="12" t="s">
        <v>43</v>
      </c>
      <c r="G2" s="10" t="s">
        <v>30</v>
      </c>
      <c r="H2" s="11" t="s">
        <v>44</v>
      </c>
      <c r="I2" s="3" t="s">
        <v>45</v>
      </c>
      <c r="J2" s="3" t="s">
        <v>46</v>
      </c>
      <c r="K2" s="3" t="s">
        <v>19</v>
      </c>
    </row>
    <row r="3" spans="1:11" x14ac:dyDescent="0.25">
      <c r="A3" s="2">
        <f>tbl_consolidacao[[#This Row],[Torre]]</f>
        <v>1</v>
      </c>
      <c r="B3" s="2" t="str">
        <f>tbl_consolidacao[[#This Row],[Junta]]</f>
        <v>A</v>
      </c>
      <c r="C3" s="2">
        <f>tbl_consolidacao[[#This Row],[Unid]]</f>
        <v>101</v>
      </c>
      <c r="D3" s="2" t="str">
        <f>tbl_consolidacao[[#This Row],[Apto]]</f>
        <v>101-A1</v>
      </c>
      <c r="E3" s="2">
        <f>tbl_meddez_anterior[[#This Row],[Hidrometro]]</f>
        <v>1234</v>
      </c>
      <c r="F3" s="13"/>
      <c r="G3" s="16">
        <f>tbl_meddez_anterior[[#This Row],[Hidrometro]]</f>
        <v>1234</v>
      </c>
      <c r="H3" s="14"/>
      <c r="I3" s="2">
        <f>tbl_medset[[#This Row],[Medição 
Água Fria]]/100+tbl_medset[[#This Row],[Medição 
Água Quente]]/1000</f>
        <v>0</v>
      </c>
      <c r="J3" s="15" t="str">
        <f>IF(tbl_medset[[#This Row],[Total]]&gt;0,tbl_medset[[#This Row],[Total]]/VLOOKUP(tbl_medset[[#This Row],[Apto]],tbl_medfev[[Apto]:[Total]],6,FALSE)-1,"")</f>
        <v/>
      </c>
      <c r="K3" s="15" t="str">
        <f>IF(tbl_medset[[#This Row],[Utilização (%)]]&lt;&gt;"",ALERTA_INDIVIDUAL-tbl_medset[[#This Row],[Utilização (%)]],"")</f>
        <v/>
      </c>
    </row>
    <row r="4" spans="1:11" x14ac:dyDescent="0.25">
      <c r="A4" s="2">
        <f>tbl_consolidacao[[#This Row],[Torre]]</f>
        <v>2</v>
      </c>
      <c r="B4" s="2" t="str">
        <f>tbl_consolidacao[[#This Row],[Junta]]</f>
        <v>A</v>
      </c>
      <c r="C4" s="2">
        <f>tbl_consolidacao[[#This Row],[Unid]]</f>
        <v>101</v>
      </c>
      <c r="D4" s="2" t="str">
        <f>tbl_consolidacao[[#This Row],[Apto]]</f>
        <v>101-A2</v>
      </c>
      <c r="E4" s="2">
        <f>tbl_meddez_anterior[[#This Row],[Hidrometro]]</f>
        <v>1235</v>
      </c>
      <c r="F4" s="13"/>
      <c r="G4" s="16">
        <f>tbl_meddez_anterior[[#This Row],[Hidrometro]]</f>
        <v>1235</v>
      </c>
      <c r="H4" s="14"/>
      <c r="I4" s="2">
        <f>tbl_medset[[#This Row],[Medição 
Água Fria]]/100+tbl_medset[[#This Row],[Medição 
Água Quente]]/1000</f>
        <v>0</v>
      </c>
      <c r="J4" s="15" t="str">
        <f>IF(tbl_medset[[#This Row],[Total]]&gt;0,tbl_medset[[#This Row],[Total]]/VLOOKUP(tbl_medset[[#This Row],[Apto]],tbl_medfev[[Apto]:[Total]],6,FALSE)-1,"")</f>
        <v/>
      </c>
      <c r="K4" s="15" t="str">
        <f>IF(tbl_medset[[#This Row],[Utilização (%)]]&lt;&gt;"",ALERTA_INDIVIDUAL-tbl_medset[[#This Row],[Utilização (%)]],"")</f>
        <v/>
      </c>
    </row>
    <row r="5" spans="1:11" x14ac:dyDescent="0.25">
      <c r="A5" s="2">
        <f>tbl_consolidacao[[#This Row],[Torre]]</f>
        <v>1</v>
      </c>
      <c r="B5" s="2" t="str">
        <f>tbl_consolidacao[[#This Row],[Junta]]</f>
        <v>A</v>
      </c>
      <c r="C5" s="2">
        <f>tbl_consolidacao[[#This Row],[Unid]]</f>
        <v>102</v>
      </c>
      <c r="D5" s="2" t="str">
        <f>tbl_consolidacao[[#This Row],[Apto]]</f>
        <v>102-A1</v>
      </c>
      <c r="E5" s="2">
        <f>tbl_meddez_anterior[[#This Row],[Hidrometro]]</f>
        <v>1236</v>
      </c>
      <c r="F5" s="13"/>
      <c r="G5" s="16">
        <f>tbl_meddez_anterior[[#This Row],[Hidrometro]]</f>
        <v>1236</v>
      </c>
      <c r="H5" s="14"/>
      <c r="I5" s="2">
        <f>tbl_medset[[#This Row],[Medição 
Água Fria]]/100+tbl_medset[[#This Row],[Medição 
Água Quente]]/1000</f>
        <v>0</v>
      </c>
      <c r="J5" s="15" t="str">
        <f>IF(tbl_medset[[#This Row],[Total]]&gt;0,tbl_medset[[#This Row],[Total]]/VLOOKUP(tbl_medset[[#This Row],[Apto]],tbl_medfev[[Apto]:[Total]],6,FALSE)-1,"")</f>
        <v/>
      </c>
      <c r="K5" s="15" t="str">
        <f>IF(tbl_medset[[#This Row],[Utilização (%)]]&lt;&gt;"",ALERTA_INDIVIDUAL-tbl_medset[[#This Row],[Utilização (%)]],"")</f>
        <v/>
      </c>
    </row>
    <row r="6" spans="1:11" x14ac:dyDescent="0.25">
      <c r="A6" s="2">
        <f>tbl_consolidacao[[#This Row],[Torre]]</f>
        <v>2</v>
      </c>
      <c r="B6" s="2" t="str">
        <f>tbl_consolidacao[[#This Row],[Junta]]</f>
        <v>A</v>
      </c>
      <c r="C6" s="2">
        <f>tbl_consolidacao[[#This Row],[Unid]]</f>
        <v>102</v>
      </c>
      <c r="D6" s="2" t="str">
        <f>tbl_consolidacao[[#This Row],[Apto]]</f>
        <v>102-A2</v>
      </c>
      <c r="E6" s="2">
        <f>tbl_meddez_anterior[[#This Row],[Hidrometro]]</f>
        <v>1237</v>
      </c>
      <c r="F6" s="13"/>
      <c r="G6" s="16">
        <f>tbl_meddez_anterior[[#This Row],[Hidrometro]]</f>
        <v>1237</v>
      </c>
      <c r="H6" s="14"/>
      <c r="I6" s="2">
        <f>tbl_medset[[#This Row],[Medição 
Água Fria]]/100+tbl_medset[[#This Row],[Medição 
Água Quente]]/1000</f>
        <v>0</v>
      </c>
      <c r="J6" s="15" t="str">
        <f>IF(tbl_medset[[#This Row],[Total]]&gt;0,tbl_medset[[#This Row],[Total]]/VLOOKUP(tbl_medset[[#This Row],[Apto]],tbl_medfev[[Apto]:[Total]],6,FALSE)-1,"")</f>
        <v/>
      </c>
      <c r="K6" s="15" t="str">
        <f>IF(tbl_medset[[#This Row],[Utilização (%)]]&lt;&gt;"",ALERTA_INDIVIDUAL-tbl_medset[[#This Row],[Utilização (%)]],"")</f>
        <v/>
      </c>
    </row>
    <row r="7" spans="1:11" x14ac:dyDescent="0.25">
      <c r="A7" s="2">
        <f>tbl_consolidacao[[#This Row],[Torre]]</f>
        <v>1</v>
      </c>
      <c r="B7" s="2" t="str">
        <f>tbl_consolidacao[[#This Row],[Junta]]</f>
        <v>A</v>
      </c>
      <c r="C7" s="2">
        <f>tbl_consolidacao[[#This Row],[Unid]]</f>
        <v>103</v>
      </c>
      <c r="D7" s="2" t="str">
        <f>tbl_consolidacao[[#This Row],[Apto]]</f>
        <v>103-A1</v>
      </c>
      <c r="E7" s="2">
        <f>tbl_meddez_anterior[[#This Row],[Hidrometro]]</f>
        <v>1238</v>
      </c>
      <c r="F7" s="13"/>
      <c r="G7" s="16">
        <f>tbl_meddez_anterior[[#This Row],[Hidrometro]]</f>
        <v>1238</v>
      </c>
      <c r="H7" s="14"/>
      <c r="I7" s="2">
        <f>tbl_medset[[#This Row],[Medição 
Água Fria]]/100+tbl_medset[[#This Row],[Medição 
Água Quente]]/1000</f>
        <v>0</v>
      </c>
      <c r="J7" s="15" t="str">
        <f>IF(tbl_medset[[#This Row],[Total]]&gt;0,tbl_medset[[#This Row],[Total]]/VLOOKUP(tbl_medset[[#This Row],[Apto]],tbl_medfev[[Apto]:[Total]],6,FALSE)-1,"")</f>
        <v/>
      </c>
      <c r="K7" s="15" t="str">
        <f>IF(tbl_medset[[#This Row],[Utilização (%)]]&lt;&gt;"",ALERTA_INDIVIDUAL-tbl_medset[[#This Row],[Utilização (%)]],"")</f>
        <v/>
      </c>
    </row>
    <row r="8" spans="1:11" x14ac:dyDescent="0.25">
      <c r="A8" s="2">
        <f>tbl_consolidacao[[#This Row],[Torre]]</f>
        <v>2</v>
      </c>
      <c r="B8" s="2" t="str">
        <f>tbl_consolidacao[[#This Row],[Junta]]</f>
        <v>A</v>
      </c>
      <c r="C8" s="2">
        <f>tbl_consolidacao[[#This Row],[Unid]]</f>
        <v>103</v>
      </c>
      <c r="D8" s="2" t="str">
        <f>tbl_consolidacao[[#This Row],[Apto]]</f>
        <v>103-A2</v>
      </c>
      <c r="E8" s="2">
        <f>tbl_meddez_anterior[[#This Row],[Hidrometro]]</f>
        <v>1239</v>
      </c>
      <c r="F8" s="13"/>
      <c r="G8" s="16">
        <f>tbl_meddez_anterior[[#This Row],[Hidrometro]]</f>
        <v>1239</v>
      </c>
      <c r="H8" s="14"/>
      <c r="I8" s="2">
        <f>tbl_medset[[#This Row],[Medição 
Água Fria]]/100+tbl_medset[[#This Row],[Medição 
Água Quente]]/1000</f>
        <v>0</v>
      </c>
      <c r="J8" s="15" t="str">
        <f>IF(tbl_medset[[#This Row],[Total]]&gt;0,tbl_medset[[#This Row],[Total]]/VLOOKUP(tbl_medset[[#This Row],[Apto]],tbl_medfev[[Apto]:[Total]],6,FALSE)-1,"")</f>
        <v/>
      </c>
      <c r="K8" s="15" t="str">
        <f>IF(tbl_medset[[#This Row],[Utilização (%)]]&lt;&gt;"",ALERTA_INDIVIDUAL-tbl_medset[[#This Row],[Utilização (%)]],"")</f>
        <v/>
      </c>
    </row>
    <row r="9" spans="1:11" x14ac:dyDescent="0.25">
      <c r="A9" s="2">
        <f>tbl_consolidacao[[#This Row],[Torre]]</f>
        <v>1</v>
      </c>
      <c r="B9" s="2" t="str">
        <f>tbl_consolidacao[[#This Row],[Junta]]</f>
        <v>A</v>
      </c>
      <c r="C9" s="2">
        <f>tbl_consolidacao[[#This Row],[Unid]]</f>
        <v>104</v>
      </c>
      <c r="D9" s="2" t="str">
        <f>tbl_consolidacao[[#This Row],[Apto]]</f>
        <v>104-A1</v>
      </c>
      <c r="E9" s="2">
        <f>tbl_meddez_anterior[[#This Row],[Hidrometro]]</f>
        <v>1240</v>
      </c>
      <c r="F9" s="13"/>
      <c r="G9" s="16">
        <f>tbl_meddez_anterior[[#This Row],[Hidrometro]]</f>
        <v>1240</v>
      </c>
      <c r="H9" s="14"/>
      <c r="I9" s="2">
        <f>tbl_medset[[#This Row],[Medição 
Água Fria]]/100+tbl_medset[[#This Row],[Medição 
Água Quente]]/1000</f>
        <v>0</v>
      </c>
      <c r="J9" s="15" t="str">
        <f>IF(tbl_medset[[#This Row],[Total]]&gt;0,tbl_medset[[#This Row],[Total]]/VLOOKUP(tbl_medset[[#This Row],[Apto]],tbl_medfev[[Apto]:[Total]],6,FALSE)-1,"")</f>
        <v/>
      </c>
      <c r="K9" s="15" t="str">
        <f>IF(tbl_medset[[#This Row],[Utilização (%)]]&lt;&gt;"",ALERTA_INDIVIDUAL-tbl_medset[[#This Row],[Utilização (%)]],"")</f>
        <v/>
      </c>
    </row>
    <row r="10" spans="1:11" x14ac:dyDescent="0.25">
      <c r="A10" s="2">
        <f>tbl_consolidacao[[#This Row],[Torre]]</f>
        <v>2</v>
      </c>
      <c r="B10" s="2" t="str">
        <f>tbl_consolidacao[[#This Row],[Junta]]</f>
        <v>A</v>
      </c>
      <c r="C10" s="2">
        <f>tbl_consolidacao[[#This Row],[Unid]]</f>
        <v>104</v>
      </c>
      <c r="D10" s="2" t="str">
        <f>tbl_consolidacao[[#This Row],[Apto]]</f>
        <v>104-A2</v>
      </c>
      <c r="E10" s="2">
        <f>tbl_meddez_anterior[[#This Row],[Hidrometro]]</f>
        <v>1241</v>
      </c>
      <c r="F10" s="13"/>
      <c r="G10" s="16">
        <f>tbl_meddez_anterior[[#This Row],[Hidrometro]]</f>
        <v>1241</v>
      </c>
      <c r="H10" s="14"/>
      <c r="I10" s="2">
        <f>tbl_medset[[#This Row],[Medição 
Água Fria]]/100+tbl_medset[[#This Row],[Medição 
Água Quente]]/1000</f>
        <v>0</v>
      </c>
      <c r="J10" s="15" t="str">
        <f>IF(tbl_medset[[#This Row],[Total]]&gt;0,tbl_medset[[#This Row],[Total]]/VLOOKUP(tbl_medset[[#This Row],[Apto]],tbl_medfev[[Apto]:[Total]],6,FALSE)-1,"")</f>
        <v/>
      </c>
      <c r="K10" s="15" t="str">
        <f>IF(tbl_medset[[#This Row],[Utilização (%)]]&lt;&gt;"",ALERTA_INDIVIDUAL-tbl_medset[[#This Row],[Utilização (%)]],"")</f>
        <v/>
      </c>
    </row>
    <row r="11" spans="1:11" x14ac:dyDescent="0.25">
      <c r="A11" s="2">
        <f>tbl_consolidacao[[#This Row],[Torre]]</f>
        <v>2</v>
      </c>
      <c r="B11" s="2" t="str">
        <f>tbl_consolidacao[[#This Row],[Junta]]</f>
        <v>B</v>
      </c>
      <c r="C11" s="2">
        <f>tbl_consolidacao[[#This Row],[Unid]]</f>
        <v>105</v>
      </c>
      <c r="D11" s="2" t="str">
        <f>tbl_consolidacao[[#This Row],[Apto]]</f>
        <v>105-B2</v>
      </c>
      <c r="E11" s="2">
        <f>tbl_meddez_anterior[[#This Row],[Hidrometro]]</f>
        <v>1242</v>
      </c>
      <c r="F11" s="13"/>
      <c r="G11" s="16">
        <f>tbl_meddez_anterior[[#This Row],[Hidrometro]]</f>
        <v>1242</v>
      </c>
      <c r="H11" s="14"/>
      <c r="I11" s="2">
        <f>tbl_medset[[#This Row],[Medição 
Água Fria]]/100+tbl_medset[[#This Row],[Medição 
Água Quente]]/1000</f>
        <v>0</v>
      </c>
      <c r="J11" s="15" t="str">
        <f>IF(tbl_medset[[#This Row],[Total]]&gt;0,tbl_medset[[#This Row],[Total]]/VLOOKUP(tbl_medset[[#This Row],[Apto]],tbl_medfev[[Apto]:[Total]],6,FALSE)-1,"")</f>
        <v/>
      </c>
      <c r="K11" s="15" t="str">
        <f>IF(tbl_medset[[#This Row],[Utilização (%)]]&lt;&gt;"",ALERTA_INDIVIDUAL-tbl_medset[[#This Row],[Utilização (%)]],"")</f>
        <v/>
      </c>
    </row>
    <row r="12" spans="1:11" x14ac:dyDescent="0.25">
      <c r="A12" s="2">
        <f>tbl_consolidacao[[#This Row],[Torre]]</f>
        <v>2</v>
      </c>
      <c r="B12" s="2" t="str">
        <f>tbl_consolidacao[[#This Row],[Junta]]</f>
        <v>B</v>
      </c>
      <c r="C12" s="2">
        <f>tbl_consolidacao[[#This Row],[Unid]]</f>
        <v>106</v>
      </c>
      <c r="D12" s="2" t="str">
        <f>tbl_consolidacao[[#This Row],[Apto]]</f>
        <v>106-B2</v>
      </c>
      <c r="E12" s="2">
        <f>tbl_meddez_anterior[[#This Row],[Hidrometro]]</f>
        <v>1243</v>
      </c>
      <c r="F12" s="13"/>
      <c r="G12" s="16">
        <f>tbl_meddez_anterior[[#This Row],[Hidrometro]]</f>
        <v>1243</v>
      </c>
      <c r="H12" s="14"/>
      <c r="I12" s="2">
        <f>tbl_medset[[#This Row],[Medição 
Água Fria]]/100+tbl_medset[[#This Row],[Medição 
Água Quente]]/1000</f>
        <v>0</v>
      </c>
      <c r="J12" s="15" t="str">
        <f>IF(tbl_medset[[#This Row],[Total]]&gt;0,tbl_medset[[#This Row],[Total]]/VLOOKUP(tbl_medset[[#This Row],[Apto]],tbl_medfev[[Apto]:[Total]],6,FALSE)-1,"")</f>
        <v/>
      </c>
      <c r="K12" s="15" t="str">
        <f>IF(tbl_medset[[#This Row],[Utilização (%)]]&lt;&gt;"",ALERTA_INDIVIDUAL-tbl_medset[[#This Row],[Utilização (%)]],"")</f>
        <v/>
      </c>
    </row>
    <row r="13" spans="1:11" x14ac:dyDescent="0.25">
      <c r="A13" s="2">
        <f>tbl_consolidacao[[#This Row],[Torre]]</f>
        <v>2</v>
      </c>
      <c r="B13" s="2" t="str">
        <f>tbl_consolidacao[[#This Row],[Junta]]</f>
        <v>B</v>
      </c>
      <c r="C13" s="2">
        <f>tbl_consolidacao[[#This Row],[Unid]]</f>
        <v>107</v>
      </c>
      <c r="D13" s="2" t="str">
        <f>tbl_consolidacao[[#This Row],[Apto]]</f>
        <v>107-B2</v>
      </c>
      <c r="E13" s="2">
        <f>tbl_meddez_anterior[[#This Row],[Hidrometro]]</f>
        <v>1244</v>
      </c>
      <c r="F13" s="13"/>
      <c r="G13" s="16">
        <f>tbl_meddez_anterior[[#This Row],[Hidrometro]]</f>
        <v>1244</v>
      </c>
      <c r="H13" s="14"/>
      <c r="I13" s="2">
        <f>tbl_medset[[#This Row],[Medição 
Água Fria]]/100+tbl_medset[[#This Row],[Medição 
Água Quente]]/1000</f>
        <v>0</v>
      </c>
      <c r="J13" s="15" t="str">
        <f>IF(tbl_medset[[#This Row],[Total]]&gt;0,tbl_medset[[#This Row],[Total]]/VLOOKUP(tbl_medset[[#This Row],[Apto]],tbl_medfev[[Apto]:[Total]],6,FALSE)-1,"")</f>
        <v/>
      </c>
      <c r="K13" s="15" t="str">
        <f>IF(tbl_medset[[#This Row],[Utilização (%)]]&lt;&gt;"",ALERTA_INDIVIDUAL-tbl_medset[[#This Row],[Utilização (%)]],"")</f>
        <v/>
      </c>
    </row>
    <row r="14" spans="1:11" x14ac:dyDescent="0.25">
      <c r="A14" s="2">
        <f>tbl_consolidacao[[#This Row],[Torre]]</f>
        <v>2</v>
      </c>
      <c r="B14" s="2" t="str">
        <f>tbl_consolidacao[[#This Row],[Junta]]</f>
        <v>B</v>
      </c>
      <c r="C14" s="2">
        <f>tbl_consolidacao[[#This Row],[Unid]]</f>
        <v>108</v>
      </c>
      <c r="D14" s="2" t="str">
        <f>tbl_consolidacao[[#This Row],[Apto]]</f>
        <v>108-B2</v>
      </c>
      <c r="E14" s="2">
        <f>tbl_meddez_anterior[[#This Row],[Hidrometro]]</f>
        <v>1245</v>
      </c>
      <c r="F14" s="13"/>
      <c r="G14" s="16">
        <f>tbl_meddez_anterior[[#This Row],[Hidrometro]]</f>
        <v>1245</v>
      </c>
      <c r="H14" s="14"/>
      <c r="I14" s="2">
        <f>tbl_medset[[#This Row],[Medição 
Água Fria]]/100+tbl_medset[[#This Row],[Medição 
Água Quente]]/1000</f>
        <v>0</v>
      </c>
      <c r="J14" s="15" t="str">
        <f>IF(tbl_medset[[#This Row],[Total]]&gt;0,tbl_medset[[#This Row],[Total]]/VLOOKUP(tbl_medset[[#This Row],[Apto]],tbl_medfev[[Apto]:[Total]],6,FALSE)-1,"")</f>
        <v/>
      </c>
      <c r="K14" s="15" t="str">
        <f>IF(tbl_medset[[#This Row],[Utilização (%)]]&lt;&gt;"",ALERTA_INDIVIDUAL-tbl_medset[[#This Row],[Utilização (%)]],"")</f>
        <v/>
      </c>
    </row>
    <row r="15" spans="1:11" x14ac:dyDescent="0.25">
      <c r="A15" s="2">
        <f>tbl_consolidacao[[#This Row],[Torre]]</f>
        <v>1</v>
      </c>
      <c r="B15" s="2" t="str">
        <f>tbl_consolidacao[[#This Row],[Junta]]</f>
        <v>A</v>
      </c>
      <c r="C15" s="2">
        <f>tbl_consolidacao[[#This Row],[Unid]]</f>
        <v>201</v>
      </c>
      <c r="D15" s="2" t="str">
        <f>tbl_consolidacao[[#This Row],[Apto]]</f>
        <v>201-A1</v>
      </c>
      <c r="E15" s="2">
        <f>tbl_meddez_anterior[[#This Row],[Hidrometro]]</f>
        <v>1246</v>
      </c>
      <c r="F15" s="13"/>
      <c r="G15" s="16">
        <f>tbl_meddez_anterior[[#This Row],[Hidrometro]]</f>
        <v>1246</v>
      </c>
      <c r="H15" s="14"/>
      <c r="I15" s="2">
        <f>tbl_medset[[#This Row],[Medição 
Água Fria]]/100+tbl_medset[[#This Row],[Medição 
Água Quente]]/1000</f>
        <v>0</v>
      </c>
      <c r="J15" s="15" t="str">
        <f>IF(tbl_medset[[#This Row],[Total]]&gt;0,tbl_medset[[#This Row],[Total]]/VLOOKUP(tbl_medset[[#This Row],[Apto]],tbl_medfev[[Apto]:[Total]],6,FALSE)-1,"")</f>
        <v/>
      </c>
      <c r="K15" s="15" t="str">
        <f>IF(tbl_medset[[#This Row],[Utilização (%)]]&lt;&gt;"",ALERTA_INDIVIDUAL-tbl_medset[[#This Row],[Utilização (%)]],"")</f>
        <v/>
      </c>
    </row>
    <row r="16" spans="1:11" x14ac:dyDescent="0.25">
      <c r="A16" s="2">
        <f>tbl_consolidacao[[#This Row],[Torre]]</f>
        <v>2</v>
      </c>
      <c r="B16" s="2" t="str">
        <f>tbl_consolidacao[[#This Row],[Junta]]</f>
        <v>A</v>
      </c>
      <c r="C16" s="2">
        <f>tbl_consolidacao[[#This Row],[Unid]]</f>
        <v>201</v>
      </c>
      <c r="D16" s="2" t="str">
        <f>tbl_consolidacao[[#This Row],[Apto]]</f>
        <v>201-A2</v>
      </c>
      <c r="E16" s="2">
        <f>tbl_meddez_anterior[[#This Row],[Hidrometro]]</f>
        <v>1247</v>
      </c>
      <c r="F16" s="13"/>
      <c r="G16" s="16">
        <f>tbl_meddez_anterior[[#This Row],[Hidrometro]]</f>
        <v>1247</v>
      </c>
      <c r="H16" s="14"/>
      <c r="I16" s="2">
        <f>tbl_medset[[#This Row],[Medição 
Água Fria]]/100+tbl_medset[[#This Row],[Medição 
Água Quente]]/1000</f>
        <v>0</v>
      </c>
      <c r="J16" s="15" t="str">
        <f>IF(tbl_medset[[#This Row],[Total]]&gt;0,tbl_medset[[#This Row],[Total]]/VLOOKUP(tbl_medset[[#This Row],[Apto]],tbl_medfev[[Apto]:[Total]],6,FALSE)-1,"")</f>
        <v/>
      </c>
      <c r="K16" s="15" t="str">
        <f>IF(tbl_medset[[#This Row],[Utilização (%)]]&lt;&gt;"",ALERTA_INDIVIDUAL-tbl_medset[[#This Row],[Utilização (%)]],"")</f>
        <v/>
      </c>
    </row>
    <row r="17" spans="1:11" x14ac:dyDescent="0.25">
      <c r="A17" s="2">
        <f>tbl_consolidacao[[#This Row],[Torre]]</f>
        <v>1</v>
      </c>
      <c r="B17" s="2" t="str">
        <f>tbl_consolidacao[[#This Row],[Junta]]</f>
        <v>A</v>
      </c>
      <c r="C17" s="2">
        <f>tbl_consolidacao[[#This Row],[Unid]]</f>
        <v>202</v>
      </c>
      <c r="D17" s="2" t="str">
        <f>tbl_consolidacao[[#This Row],[Apto]]</f>
        <v>202-A1</v>
      </c>
      <c r="E17" s="2">
        <f>tbl_meddez_anterior[[#This Row],[Hidrometro]]</f>
        <v>1248</v>
      </c>
      <c r="F17" s="13"/>
      <c r="G17" s="16">
        <f>tbl_meddez_anterior[[#This Row],[Hidrometro]]</f>
        <v>1248</v>
      </c>
      <c r="H17" s="14"/>
      <c r="I17" s="2">
        <f>tbl_medset[[#This Row],[Medição 
Água Fria]]/100+tbl_medset[[#This Row],[Medição 
Água Quente]]/1000</f>
        <v>0</v>
      </c>
      <c r="J17" s="15" t="str">
        <f>IF(tbl_medset[[#This Row],[Total]]&gt;0,tbl_medset[[#This Row],[Total]]/VLOOKUP(tbl_medset[[#This Row],[Apto]],tbl_medfev[[Apto]:[Total]],6,FALSE)-1,"")</f>
        <v/>
      </c>
      <c r="K17" s="15" t="str">
        <f>IF(tbl_medset[[#This Row],[Utilização (%)]]&lt;&gt;"",ALERTA_INDIVIDUAL-tbl_medset[[#This Row],[Utilização (%)]],"")</f>
        <v/>
      </c>
    </row>
    <row r="18" spans="1:11" x14ac:dyDescent="0.25">
      <c r="A18" s="2">
        <f>tbl_consolidacao[[#This Row],[Torre]]</f>
        <v>2</v>
      </c>
      <c r="B18" s="2" t="str">
        <f>tbl_consolidacao[[#This Row],[Junta]]</f>
        <v>A</v>
      </c>
      <c r="C18" s="2">
        <f>tbl_consolidacao[[#This Row],[Unid]]</f>
        <v>202</v>
      </c>
      <c r="D18" s="2" t="str">
        <f>tbl_consolidacao[[#This Row],[Apto]]</f>
        <v>202-A2</v>
      </c>
      <c r="E18" s="2">
        <f>tbl_meddez_anterior[[#This Row],[Hidrometro]]</f>
        <v>1249</v>
      </c>
      <c r="F18" s="13"/>
      <c r="G18" s="16">
        <f>tbl_meddez_anterior[[#This Row],[Hidrometro]]</f>
        <v>1249</v>
      </c>
      <c r="H18" s="14"/>
      <c r="I18" s="2">
        <f>tbl_medset[[#This Row],[Medição 
Água Fria]]/100+tbl_medset[[#This Row],[Medição 
Água Quente]]/1000</f>
        <v>0</v>
      </c>
      <c r="J18" s="15" t="str">
        <f>IF(tbl_medset[[#This Row],[Total]]&gt;0,tbl_medset[[#This Row],[Total]]/VLOOKUP(tbl_medset[[#This Row],[Apto]],tbl_medfev[[Apto]:[Total]],6,FALSE)-1,"")</f>
        <v/>
      </c>
      <c r="K18" s="15" t="str">
        <f>IF(tbl_medset[[#This Row],[Utilização (%)]]&lt;&gt;"",ALERTA_INDIVIDUAL-tbl_medset[[#This Row],[Utilização (%)]],"")</f>
        <v/>
      </c>
    </row>
    <row r="19" spans="1:11" x14ac:dyDescent="0.25">
      <c r="A19" s="2">
        <f>tbl_consolidacao[[#This Row],[Torre]]</f>
        <v>1</v>
      </c>
      <c r="B19" s="2" t="str">
        <f>tbl_consolidacao[[#This Row],[Junta]]</f>
        <v>A</v>
      </c>
      <c r="C19" s="2">
        <f>tbl_consolidacao[[#This Row],[Unid]]</f>
        <v>203</v>
      </c>
      <c r="D19" s="2" t="str">
        <f>tbl_consolidacao[[#This Row],[Apto]]</f>
        <v>203-A1</v>
      </c>
      <c r="E19" s="2">
        <f>tbl_meddez_anterior[[#This Row],[Hidrometro]]</f>
        <v>1250</v>
      </c>
      <c r="F19" s="13"/>
      <c r="G19" s="16">
        <f>tbl_meddez_anterior[[#This Row],[Hidrometro]]</f>
        <v>1250</v>
      </c>
      <c r="H19" s="14"/>
      <c r="I19" s="2">
        <f>tbl_medset[[#This Row],[Medição 
Água Fria]]/100+tbl_medset[[#This Row],[Medição 
Água Quente]]/1000</f>
        <v>0</v>
      </c>
      <c r="J19" s="15" t="str">
        <f>IF(tbl_medset[[#This Row],[Total]]&gt;0,tbl_medset[[#This Row],[Total]]/VLOOKUP(tbl_medset[[#This Row],[Apto]],tbl_medfev[[Apto]:[Total]],6,FALSE)-1,"")</f>
        <v/>
      </c>
      <c r="K19" s="15" t="str">
        <f>IF(tbl_medset[[#This Row],[Utilização (%)]]&lt;&gt;"",ALERTA_INDIVIDUAL-tbl_medset[[#This Row],[Utilização (%)]],"")</f>
        <v/>
      </c>
    </row>
    <row r="20" spans="1:11" x14ac:dyDescent="0.25">
      <c r="A20" s="2">
        <f>tbl_consolidacao[[#This Row],[Torre]]</f>
        <v>2</v>
      </c>
      <c r="B20" s="2" t="str">
        <f>tbl_consolidacao[[#This Row],[Junta]]</f>
        <v>A</v>
      </c>
      <c r="C20" s="2">
        <f>tbl_consolidacao[[#This Row],[Unid]]</f>
        <v>203</v>
      </c>
      <c r="D20" s="2" t="str">
        <f>tbl_consolidacao[[#This Row],[Apto]]</f>
        <v>203-A2</v>
      </c>
      <c r="E20" s="2">
        <f>tbl_meddez_anterior[[#This Row],[Hidrometro]]</f>
        <v>1251</v>
      </c>
      <c r="F20" s="13"/>
      <c r="G20" s="16">
        <f>tbl_meddez_anterior[[#This Row],[Hidrometro]]</f>
        <v>1251</v>
      </c>
      <c r="H20" s="14"/>
      <c r="I20" s="2">
        <f>tbl_medset[[#This Row],[Medição 
Água Fria]]/100+tbl_medset[[#This Row],[Medição 
Água Quente]]/1000</f>
        <v>0</v>
      </c>
      <c r="J20" s="15" t="str">
        <f>IF(tbl_medset[[#This Row],[Total]]&gt;0,tbl_medset[[#This Row],[Total]]/VLOOKUP(tbl_medset[[#This Row],[Apto]],tbl_medfev[[Apto]:[Total]],6,FALSE)-1,"")</f>
        <v/>
      </c>
      <c r="K20" s="15" t="str">
        <f>IF(tbl_medset[[#This Row],[Utilização (%)]]&lt;&gt;"",ALERTA_INDIVIDUAL-tbl_medset[[#This Row],[Utilização (%)]],"")</f>
        <v/>
      </c>
    </row>
    <row r="21" spans="1:11" x14ac:dyDescent="0.25">
      <c r="A21" s="2">
        <f>tbl_consolidacao[[#This Row],[Torre]]</f>
        <v>1</v>
      </c>
      <c r="B21" s="2" t="str">
        <f>tbl_consolidacao[[#This Row],[Junta]]</f>
        <v>A</v>
      </c>
      <c r="C21" s="2">
        <f>tbl_consolidacao[[#This Row],[Unid]]</f>
        <v>204</v>
      </c>
      <c r="D21" s="2" t="str">
        <f>tbl_consolidacao[[#This Row],[Apto]]</f>
        <v>204-A1</v>
      </c>
      <c r="E21" s="2">
        <f>tbl_meddez_anterior[[#This Row],[Hidrometro]]</f>
        <v>1252</v>
      </c>
      <c r="F21" s="13"/>
      <c r="G21" s="16">
        <f>tbl_meddez_anterior[[#This Row],[Hidrometro]]</f>
        <v>1252</v>
      </c>
      <c r="H21" s="14"/>
      <c r="I21" s="2">
        <f>tbl_medset[[#This Row],[Medição 
Água Fria]]/100+tbl_medset[[#This Row],[Medição 
Água Quente]]/1000</f>
        <v>0</v>
      </c>
      <c r="J21" s="15" t="str">
        <f>IF(tbl_medset[[#This Row],[Total]]&gt;0,tbl_medset[[#This Row],[Total]]/VLOOKUP(tbl_medset[[#This Row],[Apto]],tbl_medfev[[Apto]:[Total]],6,FALSE)-1,"")</f>
        <v/>
      </c>
      <c r="K21" s="15" t="str">
        <f>IF(tbl_medset[[#This Row],[Utilização (%)]]&lt;&gt;"",ALERTA_INDIVIDUAL-tbl_medset[[#This Row],[Utilização (%)]],"")</f>
        <v/>
      </c>
    </row>
    <row r="22" spans="1:11" x14ac:dyDescent="0.25">
      <c r="A22" s="2">
        <f>tbl_consolidacao[[#This Row],[Torre]]</f>
        <v>2</v>
      </c>
      <c r="B22" s="2" t="str">
        <f>tbl_consolidacao[[#This Row],[Junta]]</f>
        <v>A</v>
      </c>
      <c r="C22" s="2">
        <f>tbl_consolidacao[[#This Row],[Unid]]</f>
        <v>204</v>
      </c>
      <c r="D22" s="2" t="str">
        <f>tbl_consolidacao[[#This Row],[Apto]]</f>
        <v>204-A2</v>
      </c>
      <c r="E22" s="2">
        <f>tbl_meddez_anterior[[#This Row],[Hidrometro]]</f>
        <v>1253</v>
      </c>
      <c r="F22" s="13"/>
      <c r="G22" s="16">
        <f>tbl_meddez_anterior[[#This Row],[Hidrometro]]</f>
        <v>1253</v>
      </c>
      <c r="H22" s="14"/>
      <c r="I22" s="2">
        <f>tbl_medset[[#This Row],[Medição 
Água Fria]]/100+tbl_medset[[#This Row],[Medição 
Água Quente]]/1000</f>
        <v>0</v>
      </c>
      <c r="J22" s="15" t="str">
        <f>IF(tbl_medset[[#This Row],[Total]]&gt;0,tbl_medset[[#This Row],[Total]]/VLOOKUP(tbl_medset[[#This Row],[Apto]],tbl_medfev[[Apto]:[Total]],6,FALSE)-1,"")</f>
        <v/>
      </c>
      <c r="K22" s="15" t="str">
        <f>IF(tbl_medset[[#This Row],[Utilização (%)]]&lt;&gt;"",ALERTA_INDIVIDUAL-tbl_medset[[#This Row],[Utilização (%)]],"")</f>
        <v/>
      </c>
    </row>
    <row r="23" spans="1:11" x14ac:dyDescent="0.25">
      <c r="A23" s="2">
        <f>tbl_consolidacao[[#This Row],[Torre]]</f>
        <v>1</v>
      </c>
      <c r="B23" s="2" t="str">
        <f>tbl_consolidacao[[#This Row],[Junta]]</f>
        <v>B</v>
      </c>
      <c r="C23" s="2">
        <f>tbl_consolidacao[[#This Row],[Unid]]</f>
        <v>205</v>
      </c>
      <c r="D23" s="2" t="str">
        <f>tbl_consolidacao[[#This Row],[Apto]]</f>
        <v>205-B1</v>
      </c>
      <c r="E23" s="2">
        <f>tbl_meddez_anterior[[#This Row],[Hidrometro]]</f>
        <v>1254</v>
      </c>
      <c r="F23" s="13"/>
      <c r="G23" s="16">
        <f>tbl_meddez_anterior[[#This Row],[Hidrometro]]</f>
        <v>1254</v>
      </c>
      <c r="H23" s="14"/>
      <c r="I23" s="2">
        <f>tbl_medset[[#This Row],[Medição 
Água Fria]]/100+tbl_medset[[#This Row],[Medição 
Água Quente]]/1000</f>
        <v>0</v>
      </c>
      <c r="J23" s="15" t="str">
        <f>IF(tbl_medset[[#This Row],[Total]]&gt;0,tbl_medset[[#This Row],[Total]]/VLOOKUP(tbl_medset[[#This Row],[Apto]],tbl_medfev[[Apto]:[Total]],6,FALSE)-1,"")</f>
        <v/>
      </c>
      <c r="K23" s="15" t="str">
        <f>IF(tbl_medset[[#This Row],[Utilização (%)]]&lt;&gt;"",ALERTA_INDIVIDUAL-tbl_medset[[#This Row],[Utilização (%)]],"")</f>
        <v/>
      </c>
    </row>
    <row r="24" spans="1:11" x14ac:dyDescent="0.25">
      <c r="A24" s="2">
        <f>tbl_consolidacao[[#This Row],[Torre]]</f>
        <v>2</v>
      </c>
      <c r="B24" s="2" t="str">
        <f>tbl_consolidacao[[#This Row],[Junta]]</f>
        <v>B</v>
      </c>
      <c r="C24" s="2">
        <f>tbl_consolidacao[[#This Row],[Unid]]</f>
        <v>205</v>
      </c>
      <c r="D24" s="2" t="str">
        <f>tbl_consolidacao[[#This Row],[Apto]]</f>
        <v>205-B2</v>
      </c>
      <c r="E24" s="2">
        <f>tbl_meddez_anterior[[#This Row],[Hidrometro]]</f>
        <v>1255</v>
      </c>
      <c r="F24" s="13"/>
      <c r="G24" s="16">
        <f>tbl_meddez_anterior[[#This Row],[Hidrometro]]</f>
        <v>1255</v>
      </c>
      <c r="H24" s="14"/>
      <c r="I24" s="2">
        <f>tbl_medset[[#This Row],[Medição 
Água Fria]]/100+tbl_medset[[#This Row],[Medição 
Água Quente]]/1000</f>
        <v>0</v>
      </c>
      <c r="J24" s="15" t="str">
        <f>IF(tbl_medset[[#This Row],[Total]]&gt;0,tbl_medset[[#This Row],[Total]]/VLOOKUP(tbl_medset[[#This Row],[Apto]],tbl_medfev[[Apto]:[Total]],6,FALSE)-1,"")</f>
        <v/>
      </c>
      <c r="K24" s="15" t="str">
        <f>IF(tbl_medset[[#This Row],[Utilização (%)]]&lt;&gt;"",ALERTA_INDIVIDUAL-tbl_medset[[#This Row],[Utilização (%)]],"")</f>
        <v/>
      </c>
    </row>
    <row r="25" spans="1:11" x14ac:dyDescent="0.25">
      <c r="A25" s="2">
        <f>tbl_consolidacao[[#This Row],[Torre]]</f>
        <v>1</v>
      </c>
      <c r="B25" s="2" t="str">
        <f>tbl_consolidacao[[#This Row],[Junta]]</f>
        <v>B</v>
      </c>
      <c r="C25" s="2">
        <f>tbl_consolidacao[[#This Row],[Unid]]</f>
        <v>206</v>
      </c>
      <c r="D25" s="2" t="str">
        <f>tbl_consolidacao[[#This Row],[Apto]]</f>
        <v>206-B1</v>
      </c>
      <c r="E25" s="2">
        <f>tbl_meddez_anterior[[#This Row],[Hidrometro]]</f>
        <v>1256</v>
      </c>
      <c r="F25" s="13"/>
      <c r="G25" s="16">
        <f>tbl_meddez_anterior[[#This Row],[Hidrometro]]</f>
        <v>1256</v>
      </c>
      <c r="H25" s="14"/>
      <c r="I25" s="2">
        <f>tbl_medset[[#This Row],[Medição 
Água Fria]]/100+tbl_medset[[#This Row],[Medição 
Água Quente]]/1000</f>
        <v>0</v>
      </c>
      <c r="J25" s="15" t="str">
        <f>IF(tbl_medset[[#This Row],[Total]]&gt;0,tbl_medset[[#This Row],[Total]]/VLOOKUP(tbl_medset[[#This Row],[Apto]],tbl_medfev[[Apto]:[Total]],6,FALSE)-1,"")</f>
        <v/>
      </c>
      <c r="K25" s="15" t="str">
        <f>IF(tbl_medset[[#This Row],[Utilização (%)]]&lt;&gt;"",ALERTA_INDIVIDUAL-tbl_medset[[#This Row],[Utilização (%)]],"")</f>
        <v/>
      </c>
    </row>
    <row r="26" spans="1:11" x14ac:dyDescent="0.25">
      <c r="A26" s="2">
        <f>tbl_consolidacao[[#This Row],[Torre]]</f>
        <v>2</v>
      </c>
      <c r="B26" s="2" t="str">
        <f>tbl_consolidacao[[#This Row],[Junta]]</f>
        <v>B</v>
      </c>
      <c r="C26" s="2">
        <f>tbl_consolidacao[[#This Row],[Unid]]</f>
        <v>206</v>
      </c>
      <c r="D26" s="2" t="str">
        <f>tbl_consolidacao[[#This Row],[Apto]]</f>
        <v>206-B2</v>
      </c>
      <c r="E26" s="2">
        <f>tbl_meddez_anterior[[#This Row],[Hidrometro]]</f>
        <v>1257</v>
      </c>
      <c r="F26" s="13"/>
      <c r="G26" s="16">
        <f>tbl_meddez_anterior[[#This Row],[Hidrometro]]</f>
        <v>1257</v>
      </c>
      <c r="H26" s="14"/>
      <c r="I26" s="2">
        <f>tbl_medset[[#This Row],[Medição 
Água Fria]]/100+tbl_medset[[#This Row],[Medição 
Água Quente]]/1000</f>
        <v>0</v>
      </c>
      <c r="J26" s="15" t="str">
        <f>IF(tbl_medset[[#This Row],[Total]]&gt;0,tbl_medset[[#This Row],[Total]]/VLOOKUP(tbl_medset[[#This Row],[Apto]],tbl_medfev[[Apto]:[Total]],6,FALSE)-1,"")</f>
        <v/>
      </c>
      <c r="K26" s="15" t="str">
        <f>IF(tbl_medset[[#This Row],[Utilização (%)]]&lt;&gt;"",ALERTA_INDIVIDUAL-tbl_medset[[#This Row],[Utilização (%)]],"")</f>
        <v/>
      </c>
    </row>
    <row r="27" spans="1:11" x14ac:dyDescent="0.25">
      <c r="A27" s="2">
        <f>tbl_consolidacao[[#This Row],[Torre]]</f>
        <v>1</v>
      </c>
      <c r="B27" s="2" t="str">
        <f>tbl_consolidacao[[#This Row],[Junta]]</f>
        <v>B</v>
      </c>
      <c r="C27" s="2">
        <f>tbl_consolidacao[[#This Row],[Unid]]</f>
        <v>207</v>
      </c>
      <c r="D27" s="2" t="str">
        <f>tbl_consolidacao[[#This Row],[Apto]]</f>
        <v>207-B1</v>
      </c>
      <c r="E27" s="2">
        <f>tbl_meddez_anterior[[#This Row],[Hidrometro]]</f>
        <v>1258</v>
      </c>
      <c r="F27" s="13"/>
      <c r="G27" s="16">
        <f>tbl_meddez_anterior[[#This Row],[Hidrometro]]</f>
        <v>1258</v>
      </c>
      <c r="H27" s="14"/>
      <c r="I27" s="2">
        <f>tbl_medset[[#This Row],[Medição 
Água Fria]]/100+tbl_medset[[#This Row],[Medição 
Água Quente]]/1000</f>
        <v>0</v>
      </c>
      <c r="J27" s="15" t="str">
        <f>IF(tbl_medset[[#This Row],[Total]]&gt;0,tbl_medset[[#This Row],[Total]]/VLOOKUP(tbl_medset[[#This Row],[Apto]],tbl_medfev[[Apto]:[Total]],6,FALSE)-1,"")</f>
        <v/>
      </c>
      <c r="K27" s="15" t="str">
        <f>IF(tbl_medset[[#This Row],[Utilização (%)]]&lt;&gt;"",ALERTA_INDIVIDUAL-tbl_medset[[#This Row],[Utilização (%)]],"")</f>
        <v/>
      </c>
    </row>
    <row r="28" spans="1:11" x14ac:dyDescent="0.25">
      <c r="A28" s="2">
        <f>tbl_consolidacao[[#This Row],[Torre]]</f>
        <v>2</v>
      </c>
      <c r="B28" s="2" t="str">
        <f>tbl_consolidacao[[#This Row],[Junta]]</f>
        <v>B</v>
      </c>
      <c r="C28" s="2">
        <f>tbl_consolidacao[[#This Row],[Unid]]</f>
        <v>207</v>
      </c>
      <c r="D28" s="2" t="str">
        <f>tbl_consolidacao[[#This Row],[Apto]]</f>
        <v>207-B2</v>
      </c>
      <c r="E28" s="2">
        <f>tbl_meddez_anterior[[#This Row],[Hidrometro]]</f>
        <v>1259</v>
      </c>
      <c r="F28" s="13"/>
      <c r="G28" s="16">
        <f>tbl_meddez_anterior[[#This Row],[Hidrometro]]</f>
        <v>1259</v>
      </c>
      <c r="H28" s="14"/>
      <c r="I28" s="2">
        <f>tbl_medset[[#This Row],[Medição 
Água Fria]]/100+tbl_medset[[#This Row],[Medição 
Água Quente]]/1000</f>
        <v>0</v>
      </c>
      <c r="J28" s="15" t="str">
        <f>IF(tbl_medset[[#This Row],[Total]]&gt;0,tbl_medset[[#This Row],[Total]]/VLOOKUP(tbl_medset[[#This Row],[Apto]],tbl_medfev[[Apto]:[Total]],6,FALSE)-1,"")</f>
        <v/>
      </c>
      <c r="K28" s="15" t="str">
        <f>IF(tbl_medset[[#This Row],[Utilização (%)]]&lt;&gt;"",ALERTA_INDIVIDUAL-tbl_medset[[#This Row],[Utilização (%)]],"")</f>
        <v/>
      </c>
    </row>
    <row r="29" spans="1:11" x14ac:dyDescent="0.25">
      <c r="A29" s="2">
        <f>tbl_consolidacao[[#This Row],[Torre]]</f>
        <v>1</v>
      </c>
      <c r="B29" s="2" t="str">
        <f>tbl_consolidacao[[#This Row],[Junta]]</f>
        <v>B</v>
      </c>
      <c r="C29" s="2">
        <f>tbl_consolidacao[[#This Row],[Unid]]</f>
        <v>208</v>
      </c>
      <c r="D29" s="2" t="str">
        <f>tbl_consolidacao[[#This Row],[Apto]]</f>
        <v>208-B1</v>
      </c>
      <c r="E29" s="2">
        <f>tbl_meddez_anterior[[#This Row],[Hidrometro]]</f>
        <v>1260</v>
      </c>
      <c r="F29" s="13"/>
      <c r="G29" s="16">
        <f>tbl_meddez_anterior[[#This Row],[Hidrometro]]</f>
        <v>1260</v>
      </c>
      <c r="H29" s="14"/>
      <c r="I29" s="2">
        <f>tbl_medset[[#This Row],[Medição 
Água Fria]]/100+tbl_medset[[#This Row],[Medição 
Água Quente]]/1000</f>
        <v>0</v>
      </c>
      <c r="J29" s="15" t="str">
        <f>IF(tbl_medset[[#This Row],[Total]]&gt;0,tbl_medset[[#This Row],[Total]]/VLOOKUP(tbl_medset[[#This Row],[Apto]],tbl_medfev[[Apto]:[Total]],6,FALSE)-1,"")</f>
        <v/>
      </c>
      <c r="K29" s="15" t="str">
        <f>IF(tbl_medset[[#This Row],[Utilização (%)]]&lt;&gt;"",ALERTA_INDIVIDUAL-tbl_medset[[#This Row],[Utilização (%)]],"")</f>
        <v/>
      </c>
    </row>
    <row r="30" spans="1:11" x14ac:dyDescent="0.25">
      <c r="A30" s="2">
        <f>tbl_consolidacao[[#This Row],[Torre]]</f>
        <v>2</v>
      </c>
      <c r="B30" s="2" t="str">
        <f>tbl_consolidacao[[#This Row],[Junta]]</f>
        <v>B</v>
      </c>
      <c r="C30" s="2">
        <f>tbl_consolidacao[[#This Row],[Unid]]</f>
        <v>208</v>
      </c>
      <c r="D30" s="2" t="str">
        <f>tbl_consolidacao[[#This Row],[Apto]]</f>
        <v>208-B2</v>
      </c>
      <c r="E30" s="2">
        <f>tbl_meddez_anterior[[#This Row],[Hidrometro]]</f>
        <v>1261</v>
      </c>
      <c r="F30" s="13"/>
      <c r="G30" s="16">
        <f>tbl_meddez_anterior[[#This Row],[Hidrometro]]</f>
        <v>1261</v>
      </c>
      <c r="H30" s="14"/>
      <c r="I30" s="2">
        <f>tbl_medset[[#This Row],[Medição 
Água Fria]]/100+tbl_medset[[#This Row],[Medição 
Água Quente]]/1000</f>
        <v>0</v>
      </c>
      <c r="J30" s="15" t="str">
        <f>IF(tbl_medset[[#This Row],[Total]]&gt;0,tbl_medset[[#This Row],[Total]]/VLOOKUP(tbl_medset[[#This Row],[Apto]],tbl_medfev[[Apto]:[Total]],6,FALSE)-1,"")</f>
        <v/>
      </c>
      <c r="K30" s="15" t="str">
        <f>IF(tbl_medset[[#This Row],[Utilização (%)]]&lt;&gt;"",ALERTA_INDIVIDUAL-tbl_medset[[#This Row],[Utilização (%)]],"")</f>
        <v/>
      </c>
    </row>
    <row r="31" spans="1:11" x14ac:dyDescent="0.25">
      <c r="A31" s="2">
        <f>tbl_consolidacao[[#This Row],[Torre]]</f>
        <v>1</v>
      </c>
      <c r="B31" s="2" t="str">
        <f>tbl_consolidacao[[#This Row],[Junta]]</f>
        <v>A</v>
      </c>
      <c r="C31" s="2">
        <f>tbl_consolidacao[[#This Row],[Unid]]</f>
        <v>301</v>
      </c>
      <c r="D31" s="2" t="str">
        <f>tbl_consolidacao[[#This Row],[Apto]]</f>
        <v>301-A1</v>
      </c>
      <c r="E31" s="2">
        <f>tbl_meddez_anterior[[#This Row],[Hidrometro]]</f>
        <v>1262</v>
      </c>
      <c r="F31" s="13"/>
      <c r="G31" s="16">
        <f>tbl_meddez_anterior[[#This Row],[Hidrometro]]</f>
        <v>1262</v>
      </c>
      <c r="H31" s="14"/>
      <c r="I31" s="2">
        <f>tbl_medset[[#This Row],[Medição 
Água Fria]]/100+tbl_medset[[#This Row],[Medição 
Água Quente]]/1000</f>
        <v>0</v>
      </c>
      <c r="J31" s="15" t="str">
        <f>IF(tbl_medset[[#This Row],[Total]]&gt;0,tbl_medset[[#This Row],[Total]]/VLOOKUP(tbl_medset[[#This Row],[Apto]],tbl_medfev[[Apto]:[Total]],6,FALSE)-1,"")</f>
        <v/>
      </c>
      <c r="K31" s="15" t="str">
        <f>IF(tbl_medset[[#This Row],[Utilização (%)]]&lt;&gt;"",ALERTA_INDIVIDUAL-tbl_medset[[#This Row],[Utilização (%)]],"")</f>
        <v/>
      </c>
    </row>
    <row r="32" spans="1:11" x14ac:dyDescent="0.25">
      <c r="A32" s="2">
        <f>tbl_consolidacao[[#This Row],[Torre]]</f>
        <v>2</v>
      </c>
      <c r="B32" s="2" t="str">
        <f>tbl_consolidacao[[#This Row],[Junta]]</f>
        <v>A</v>
      </c>
      <c r="C32" s="2">
        <f>tbl_consolidacao[[#This Row],[Unid]]</f>
        <v>301</v>
      </c>
      <c r="D32" s="2" t="str">
        <f>tbl_consolidacao[[#This Row],[Apto]]</f>
        <v>301-A2</v>
      </c>
      <c r="E32" s="2">
        <f>tbl_meddez_anterior[[#This Row],[Hidrometro]]</f>
        <v>1263</v>
      </c>
      <c r="F32" s="13"/>
      <c r="G32" s="16">
        <f>tbl_meddez_anterior[[#This Row],[Hidrometro]]</f>
        <v>1263</v>
      </c>
      <c r="H32" s="14"/>
      <c r="I32" s="2">
        <f>tbl_medset[[#This Row],[Medição 
Água Fria]]/100+tbl_medset[[#This Row],[Medição 
Água Quente]]/1000</f>
        <v>0</v>
      </c>
      <c r="J32" s="15" t="str">
        <f>IF(tbl_medset[[#This Row],[Total]]&gt;0,tbl_medset[[#This Row],[Total]]/VLOOKUP(tbl_medset[[#This Row],[Apto]],tbl_medfev[[Apto]:[Total]],6,FALSE)-1,"")</f>
        <v/>
      </c>
      <c r="K32" s="15" t="str">
        <f>IF(tbl_medset[[#This Row],[Utilização (%)]]&lt;&gt;"",ALERTA_INDIVIDUAL-tbl_medset[[#This Row],[Utilização (%)]],"")</f>
        <v/>
      </c>
    </row>
    <row r="33" spans="1:11" x14ac:dyDescent="0.25">
      <c r="A33" s="2">
        <f>tbl_consolidacao[[#This Row],[Torre]]</f>
        <v>1</v>
      </c>
      <c r="B33" s="2" t="str">
        <f>tbl_consolidacao[[#This Row],[Junta]]</f>
        <v>A</v>
      </c>
      <c r="C33" s="2">
        <f>tbl_consolidacao[[#This Row],[Unid]]</f>
        <v>302</v>
      </c>
      <c r="D33" s="2" t="str">
        <f>tbl_consolidacao[[#This Row],[Apto]]</f>
        <v>302-A1</v>
      </c>
      <c r="E33" s="2">
        <f>tbl_meddez_anterior[[#This Row],[Hidrometro]]</f>
        <v>1264</v>
      </c>
      <c r="F33" s="13"/>
      <c r="G33" s="16">
        <f>tbl_meddez_anterior[[#This Row],[Hidrometro]]</f>
        <v>1264</v>
      </c>
      <c r="H33" s="14"/>
      <c r="I33" s="2">
        <f>tbl_medset[[#This Row],[Medição 
Água Fria]]/100+tbl_medset[[#This Row],[Medição 
Água Quente]]/1000</f>
        <v>0</v>
      </c>
      <c r="J33" s="15" t="str">
        <f>IF(tbl_medset[[#This Row],[Total]]&gt;0,tbl_medset[[#This Row],[Total]]/VLOOKUP(tbl_medset[[#This Row],[Apto]],tbl_medfev[[Apto]:[Total]],6,FALSE)-1,"")</f>
        <v/>
      </c>
      <c r="K33" s="15" t="str">
        <f>IF(tbl_medset[[#This Row],[Utilização (%)]]&lt;&gt;"",ALERTA_INDIVIDUAL-tbl_medset[[#This Row],[Utilização (%)]],"")</f>
        <v/>
      </c>
    </row>
    <row r="34" spans="1:11" x14ac:dyDescent="0.25">
      <c r="A34" s="2">
        <f>tbl_consolidacao[[#This Row],[Torre]]</f>
        <v>2</v>
      </c>
      <c r="B34" s="2" t="str">
        <f>tbl_consolidacao[[#This Row],[Junta]]</f>
        <v>A</v>
      </c>
      <c r="C34" s="2">
        <f>tbl_consolidacao[[#This Row],[Unid]]</f>
        <v>302</v>
      </c>
      <c r="D34" s="2" t="str">
        <f>tbl_consolidacao[[#This Row],[Apto]]</f>
        <v>302-A2</v>
      </c>
      <c r="E34" s="2">
        <f>tbl_meddez_anterior[[#This Row],[Hidrometro]]</f>
        <v>1265</v>
      </c>
      <c r="F34" s="13"/>
      <c r="G34" s="16">
        <f>tbl_meddez_anterior[[#This Row],[Hidrometro]]</f>
        <v>1265</v>
      </c>
      <c r="H34" s="14"/>
      <c r="I34" s="2">
        <f>tbl_medset[[#This Row],[Medição 
Água Fria]]/100+tbl_medset[[#This Row],[Medição 
Água Quente]]/1000</f>
        <v>0</v>
      </c>
      <c r="J34" s="15" t="str">
        <f>IF(tbl_medset[[#This Row],[Total]]&gt;0,tbl_medset[[#This Row],[Total]]/VLOOKUP(tbl_medset[[#This Row],[Apto]],tbl_medfev[[Apto]:[Total]],6,FALSE)-1,"")</f>
        <v/>
      </c>
      <c r="K34" s="15" t="str">
        <f>IF(tbl_medset[[#This Row],[Utilização (%)]]&lt;&gt;"",ALERTA_INDIVIDUAL-tbl_medset[[#This Row],[Utilização (%)]],"")</f>
        <v/>
      </c>
    </row>
    <row r="35" spans="1:11" x14ac:dyDescent="0.25">
      <c r="A35" s="2">
        <f>tbl_consolidacao[[#This Row],[Torre]]</f>
        <v>1</v>
      </c>
      <c r="B35" s="2" t="str">
        <f>tbl_consolidacao[[#This Row],[Junta]]</f>
        <v>A</v>
      </c>
      <c r="C35" s="2">
        <f>tbl_consolidacao[[#This Row],[Unid]]</f>
        <v>303</v>
      </c>
      <c r="D35" s="2" t="str">
        <f>tbl_consolidacao[[#This Row],[Apto]]</f>
        <v>303-A1</v>
      </c>
      <c r="E35" s="2">
        <f>tbl_meddez_anterior[[#This Row],[Hidrometro]]</f>
        <v>1266</v>
      </c>
      <c r="F35" s="13"/>
      <c r="G35" s="16">
        <f>tbl_meddez_anterior[[#This Row],[Hidrometro]]</f>
        <v>1266</v>
      </c>
      <c r="H35" s="14"/>
      <c r="I35" s="2">
        <f>tbl_medset[[#This Row],[Medição 
Água Fria]]/100+tbl_medset[[#This Row],[Medição 
Água Quente]]/1000</f>
        <v>0</v>
      </c>
      <c r="J35" s="15" t="str">
        <f>IF(tbl_medset[[#This Row],[Total]]&gt;0,tbl_medset[[#This Row],[Total]]/VLOOKUP(tbl_medset[[#This Row],[Apto]],tbl_medfev[[Apto]:[Total]],6,FALSE)-1,"")</f>
        <v/>
      </c>
      <c r="K35" s="15" t="str">
        <f>IF(tbl_medset[[#This Row],[Utilização (%)]]&lt;&gt;"",ALERTA_INDIVIDUAL-tbl_medset[[#This Row],[Utilização (%)]],"")</f>
        <v/>
      </c>
    </row>
    <row r="36" spans="1:11" x14ac:dyDescent="0.25">
      <c r="A36" s="2">
        <f>tbl_consolidacao[[#This Row],[Torre]]</f>
        <v>2</v>
      </c>
      <c r="B36" s="2" t="str">
        <f>tbl_consolidacao[[#This Row],[Junta]]</f>
        <v>A</v>
      </c>
      <c r="C36" s="2">
        <f>tbl_consolidacao[[#This Row],[Unid]]</f>
        <v>303</v>
      </c>
      <c r="D36" s="2" t="str">
        <f>tbl_consolidacao[[#This Row],[Apto]]</f>
        <v>303-A2</v>
      </c>
      <c r="E36" s="2">
        <f>tbl_meddez_anterior[[#This Row],[Hidrometro]]</f>
        <v>1267</v>
      </c>
      <c r="F36" s="13"/>
      <c r="G36" s="16">
        <f>tbl_meddez_anterior[[#This Row],[Hidrometro]]</f>
        <v>1267</v>
      </c>
      <c r="H36" s="14"/>
      <c r="I36" s="2">
        <f>tbl_medset[[#This Row],[Medição 
Água Fria]]/100+tbl_medset[[#This Row],[Medição 
Água Quente]]/1000</f>
        <v>0</v>
      </c>
      <c r="J36" s="15" t="str">
        <f>IF(tbl_medset[[#This Row],[Total]]&gt;0,tbl_medset[[#This Row],[Total]]/VLOOKUP(tbl_medset[[#This Row],[Apto]],tbl_medfev[[Apto]:[Total]],6,FALSE)-1,"")</f>
        <v/>
      </c>
      <c r="K36" s="15" t="str">
        <f>IF(tbl_medset[[#This Row],[Utilização (%)]]&lt;&gt;"",ALERTA_INDIVIDUAL-tbl_medset[[#This Row],[Utilização (%)]],"")</f>
        <v/>
      </c>
    </row>
    <row r="37" spans="1:11" x14ac:dyDescent="0.25">
      <c r="A37" s="2">
        <f>tbl_consolidacao[[#This Row],[Torre]]</f>
        <v>1</v>
      </c>
      <c r="B37" s="2" t="str">
        <f>tbl_consolidacao[[#This Row],[Junta]]</f>
        <v>A</v>
      </c>
      <c r="C37" s="2">
        <f>tbl_consolidacao[[#This Row],[Unid]]</f>
        <v>304</v>
      </c>
      <c r="D37" s="2" t="str">
        <f>tbl_consolidacao[[#This Row],[Apto]]</f>
        <v>304-A1</v>
      </c>
      <c r="E37" s="2">
        <f>tbl_meddez_anterior[[#This Row],[Hidrometro]]</f>
        <v>1268</v>
      </c>
      <c r="F37" s="13"/>
      <c r="G37" s="16">
        <f>tbl_meddez_anterior[[#This Row],[Hidrometro]]</f>
        <v>1268</v>
      </c>
      <c r="H37" s="14"/>
      <c r="I37" s="2">
        <f>tbl_medset[[#This Row],[Medição 
Água Fria]]/100+tbl_medset[[#This Row],[Medição 
Água Quente]]/1000</f>
        <v>0</v>
      </c>
      <c r="J37" s="15" t="str">
        <f>IF(tbl_medset[[#This Row],[Total]]&gt;0,tbl_medset[[#This Row],[Total]]/VLOOKUP(tbl_medset[[#This Row],[Apto]],tbl_medfev[[Apto]:[Total]],6,FALSE)-1,"")</f>
        <v/>
      </c>
      <c r="K37" s="15" t="str">
        <f>IF(tbl_medset[[#This Row],[Utilização (%)]]&lt;&gt;"",ALERTA_INDIVIDUAL-tbl_medset[[#This Row],[Utilização (%)]],"")</f>
        <v/>
      </c>
    </row>
    <row r="38" spans="1:11" x14ac:dyDescent="0.25">
      <c r="A38" s="2">
        <f>tbl_consolidacao[[#This Row],[Torre]]</f>
        <v>2</v>
      </c>
      <c r="B38" s="2" t="str">
        <f>tbl_consolidacao[[#This Row],[Junta]]</f>
        <v>A</v>
      </c>
      <c r="C38" s="2">
        <f>tbl_consolidacao[[#This Row],[Unid]]</f>
        <v>304</v>
      </c>
      <c r="D38" s="2" t="str">
        <f>tbl_consolidacao[[#This Row],[Apto]]</f>
        <v>304-A2</v>
      </c>
      <c r="E38" s="2">
        <f>tbl_meddez_anterior[[#This Row],[Hidrometro]]</f>
        <v>1269</v>
      </c>
      <c r="F38" s="13"/>
      <c r="G38" s="16">
        <f>tbl_meddez_anterior[[#This Row],[Hidrometro]]</f>
        <v>1269</v>
      </c>
      <c r="H38" s="14"/>
      <c r="I38" s="2">
        <f>tbl_medset[[#This Row],[Medição 
Água Fria]]/100+tbl_medset[[#This Row],[Medição 
Água Quente]]/1000</f>
        <v>0</v>
      </c>
      <c r="J38" s="15" t="str">
        <f>IF(tbl_medset[[#This Row],[Total]]&gt;0,tbl_medset[[#This Row],[Total]]/VLOOKUP(tbl_medset[[#This Row],[Apto]],tbl_medfev[[Apto]:[Total]],6,FALSE)-1,"")</f>
        <v/>
      </c>
      <c r="K38" s="15" t="str">
        <f>IF(tbl_medset[[#This Row],[Utilização (%)]]&lt;&gt;"",ALERTA_INDIVIDUAL-tbl_medset[[#This Row],[Utilização (%)]],"")</f>
        <v/>
      </c>
    </row>
    <row r="39" spans="1:11" x14ac:dyDescent="0.25">
      <c r="A39" s="2">
        <f>tbl_consolidacao[[#This Row],[Torre]]</f>
        <v>1</v>
      </c>
      <c r="B39" s="2" t="str">
        <f>tbl_consolidacao[[#This Row],[Junta]]</f>
        <v>B</v>
      </c>
      <c r="C39" s="2">
        <f>tbl_consolidacao[[#This Row],[Unid]]</f>
        <v>305</v>
      </c>
      <c r="D39" s="2" t="str">
        <f>tbl_consolidacao[[#This Row],[Apto]]</f>
        <v>305-B1</v>
      </c>
      <c r="E39" s="2">
        <f>tbl_meddez_anterior[[#This Row],[Hidrometro]]</f>
        <v>1270</v>
      </c>
      <c r="F39" s="13"/>
      <c r="G39" s="16">
        <f>tbl_meddez_anterior[[#This Row],[Hidrometro]]</f>
        <v>1270</v>
      </c>
      <c r="H39" s="14"/>
      <c r="I39" s="2">
        <f>tbl_medset[[#This Row],[Medição 
Água Fria]]/100+tbl_medset[[#This Row],[Medição 
Água Quente]]/1000</f>
        <v>0</v>
      </c>
      <c r="J39" s="15" t="str">
        <f>IF(tbl_medset[[#This Row],[Total]]&gt;0,tbl_medset[[#This Row],[Total]]/VLOOKUP(tbl_medset[[#This Row],[Apto]],tbl_medfev[[Apto]:[Total]],6,FALSE)-1,"")</f>
        <v/>
      </c>
      <c r="K39" s="15" t="str">
        <f>IF(tbl_medset[[#This Row],[Utilização (%)]]&lt;&gt;"",ALERTA_INDIVIDUAL-tbl_medset[[#This Row],[Utilização (%)]],"")</f>
        <v/>
      </c>
    </row>
    <row r="40" spans="1:11" x14ac:dyDescent="0.25">
      <c r="A40" s="2">
        <f>tbl_consolidacao[[#This Row],[Torre]]</f>
        <v>2</v>
      </c>
      <c r="B40" s="2" t="str">
        <f>tbl_consolidacao[[#This Row],[Junta]]</f>
        <v>B</v>
      </c>
      <c r="C40" s="2">
        <f>tbl_consolidacao[[#This Row],[Unid]]</f>
        <v>305</v>
      </c>
      <c r="D40" s="2" t="str">
        <f>tbl_consolidacao[[#This Row],[Apto]]</f>
        <v>305-B2</v>
      </c>
      <c r="E40" s="2">
        <f>tbl_meddez_anterior[[#This Row],[Hidrometro]]</f>
        <v>1271</v>
      </c>
      <c r="F40" s="13"/>
      <c r="G40" s="16">
        <f>tbl_meddez_anterior[[#This Row],[Hidrometro]]</f>
        <v>1271</v>
      </c>
      <c r="H40" s="14"/>
      <c r="I40" s="2">
        <f>tbl_medset[[#This Row],[Medição 
Água Fria]]/100+tbl_medset[[#This Row],[Medição 
Água Quente]]/1000</f>
        <v>0</v>
      </c>
      <c r="J40" s="15" t="str">
        <f>IF(tbl_medset[[#This Row],[Total]]&gt;0,tbl_medset[[#This Row],[Total]]/VLOOKUP(tbl_medset[[#This Row],[Apto]],tbl_medfev[[Apto]:[Total]],6,FALSE)-1,"")</f>
        <v/>
      </c>
      <c r="K40" s="15" t="str">
        <f>IF(tbl_medset[[#This Row],[Utilização (%)]]&lt;&gt;"",ALERTA_INDIVIDUAL-tbl_medset[[#This Row],[Utilização (%)]],"")</f>
        <v/>
      </c>
    </row>
    <row r="41" spans="1:11" x14ac:dyDescent="0.25">
      <c r="A41" s="2">
        <f>tbl_consolidacao[[#This Row],[Torre]]</f>
        <v>1</v>
      </c>
      <c r="B41" s="2" t="str">
        <f>tbl_consolidacao[[#This Row],[Junta]]</f>
        <v>B</v>
      </c>
      <c r="C41" s="2">
        <f>tbl_consolidacao[[#This Row],[Unid]]</f>
        <v>306</v>
      </c>
      <c r="D41" s="2" t="str">
        <f>tbl_consolidacao[[#This Row],[Apto]]</f>
        <v>306-B1</v>
      </c>
      <c r="E41" s="2">
        <f>tbl_meddez_anterior[[#This Row],[Hidrometro]]</f>
        <v>1272</v>
      </c>
      <c r="F41" s="13"/>
      <c r="G41" s="16">
        <f>tbl_meddez_anterior[[#This Row],[Hidrometro]]</f>
        <v>1272</v>
      </c>
      <c r="H41" s="14"/>
      <c r="I41" s="2">
        <f>tbl_medset[[#This Row],[Medição 
Água Fria]]/100+tbl_medset[[#This Row],[Medição 
Água Quente]]/1000</f>
        <v>0</v>
      </c>
      <c r="J41" s="15" t="str">
        <f>IF(tbl_medset[[#This Row],[Total]]&gt;0,tbl_medset[[#This Row],[Total]]/VLOOKUP(tbl_medset[[#This Row],[Apto]],tbl_medfev[[Apto]:[Total]],6,FALSE)-1,"")</f>
        <v/>
      </c>
      <c r="K41" s="15" t="str">
        <f>IF(tbl_medset[[#This Row],[Utilização (%)]]&lt;&gt;"",ALERTA_INDIVIDUAL-tbl_medset[[#This Row],[Utilização (%)]],"")</f>
        <v/>
      </c>
    </row>
    <row r="42" spans="1:11" x14ac:dyDescent="0.25">
      <c r="A42" s="2">
        <f>tbl_consolidacao[[#This Row],[Torre]]</f>
        <v>2</v>
      </c>
      <c r="B42" s="2" t="str">
        <f>tbl_consolidacao[[#This Row],[Junta]]</f>
        <v>B</v>
      </c>
      <c r="C42" s="2">
        <f>tbl_consolidacao[[#This Row],[Unid]]</f>
        <v>306</v>
      </c>
      <c r="D42" s="2" t="str">
        <f>tbl_consolidacao[[#This Row],[Apto]]</f>
        <v>306-B2</v>
      </c>
      <c r="E42" s="2">
        <f>tbl_meddez_anterior[[#This Row],[Hidrometro]]</f>
        <v>1273</v>
      </c>
      <c r="F42" s="13"/>
      <c r="G42" s="16">
        <f>tbl_meddez_anterior[[#This Row],[Hidrometro]]</f>
        <v>1273</v>
      </c>
      <c r="H42" s="14"/>
      <c r="I42" s="2">
        <f>tbl_medset[[#This Row],[Medição 
Água Fria]]/100+tbl_medset[[#This Row],[Medição 
Água Quente]]/1000</f>
        <v>0</v>
      </c>
      <c r="J42" s="15" t="str">
        <f>IF(tbl_medset[[#This Row],[Total]]&gt;0,tbl_medset[[#This Row],[Total]]/VLOOKUP(tbl_medset[[#This Row],[Apto]],tbl_medfev[[Apto]:[Total]],6,FALSE)-1,"")</f>
        <v/>
      </c>
      <c r="K42" s="15" t="str">
        <f>IF(tbl_medset[[#This Row],[Utilização (%)]]&lt;&gt;"",ALERTA_INDIVIDUAL-tbl_medset[[#This Row],[Utilização (%)]],"")</f>
        <v/>
      </c>
    </row>
    <row r="43" spans="1:11" x14ac:dyDescent="0.25">
      <c r="A43" s="2">
        <f>tbl_consolidacao[[#This Row],[Torre]]</f>
        <v>1</v>
      </c>
      <c r="B43" s="2" t="str">
        <f>tbl_consolidacao[[#This Row],[Junta]]</f>
        <v>B</v>
      </c>
      <c r="C43" s="2">
        <f>tbl_consolidacao[[#This Row],[Unid]]</f>
        <v>307</v>
      </c>
      <c r="D43" s="2" t="str">
        <f>tbl_consolidacao[[#This Row],[Apto]]</f>
        <v>307-B1</v>
      </c>
      <c r="E43" s="2">
        <f>tbl_meddez_anterior[[#This Row],[Hidrometro]]</f>
        <v>1274</v>
      </c>
      <c r="F43" s="13"/>
      <c r="G43" s="16">
        <f>tbl_meddez_anterior[[#This Row],[Hidrometro]]</f>
        <v>1274</v>
      </c>
      <c r="H43" s="14"/>
      <c r="I43" s="2">
        <f>tbl_medset[[#This Row],[Medição 
Água Fria]]/100+tbl_medset[[#This Row],[Medição 
Água Quente]]/1000</f>
        <v>0</v>
      </c>
      <c r="J43" s="15" t="str">
        <f>IF(tbl_medset[[#This Row],[Total]]&gt;0,tbl_medset[[#This Row],[Total]]/VLOOKUP(tbl_medset[[#This Row],[Apto]],tbl_medfev[[Apto]:[Total]],6,FALSE)-1,"")</f>
        <v/>
      </c>
      <c r="K43" s="15" t="str">
        <f>IF(tbl_medset[[#This Row],[Utilização (%)]]&lt;&gt;"",ALERTA_INDIVIDUAL-tbl_medset[[#This Row],[Utilização (%)]],"")</f>
        <v/>
      </c>
    </row>
    <row r="44" spans="1:11" x14ac:dyDescent="0.25">
      <c r="A44" s="2">
        <f>tbl_consolidacao[[#This Row],[Torre]]</f>
        <v>2</v>
      </c>
      <c r="B44" s="2" t="str">
        <f>tbl_consolidacao[[#This Row],[Junta]]</f>
        <v>B</v>
      </c>
      <c r="C44" s="2">
        <f>tbl_consolidacao[[#This Row],[Unid]]</f>
        <v>307</v>
      </c>
      <c r="D44" s="2" t="str">
        <f>tbl_consolidacao[[#This Row],[Apto]]</f>
        <v>307-B2</v>
      </c>
      <c r="E44" s="2">
        <f>tbl_meddez_anterior[[#This Row],[Hidrometro]]</f>
        <v>1275</v>
      </c>
      <c r="F44" s="13"/>
      <c r="G44" s="16">
        <f>tbl_meddez_anterior[[#This Row],[Hidrometro]]</f>
        <v>1275</v>
      </c>
      <c r="H44" s="14"/>
      <c r="I44" s="2">
        <f>tbl_medset[[#This Row],[Medição 
Água Fria]]/100+tbl_medset[[#This Row],[Medição 
Água Quente]]/1000</f>
        <v>0</v>
      </c>
      <c r="J44" s="15" t="str">
        <f>IF(tbl_medset[[#This Row],[Total]]&gt;0,tbl_medset[[#This Row],[Total]]/VLOOKUP(tbl_medset[[#This Row],[Apto]],tbl_medfev[[Apto]:[Total]],6,FALSE)-1,"")</f>
        <v/>
      </c>
      <c r="K44" s="15" t="str">
        <f>IF(tbl_medset[[#This Row],[Utilização (%)]]&lt;&gt;"",ALERTA_INDIVIDUAL-tbl_medset[[#This Row],[Utilização (%)]],"")</f>
        <v/>
      </c>
    </row>
    <row r="45" spans="1:11" x14ac:dyDescent="0.25">
      <c r="A45" s="2">
        <f>tbl_consolidacao[[#This Row],[Torre]]</f>
        <v>1</v>
      </c>
      <c r="B45" s="2" t="str">
        <f>tbl_consolidacao[[#This Row],[Junta]]</f>
        <v>B</v>
      </c>
      <c r="C45" s="2">
        <f>tbl_consolidacao[[#This Row],[Unid]]</f>
        <v>308</v>
      </c>
      <c r="D45" s="2" t="str">
        <f>tbl_consolidacao[[#This Row],[Apto]]</f>
        <v>308-B1</v>
      </c>
      <c r="E45" s="2">
        <f>tbl_meddez_anterior[[#This Row],[Hidrometro]]</f>
        <v>1276</v>
      </c>
      <c r="F45" s="13"/>
      <c r="G45" s="16">
        <f>tbl_meddez_anterior[[#This Row],[Hidrometro]]</f>
        <v>1276</v>
      </c>
      <c r="H45" s="14"/>
      <c r="I45" s="2">
        <f>tbl_medset[[#This Row],[Medição 
Água Fria]]/100+tbl_medset[[#This Row],[Medição 
Água Quente]]/1000</f>
        <v>0</v>
      </c>
      <c r="J45" s="15" t="str">
        <f>IF(tbl_medset[[#This Row],[Total]]&gt;0,tbl_medset[[#This Row],[Total]]/VLOOKUP(tbl_medset[[#This Row],[Apto]],tbl_medfev[[Apto]:[Total]],6,FALSE)-1,"")</f>
        <v/>
      </c>
      <c r="K45" s="15" t="str">
        <f>IF(tbl_medset[[#This Row],[Utilização (%)]]&lt;&gt;"",ALERTA_INDIVIDUAL-tbl_medset[[#This Row],[Utilização (%)]],"")</f>
        <v/>
      </c>
    </row>
    <row r="46" spans="1:11" x14ac:dyDescent="0.25">
      <c r="A46" s="2">
        <f>tbl_consolidacao[[#This Row],[Torre]]</f>
        <v>2</v>
      </c>
      <c r="B46" s="2" t="str">
        <f>tbl_consolidacao[[#This Row],[Junta]]</f>
        <v>B</v>
      </c>
      <c r="C46" s="2">
        <f>tbl_consolidacao[[#This Row],[Unid]]</f>
        <v>308</v>
      </c>
      <c r="D46" s="2" t="str">
        <f>tbl_consolidacao[[#This Row],[Apto]]</f>
        <v>308-B2</v>
      </c>
      <c r="E46" s="2">
        <f>tbl_meddez_anterior[[#This Row],[Hidrometro]]</f>
        <v>1277</v>
      </c>
      <c r="F46" s="13"/>
      <c r="G46" s="16">
        <f>tbl_meddez_anterior[[#This Row],[Hidrometro]]</f>
        <v>1277</v>
      </c>
      <c r="H46" s="14"/>
      <c r="I46" s="2">
        <f>tbl_medset[[#This Row],[Medição 
Água Fria]]/100+tbl_medset[[#This Row],[Medição 
Água Quente]]/1000</f>
        <v>0</v>
      </c>
      <c r="J46" s="15" t="str">
        <f>IF(tbl_medset[[#This Row],[Total]]&gt;0,tbl_medset[[#This Row],[Total]]/VLOOKUP(tbl_medset[[#This Row],[Apto]],tbl_medfev[[Apto]:[Total]],6,FALSE)-1,"")</f>
        <v/>
      </c>
      <c r="K46" s="15" t="str">
        <f>IF(tbl_medset[[#This Row],[Utilização (%)]]&lt;&gt;"",ALERTA_INDIVIDUAL-tbl_medset[[#This Row],[Utilização (%)]],"")</f>
        <v/>
      </c>
    </row>
  </sheetData>
  <sheetProtection algorithmName="SHA-512" hashValue="8Dql0GSTYZR/Pv30EOOOU4amVRFscM4K/IsZ5QDIqd9UcmNneJc068x9oPl94x9u+leULjhHneaYp3FRKUrwiw==" saltValue="UUM1DZ1JKgMOxLjv5v1RfQ==" spinCount="100000" sheet="1" objects="1" scenarios="1" selectLockedCells="1"/>
  <mergeCells count="3">
    <mergeCell ref="E1:F1"/>
    <mergeCell ref="G1:H1"/>
    <mergeCell ref="I1:J1"/>
  </mergeCells>
  <conditionalFormatting sqref="K3:K46">
    <cfRule type="iconSet" priority="1">
      <iconSet iconSet="3Flags" showValue="0">
        <cfvo type="percent" val="0"/>
        <cfvo type="percent" val="5"/>
        <cfvo type="percent" val="1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K46"/>
  <sheetViews>
    <sheetView showGridLines="0" workbookViewId="0">
      <selection activeCell="G1" sqref="G1:H1"/>
    </sheetView>
  </sheetViews>
  <sheetFormatPr defaultRowHeight="15" x14ac:dyDescent="0.25"/>
  <cols>
    <col min="1" max="3" width="7.7109375" customWidth="1"/>
    <col min="4" max="4" width="10.7109375" customWidth="1"/>
    <col min="5" max="9" width="12.7109375" customWidth="1"/>
    <col min="10" max="10" width="10.7109375" customWidth="1"/>
    <col min="11" max="11" width="3.7109375" customWidth="1"/>
  </cols>
  <sheetData>
    <row r="1" spans="1:11" ht="23.25" x14ac:dyDescent="0.35">
      <c r="E1" s="53" t="s">
        <v>48</v>
      </c>
      <c r="F1" s="53"/>
      <c r="G1" s="54"/>
      <c r="H1" s="54"/>
      <c r="I1" s="55" t="str">
        <f>IF(G1&lt;&gt;"",TEXT(G1,"mmmm-aa"),"")</f>
        <v/>
      </c>
      <c r="J1" s="55"/>
    </row>
    <row r="2" spans="1:11" ht="65.099999999999994" customHeight="1" x14ac:dyDescent="0.25">
      <c r="A2" s="3" t="s">
        <v>24</v>
      </c>
      <c r="B2" s="3" t="s">
        <v>25</v>
      </c>
      <c r="C2" s="3" t="s">
        <v>26</v>
      </c>
      <c r="D2" s="3" t="s">
        <v>49</v>
      </c>
      <c r="E2" s="3" t="s">
        <v>27</v>
      </c>
      <c r="F2" s="12" t="s">
        <v>43</v>
      </c>
      <c r="G2" s="10" t="s">
        <v>30</v>
      </c>
      <c r="H2" s="11" t="s">
        <v>44</v>
      </c>
      <c r="I2" s="3" t="s">
        <v>45</v>
      </c>
      <c r="J2" s="3" t="s">
        <v>46</v>
      </c>
      <c r="K2" s="3" t="s">
        <v>19</v>
      </c>
    </row>
    <row r="3" spans="1:11" x14ac:dyDescent="0.25">
      <c r="A3" s="2">
        <f>tbl_consolidacao[[#This Row],[Torre]]</f>
        <v>1</v>
      </c>
      <c r="B3" s="2" t="str">
        <f>tbl_consolidacao[[#This Row],[Junta]]</f>
        <v>A</v>
      </c>
      <c r="C3" s="2">
        <f>tbl_consolidacao[[#This Row],[Unid]]</f>
        <v>101</v>
      </c>
      <c r="D3" s="2" t="str">
        <f>tbl_consolidacao[[#This Row],[Apto]]</f>
        <v>101-A1</v>
      </c>
      <c r="E3" s="2">
        <f>tbl_meddez_anterior[[#This Row],[Hidrometro]]</f>
        <v>1234</v>
      </c>
      <c r="F3" s="13"/>
      <c r="G3" s="16">
        <f>tbl_meddez_anterior[[#This Row],[Hidrometro]]</f>
        <v>1234</v>
      </c>
      <c r="H3" s="14"/>
      <c r="I3" s="2">
        <f>tbl_medout[[#This Row],[Medição 
Água Fria]]/100+tbl_medout[[#This Row],[Medição 
Água Quente]]/1000</f>
        <v>0</v>
      </c>
      <c r="J3" s="15" t="str">
        <f>IF(tbl_medout[[#This Row],[Total]]&gt;0,tbl_medout[[#This Row],[Total]]/VLOOKUP(tbl_medout[[#This Row],[Apto]],tbl_medfev[[Apto]:[Total]],6,FALSE)-1,"")</f>
        <v/>
      </c>
      <c r="K3" s="15" t="str">
        <f>IF(tbl_medout[[#This Row],[Utilização (%)]]&lt;&gt;"",ALERTA_INDIVIDUAL-tbl_medout[[#This Row],[Utilização (%)]],"")</f>
        <v/>
      </c>
    </row>
    <row r="4" spans="1:11" x14ac:dyDescent="0.25">
      <c r="A4" s="2">
        <f>tbl_consolidacao[[#This Row],[Torre]]</f>
        <v>2</v>
      </c>
      <c r="B4" s="2" t="str">
        <f>tbl_consolidacao[[#This Row],[Junta]]</f>
        <v>A</v>
      </c>
      <c r="C4" s="2">
        <f>tbl_consolidacao[[#This Row],[Unid]]</f>
        <v>101</v>
      </c>
      <c r="D4" s="2" t="str">
        <f>tbl_consolidacao[[#This Row],[Apto]]</f>
        <v>101-A2</v>
      </c>
      <c r="E4" s="2">
        <f>tbl_meddez_anterior[[#This Row],[Hidrometro]]</f>
        <v>1235</v>
      </c>
      <c r="F4" s="13"/>
      <c r="G4" s="16">
        <f>tbl_meddez_anterior[[#This Row],[Hidrometro]]</f>
        <v>1235</v>
      </c>
      <c r="H4" s="14"/>
      <c r="I4" s="2">
        <f>tbl_medout[[#This Row],[Medição 
Água Fria]]/100+tbl_medout[[#This Row],[Medição 
Água Quente]]/1000</f>
        <v>0</v>
      </c>
      <c r="J4" s="15" t="str">
        <f>IF(tbl_medout[[#This Row],[Total]]&gt;0,tbl_medout[[#This Row],[Total]]/VLOOKUP(tbl_medout[[#This Row],[Apto]],tbl_medfev[[Apto]:[Total]],6,FALSE)-1,"")</f>
        <v/>
      </c>
      <c r="K4" s="15" t="str">
        <f>IF(tbl_medout[[#This Row],[Utilização (%)]]&lt;&gt;"",ALERTA_INDIVIDUAL-tbl_medout[[#This Row],[Utilização (%)]],"")</f>
        <v/>
      </c>
    </row>
    <row r="5" spans="1:11" x14ac:dyDescent="0.25">
      <c r="A5" s="2">
        <f>tbl_consolidacao[[#This Row],[Torre]]</f>
        <v>1</v>
      </c>
      <c r="B5" s="2" t="str">
        <f>tbl_consolidacao[[#This Row],[Junta]]</f>
        <v>A</v>
      </c>
      <c r="C5" s="2">
        <f>tbl_consolidacao[[#This Row],[Unid]]</f>
        <v>102</v>
      </c>
      <c r="D5" s="2" t="str">
        <f>tbl_consolidacao[[#This Row],[Apto]]</f>
        <v>102-A1</v>
      </c>
      <c r="E5" s="2">
        <f>tbl_meddez_anterior[[#This Row],[Hidrometro]]</f>
        <v>1236</v>
      </c>
      <c r="F5" s="13"/>
      <c r="G5" s="16">
        <f>tbl_meddez_anterior[[#This Row],[Hidrometro]]</f>
        <v>1236</v>
      </c>
      <c r="H5" s="14"/>
      <c r="I5" s="2">
        <f>tbl_medout[[#This Row],[Medição 
Água Fria]]/100+tbl_medout[[#This Row],[Medição 
Água Quente]]/1000</f>
        <v>0</v>
      </c>
      <c r="J5" s="15" t="str">
        <f>IF(tbl_medout[[#This Row],[Total]]&gt;0,tbl_medout[[#This Row],[Total]]/VLOOKUP(tbl_medout[[#This Row],[Apto]],tbl_medfev[[Apto]:[Total]],6,FALSE)-1,"")</f>
        <v/>
      </c>
      <c r="K5" s="15" t="str">
        <f>IF(tbl_medout[[#This Row],[Utilização (%)]]&lt;&gt;"",ALERTA_INDIVIDUAL-tbl_medout[[#This Row],[Utilização (%)]],"")</f>
        <v/>
      </c>
    </row>
    <row r="6" spans="1:11" x14ac:dyDescent="0.25">
      <c r="A6" s="2">
        <f>tbl_consolidacao[[#This Row],[Torre]]</f>
        <v>2</v>
      </c>
      <c r="B6" s="2" t="str">
        <f>tbl_consolidacao[[#This Row],[Junta]]</f>
        <v>A</v>
      </c>
      <c r="C6" s="2">
        <f>tbl_consolidacao[[#This Row],[Unid]]</f>
        <v>102</v>
      </c>
      <c r="D6" s="2" t="str">
        <f>tbl_consolidacao[[#This Row],[Apto]]</f>
        <v>102-A2</v>
      </c>
      <c r="E6" s="2">
        <f>tbl_meddez_anterior[[#This Row],[Hidrometro]]</f>
        <v>1237</v>
      </c>
      <c r="F6" s="13"/>
      <c r="G6" s="16">
        <f>tbl_meddez_anterior[[#This Row],[Hidrometro]]</f>
        <v>1237</v>
      </c>
      <c r="H6" s="14"/>
      <c r="I6" s="2">
        <f>tbl_medout[[#This Row],[Medição 
Água Fria]]/100+tbl_medout[[#This Row],[Medição 
Água Quente]]/1000</f>
        <v>0</v>
      </c>
      <c r="J6" s="15" t="str">
        <f>IF(tbl_medout[[#This Row],[Total]]&gt;0,tbl_medout[[#This Row],[Total]]/VLOOKUP(tbl_medout[[#This Row],[Apto]],tbl_medfev[[Apto]:[Total]],6,FALSE)-1,"")</f>
        <v/>
      </c>
      <c r="K6" s="15" t="str">
        <f>IF(tbl_medout[[#This Row],[Utilização (%)]]&lt;&gt;"",ALERTA_INDIVIDUAL-tbl_medout[[#This Row],[Utilização (%)]],"")</f>
        <v/>
      </c>
    </row>
    <row r="7" spans="1:11" x14ac:dyDescent="0.25">
      <c r="A7" s="2">
        <f>tbl_consolidacao[[#This Row],[Torre]]</f>
        <v>1</v>
      </c>
      <c r="B7" s="2" t="str">
        <f>tbl_consolidacao[[#This Row],[Junta]]</f>
        <v>A</v>
      </c>
      <c r="C7" s="2">
        <f>tbl_consolidacao[[#This Row],[Unid]]</f>
        <v>103</v>
      </c>
      <c r="D7" s="2" t="str">
        <f>tbl_consolidacao[[#This Row],[Apto]]</f>
        <v>103-A1</v>
      </c>
      <c r="E7" s="2">
        <f>tbl_meddez_anterior[[#This Row],[Hidrometro]]</f>
        <v>1238</v>
      </c>
      <c r="F7" s="13"/>
      <c r="G7" s="16">
        <f>tbl_meddez_anterior[[#This Row],[Hidrometro]]</f>
        <v>1238</v>
      </c>
      <c r="H7" s="14"/>
      <c r="I7" s="2">
        <f>tbl_medout[[#This Row],[Medição 
Água Fria]]/100+tbl_medout[[#This Row],[Medição 
Água Quente]]/1000</f>
        <v>0</v>
      </c>
      <c r="J7" s="15" t="str">
        <f>IF(tbl_medout[[#This Row],[Total]]&gt;0,tbl_medout[[#This Row],[Total]]/VLOOKUP(tbl_medout[[#This Row],[Apto]],tbl_medfev[[Apto]:[Total]],6,FALSE)-1,"")</f>
        <v/>
      </c>
      <c r="K7" s="15" t="str">
        <f>IF(tbl_medout[[#This Row],[Utilização (%)]]&lt;&gt;"",ALERTA_INDIVIDUAL-tbl_medout[[#This Row],[Utilização (%)]],"")</f>
        <v/>
      </c>
    </row>
    <row r="8" spans="1:11" x14ac:dyDescent="0.25">
      <c r="A8" s="2">
        <f>tbl_consolidacao[[#This Row],[Torre]]</f>
        <v>2</v>
      </c>
      <c r="B8" s="2" t="str">
        <f>tbl_consolidacao[[#This Row],[Junta]]</f>
        <v>A</v>
      </c>
      <c r="C8" s="2">
        <f>tbl_consolidacao[[#This Row],[Unid]]</f>
        <v>103</v>
      </c>
      <c r="D8" s="2" t="str">
        <f>tbl_consolidacao[[#This Row],[Apto]]</f>
        <v>103-A2</v>
      </c>
      <c r="E8" s="2">
        <f>tbl_meddez_anterior[[#This Row],[Hidrometro]]</f>
        <v>1239</v>
      </c>
      <c r="F8" s="13"/>
      <c r="G8" s="16">
        <f>tbl_meddez_anterior[[#This Row],[Hidrometro]]</f>
        <v>1239</v>
      </c>
      <c r="H8" s="14"/>
      <c r="I8" s="2">
        <f>tbl_medout[[#This Row],[Medição 
Água Fria]]/100+tbl_medout[[#This Row],[Medição 
Água Quente]]/1000</f>
        <v>0</v>
      </c>
      <c r="J8" s="15" t="str">
        <f>IF(tbl_medout[[#This Row],[Total]]&gt;0,tbl_medout[[#This Row],[Total]]/VLOOKUP(tbl_medout[[#This Row],[Apto]],tbl_medfev[[Apto]:[Total]],6,FALSE)-1,"")</f>
        <v/>
      </c>
      <c r="K8" s="15" t="str">
        <f>IF(tbl_medout[[#This Row],[Utilização (%)]]&lt;&gt;"",ALERTA_INDIVIDUAL-tbl_medout[[#This Row],[Utilização (%)]],"")</f>
        <v/>
      </c>
    </row>
    <row r="9" spans="1:11" x14ac:dyDescent="0.25">
      <c r="A9" s="2">
        <f>tbl_consolidacao[[#This Row],[Torre]]</f>
        <v>1</v>
      </c>
      <c r="B9" s="2" t="str">
        <f>tbl_consolidacao[[#This Row],[Junta]]</f>
        <v>A</v>
      </c>
      <c r="C9" s="2">
        <f>tbl_consolidacao[[#This Row],[Unid]]</f>
        <v>104</v>
      </c>
      <c r="D9" s="2" t="str">
        <f>tbl_consolidacao[[#This Row],[Apto]]</f>
        <v>104-A1</v>
      </c>
      <c r="E9" s="2">
        <f>tbl_meddez_anterior[[#This Row],[Hidrometro]]</f>
        <v>1240</v>
      </c>
      <c r="F9" s="13"/>
      <c r="G9" s="16">
        <f>tbl_meddez_anterior[[#This Row],[Hidrometro]]</f>
        <v>1240</v>
      </c>
      <c r="H9" s="14"/>
      <c r="I9" s="2">
        <f>tbl_medout[[#This Row],[Medição 
Água Fria]]/100+tbl_medout[[#This Row],[Medição 
Água Quente]]/1000</f>
        <v>0</v>
      </c>
      <c r="J9" s="15" t="str">
        <f>IF(tbl_medout[[#This Row],[Total]]&gt;0,tbl_medout[[#This Row],[Total]]/VLOOKUP(tbl_medout[[#This Row],[Apto]],tbl_medfev[[Apto]:[Total]],6,FALSE)-1,"")</f>
        <v/>
      </c>
      <c r="K9" s="15" t="str">
        <f>IF(tbl_medout[[#This Row],[Utilização (%)]]&lt;&gt;"",ALERTA_INDIVIDUAL-tbl_medout[[#This Row],[Utilização (%)]],"")</f>
        <v/>
      </c>
    </row>
    <row r="10" spans="1:11" x14ac:dyDescent="0.25">
      <c r="A10" s="2">
        <f>tbl_consolidacao[[#This Row],[Torre]]</f>
        <v>2</v>
      </c>
      <c r="B10" s="2" t="str">
        <f>tbl_consolidacao[[#This Row],[Junta]]</f>
        <v>A</v>
      </c>
      <c r="C10" s="2">
        <f>tbl_consolidacao[[#This Row],[Unid]]</f>
        <v>104</v>
      </c>
      <c r="D10" s="2" t="str">
        <f>tbl_consolidacao[[#This Row],[Apto]]</f>
        <v>104-A2</v>
      </c>
      <c r="E10" s="2">
        <f>tbl_meddez_anterior[[#This Row],[Hidrometro]]</f>
        <v>1241</v>
      </c>
      <c r="F10" s="13"/>
      <c r="G10" s="16">
        <f>tbl_meddez_anterior[[#This Row],[Hidrometro]]</f>
        <v>1241</v>
      </c>
      <c r="H10" s="14"/>
      <c r="I10" s="2">
        <f>tbl_medout[[#This Row],[Medição 
Água Fria]]/100+tbl_medout[[#This Row],[Medição 
Água Quente]]/1000</f>
        <v>0</v>
      </c>
      <c r="J10" s="15" t="str">
        <f>IF(tbl_medout[[#This Row],[Total]]&gt;0,tbl_medout[[#This Row],[Total]]/VLOOKUP(tbl_medout[[#This Row],[Apto]],tbl_medfev[[Apto]:[Total]],6,FALSE)-1,"")</f>
        <v/>
      </c>
      <c r="K10" s="15" t="str">
        <f>IF(tbl_medout[[#This Row],[Utilização (%)]]&lt;&gt;"",ALERTA_INDIVIDUAL-tbl_medout[[#This Row],[Utilização (%)]],"")</f>
        <v/>
      </c>
    </row>
    <row r="11" spans="1:11" x14ac:dyDescent="0.25">
      <c r="A11" s="2">
        <f>tbl_consolidacao[[#This Row],[Torre]]</f>
        <v>2</v>
      </c>
      <c r="B11" s="2" t="str">
        <f>tbl_consolidacao[[#This Row],[Junta]]</f>
        <v>B</v>
      </c>
      <c r="C11" s="2">
        <f>tbl_consolidacao[[#This Row],[Unid]]</f>
        <v>105</v>
      </c>
      <c r="D11" s="2" t="str">
        <f>tbl_consolidacao[[#This Row],[Apto]]</f>
        <v>105-B2</v>
      </c>
      <c r="E11" s="2">
        <f>tbl_meddez_anterior[[#This Row],[Hidrometro]]</f>
        <v>1242</v>
      </c>
      <c r="F11" s="13"/>
      <c r="G11" s="16">
        <f>tbl_meddez_anterior[[#This Row],[Hidrometro]]</f>
        <v>1242</v>
      </c>
      <c r="H11" s="14"/>
      <c r="I11" s="2">
        <f>tbl_medout[[#This Row],[Medição 
Água Fria]]/100+tbl_medout[[#This Row],[Medição 
Água Quente]]/1000</f>
        <v>0</v>
      </c>
      <c r="J11" s="15" t="str">
        <f>IF(tbl_medout[[#This Row],[Total]]&gt;0,tbl_medout[[#This Row],[Total]]/VLOOKUP(tbl_medout[[#This Row],[Apto]],tbl_medfev[[Apto]:[Total]],6,FALSE)-1,"")</f>
        <v/>
      </c>
      <c r="K11" s="15" t="str">
        <f>IF(tbl_medout[[#This Row],[Utilização (%)]]&lt;&gt;"",ALERTA_INDIVIDUAL-tbl_medout[[#This Row],[Utilização (%)]],"")</f>
        <v/>
      </c>
    </row>
    <row r="12" spans="1:11" x14ac:dyDescent="0.25">
      <c r="A12" s="2">
        <f>tbl_consolidacao[[#This Row],[Torre]]</f>
        <v>2</v>
      </c>
      <c r="B12" s="2" t="str">
        <f>tbl_consolidacao[[#This Row],[Junta]]</f>
        <v>B</v>
      </c>
      <c r="C12" s="2">
        <f>tbl_consolidacao[[#This Row],[Unid]]</f>
        <v>106</v>
      </c>
      <c r="D12" s="2" t="str">
        <f>tbl_consolidacao[[#This Row],[Apto]]</f>
        <v>106-B2</v>
      </c>
      <c r="E12" s="2">
        <f>tbl_meddez_anterior[[#This Row],[Hidrometro]]</f>
        <v>1243</v>
      </c>
      <c r="F12" s="13"/>
      <c r="G12" s="16">
        <f>tbl_meddez_anterior[[#This Row],[Hidrometro]]</f>
        <v>1243</v>
      </c>
      <c r="H12" s="14"/>
      <c r="I12" s="2">
        <f>tbl_medout[[#This Row],[Medição 
Água Fria]]/100+tbl_medout[[#This Row],[Medição 
Água Quente]]/1000</f>
        <v>0</v>
      </c>
      <c r="J12" s="15" t="str">
        <f>IF(tbl_medout[[#This Row],[Total]]&gt;0,tbl_medout[[#This Row],[Total]]/VLOOKUP(tbl_medout[[#This Row],[Apto]],tbl_medfev[[Apto]:[Total]],6,FALSE)-1,"")</f>
        <v/>
      </c>
      <c r="K12" s="15" t="str">
        <f>IF(tbl_medout[[#This Row],[Utilização (%)]]&lt;&gt;"",ALERTA_INDIVIDUAL-tbl_medout[[#This Row],[Utilização (%)]],"")</f>
        <v/>
      </c>
    </row>
    <row r="13" spans="1:11" x14ac:dyDescent="0.25">
      <c r="A13" s="2">
        <f>tbl_consolidacao[[#This Row],[Torre]]</f>
        <v>2</v>
      </c>
      <c r="B13" s="2" t="str">
        <f>tbl_consolidacao[[#This Row],[Junta]]</f>
        <v>B</v>
      </c>
      <c r="C13" s="2">
        <f>tbl_consolidacao[[#This Row],[Unid]]</f>
        <v>107</v>
      </c>
      <c r="D13" s="2" t="str">
        <f>tbl_consolidacao[[#This Row],[Apto]]</f>
        <v>107-B2</v>
      </c>
      <c r="E13" s="2">
        <f>tbl_meddez_anterior[[#This Row],[Hidrometro]]</f>
        <v>1244</v>
      </c>
      <c r="F13" s="13"/>
      <c r="G13" s="16">
        <f>tbl_meddez_anterior[[#This Row],[Hidrometro]]</f>
        <v>1244</v>
      </c>
      <c r="H13" s="14"/>
      <c r="I13" s="2">
        <f>tbl_medout[[#This Row],[Medição 
Água Fria]]/100+tbl_medout[[#This Row],[Medição 
Água Quente]]/1000</f>
        <v>0</v>
      </c>
      <c r="J13" s="15" t="str">
        <f>IF(tbl_medout[[#This Row],[Total]]&gt;0,tbl_medout[[#This Row],[Total]]/VLOOKUP(tbl_medout[[#This Row],[Apto]],tbl_medfev[[Apto]:[Total]],6,FALSE)-1,"")</f>
        <v/>
      </c>
      <c r="K13" s="15" t="str">
        <f>IF(tbl_medout[[#This Row],[Utilização (%)]]&lt;&gt;"",ALERTA_INDIVIDUAL-tbl_medout[[#This Row],[Utilização (%)]],"")</f>
        <v/>
      </c>
    </row>
    <row r="14" spans="1:11" x14ac:dyDescent="0.25">
      <c r="A14" s="2">
        <f>tbl_consolidacao[[#This Row],[Torre]]</f>
        <v>2</v>
      </c>
      <c r="B14" s="2" t="str">
        <f>tbl_consolidacao[[#This Row],[Junta]]</f>
        <v>B</v>
      </c>
      <c r="C14" s="2">
        <f>tbl_consolidacao[[#This Row],[Unid]]</f>
        <v>108</v>
      </c>
      <c r="D14" s="2" t="str">
        <f>tbl_consolidacao[[#This Row],[Apto]]</f>
        <v>108-B2</v>
      </c>
      <c r="E14" s="2">
        <f>tbl_meddez_anterior[[#This Row],[Hidrometro]]</f>
        <v>1245</v>
      </c>
      <c r="F14" s="13"/>
      <c r="G14" s="16">
        <f>tbl_meddez_anterior[[#This Row],[Hidrometro]]</f>
        <v>1245</v>
      </c>
      <c r="H14" s="14"/>
      <c r="I14" s="2">
        <f>tbl_medout[[#This Row],[Medição 
Água Fria]]/100+tbl_medout[[#This Row],[Medição 
Água Quente]]/1000</f>
        <v>0</v>
      </c>
      <c r="J14" s="15" t="str">
        <f>IF(tbl_medout[[#This Row],[Total]]&gt;0,tbl_medout[[#This Row],[Total]]/VLOOKUP(tbl_medout[[#This Row],[Apto]],tbl_medfev[[Apto]:[Total]],6,FALSE)-1,"")</f>
        <v/>
      </c>
      <c r="K14" s="15" t="str">
        <f>IF(tbl_medout[[#This Row],[Utilização (%)]]&lt;&gt;"",ALERTA_INDIVIDUAL-tbl_medout[[#This Row],[Utilização (%)]],"")</f>
        <v/>
      </c>
    </row>
    <row r="15" spans="1:11" x14ac:dyDescent="0.25">
      <c r="A15" s="2">
        <f>tbl_consolidacao[[#This Row],[Torre]]</f>
        <v>1</v>
      </c>
      <c r="B15" s="2" t="str">
        <f>tbl_consolidacao[[#This Row],[Junta]]</f>
        <v>A</v>
      </c>
      <c r="C15" s="2">
        <f>tbl_consolidacao[[#This Row],[Unid]]</f>
        <v>201</v>
      </c>
      <c r="D15" s="2" t="str">
        <f>tbl_consolidacao[[#This Row],[Apto]]</f>
        <v>201-A1</v>
      </c>
      <c r="E15" s="2">
        <f>tbl_meddez_anterior[[#This Row],[Hidrometro]]</f>
        <v>1246</v>
      </c>
      <c r="F15" s="13"/>
      <c r="G15" s="16">
        <f>tbl_meddez_anterior[[#This Row],[Hidrometro]]</f>
        <v>1246</v>
      </c>
      <c r="H15" s="14"/>
      <c r="I15" s="2">
        <f>tbl_medout[[#This Row],[Medição 
Água Fria]]/100+tbl_medout[[#This Row],[Medição 
Água Quente]]/1000</f>
        <v>0</v>
      </c>
      <c r="J15" s="15" t="str">
        <f>IF(tbl_medout[[#This Row],[Total]]&gt;0,tbl_medout[[#This Row],[Total]]/VLOOKUP(tbl_medout[[#This Row],[Apto]],tbl_medfev[[Apto]:[Total]],6,FALSE)-1,"")</f>
        <v/>
      </c>
      <c r="K15" s="15" t="str">
        <f>IF(tbl_medout[[#This Row],[Utilização (%)]]&lt;&gt;"",ALERTA_INDIVIDUAL-tbl_medout[[#This Row],[Utilização (%)]],"")</f>
        <v/>
      </c>
    </row>
    <row r="16" spans="1:11" x14ac:dyDescent="0.25">
      <c r="A16" s="2">
        <f>tbl_consolidacao[[#This Row],[Torre]]</f>
        <v>2</v>
      </c>
      <c r="B16" s="2" t="str">
        <f>tbl_consolidacao[[#This Row],[Junta]]</f>
        <v>A</v>
      </c>
      <c r="C16" s="2">
        <f>tbl_consolidacao[[#This Row],[Unid]]</f>
        <v>201</v>
      </c>
      <c r="D16" s="2" t="str">
        <f>tbl_consolidacao[[#This Row],[Apto]]</f>
        <v>201-A2</v>
      </c>
      <c r="E16" s="2">
        <f>tbl_meddez_anterior[[#This Row],[Hidrometro]]</f>
        <v>1247</v>
      </c>
      <c r="F16" s="13"/>
      <c r="G16" s="16">
        <f>tbl_meddez_anterior[[#This Row],[Hidrometro]]</f>
        <v>1247</v>
      </c>
      <c r="H16" s="14"/>
      <c r="I16" s="2">
        <f>tbl_medout[[#This Row],[Medição 
Água Fria]]/100+tbl_medout[[#This Row],[Medição 
Água Quente]]/1000</f>
        <v>0</v>
      </c>
      <c r="J16" s="15" t="str">
        <f>IF(tbl_medout[[#This Row],[Total]]&gt;0,tbl_medout[[#This Row],[Total]]/VLOOKUP(tbl_medout[[#This Row],[Apto]],tbl_medfev[[Apto]:[Total]],6,FALSE)-1,"")</f>
        <v/>
      </c>
      <c r="K16" s="15" t="str">
        <f>IF(tbl_medout[[#This Row],[Utilização (%)]]&lt;&gt;"",ALERTA_INDIVIDUAL-tbl_medout[[#This Row],[Utilização (%)]],"")</f>
        <v/>
      </c>
    </row>
    <row r="17" spans="1:11" x14ac:dyDescent="0.25">
      <c r="A17" s="2">
        <f>tbl_consolidacao[[#This Row],[Torre]]</f>
        <v>1</v>
      </c>
      <c r="B17" s="2" t="str">
        <f>tbl_consolidacao[[#This Row],[Junta]]</f>
        <v>A</v>
      </c>
      <c r="C17" s="2">
        <f>tbl_consolidacao[[#This Row],[Unid]]</f>
        <v>202</v>
      </c>
      <c r="D17" s="2" t="str">
        <f>tbl_consolidacao[[#This Row],[Apto]]</f>
        <v>202-A1</v>
      </c>
      <c r="E17" s="2">
        <f>tbl_meddez_anterior[[#This Row],[Hidrometro]]</f>
        <v>1248</v>
      </c>
      <c r="F17" s="13"/>
      <c r="G17" s="16">
        <f>tbl_meddez_anterior[[#This Row],[Hidrometro]]</f>
        <v>1248</v>
      </c>
      <c r="H17" s="14"/>
      <c r="I17" s="2">
        <f>tbl_medout[[#This Row],[Medição 
Água Fria]]/100+tbl_medout[[#This Row],[Medição 
Água Quente]]/1000</f>
        <v>0</v>
      </c>
      <c r="J17" s="15" t="str">
        <f>IF(tbl_medout[[#This Row],[Total]]&gt;0,tbl_medout[[#This Row],[Total]]/VLOOKUP(tbl_medout[[#This Row],[Apto]],tbl_medfev[[Apto]:[Total]],6,FALSE)-1,"")</f>
        <v/>
      </c>
      <c r="K17" s="15" t="str">
        <f>IF(tbl_medout[[#This Row],[Utilização (%)]]&lt;&gt;"",ALERTA_INDIVIDUAL-tbl_medout[[#This Row],[Utilização (%)]],"")</f>
        <v/>
      </c>
    </row>
    <row r="18" spans="1:11" x14ac:dyDescent="0.25">
      <c r="A18" s="2">
        <f>tbl_consolidacao[[#This Row],[Torre]]</f>
        <v>2</v>
      </c>
      <c r="B18" s="2" t="str">
        <f>tbl_consolidacao[[#This Row],[Junta]]</f>
        <v>A</v>
      </c>
      <c r="C18" s="2">
        <f>tbl_consolidacao[[#This Row],[Unid]]</f>
        <v>202</v>
      </c>
      <c r="D18" s="2" t="str">
        <f>tbl_consolidacao[[#This Row],[Apto]]</f>
        <v>202-A2</v>
      </c>
      <c r="E18" s="2">
        <f>tbl_meddez_anterior[[#This Row],[Hidrometro]]</f>
        <v>1249</v>
      </c>
      <c r="F18" s="13"/>
      <c r="G18" s="16">
        <f>tbl_meddez_anterior[[#This Row],[Hidrometro]]</f>
        <v>1249</v>
      </c>
      <c r="H18" s="14"/>
      <c r="I18" s="2">
        <f>tbl_medout[[#This Row],[Medição 
Água Fria]]/100+tbl_medout[[#This Row],[Medição 
Água Quente]]/1000</f>
        <v>0</v>
      </c>
      <c r="J18" s="15" t="str">
        <f>IF(tbl_medout[[#This Row],[Total]]&gt;0,tbl_medout[[#This Row],[Total]]/VLOOKUP(tbl_medout[[#This Row],[Apto]],tbl_medfev[[Apto]:[Total]],6,FALSE)-1,"")</f>
        <v/>
      </c>
      <c r="K18" s="15" t="str">
        <f>IF(tbl_medout[[#This Row],[Utilização (%)]]&lt;&gt;"",ALERTA_INDIVIDUAL-tbl_medout[[#This Row],[Utilização (%)]],"")</f>
        <v/>
      </c>
    </row>
    <row r="19" spans="1:11" x14ac:dyDescent="0.25">
      <c r="A19" s="2">
        <f>tbl_consolidacao[[#This Row],[Torre]]</f>
        <v>1</v>
      </c>
      <c r="B19" s="2" t="str">
        <f>tbl_consolidacao[[#This Row],[Junta]]</f>
        <v>A</v>
      </c>
      <c r="C19" s="2">
        <f>tbl_consolidacao[[#This Row],[Unid]]</f>
        <v>203</v>
      </c>
      <c r="D19" s="2" t="str">
        <f>tbl_consolidacao[[#This Row],[Apto]]</f>
        <v>203-A1</v>
      </c>
      <c r="E19" s="2">
        <f>tbl_meddez_anterior[[#This Row],[Hidrometro]]</f>
        <v>1250</v>
      </c>
      <c r="F19" s="13"/>
      <c r="G19" s="16">
        <f>tbl_meddez_anterior[[#This Row],[Hidrometro]]</f>
        <v>1250</v>
      </c>
      <c r="H19" s="14"/>
      <c r="I19" s="2">
        <f>tbl_medout[[#This Row],[Medição 
Água Fria]]/100+tbl_medout[[#This Row],[Medição 
Água Quente]]/1000</f>
        <v>0</v>
      </c>
      <c r="J19" s="15" t="str">
        <f>IF(tbl_medout[[#This Row],[Total]]&gt;0,tbl_medout[[#This Row],[Total]]/VLOOKUP(tbl_medout[[#This Row],[Apto]],tbl_medfev[[Apto]:[Total]],6,FALSE)-1,"")</f>
        <v/>
      </c>
      <c r="K19" s="15" t="str">
        <f>IF(tbl_medout[[#This Row],[Utilização (%)]]&lt;&gt;"",ALERTA_INDIVIDUAL-tbl_medout[[#This Row],[Utilização (%)]],"")</f>
        <v/>
      </c>
    </row>
    <row r="20" spans="1:11" x14ac:dyDescent="0.25">
      <c r="A20" s="2">
        <f>tbl_consolidacao[[#This Row],[Torre]]</f>
        <v>2</v>
      </c>
      <c r="B20" s="2" t="str">
        <f>tbl_consolidacao[[#This Row],[Junta]]</f>
        <v>A</v>
      </c>
      <c r="C20" s="2">
        <f>tbl_consolidacao[[#This Row],[Unid]]</f>
        <v>203</v>
      </c>
      <c r="D20" s="2" t="str">
        <f>tbl_consolidacao[[#This Row],[Apto]]</f>
        <v>203-A2</v>
      </c>
      <c r="E20" s="2">
        <f>tbl_meddez_anterior[[#This Row],[Hidrometro]]</f>
        <v>1251</v>
      </c>
      <c r="F20" s="13"/>
      <c r="G20" s="16">
        <f>tbl_meddez_anterior[[#This Row],[Hidrometro]]</f>
        <v>1251</v>
      </c>
      <c r="H20" s="14"/>
      <c r="I20" s="2">
        <f>tbl_medout[[#This Row],[Medição 
Água Fria]]/100+tbl_medout[[#This Row],[Medição 
Água Quente]]/1000</f>
        <v>0</v>
      </c>
      <c r="J20" s="15" t="str">
        <f>IF(tbl_medout[[#This Row],[Total]]&gt;0,tbl_medout[[#This Row],[Total]]/VLOOKUP(tbl_medout[[#This Row],[Apto]],tbl_medfev[[Apto]:[Total]],6,FALSE)-1,"")</f>
        <v/>
      </c>
      <c r="K20" s="15" t="str">
        <f>IF(tbl_medout[[#This Row],[Utilização (%)]]&lt;&gt;"",ALERTA_INDIVIDUAL-tbl_medout[[#This Row],[Utilização (%)]],"")</f>
        <v/>
      </c>
    </row>
    <row r="21" spans="1:11" x14ac:dyDescent="0.25">
      <c r="A21" s="2">
        <f>tbl_consolidacao[[#This Row],[Torre]]</f>
        <v>1</v>
      </c>
      <c r="B21" s="2" t="str">
        <f>tbl_consolidacao[[#This Row],[Junta]]</f>
        <v>A</v>
      </c>
      <c r="C21" s="2">
        <f>tbl_consolidacao[[#This Row],[Unid]]</f>
        <v>204</v>
      </c>
      <c r="D21" s="2" t="str">
        <f>tbl_consolidacao[[#This Row],[Apto]]</f>
        <v>204-A1</v>
      </c>
      <c r="E21" s="2">
        <f>tbl_meddez_anterior[[#This Row],[Hidrometro]]</f>
        <v>1252</v>
      </c>
      <c r="F21" s="13"/>
      <c r="G21" s="16">
        <f>tbl_meddez_anterior[[#This Row],[Hidrometro]]</f>
        <v>1252</v>
      </c>
      <c r="H21" s="14"/>
      <c r="I21" s="2">
        <f>tbl_medout[[#This Row],[Medição 
Água Fria]]/100+tbl_medout[[#This Row],[Medição 
Água Quente]]/1000</f>
        <v>0</v>
      </c>
      <c r="J21" s="15" t="str">
        <f>IF(tbl_medout[[#This Row],[Total]]&gt;0,tbl_medout[[#This Row],[Total]]/VLOOKUP(tbl_medout[[#This Row],[Apto]],tbl_medfev[[Apto]:[Total]],6,FALSE)-1,"")</f>
        <v/>
      </c>
      <c r="K21" s="15" t="str">
        <f>IF(tbl_medout[[#This Row],[Utilização (%)]]&lt;&gt;"",ALERTA_INDIVIDUAL-tbl_medout[[#This Row],[Utilização (%)]],"")</f>
        <v/>
      </c>
    </row>
    <row r="22" spans="1:11" x14ac:dyDescent="0.25">
      <c r="A22" s="2">
        <f>tbl_consolidacao[[#This Row],[Torre]]</f>
        <v>2</v>
      </c>
      <c r="B22" s="2" t="str">
        <f>tbl_consolidacao[[#This Row],[Junta]]</f>
        <v>A</v>
      </c>
      <c r="C22" s="2">
        <f>tbl_consolidacao[[#This Row],[Unid]]</f>
        <v>204</v>
      </c>
      <c r="D22" s="2" t="str">
        <f>tbl_consolidacao[[#This Row],[Apto]]</f>
        <v>204-A2</v>
      </c>
      <c r="E22" s="2">
        <f>tbl_meddez_anterior[[#This Row],[Hidrometro]]</f>
        <v>1253</v>
      </c>
      <c r="F22" s="13"/>
      <c r="G22" s="16">
        <f>tbl_meddez_anterior[[#This Row],[Hidrometro]]</f>
        <v>1253</v>
      </c>
      <c r="H22" s="14"/>
      <c r="I22" s="2">
        <f>tbl_medout[[#This Row],[Medição 
Água Fria]]/100+tbl_medout[[#This Row],[Medição 
Água Quente]]/1000</f>
        <v>0</v>
      </c>
      <c r="J22" s="15" t="str">
        <f>IF(tbl_medout[[#This Row],[Total]]&gt;0,tbl_medout[[#This Row],[Total]]/VLOOKUP(tbl_medout[[#This Row],[Apto]],tbl_medfev[[Apto]:[Total]],6,FALSE)-1,"")</f>
        <v/>
      </c>
      <c r="K22" s="15" t="str">
        <f>IF(tbl_medout[[#This Row],[Utilização (%)]]&lt;&gt;"",ALERTA_INDIVIDUAL-tbl_medout[[#This Row],[Utilização (%)]],"")</f>
        <v/>
      </c>
    </row>
    <row r="23" spans="1:11" x14ac:dyDescent="0.25">
      <c r="A23" s="2">
        <f>tbl_consolidacao[[#This Row],[Torre]]</f>
        <v>1</v>
      </c>
      <c r="B23" s="2" t="str">
        <f>tbl_consolidacao[[#This Row],[Junta]]</f>
        <v>B</v>
      </c>
      <c r="C23" s="2">
        <f>tbl_consolidacao[[#This Row],[Unid]]</f>
        <v>205</v>
      </c>
      <c r="D23" s="2" t="str">
        <f>tbl_consolidacao[[#This Row],[Apto]]</f>
        <v>205-B1</v>
      </c>
      <c r="E23" s="2">
        <f>tbl_meddez_anterior[[#This Row],[Hidrometro]]</f>
        <v>1254</v>
      </c>
      <c r="F23" s="13"/>
      <c r="G23" s="16">
        <f>tbl_meddez_anterior[[#This Row],[Hidrometro]]</f>
        <v>1254</v>
      </c>
      <c r="H23" s="14"/>
      <c r="I23" s="2">
        <f>tbl_medout[[#This Row],[Medição 
Água Fria]]/100+tbl_medout[[#This Row],[Medição 
Água Quente]]/1000</f>
        <v>0</v>
      </c>
      <c r="J23" s="15" t="str">
        <f>IF(tbl_medout[[#This Row],[Total]]&gt;0,tbl_medout[[#This Row],[Total]]/VLOOKUP(tbl_medout[[#This Row],[Apto]],tbl_medfev[[Apto]:[Total]],6,FALSE)-1,"")</f>
        <v/>
      </c>
      <c r="K23" s="15" t="str">
        <f>IF(tbl_medout[[#This Row],[Utilização (%)]]&lt;&gt;"",ALERTA_INDIVIDUAL-tbl_medout[[#This Row],[Utilização (%)]],"")</f>
        <v/>
      </c>
    </row>
    <row r="24" spans="1:11" x14ac:dyDescent="0.25">
      <c r="A24" s="2">
        <f>tbl_consolidacao[[#This Row],[Torre]]</f>
        <v>2</v>
      </c>
      <c r="B24" s="2" t="str">
        <f>tbl_consolidacao[[#This Row],[Junta]]</f>
        <v>B</v>
      </c>
      <c r="C24" s="2">
        <f>tbl_consolidacao[[#This Row],[Unid]]</f>
        <v>205</v>
      </c>
      <c r="D24" s="2" t="str">
        <f>tbl_consolidacao[[#This Row],[Apto]]</f>
        <v>205-B2</v>
      </c>
      <c r="E24" s="2">
        <f>tbl_meddez_anterior[[#This Row],[Hidrometro]]</f>
        <v>1255</v>
      </c>
      <c r="F24" s="13"/>
      <c r="G24" s="16">
        <f>tbl_meddez_anterior[[#This Row],[Hidrometro]]</f>
        <v>1255</v>
      </c>
      <c r="H24" s="14"/>
      <c r="I24" s="2">
        <f>tbl_medout[[#This Row],[Medição 
Água Fria]]/100+tbl_medout[[#This Row],[Medição 
Água Quente]]/1000</f>
        <v>0</v>
      </c>
      <c r="J24" s="15" t="str">
        <f>IF(tbl_medout[[#This Row],[Total]]&gt;0,tbl_medout[[#This Row],[Total]]/VLOOKUP(tbl_medout[[#This Row],[Apto]],tbl_medfev[[Apto]:[Total]],6,FALSE)-1,"")</f>
        <v/>
      </c>
      <c r="K24" s="15" t="str">
        <f>IF(tbl_medout[[#This Row],[Utilização (%)]]&lt;&gt;"",ALERTA_INDIVIDUAL-tbl_medout[[#This Row],[Utilização (%)]],"")</f>
        <v/>
      </c>
    </row>
    <row r="25" spans="1:11" x14ac:dyDescent="0.25">
      <c r="A25" s="2">
        <f>tbl_consolidacao[[#This Row],[Torre]]</f>
        <v>1</v>
      </c>
      <c r="B25" s="2" t="str">
        <f>tbl_consolidacao[[#This Row],[Junta]]</f>
        <v>B</v>
      </c>
      <c r="C25" s="2">
        <f>tbl_consolidacao[[#This Row],[Unid]]</f>
        <v>206</v>
      </c>
      <c r="D25" s="2" t="str">
        <f>tbl_consolidacao[[#This Row],[Apto]]</f>
        <v>206-B1</v>
      </c>
      <c r="E25" s="2">
        <f>tbl_meddez_anterior[[#This Row],[Hidrometro]]</f>
        <v>1256</v>
      </c>
      <c r="F25" s="13"/>
      <c r="G25" s="16">
        <f>tbl_meddez_anterior[[#This Row],[Hidrometro]]</f>
        <v>1256</v>
      </c>
      <c r="H25" s="14"/>
      <c r="I25" s="2">
        <f>tbl_medout[[#This Row],[Medição 
Água Fria]]/100+tbl_medout[[#This Row],[Medição 
Água Quente]]/1000</f>
        <v>0</v>
      </c>
      <c r="J25" s="15" t="str">
        <f>IF(tbl_medout[[#This Row],[Total]]&gt;0,tbl_medout[[#This Row],[Total]]/VLOOKUP(tbl_medout[[#This Row],[Apto]],tbl_medfev[[Apto]:[Total]],6,FALSE)-1,"")</f>
        <v/>
      </c>
      <c r="K25" s="15" t="str">
        <f>IF(tbl_medout[[#This Row],[Utilização (%)]]&lt;&gt;"",ALERTA_INDIVIDUAL-tbl_medout[[#This Row],[Utilização (%)]],"")</f>
        <v/>
      </c>
    </row>
    <row r="26" spans="1:11" x14ac:dyDescent="0.25">
      <c r="A26" s="2">
        <f>tbl_consolidacao[[#This Row],[Torre]]</f>
        <v>2</v>
      </c>
      <c r="B26" s="2" t="str">
        <f>tbl_consolidacao[[#This Row],[Junta]]</f>
        <v>B</v>
      </c>
      <c r="C26" s="2">
        <f>tbl_consolidacao[[#This Row],[Unid]]</f>
        <v>206</v>
      </c>
      <c r="D26" s="2" t="str">
        <f>tbl_consolidacao[[#This Row],[Apto]]</f>
        <v>206-B2</v>
      </c>
      <c r="E26" s="2">
        <f>tbl_meddez_anterior[[#This Row],[Hidrometro]]</f>
        <v>1257</v>
      </c>
      <c r="F26" s="13"/>
      <c r="G26" s="16">
        <f>tbl_meddez_anterior[[#This Row],[Hidrometro]]</f>
        <v>1257</v>
      </c>
      <c r="H26" s="14"/>
      <c r="I26" s="2">
        <f>tbl_medout[[#This Row],[Medição 
Água Fria]]/100+tbl_medout[[#This Row],[Medição 
Água Quente]]/1000</f>
        <v>0</v>
      </c>
      <c r="J26" s="15" t="str">
        <f>IF(tbl_medout[[#This Row],[Total]]&gt;0,tbl_medout[[#This Row],[Total]]/VLOOKUP(tbl_medout[[#This Row],[Apto]],tbl_medfev[[Apto]:[Total]],6,FALSE)-1,"")</f>
        <v/>
      </c>
      <c r="K26" s="15" t="str">
        <f>IF(tbl_medout[[#This Row],[Utilização (%)]]&lt;&gt;"",ALERTA_INDIVIDUAL-tbl_medout[[#This Row],[Utilização (%)]],"")</f>
        <v/>
      </c>
    </row>
    <row r="27" spans="1:11" x14ac:dyDescent="0.25">
      <c r="A27" s="2">
        <f>tbl_consolidacao[[#This Row],[Torre]]</f>
        <v>1</v>
      </c>
      <c r="B27" s="2" t="str">
        <f>tbl_consolidacao[[#This Row],[Junta]]</f>
        <v>B</v>
      </c>
      <c r="C27" s="2">
        <f>tbl_consolidacao[[#This Row],[Unid]]</f>
        <v>207</v>
      </c>
      <c r="D27" s="2" t="str">
        <f>tbl_consolidacao[[#This Row],[Apto]]</f>
        <v>207-B1</v>
      </c>
      <c r="E27" s="2">
        <f>tbl_meddez_anterior[[#This Row],[Hidrometro]]</f>
        <v>1258</v>
      </c>
      <c r="F27" s="13"/>
      <c r="G27" s="16">
        <f>tbl_meddez_anterior[[#This Row],[Hidrometro]]</f>
        <v>1258</v>
      </c>
      <c r="H27" s="14"/>
      <c r="I27" s="2">
        <f>tbl_medout[[#This Row],[Medição 
Água Fria]]/100+tbl_medout[[#This Row],[Medição 
Água Quente]]/1000</f>
        <v>0</v>
      </c>
      <c r="J27" s="15" t="str">
        <f>IF(tbl_medout[[#This Row],[Total]]&gt;0,tbl_medout[[#This Row],[Total]]/VLOOKUP(tbl_medout[[#This Row],[Apto]],tbl_medfev[[Apto]:[Total]],6,FALSE)-1,"")</f>
        <v/>
      </c>
      <c r="K27" s="15" t="str">
        <f>IF(tbl_medout[[#This Row],[Utilização (%)]]&lt;&gt;"",ALERTA_INDIVIDUAL-tbl_medout[[#This Row],[Utilização (%)]],"")</f>
        <v/>
      </c>
    </row>
    <row r="28" spans="1:11" x14ac:dyDescent="0.25">
      <c r="A28" s="2">
        <f>tbl_consolidacao[[#This Row],[Torre]]</f>
        <v>2</v>
      </c>
      <c r="B28" s="2" t="str">
        <f>tbl_consolidacao[[#This Row],[Junta]]</f>
        <v>B</v>
      </c>
      <c r="C28" s="2">
        <f>tbl_consolidacao[[#This Row],[Unid]]</f>
        <v>207</v>
      </c>
      <c r="D28" s="2" t="str">
        <f>tbl_consolidacao[[#This Row],[Apto]]</f>
        <v>207-B2</v>
      </c>
      <c r="E28" s="2">
        <f>tbl_meddez_anterior[[#This Row],[Hidrometro]]</f>
        <v>1259</v>
      </c>
      <c r="F28" s="13"/>
      <c r="G28" s="16">
        <f>tbl_meddez_anterior[[#This Row],[Hidrometro]]</f>
        <v>1259</v>
      </c>
      <c r="H28" s="14"/>
      <c r="I28" s="2">
        <f>tbl_medout[[#This Row],[Medição 
Água Fria]]/100+tbl_medout[[#This Row],[Medição 
Água Quente]]/1000</f>
        <v>0</v>
      </c>
      <c r="J28" s="15" t="str">
        <f>IF(tbl_medout[[#This Row],[Total]]&gt;0,tbl_medout[[#This Row],[Total]]/VLOOKUP(tbl_medout[[#This Row],[Apto]],tbl_medfev[[Apto]:[Total]],6,FALSE)-1,"")</f>
        <v/>
      </c>
      <c r="K28" s="15" t="str">
        <f>IF(tbl_medout[[#This Row],[Utilização (%)]]&lt;&gt;"",ALERTA_INDIVIDUAL-tbl_medout[[#This Row],[Utilização (%)]],"")</f>
        <v/>
      </c>
    </row>
    <row r="29" spans="1:11" x14ac:dyDescent="0.25">
      <c r="A29" s="2">
        <f>tbl_consolidacao[[#This Row],[Torre]]</f>
        <v>1</v>
      </c>
      <c r="B29" s="2" t="str">
        <f>tbl_consolidacao[[#This Row],[Junta]]</f>
        <v>B</v>
      </c>
      <c r="C29" s="2">
        <f>tbl_consolidacao[[#This Row],[Unid]]</f>
        <v>208</v>
      </c>
      <c r="D29" s="2" t="str">
        <f>tbl_consolidacao[[#This Row],[Apto]]</f>
        <v>208-B1</v>
      </c>
      <c r="E29" s="2">
        <f>tbl_meddez_anterior[[#This Row],[Hidrometro]]</f>
        <v>1260</v>
      </c>
      <c r="F29" s="13"/>
      <c r="G29" s="16">
        <f>tbl_meddez_anterior[[#This Row],[Hidrometro]]</f>
        <v>1260</v>
      </c>
      <c r="H29" s="14"/>
      <c r="I29" s="2">
        <f>tbl_medout[[#This Row],[Medição 
Água Fria]]/100+tbl_medout[[#This Row],[Medição 
Água Quente]]/1000</f>
        <v>0</v>
      </c>
      <c r="J29" s="15" t="str">
        <f>IF(tbl_medout[[#This Row],[Total]]&gt;0,tbl_medout[[#This Row],[Total]]/VLOOKUP(tbl_medout[[#This Row],[Apto]],tbl_medfev[[Apto]:[Total]],6,FALSE)-1,"")</f>
        <v/>
      </c>
      <c r="K29" s="15" t="str">
        <f>IF(tbl_medout[[#This Row],[Utilização (%)]]&lt;&gt;"",ALERTA_INDIVIDUAL-tbl_medout[[#This Row],[Utilização (%)]],"")</f>
        <v/>
      </c>
    </row>
    <row r="30" spans="1:11" x14ac:dyDescent="0.25">
      <c r="A30" s="2">
        <f>tbl_consolidacao[[#This Row],[Torre]]</f>
        <v>2</v>
      </c>
      <c r="B30" s="2" t="str">
        <f>tbl_consolidacao[[#This Row],[Junta]]</f>
        <v>B</v>
      </c>
      <c r="C30" s="2">
        <f>tbl_consolidacao[[#This Row],[Unid]]</f>
        <v>208</v>
      </c>
      <c r="D30" s="2" t="str">
        <f>tbl_consolidacao[[#This Row],[Apto]]</f>
        <v>208-B2</v>
      </c>
      <c r="E30" s="2">
        <f>tbl_meddez_anterior[[#This Row],[Hidrometro]]</f>
        <v>1261</v>
      </c>
      <c r="F30" s="13"/>
      <c r="G30" s="16">
        <f>tbl_meddez_anterior[[#This Row],[Hidrometro]]</f>
        <v>1261</v>
      </c>
      <c r="H30" s="14"/>
      <c r="I30" s="2">
        <f>tbl_medout[[#This Row],[Medição 
Água Fria]]/100+tbl_medout[[#This Row],[Medição 
Água Quente]]/1000</f>
        <v>0</v>
      </c>
      <c r="J30" s="15" t="str">
        <f>IF(tbl_medout[[#This Row],[Total]]&gt;0,tbl_medout[[#This Row],[Total]]/VLOOKUP(tbl_medout[[#This Row],[Apto]],tbl_medfev[[Apto]:[Total]],6,FALSE)-1,"")</f>
        <v/>
      </c>
      <c r="K30" s="15" t="str">
        <f>IF(tbl_medout[[#This Row],[Utilização (%)]]&lt;&gt;"",ALERTA_INDIVIDUAL-tbl_medout[[#This Row],[Utilização (%)]],"")</f>
        <v/>
      </c>
    </row>
    <row r="31" spans="1:11" x14ac:dyDescent="0.25">
      <c r="A31" s="2">
        <f>tbl_consolidacao[[#This Row],[Torre]]</f>
        <v>1</v>
      </c>
      <c r="B31" s="2" t="str">
        <f>tbl_consolidacao[[#This Row],[Junta]]</f>
        <v>A</v>
      </c>
      <c r="C31" s="2">
        <f>tbl_consolidacao[[#This Row],[Unid]]</f>
        <v>301</v>
      </c>
      <c r="D31" s="2" t="str">
        <f>tbl_consolidacao[[#This Row],[Apto]]</f>
        <v>301-A1</v>
      </c>
      <c r="E31" s="2">
        <f>tbl_meddez_anterior[[#This Row],[Hidrometro]]</f>
        <v>1262</v>
      </c>
      <c r="F31" s="13"/>
      <c r="G31" s="16">
        <f>tbl_meddez_anterior[[#This Row],[Hidrometro]]</f>
        <v>1262</v>
      </c>
      <c r="H31" s="14"/>
      <c r="I31" s="2">
        <f>tbl_medout[[#This Row],[Medição 
Água Fria]]/100+tbl_medout[[#This Row],[Medição 
Água Quente]]/1000</f>
        <v>0</v>
      </c>
      <c r="J31" s="15" t="str">
        <f>IF(tbl_medout[[#This Row],[Total]]&gt;0,tbl_medout[[#This Row],[Total]]/VLOOKUP(tbl_medout[[#This Row],[Apto]],tbl_medfev[[Apto]:[Total]],6,FALSE)-1,"")</f>
        <v/>
      </c>
      <c r="K31" s="15" t="str">
        <f>IF(tbl_medout[[#This Row],[Utilização (%)]]&lt;&gt;"",ALERTA_INDIVIDUAL-tbl_medout[[#This Row],[Utilização (%)]],"")</f>
        <v/>
      </c>
    </row>
    <row r="32" spans="1:11" x14ac:dyDescent="0.25">
      <c r="A32" s="2">
        <f>tbl_consolidacao[[#This Row],[Torre]]</f>
        <v>2</v>
      </c>
      <c r="B32" s="2" t="str">
        <f>tbl_consolidacao[[#This Row],[Junta]]</f>
        <v>A</v>
      </c>
      <c r="C32" s="2">
        <f>tbl_consolidacao[[#This Row],[Unid]]</f>
        <v>301</v>
      </c>
      <c r="D32" s="2" t="str">
        <f>tbl_consolidacao[[#This Row],[Apto]]</f>
        <v>301-A2</v>
      </c>
      <c r="E32" s="2">
        <f>tbl_meddez_anterior[[#This Row],[Hidrometro]]</f>
        <v>1263</v>
      </c>
      <c r="F32" s="13"/>
      <c r="G32" s="16">
        <f>tbl_meddez_anterior[[#This Row],[Hidrometro]]</f>
        <v>1263</v>
      </c>
      <c r="H32" s="14"/>
      <c r="I32" s="2">
        <f>tbl_medout[[#This Row],[Medição 
Água Fria]]/100+tbl_medout[[#This Row],[Medição 
Água Quente]]/1000</f>
        <v>0</v>
      </c>
      <c r="J32" s="15" t="str">
        <f>IF(tbl_medout[[#This Row],[Total]]&gt;0,tbl_medout[[#This Row],[Total]]/VLOOKUP(tbl_medout[[#This Row],[Apto]],tbl_medfev[[Apto]:[Total]],6,FALSE)-1,"")</f>
        <v/>
      </c>
      <c r="K32" s="15" t="str">
        <f>IF(tbl_medout[[#This Row],[Utilização (%)]]&lt;&gt;"",ALERTA_INDIVIDUAL-tbl_medout[[#This Row],[Utilização (%)]],"")</f>
        <v/>
      </c>
    </row>
    <row r="33" spans="1:11" x14ac:dyDescent="0.25">
      <c r="A33" s="2">
        <f>tbl_consolidacao[[#This Row],[Torre]]</f>
        <v>1</v>
      </c>
      <c r="B33" s="2" t="str">
        <f>tbl_consolidacao[[#This Row],[Junta]]</f>
        <v>A</v>
      </c>
      <c r="C33" s="2">
        <f>tbl_consolidacao[[#This Row],[Unid]]</f>
        <v>302</v>
      </c>
      <c r="D33" s="2" t="str">
        <f>tbl_consolidacao[[#This Row],[Apto]]</f>
        <v>302-A1</v>
      </c>
      <c r="E33" s="2">
        <f>tbl_meddez_anterior[[#This Row],[Hidrometro]]</f>
        <v>1264</v>
      </c>
      <c r="F33" s="13"/>
      <c r="G33" s="16">
        <f>tbl_meddez_anterior[[#This Row],[Hidrometro]]</f>
        <v>1264</v>
      </c>
      <c r="H33" s="14"/>
      <c r="I33" s="2">
        <f>tbl_medout[[#This Row],[Medição 
Água Fria]]/100+tbl_medout[[#This Row],[Medição 
Água Quente]]/1000</f>
        <v>0</v>
      </c>
      <c r="J33" s="15" t="str">
        <f>IF(tbl_medout[[#This Row],[Total]]&gt;0,tbl_medout[[#This Row],[Total]]/VLOOKUP(tbl_medout[[#This Row],[Apto]],tbl_medfev[[Apto]:[Total]],6,FALSE)-1,"")</f>
        <v/>
      </c>
      <c r="K33" s="15" t="str">
        <f>IF(tbl_medout[[#This Row],[Utilização (%)]]&lt;&gt;"",ALERTA_INDIVIDUAL-tbl_medout[[#This Row],[Utilização (%)]],"")</f>
        <v/>
      </c>
    </row>
    <row r="34" spans="1:11" x14ac:dyDescent="0.25">
      <c r="A34" s="2">
        <f>tbl_consolidacao[[#This Row],[Torre]]</f>
        <v>2</v>
      </c>
      <c r="B34" s="2" t="str">
        <f>tbl_consolidacao[[#This Row],[Junta]]</f>
        <v>A</v>
      </c>
      <c r="C34" s="2">
        <f>tbl_consolidacao[[#This Row],[Unid]]</f>
        <v>302</v>
      </c>
      <c r="D34" s="2" t="str">
        <f>tbl_consolidacao[[#This Row],[Apto]]</f>
        <v>302-A2</v>
      </c>
      <c r="E34" s="2">
        <f>tbl_meddez_anterior[[#This Row],[Hidrometro]]</f>
        <v>1265</v>
      </c>
      <c r="F34" s="13"/>
      <c r="G34" s="16">
        <f>tbl_meddez_anterior[[#This Row],[Hidrometro]]</f>
        <v>1265</v>
      </c>
      <c r="H34" s="14"/>
      <c r="I34" s="2">
        <f>tbl_medout[[#This Row],[Medição 
Água Fria]]/100+tbl_medout[[#This Row],[Medição 
Água Quente]]/1000</f>
        <v>0</v>
      </c>
      <c r="J34" s="15" t="str">
        <f>IF(tbl_medout[[#This Row],[Total]]&gt;0,tbl_medout[[#This Row],[Total]]/VLOOKUP(tbl_medout[[#This Row],[Apto]],tbl_medfev[[Apto]:[Total]],6,FALSE)-1,"")</f>
        <v/>
      </c>
      <c r="K34" s="15" t="str">
        <f>IF(tbl_medout[[#This Row],[Utilização (%)]]&lt;&gt;"",ALERTA_INDIVIDUAL-tbl_medout[[#This Row],[Utilização (%)]],"")</f>
        <v/>
      </c>
    </row>
    <row r="35" spans="1:11" x14ac:dyDescent="0.25">
      <c r="A35" s="2">
        <f>tbl_consolidacao[[#This Row],[Torre]]</f>
        <v>1</v>
      </c>
      <c r="B35" s="2" t="str">
        <f>tbl_consolidacao[[#This Row],[Junta]]</f>
        <v>A</v>
      </c>
      <c r="C35" s="2">
        <f>tbl_consolidacao[[#This Row],[Unid]]</f>
        <v>303</v>
      </c>
      <c r="D35" s="2" t="str">
        <f>tbl_consolidacao[[#This Row],[Apto]]</f>
        <v>303-A1</v>
      </c>
      <c r="E35" s="2">
        <f>tbl_meddez_anterior[[#This Row],[Hidrometro]]</f>
        <v>1266</v>
      </c>
      <c r="F35" s="13"/>
      <c r="G35" s="16">
        <f>tbl_meddez_anterior[[#This Row],[Hidrometro]]</f>
        <v>1266</v>
      </c>
      <c r="H35" s="14"/>
      <c r="I35" s="2">
        <f>tbl_medout[[#This Row],[Medição 
Água Fria]]/100+tbl_medout[[#This Row],[Medição 
Água Quente]]/1000</f>
        <v>0</v>
      </c>
      <c r="J35" s="15" t="str">
        <f>IF(tbl_medout[[#This Row],[Total]]&gt;0,tbl_medout[[#This Row],[Total]]/VLOOKUP(tbl_medout[[#This Row],[Apto]],tbl_medfev[[Apto]:[Total]],6,FALSE)-1,"")</f>
        <v/>
      </c>
      <c r="K35" s="15" t="str">
        <f>IF(tbl_medout[[#This Row],[Utilização (%)]]&lt;&gt;"",ALERTA_INDIVIDUAL-tbl_medout[[#This Row],[Utilização (%)]],"")</f>
        <v/>
      </c>
    </row>
    <row r="36" spans="1:11" x14ac:dyDescent="0.25">
      <c r="A36" s="2">
        <f>tbl_consolidacao[[#This Row],[Torre]]</f>
        <v>2</v>
      </c>
      <c r="B36" s="2" t="str">
        <f>tbl_consolidacao[[#This Row],[Junta]]</f>
        <v>A</v>
      </c>
      <c r="C36" s="2">
        <f>tbl_consolidacao[[#This Row],[Unid]]</f>
        <v>303</v>
      </c>
      <c r="D36" s="2" t="str">
        <f>tbl_consolidacao[[#This Row],[Apto]]</f>
        <v>303-A2</v>
      </c>
      <c r="E36" s="2">
        <f>tbl_meddez_anterior[[#This Row],[Hidrometro]]</f>
        <v>1267</v>
      </c>
      <c r="F36" s="13"/>
      <c r="G36" s="16">
        <f>tbl_meddez_anterior[[#This Row],[Hidrometro]]</f>
        <v>1267</v>
      </c>
      <c r="H36" s="14"/>
      <c r="I36" s="2">
        <f>tbl_medout[[#This Row],[Medição 
Água Fria]]/100+tbl_medout[[#This Row],[Medição 
Água Quente]]/1000</f>
        <v>0</v>
      </c>
      <c r="J36" s="15" t="str">
        <f>IF(tbl_medout[[#This Row],[Total]]&gt;0,tbl_medout[[#This Row],[Total]]/VLOOKUP(tbl_medout[[#This Row],[Apto]],tbl_medfev[[Apto]:[Total]],6,FALSE)-1,"")</f>
        <v/>
      </c>
      <c r="K36" s="15" t="str">
        <f>IF(tbl_medout[[#This Row],[Utilização (%)]]&lt;&gt;"",ALERTA_INDIVIDUAL-tbl_medout[[#This Row],[Utilização (%)]],"")</f>
        <v/>
      </c>
    </row>
    <row r="37" spans="1:11" x14ac:dyDescent="0.25">
      <c r="A37" s="2">
        <f>tbl_consolidacao[[#This Row],[Torre]]</f>
        <v>1</v>
      </c>
      <c r="B37" s="2" t="str">
        <f>tbl_consolidacao[[#This Row],[Junta]]</f>
        <v>A</v>
      </c>
      <c r="C37" s="2">
        <f>tbl_consolidacao[[#This Row],[Unid]]</f>
        <v>304</v>
      </c>
      <c r="D37" s="2" t="str">
        <f>tbl_consolidacao[[#This Row],[Apto]]</f>
        <v>304-A1</v>
      </c>
      <c r="E37" s="2">
        <f>tbl_meddez_anterior[[#This Row],[Hidrometro]]</f>
        <v>1268</v>
      </c>
      <c r="F37" s="13"/>
      <c r="G37" s="16">
        <f>tbl_meddez_anterior[[#This Row],[Hidrometro]]</f>
        <v>1268</v>
      </c>
      <c r="H37" s="14"/>
      <c r="I37" s="2">
        <f>tbl_medout[[#This Row],[Medição 
Água Fria]]/100+tbl_medout[[#This Row],[Medição 
Água Quente]]/1000</f>
        <v>0</v>
      </c>
      <c r="J37" s="15" t="str">
        <f>IF(tbl_medout[[#This Row],[Total]]&gt;0,tbl_medout[[#This Row],[Total]]/VLOOKUP(tbl_medout[[#This Row],[Apto]],tbl_medfev[[Apto]:[Total]],6,FALSE)-1,"")</f>
        <v/>
      </c>
      <c r="K37" s="15" t="str">
        <f>IF(tbl_medout[[#This Row],[Utilização (%)]]&lt;&gt;"",ALERTA_INDIVIDUAL-tbl_medout[[#This Row],[Utilização (%)]],"")</f>
        <v/>
      </c>
    </row>
    <row r="38" spans="1:11" x14ac:dyDescent="0.25">
      <c r="A38" s="2">
        <f>tbl_consolidacao[[#This Row],[Torre]]</f>
        <v>2</v>
      </c>
      <c r="B38" s="2" t="str">
        <f>tbl_consolidacao[[#This Row],[Junta]]</f>
        <v>A</v>
      </c>
      <c r="C38" s="2">
        <f>tbl_consolidacao[[#This Row],[Unid]]</f>
        <v>304</v>
      </c>
      <c r="D38" s="2" t="str">
        <f>tbl_consolidacao[[#This Row],[Apto]]</f>
        <v>304-A2</v>
      </c>
      <c r="E38" s="2">
        <f>tbl_meddez_anterior[[#This Row],[Hidrometro]]</f>
        <v>1269</v>
      </c>
      <c r="F38" s="13"/>
      <c r="G38" s="16">
        <f>tbl_meddez_anterior[[#This Row],[Hidrometro]]</f>
        <v>1269</v>
      </c>
      <c r="H38" s="14"/>
      <c r="I38" s="2">
        <f>tbl_medout[[#This Row],[Medição 
Água Fria]]/100+tbl_medout[[#This Row],[Medição 
Água Quente]]/1000</f>
        <v>0</v>
      </c>
      <c r="J38" s="15" t="str">
        <f>IF(tbl_medout[[#This Row],[Total]]&gt;0,tbl_medout[[#This Row],[Total]]/VLOOKUP(tbl_medout[[#This Row],[Apto]],tbl_medfev[[Apto]:[Total]],6,FALSE)-1,"")</f>
        <v/>
      </c>
      <c r="K38" s="15" t="str">
        <f>IF(tbl_medout[[#This Row],[Utilização (%)]]&lt;&gt;"",ALERTA_INDIVIDUAL-tbl_medout[[#This Row],[Utilização (%)]],"")</f>
        <v/>
      </c>
    </row>
    <row r="39" spans="1:11" x14ac:dyDescent="0.25">
      <c r="A39" s="2">
        <f>tbl_consolidacao[[#This Row],[Torre]]</f>
        <v>1</v>
      </c>
      <c r="B39" s="2" t="str">
        <f>tbl_consolidacao[[#This Row],[Junta]]</f>
        <v>B</v>
      </c>
      <c r="C39" s="2">
        <f>tbl_consolidacao[[#This Row],[Unid]]</f>
        <v>305</v>
      </c>
      <c r="D39" s="2" t="str">
        <f>tbl_consolidacao[[#This Row],[Apto]]</f>
        <v>305-B1</v>
      </c>
      <c r="E39" s="2">
        <f>tbl_meddez_anterior[[#This Row],[Hidrometro]]</f>
        <v>1270</v>
      </c>
      <c r="F39" s="13"/>
      <c r="G39" s="16">
        <f>tbl_meddez_anterior[[#This Row],[Hidrometro]]</f>
        <v>1270</v>
      </c>
      <c r="H39" s="14"/>
      <c r="I39" s="2">
        <f>tbl_medout[[#This Row],[Medição 
Água Fria]]/100+tbl_medout[[#This Row],[Medição 
Água Quente]]/1000</f>
        <v>0</v>
      </c>
      <c r="J39" s="15" t="str">
        <f>IF(tbl_medout[[#This Row],[Total]]&gt;0,tbl_medout[[#This Row],[Total]]/VLOOKUP(tbl_medout[[#This Row],[Apto]],tbl_medfev[[Apto]:[Total]],6,FALSE)-1,"")</f>
        <v/>
      </c>
      <c r="K39" s="15" t="str">
        <f>IF(tbl_medout[[#This Row],[Utilização (%)]]&lt;&gt;"",ALERTA_INDIVIDUAL-tbl_medout[[#This Row],[Utilização (%)]],"")</f>
        <v/>
      </c>
    </row>
    <row r="40" spans="1:11" x14ac:dyDescent="0.25">
      <c r="A40" s="2">
        <f>tbl_consolidacao[[#This Row],[Torre]]</f>
        <v>2</v>
      </c>
      <c r="B40" s="2" t="str">
        <f>tbl_consolidacao[[#This Row],[Junta]]</f>
        <v>B</v>
      </c>
      <c r="C40" s="2">
        <f>tbl_consolidacao[[#This Row],[Unid]]</f>
        <v>305</v>
      </c>
      <c r="D40" s="2" t="str">
        <f>tbl_consolidacao[[#This Row],[Apto]]</f>
        <v>305-B2</v>
      </c>
      <c r="E40" s="2">
        <f>tbl_meddez_anterior[[#This Row],[Hidrometro]]</f>
        <v>1271</v>
      </c>
      <c r="F40" s="13"/>
      <c r="G40" s="16">
        <f>tbl_meddez_anterior[[#This Row],[Hidrometro]]</f>
        <v>1271</v>
      </c>
      <c r="H40" s="14"/>
      <c r="I40" s="2">
        <f>tbl_medout[[#This Row],[Medição 
Água Fria]]/100+tbl_medout[[#This Row],[Medição 
Água Quente]]/1000</f>
        <v>0</v>
      </c>
      <c r="J40" s="15" t="str">
        <f>IF(tbl_medout[[#This Row],[Total]]&gt;0,tbl_medout[[#This Row],[Total]]/VLOOKUP(tbl_medout[[#This Row],[Apto]],tbl_medfev[[Apto]:[Total]],6,FALSE)-1,"")</f>
        <v/>
      </c>
      <c r="K40" s="15" t="str">
        <f>IF(tbl_medout[[#This Row],[Utilização (%)]]&lt;&gt;"",ALERTA_INDIVIDUAL-tbl_medout[[#This Row],[Utilização (%)]],"")</f>
        <v/>
      </c>
    </row>
    <row r="41" spans="1:11" x14ac:dyDescent="0.25">
      <c r="A41" s="2">
        <f>tbl_consolidacao[[#This Row],[Torre]]</f>
        <v>1</v>
      </c>
      <c r="B41" s="2" t="str">
        <f>tbl_consolidacao[[#This Row],[Junta]]</f>
        <v>B</v>
      </c>
      <c r="C41" s="2">
        <f>tbl_consolidacao[[#This Row],[Unid]]</f>
        <v>306</v>
      </c>
      <c r="D41" s="2" t="str">
        <f>tbl_consolidacao[[#This Row],[Apto]]</f>
        <v>306-B1</v>
      </c>
      <c r="E41" s="2">
        <f>tbl_meddez_anterior[[#This Row],[Hidrometro]]</f>
        <v>1272</v>
      </c>
      <c r="F41" s="13"/>
      <c r="G41" s="16">
        <f>tbl_meddez_anterior[[#This Row],[Hidrometro]]</f>
        <v>1272</v>
      </c>
      <c r="H41" s="14"/>
      <c r="I41" s="2">
        <f>tbl_medout[[#This Row],[Medição 
Água Fria]]/100+tbl_medout[[#This Row],[Medição 
Água Quente]]/1000</f>
        <v>0</v>
      </c>
      <c r="J41" s="15" t="str">
        <f>IF(tbl_medout[[#This Row],[Total]]&gt;0,tbl_medout[[#This Row],[Total]]/VLOOKUP(tbl_medout[[#This Row],[Apto]],tbl_medfev[[Apto]:[Total]],6,FALSE)-1,"")</f>
        <v/>
      </c>
      <c r="K41" s="15" t="str">
        <f>IF(tbl_medout[[#This Row],[Utilização (%)]]&lt;&gt;"",ALERTA_INDIVIDUAL-tbl_medout[[#This Row],[Utilização (%)]],"")</f>
        <v/>
      </c>
    </row>
    <row r="42" spans="1:11" x14ac:dyDescent="0.25">
      <c r="A42" s="2">
        <f>tbl_consolidacao[[#This Row],[Torre]]</f>
        <v>2</v>
      </c>
      <c r="B42" s="2" t="str">
        <f>tbl_consolidacao[[#This Row],[Junta]]</f>
        <v>B</v>
      </c>
      <c r="C42" s="2">
        <f>tbl_consolidacao[[#This Row],[Unid]]</f>
        <v>306</v>
      </c>
      <c r="D42" s="2" t="str">
        <f>tbl_consolidacao[[#This Row],[Apto]]</f>
        <v>306-B2</v>
      </c>
      <c r="E42" s="2">
        <f>tbl_meddez_anterior[[#This Row],[Hidrometro]]</f>
        <v>1273</v>
      </c>
      <c r="F42" s="13"/>
      <c r="G42" s="16">
        <f>tbl_meddez_anterior[[#This Row],[Hidrometro]]</f>
        <v>1273</v>
      </c>
      <c r="H42" s="14"/>
      <c r="I42" s="2">
        <f>tbl_medout[[#This Row],[Medição 
Água Fria]]/100+tbl_medout[[#This Row],[Medição 
Água Quente]]/1000</f>
        <v>0</v>
      </c>
      <c r="J42" s="15" t="str">
        <f>IF(tbl_medout[[#This Row],[Total]]&gt;0,tbl_medout[[#This Row],[Total]]/VLOOKUP(tbl_medout[[#This Row],[Apto]],tbl_medfev[[Apto]:[Total]],6,FALSE)-1,"")</f>
        <v/>
      </c>
      <c r="K42" s="15" t="str">
        <f>IF(tbl_medout[[#This Row],[Utilização (%)]]&lt;&gt;"",ALERTA_INDIVIDUAL-tbl_medout[[#This Row],[Utilização (%)]],"")</f>
        <v/>
      </c>
    </row>
    <row r="43" spans="1:11" x14ac:dyDescent="0.25">
      <c r="A43" s="2">
        <f>tbl_consolidacao[[#This Row],[Torre]]</f>
        <v>1</v>
      </c>
      <c r="B43" s="2" t="str">
        <f>tbl_consolidacao[[#This Row],[Junta]]</f>
        <v>B</v>
      </c>
      <c r="C43" s="2">
        <f>tbl_consolidacao[[#This Row],[Unid]]</f>
        <v>307</v>
      </c>
      <c r="D43" s="2" t="str">
        <f>tbl_consolidacao[[#This Row],[Apto]]</f>
        <v>307-B1</v>
      </c>
      <c r="E43" s="2">
        <f>tbl_meddez_anterior[[#This Row],[Hidrometro]]</f>
        <v>1274</v>
      </c>
      <c r="F43" s="13"/>
      <c r="G43" s="16">
        <f>tbl_meddez_anterior[[#This Row],[Hidrometro]]</f>
        <v>1274</v>
      </c>
      <c r="H43" s="14"/>
      <c r="I43" s="2">
        <f>tbl_medout[[#This Row],[Medição 
Água Fria]]/100+tbl_medout[[#This Row],[Medição 
Água Quente]]/1000</f>
        <v>0</v>
      </c>
      <c r="J43" s="15" t="str">
        <f>IF(tbl_medout[[#This Row],[Total]]&gt;0,tbl_medout[[#This Row],[Total]]/VLOOKUP(tbl_medout[[#This Row],[Apto]],tbl_medfev[[Apto]:[Total]],6,FALSE)-1,"")</f>
        <v/>
      </c>
      <c r="K43" s="15" t="str">
        <f>IF(tbl_medout[[#This Row],[Utilização (%)]]&lt;&gt;"",ALERTA_INDIVIDUAL-tbl_medout[[#This Row],[Utilização (%)]],"")</f>
        <v/>
      </c>
    </row>
    <row r="44" spans="1:11" x14ac:dyDescent="0.25">
      <c r="A44" s="2">
        <f>tbl_consolidacao[[#This Row],[Torre]]</f>
        <v>2</v>
      </c>
      <c r="B44" s="2" t="str">
        <f>tbl_consolidacao[[#This Row],[Junta]]</f>
        <v>B</v>
      </c>
      <c r="C44" s="2">
        <f>tbl_consolidacao[[#This Row],[Unid]]</f>
        <v>307</v>
      </c>
      <c r="D44" s="2" t="str">
        <f>tbl_consolidacao[[#This Row],[Apto]]</f>
        <v>307-B2</v>
      </c>
      <c r="E44" s="2">
        <f>tbl_meddez_anterior[[#This Row],[Hidrometro]]</f>
        <v>1275</v>
      </c>
      <c r="F44" s="13"/>
      <c r="G44" s="16">
        <f>tbl_meddez_anterior[[#This Row],[Hidrometro]]</f>
        <v>1275</v>
      </c>
      <c r="H44" s="14"/>
      <c r="I44" s="2">
        <f>tbl_medout[[#This Row],[Medição 
Água Fria]]/100+tbl_medout[[#This Row],[Medição 
Água Quente]]/1000</f>
        <v>0</v>
      </c>
      <c r="J44" s="15" t="str">
        <f>IF(tbl_medout[[#This Row],[Total]]&gt;0,tbl_medout[[#This Row],[Total]]/VLOOKUP(tbl_medout[[#This Row],[Apto]],tbl_medfev[[Apto]:[Total]],6,FALSE)-1,"")</f>
        <v/>
      </c>
      <c r="K44" s="15" t="str">
        <f>IF(tbl_medout[[#This Row],[Utilização (%)]]&lt;&gt;"",ALERTA_INDIVIDUAL-tbl_medout[[#This Row],[Utilização (%)]],"")</f>
        <v/>
      </c>
    </row>
    <row r="45" spans="1:11" x14ac:dyDescent="0.25">
      <c r="A45" s="2">
        <f>tbl_consolidacao[[#This Row],[Torre]]</f>
        <v>1</v>
      </c>
      <c r="B45" s="2" t="str">
        <f>tbl_consolidacao[[#This Row],[Junta]]</f>
        <v>B</v>
      </c>
      <c r="C45" s="2">
        <f>tbl_consolidacao[[#This Row],[Unid]]</f>
        <v>308</v>
      </c>
      <c r="D45" s="2" t="str">
        <f>tbl_consolidacao[[#This Row],[Apto]]</f>
        <v>308-B1</v>
      </c>
      <c r="E45" s="2">
        <f>tbl_meddez_anterior[[#This Row],[Hidrometro]]</f>
        <v>1276</v>
      </c>
      <c r="F45" s="13"/>
      <c r="G45" s="16">
        <f>tbl_meddez_anterior[[#This Row],[Hidrometro]]</f>
        <v>1276</v>
      </c>
      <c r="H45" s="14"/>
      <c r="I45" s="2">
        <f>tbl_medout[[#This Row],[Medição 
Água Fria]]/100+tbl_medout[[#This Row],[Medição 
Água Quente]]/1000</f>
        <v>0</v>
      </c>
      <c r="J45" s="15" t="str">
        <f>IF(tbl_medout[[#This Row],[Total]]&gt;0,tbl_medout[[#This Row],[Total]]/VLOOKUP(tbl_medout[[#This Row],[Apto]],tbl_medfev[[Apto]:[Total]],6,FALSE)-1,"")</f>
        <v/>
      </c>
      <c r="K45" s="15" t="str">
        <f>IF(tbl_medout[[#This Row],[Utilização (%)]]&lt;&gt;"",ALERTA_INDIVIDUAL-tbl_medout[[#This Row],[Utilização (%)]],"")</f>
        <v/>
      </c>
    </row>
    <row r="46" spans="1:11" x14ac:dyDescent="0.25">
      <c r="A46" s="2">
        <f>tbl_consolidacao[[#This Row],[Torre]]</f>
        <v>2</v>
      </c>
      <c r="B46" s="2" t="str">
        <f>tbl_consolidacao[[#This Row],[Junta]]</f>
        <v>B</v>
      </c>
      <c r="C46" s="2">
        <f>tbl_consolidacao[[#This Row],[Unid]]</f>
        <v>308</v>
      </c>
      <c r="D46" s="2" t="str">
        <f>tbl_consolidacao[[#This Row],[Apto]]</f>
        <v>308-B2</v>
      </c>
      <c r="E46" s="2">
        <f>tbl_meddez_anterior[[#This Row],[Hidrometro]]</f>
        <v>1277</v>
      </c>
      <c r="F46" s="13"/>
      <c r="G46" s="16">
        <f>tbl_meddez_anterior[[#This Row],[Hidrometro]]</f>
        <v>1277</v>
      </c>
      <c r="H46" s="14"/>
      <c r="I46" s="2">
        <f>tbl_medout[[#This Row],[Medição 
Água Fria]]/100+tbl_medout[[#This Row],[Medição 
Água Quente]]/1000</f>
        <v>0</v>
      </c>
      <c r="J46" s="15" t="str">
        <f>IF(tbl_medout[[#This Row],[Total]]&gt;0,tbl_medout[[#This Row],[Total]]/VLOOKUP(tbl_medout[[#This Row],[Apto]],tbl_medfev[[Apto]:[Total]],6,FALSE)-1,"")</f>
        <v/>
      </c>
      <c r="K46" s="15" t="str">
        <f>IF(tbl_medout[[#This Row],[Utilização (%)]]&lt;&gt;"",ALERTA_INDIVIDUAL-tbl_medout[[#This Row],[Utilização (%)]],"")</f>
        <v/>
      </c>
    </row>
  </sheetData>
  <sheetProtection algorithmName="SHA-512" hashValue="XuNy2d6fuwj0x6gtYKKf++Q6nMZVJqk2KGNHJkbl0PgnNQuLagiT2d+4tjQXkzqdAZjAqvjuTxhe+ohvMNw+Og==" saltValue="Goi4NJh2ichAaAAut0jG2Q==" spinCount="100000" sheet="1" objects="1" scenarios="1" selectLockedCells="1"/>
  <mergeCells count="3">
    <mergeCell ref="E1:F1"/>
    <mergeCell ref="G1:H1"/>
    <mergeCell ref="I1:J1"/>
  </mergeCells>
  <conditionalFormatting sqref="K3:K46">
    <cfRule type="iconSet" priority="1">
      <iconSet iconSet="3Flags" showValue="0">
        <cfvo type="percent" val="0"/>
        <cfvo type="percent" val="5"/>
        <cfvo type="percent" val="1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K46"/>
  <sheetViews>
    <sheetView showGridLines="0" workbookViewId="0">
      <selection activeCell="G1" sqref="G1:H1"/>
    </sheetView>
  </sheetViews>
  <sheetFormatPr defaultRowHeight="15" x14ac:dyDescent="0.25"/>
  <cols>
    <col min="1" max="3" width="7.7109375" customWidth="1"/>
    <col min="4" max="4" width="10.7109375" customWidth="1"/>
    <col min="5" max="9" width="12.7109375" customWidth="1"/>
    <col min="10" max="10" width="10.7109375" customWidth="1"/>
    <col min="11" max="11" width="3.7109375" customWidth="1"/>
  </cols>
  <sheetData>
    <row r="1" spans="1:11" ht="23.25" x14ac:dyDescent="0.35">
      <c r="E1" s="53" t="s">
        <v>48</v>
      </c>
      <c r="F1" s="53"/>
      <c r="G1" s="54"/>
      <c r="H1" s="54"/>
      <c r="I1" s="55" t="str">
        <f>IF(G1&lt;&gt;"",TEXT(G1,"mmmm-aa"),"")</f>
        <v/>
      </c>
      <c r="J1" s="55"/>
    </row>
    <row r="2" spans="1:11" ht="65.099999999999994" customHeight="1" x14ac:dyDescent="0.25">
      <c r="A2" s="3" t="s">
        <v>24</v>
      </c>
      <c r="B2" s="3" t="s">
        <v>25</v>
      </c>
      <c r="C2" s="3" t="s">
        <v>26</v>
      </c>
      <c r="D2" s="3" t="s">
        <v>49</v>
      </c>
      <c r="E2" s="3" t="s">
        <v>27</v>
      </c>
      <c r="F2" s="12" t="s">
        <v>43</v>
      </c>
      <c r="G2" s="10" t="s">
        <v>30</v>
      </c>
      <c r="H2" s="11" t="s">
        <v>44</v>
      </c>
      <c r="I2" s="3" t="s">
        <v>45</v>
      </c>
      <c r="J2" s="3" t="s">
        <v>46</v>
      </c>
      <c r="K2" s="3" t="s">
        <v>19</v>
      </c>
    </row>
    <row r="3" spans="1:11" x14ac:dyDescent="0.25">
      <c r="A3" s="2">
        <f>tbl_consolidacao[[#This Row],[Torre]]</f>
        <v>1</v>
      </c>
      <c r="B3" s="2" t="str">
        <f>tbl_consolidacao[[#This Row],[Junta]]</f>
        <v>A</v>
      </c>
      <c r="C3" s="2">
        <f>tbl_consolidacao[[#This Row],[Unid]]</f>
        <v>101</v>
      </c>
      <c r="D3" s="2" t="str">
        <f>tbl_consolidacao[[#This Row],[Apto]]</f>
        <v>101-A1</v>
      </c>
      <c r="E3" s="2">
        <f>tbl_meddez_anterior[[#This Row],[Hidrometro]]</f>
        <v>1234</v>
      </c>
      <c r="F3" s="13"/>
      <c r="G3" s="16">
        <f>tbl_meddez_anterior[[#This Row],[Hidrometro]]</f>
        <v>1234</v>
      </c>
      <c r="H3" s="14"/>
      <c r="I3" s="2">
        <f>tbl_mednov[[#This Row],[Medição 
Água Fria]]/100+tbl_mednov[[#This Row],[Medição 
Água Quente]]/1000</f>
        <v>0</v>
      </c>
      <c r="J3" s="15" t="str">
        <f>IF(tbl_mednov[[#This Row],[Total]]&gt;0,tbl_mednov[[#This Row],[Total]]/VLOOKUP(tbl_mednov[[#This Row],[Apto]],tbl_medfev[[Apto]:[Total]],6,FALSE)-1,"")</f>
        <v/>
      </c>
      <c r="K3" s="15" t="str">
        <f>IF(tbl_mednov[[#This Row],[Utilização (%)]]&lt;&gt;"",ALERTA_INDIVIDUAL-tbl_mednov[[#This Row],[Utilização (%)]],"")</f>
        <v/>
      </c>
    </row>
    <row r="4" spans="1:11" x14ac:dyDescent="0.25">
      <c r="A4" s="2">
        <f>tbl_consolidacao[[#This Row],[Torre]]</f>
        <v>2</v>
      </c>
      <c r="B4" s="2" t="str">
        <f>tbl_consolidacao[[#This Row],[Junta]]</f>
        <v>A</v>
      </c>
      <c r="C4" s="2">
        <f>tbl_consolidacao[[#This Row],[Unid]]</f>
        <v>101</v>
      </c>
      <c r="D4" s="2" t="str">
        <f>tbl_consolidacao[[#This Row],[Apto]]</f>
        <v>101-A2</v>
      </c>
      <c r="E4" s="2">
        <f>tbl_meddez_anterior[[#This Row],[Hidrometro]]</f>
        <v>1235</v>
      </c>
      <c r="F4" s="13"/>
      <c r="G4" s="16">
        <f>tbl_meddez_anterior[[#This Row],[Hidrometro]]</f>
        <v>1235</v>
      </c>
      <c r="H4" s="14"/>
      <c r="I4" s="2">
        <f>tbl_mednov[[#This Row],[Medição 
Água Fria]]/100+tbl_mednov[[#This Row],[Medição 
Água Quente]]/1000</f>
        <v>0</v>
      </c>
      <c r="J4" s="15" t="str">
        <f>IF(tbl_mednov[[#This Row],[Total]]&gt;0,tbl_mednov[[#This Row],[Total]]/VLOOKUP(tbl_mednov[[#This Row],[Apto]],tbl_medfev[[Apto]:[Total]],6,FALSE)-1,"")</f>
        <v/>
      </c>
      <c r="K4" s="15" t="str">
        <f>IF(tbl_mednov[[#This Row],[Utilização (%)]]&lt;&gt;"",ALERTA_INDIVIDUAL-tbl_mednov[[#This Row],[Utilização (%)]],"")</f>
        <v/>
      </c>
    </row>
    <row r="5" spans="1:11" x14ac:dyDescent="0.25">
      <c r="A5" s="2">
        <f>tbl_consolidacao[[#This Row],[Torre]]</f>
        <v>1</v>
      </c>
      <c r="B5" s="2" t="str">
        <f>tbl_consolidacao[[#This Row],[Junta]]</f>
        <v>A</v>
      </c>
      <c r="C5" s="2">
        <f>tbl_consolidacao[[#This Row],[Unid]]</f>
        <v>102</v>
      </c>
      <c r="D5" s="2" t="str">
        <f>tbl_consolidacao[[#This Row],[Apto]]</f>
        <v>102-A1</v>
      </c>
      <c r="E5" s="2">
        <f>tbl_meddez_anterior[[#This Row],[Hidrometro]]</f>
        <v>1236</v>
      </c>
      <c r="F5" s="13"/>
      <c r="G5" s="16">
        <f>tbl_meddez_anterior[[#This Row],[Hidrometro]]</f>
        <v>1236</v>
      </c>
      <c r="H5" s="14"/>
      <c r="I5" s="2">
        <f>tbl_mednov[[#This Row],[Medição 
Água Fria]]/100+tbl_mednov[[#This Row],[Medição 
Água Quente]]/1000</f>
        <v>0</v>
      </c>
      <c r="J5" s="15" t="str">
        <f>IF(tbl_mednov[[#This Row],[Total]]&gt;0,tbl_mednov[[#This Row],[Total]]/VLOOKUP(tbl_mednov[[#This Row],[Apto]],tbl_medfev[[Apto]:[Total]],6,FALSE)-1,"")</f>
        <v/>
      </c>
      <c r="K5" s="15" t="str">
        <f>IF(tbl_mednov[[#This Row],[Utilização (%)]]&lt;&gt;"",ALERTA_INDIVIDUAL-tbl_mednov[[#This Row],[Utilização (%)]],"")</f>
        <v/>
      </c>
    </row>
    <row r="6" spans="1:11" x14ac:dyDescent="0.25">
      <c r="A6" s="2">
        <f>tbl_consolidacao[[#This Row],[Torre]]</f>
        <v>2</v>
      </c>
      <c r="B6" s="2" t="str">
        <f>tbl_consolidacao[[#This Row],[Junta]]</f>
        <v>A</v>
      </c>
      <c r="C6" s="2">
        <f>tbl_consolidacao[[#This Row],[Unid]]</f>
        <v>102</v>
      </c>
      <c r="D6" s="2" t="str">
        <f>tbl_consolidacao[[#This Row],[Apto]]</f>
        <v>102-A2</v>
      </c>
      <c r="E6" s="2">
        <f>tbl_meddez_anterior[[#This Row],[Hidrometro]]</f>
        <v>1237</v>
      </c>
      <c r="F6" s="13"/>
      <c r="G6" s="16">
        <f>tbl_meddez_anterior[[#This Row],[Hidrometro]]</f>
        <v>1237</v>
      </c>
      <c r="H6" s="14"/>
      <c r="I6" s="2">
        <f>tbl_mednov[[#This Row],[Medição 
Água Fria]]/100+tbl_mednov[[#This Row],[Medição 
Água Quente]]/1000</f>
        <v>0</v>
      </c>
      <c r="J6" s="15" t="str">
        <f>IF(tbl_mednov[[#This Row],[Total]]&gt;0,tbl_mednov[[#This Row],[Total]]/VLOOKUP(tbl_mednov[[#This Row],[Apto]],tbl_medfev[[Apto]:[Total]],6,FALSE)-1,"")</f>
        <v/>
      </c>
      <c r="K6" s="15" t="str">
        <f>IF(tbl_mednov[[#This Row],[Utilização (%)]]&lt;&gt;"",ALERTA_INDIVIDUAL-tbl_mednov[[#This Row],[Utilização (%)]],"")</f>
        <v/>
      </c>
    </row>
    <row r="7" spans="1:11" x14ac:dyDescent="0.25">
      <c r="A7" s="2">
        <f>tbl_consolidacao[[#This Row],[Torre]]</f>
        <v>1</v>
      </c>
      <c r="B7" s="2" t="str">
        <f>tbl_consolidacao[[#This Row],[Junta]]</f>
        <v>A</v>
      </c>
      <c r="C7" s="2">
        <f>tbl_consolidacao[[#This Row],[Unid]]</f>
        <v>103</v>
      </c>
      <c r="D7" s="2" t="str">
        <f>tbl_consolidacao[[#This Row],[Apto]]</f>
        <v>103-A1</v>
      </c>
      <c r="E7" s="2">
        <f>tbl_meddez_anterior[[#This Row],[Hidrometro]]</f>
        <v>1238</v>
      </c>
      <c r="F7" s="13"/>
      <c r="G7" s="16">
        <f>tbl_meddez_anterior[[#This Row],[Hidrometro]]</f>
        <v>1238</v>
      </c>
      <c r="H7" s="14"/>
      <c r="I7" s="2">
        <f>tbl_mednov[[#This Row],[Medição 
Água Fria]]/100+tbl_mednov[[#This Row],[Medição 
Água Quente]]/1000</f>
        <v>0</v>
      </c>
      <c r="J7" s="15" t="str">
        <f>IF(tbl_mednov[[#This Row],[Total]]&gt;0,tbl_mednov[[#This Row],[Total]]/VLOOKUP(tbl_mednov[[#This Row],[Apto]],tbl_medfev[[Apto]:[Total]],6,FALSE)-1,"")</f>
        <v/>
      </c>
      <c r="K7" s="15" t="str">
        <f>IF(tbl_mednov[[#This Row],[Utilização (%)]]&lt;&gt;"",ALERTA_INDIVIDUAL-tbl_mednov[[#This Row],[Utilização (%)]],"")</f>
        <v/>
      </c>
    </row>
    <row r="8" spans="1:11" x14ac:dyDescent="0.25">
      <c r="A8" s="2">
        <f>tbl_consolidacao[[#This Row],[Torre]]</f>
        <v>2</v>
      </c>
      <c r="B8" s="2" t="str">
        <f>tbl_consolidacao[[#This Row],[Junta]]</f>
        <v>A</v>
      </c>
      <c r="C8" s="2">
        <f>tbl_consolidacao[[#This Row],[Unid]]</f>
        <v>103</v>
      </c>
      <c r="D8" s="2" t="str">
        <f>tbl_consolidacao[[#This Row],[Apto]]</f>
        <v>103-A2</v>
      </c>
      <c r="E8" s="2">
        <f>tbl_meddez_anterior[[#This Row],[Hidrometro]]</f>
        <v>1239</v>
      </c>
      <c r="F8" s="13"/>
      <c r="G8" s="16">
        <f>tbl_meddez_anterior[[#This Row],[Hidrometro]]</f>
        <v>1239</v>
      </c>
      <c r="H8" s="14"/>
      <c r="I8" s="2">
        <f>tbl_mednov[[#This Row],[Medição 
Água Fria]]/100+tbl_mednov[[#This Row],[Medição 
Água Quente]]/1000</f>
        <v>0</v>
      </c>
      <c r="J8" s="15" t="str">
        <f>IF(tbl_mednov[[#This Row],[Total]]&gt;0,tbl_mednov[[#This Row],[Total]]/VLOOKUP(tbl_mednov[[#This Row],[Apto]],tbl_medfev[[Apto]:[Total]],6,FALSE)-1,"")</f>
        <v/>
      </c>
      <c r="K8" s="15" t="str">
        <f>IF(tbl_mednov[[#This Row],[Utilização (%)]]&lt;&gt;"",ALERTA_INDIVIDUAL-tbl_mednov[[#This Row],[Utilização (%)]],"")</f>
        <v/>
      </c>
    </row>
    <row r="9" spans="1:11" x14ac:dyDescent="0.25">
      <c r="A9" s="2">
        <f>tbl_consolidacao[[#This Row],[Torre]]</f>
        <v>1</v>
      </c>
      <c r="B9" s="2" t="str">
        <f>tbl_consolidacao[[#This Row],[Junta]]</f>
        <v>A</v>
      </c>
      <c r="C9" s="2">
        <f>tbl_consolidacao[[#This Row],[Unid]]</f>
        <v>104</v>
      </c>
      <c r="D9" s="2" t="str">
        <f>tbl_consolidacao[[#This Row],[Apto]]</f>
        <v>104-A1</v>
      </c>
      <c r="E9" s="2">
        <f>tbl_meddez_anterior[[#This Row],[Hidrometro]]</f>
        <v>1240</v>
      </c>
      <c r="F9" s="13"/>
      <c r="G9" s="16">
        <f>tbl_meddez_anterior[[#This Row],[Hidrometro]]</f>
        <v>1240</v>
      </c>
      <c r="H9" s="14"/>
      <c r="I9" s="2">
        <f>tbl_mednov[[#This Row],[Medição 
Água Fria]]/100+tbl_mednov[[#This Row],[Medição 
Água Quente]]/1000</f>
        <v>0</v>
      </c>
      <c r="J9" s="15" t="str">
        <f>IF(tbl_mednov[[#This Row],[Total]]&gt;0,tbl_mednov[[#This Row],[Total]]/VLOOKUP(tbl_mednov[[#This Row],[Apto]],tbl_medfev[[Apto]:[Total]],6,FALSE)-1,"")</f>
        <v/>
      </c>
      <c r="K9" s="15" t="str">
        <f>IF(tbl_mednov[[#This Row],[Utilização (%)]]&lt;&gt;"",ALERTA_INDIVIDUAL-tbl_mednov[[#This Row],[Utilização (%)]],"")</f>
        <v/>
      </c>
    </row>
    <row r="10" spans="1:11" x14ac:dyDescent="0.25">
      <c r="A10" s="2">
        <f>tbl_consolidacao[[#This Row],[Torre]]</f>
        <v>2</v>
      </c>
      <c r="B10" s="2" t="str">
        <f>tbl_consolidacao[[#This Row],[Junta]]</f>
        <v>A</v>
      </c>
      <c r="C10" s="2">
        <f>tbl_consolidacao[[#This Row],[Unid]]</f>
        <v>104</v>
      </c>
      <c r="D10" s="2" t="str">
        <f>tbl_consolidacao[[#This Row],[Apto]]</f>
        <v>104-A2</v>
      </c>
      <c r="E10" s="2">
        <f>tbl_meddez_anterior[[#This Row],[Hidrometro]]</f>
        <v>1241</v>
      </c>
      <c r="F10" s="13"/>
      <c r="G10" s="16">
        <f>tbl_meddez_anterior[[#This Row],[Hidrometro]]</f>
        <v>1241</v>
      </c>
      <c r="H10" s="14"/>
      <c r="I10" s="2">
        <f>tbl_mednov[[#This Row],[Medição 
Água Fria]]/100+tbl_mednov[[#This Row],[Medição 
Água Quente]]/1000</f>
        <v>0</v>
      </c>
      <c r="J10" s="15" t="str">
        <f>IF(tbl_mednov[[#This Row],[Total]]&gt;0,tbl_mednov[[#This Row],[Total]]/VLOOKUP(tbl_mednov[[#This Row],[Apto]],tbl_medfev[[Apto]:[Total]],6,FALSE)-1,"")</f>
        <v/>
      </c>
      <c r="K10" s="15" t="str">
        <f>IF(tbl_mednov[[#This Row],[Utilização (%)]]&lt;&gt;"",ALERTA_INDIVIDUAL-tbl_mednov[[#This Row],[Utilização (%)]],"")</f>
        <v/>
      </c>
    </row>
    <row r="11" spans="1:11" x14ac:dyDescent="0.25">
      <c r="A11" s="2">
        <f>tbl_consolidacao[[#This Row],[Torre]]</f>
        <v>2</v>
      </c>
      <c r="B11" s="2" t="str">
        <f>tbl_consolidacao[[#This Row],[Junta]]</f>
        <v>B</v>
      </c>
      <c r="C11" s="2">
        <f>tbl_consolidacao[[#This Row],[Unid]]</f>
        <v>105</v>
      </c>
      <c r="D11" s="2" t="str">
        <f>tbl_consolidacao[[#This Row],[Apto]]</f>
        <v>105-B2</v>
      </c>
      <c r="E11" s="2">
        <f>tbl_meddez_anterior[[#This Row],[Hidrometro]]</f>
        <v>1242</v>
      </c>
      <c r="F11" s="13"/>
      <c r="G11" s="16">
        <f>tbl_meddez_anterior[[#This Row],[Hidrometro]]</f>
        <v>1242</v>
      </c>
      <c r="H11" s="14"/>
      <c r="I11" s="2">
        <f>tbl_mednov[[#This Row],[Medição 
Água Fria]]/100+tbl_mednov[[#This Row],[Medição 
Água Quente]]/1000</f>
        <v>0</v>
      </c>
      <c r="J11" s="15" t="str">
        <f>IF(tbl_mednov[[#This Row],[Total]]&gt;0,tbl_mednov[[#This Row],[Total]]/VLOOKUP(tbl_mednov[[#This Row],[Apto]],tbl_medfev[[Apto]:[Total]],6,FALSE)-1,"")</f>
        <v/>
      </c>
      <c r="K11" s="15" t="str">
        <f>IF(tbl_mednov[[#This Row],[Utilização (%)]]&lt;&gt;"",ALERTA_INDIVIDUAL-tbl_mednov[[#This Row],[Utilização (%)]],"")</f>
        <v/>
      </c>
    </row>
    <row r="12" spans="1:11" x14ac:dyDescent="0.25">
      <c r="A12" s="2">
        <f>tbl_consolidacao[[#This Row],[Torre]]</f>
        <v>2</v>
      </c>
      <c r="B12" s="2" t="str">
        <f>tbl_consolidacao[[#This Row],[Junta]]</f>
        <v>B</v>
      </c>
      <c r="C12" s="2">
        <f>tbl_consolidacao[[#This Row],[Unid]]</f>
        <v>106</v>
      </c>
      <c r="D12" s="2" t="str">
        <f>tbl_consolidacao[[#This Row],[Apto]]</f>
        <v>106-B2</v>
      </c>
      <c r="E12" s="2">
        <f>tbl_meddez_anterior[[#This Row],[Hidrometro]]</f>
        <v>1243</v>
      </c>
      <c r="F12" s="13"/>
      <c r="G12" s="16">
        <f>tbl_meddez_anterior[[#This Row],[Hidrometro]]</f>
        <v>1243</v>
      </c>
      <c r="H12" s="14"/>
      <c r="I12" s="2">
        <f>tbl_mednov[[#This Row],[Medição 
Água Fria]]/100+tbl_mednov[[#This Row],[Medição 
Água Quente]]/1000</f>
        <v>0</v>
      </c>
      <c r="J12" s="15" t="str">
        <f>IF(tbl_mednov[[#This Row],[Total]]&gt;0,tbl_mednov[[#This Row],[Total]]/VLOOKUP(tbl_mednov[[#This Row],[Apto]],tbl_medfev[[Apto]:[Total]],6,FALSE)-1,"")</f>
        <v/>
      </c>
      <c r="K12" s="15" t="str">
        <f>IF(tbl_mednov[[#This Row],[Utilização (%)]]&lt;&gt;"",ALERTA_INDIVIDUAL-tbl_mednov[[#This Row],[Utilização (%)]],"")</f>
        <v/>
      </c>
    </row>
    <row r="13" spans="1:11" x14ac:dyDescent="0.25">
      <c r="A13" s="2">
        <f>tbl_consolidacao[[#This Row],[Torre]]</f>
        <v>2</v>
      </c>
      <c r="B13" s="2" t="str">
        <f>tbl_consolidacao[[#This Row],[Junta]]</f>
        <v>B</v>
      </c>
      <c r="C13" s="2">
        <f>tbl_consolidacao[[#This Row],[Unid]]</f>
        <v>107</v>
      </c>
      <c r="D13" s="2" t="str">
        <f>tbl_consolidacao[[#This Row],[Apto]]</f>
        <v>107-B2</v>
      </c>
      <c r="E13" s="2">
        <f>tbl_meddez_anterior[[#This Row],[Hidrometro]]</f>
        <v>1244</v>
      </c>
      <c r="F13" s="13"/>
      <c r="G13" s="16">
        <f>tbl_meddez_anterior[[#This Row],[Hidrometro]]</f>
        <v>1244</v>
      </c>
      <c r="H13" s="14"/>
      <c r="I13" s="2">
        <f>tbl_mednov[[#This Row],[Medição 
Água Fria]]/100+tbl_mednov[[#This Row],[Medição 
Água Quente]]/1000</f>
        <v>0</v>
      </c>
      <c r="J13" s="15" t="str">
        <f>IF(tbl_mednov[[#This Row],[Total]]&gt;0,tbl_mednov[[#This Row],[Total]]/VLOOKUP(tbl_mednov[[#This Row],[Apto]],tbl_medfev[[Apto]:[Total]],6,FALSE)-1,"")</f>
        <v/>
      </c>
      <c r="K13" s="15" t="str">
        <f>IF(tbl_mednov[[#This Row],[Utilização (%)]]&lt;&gt;"",ALERTA_INDIVIDUAL-tbl_mednov[[#This Row],[Utilização (%)]],"")</f>
        <v/>
      </c>
    </row>
    <row r="14" spans="1:11" x14ac:dyDescent="0.25">
      <c r="A14" s="2">
        <f>tbl_consolidacao[[#This Row],[Torre]]</f>
        <v>2</v>
      </c>
      <c r="B14" s="2" t="str">
        <f>tbl_consolidacao[[#This Row],[Junta]]</f>
        <v>B</v>
      </c>
      <c r="C14" s="2">
        <f>tbl_consolidacao[[#This Row],[Unid]]</f>
        <v>108</v>
      </c>
      <c r="D14" s="2" t="str">
        <f>tbl_consolidacao[[#This Row],[Apto]]</f>
        <v>108-B2</v>
      </c>
      <c r="E14" s="2">
        <f>tbl_meddez_anterior[[#This Row],[Hidrometro]]</f>
        <v>1245</v>
      </c>
      <c r="F14" s="13"/>
      <c r="G14" s="16">
        <f>tbl_meddez_anterior[[#This Row],[Hidrometro]]</f>
        <v>1245</v>
      </c>
      <c r="H14" s="14"/>
      <c r="I14" s="2">
        <f>tbl_mednov[[#This Row],[Medição 
Água Fria]]/100+tbl_mednov[[#This Row],[Medição 
Água Quente]]/1000</f>
        <v>0</v>
      </c>
      <c r="J14" s="15" t="str">
        <f>IF(tbl_mednov[[#This Row],[Total]]&gt;0,tbl_mednov[[#This Row],[Total]]/VLOOKUP(tbl_mednov[[#This Row],[Apto]],tbl_medfev[[Apto]:[Total]],6,FALSE)-1,"")</f>
        <v/>
      </c>
      <c r="K14" s="15" t="str">
        <f>IF(tbl_mednov[[#This Row],[Utilização (%)]]&lt;&gt;"",ALERTA_INDIVIDUAL-tbl_mednov[[#This Row],[Utilização (%)]],"")</f>
        <v/>
      </c>
    </row>
    <row r="15" spans="1:11" x14ac:dyDescent="0.25">
      <c r="A15" s="2">
        <f>tbl_consolidacao[[#This Row],[Torre]]</f>
        <v>1</v>
      </c>
      <c r="B15" s="2" t="str">
        <f>tbl_consolidacao[[#This Row],[Junta]]</f>
        <v>A</v>
      </c>
      <c r="C15" s="2">
        <f>tbl_consolidacao[[#This Row],[Unid]]</f>
        <v>201</v>
      </c>
      <c r="D15" s="2" t="str">
        <f>tbl_consolidacao[[#This Row],[Apto]]</f>
        <v>201-A1</v>
      </c>
      <c r="E15" s="2">
        <f>tbl_meddez_anterior[[#This Row],[Hidrometro]]</f>
        <v>1246</v>
      </c>
      <c r="F15" s="13"/>
      <c r="G15" s="16">
        <f>tbl_meddez_anterior[[#This Row],[Hidrometro]]</f>
        <v>1246</v>
      </c>
      <c r="H15" s="14"/>
      <c r="I15" s="2">
        <f>tbl_mednov[[#This Row],[Medição 
Água Fria]]/100+tbl_mednov[[#This Row],[Medição 
Água Quente]]/1000</f>
        <v>0</v>
      </c>
      <c r="J15" s="15" t="str">
        <f>IF(tbl_mednov[[#This Row],[Total]]&gt;0,tbl_mednov[[#This Row],[Total]]/VLOOKUP(tbl_mednov[[#This Row],[Apto]],tbl_medfev[[Apto]:[Total]],6,FALSE)-1,"")</f>
        <v/>
      </c>
      <c r="K15" s="15" t="str">
        <f>IF(tbl_mednov[[#This Row],[Utilização (%)]]&lt;&gt;"",ALERTA_INDIVIDUAL-tbl_mednov[[#This Row],[Utilização (%)]],"")</f>
        <v/>
      </c>
    </row>
    <row r="16" spans="1:11" x14ac:dyDescent="0.25">
      <c r="A16" s="2">
        <f>tbl_consolidacao[[#This Row],[Torre]]</f>
        <v>2</v>
      </c>
      <c r="B16" s="2" t="str">
        <f>tbl_consolidacao[[#This Row],[Junta]]</f>
        <v>A</v>
      </c>
      <c r="C16" s="2">
        <f>tbl_consolidacao[[#This Row],[Unid]]</f>
        <v>201</v>
      </c>
      <c r="D16" s="2" t="str">
        <f>tbl_consolidacao[[#This Row],[Apto]]</f>
        <v>201-A2</v>
      </c>
      <c r="E16" s="2">
        <f>tbl_meddez_anterior[[#This Row],[Hidrometro]]</f>
        <v>1247</v>
      </c>
      <c r="F16" s="13"/>
      <c r="G16" s="16">
        <f>tbl_meddez_anterior[[#This Row],[Hidrometro]]</f>
        <v>1247</v>
      </c>
      <c r="H16" s="14"/>
      <c r="I16" s="2">
        <f>tbl_mednov[[#This Row],[Medição 
Água Fria]]/100+tbl_mednov[[#This Row],[Medição 
Água Quente]]/1000</f>
        <v>0</v>
      </c>
      <c r="J16" s="15" t="str">
        <f>IF(tbl_mednov[[#This Row],[Total]]&gt;0,tbl_mednov[[#This Row],[Total]]/VLOOKUP(tbl_mednov[[#This Row],[Apto]],tbl_medfev[[Apto]:[Total]],6,FALSE)-1,"")</f>
        <v/>
      </c>
      <c r="K16" s="15" t="str">
        <f>IF(tbl_mednov[[#This Row],[Utilização (%)]]&lt;&gt;"",ALERTA_INDIVIDUAL-tbl_mednov[[#This Row],[Utilização (%)]],"")</f>
        <v/>
      </c>
    </row>
    <row r="17" spans="1:11" x14ac:dyDescent="0.25">
      <c r="A17" s="2">
        <f>tbl_consolidacao[[#This Row],[Torre]]</f>
        <v>1</v>
      </c>
      <c r="B17" s="2" t="str">
        <f>tbl_consolidacao[[#This Row],[Junta]]</f>
        <v>A</v>
      </c>
      <c r="C17" s="2">
        <f>tbl_consolidacao[[#This Row],[Unid]]</f>
        <v>202</v>
      </c>
      <c r="D17" s="2" t="str">
        <f>tbl_consolidacao[[#This Row],[Apto]]</f>
        <v>202-A1</v>
      </c>
      <c r="E17" s="2">
        <f>tbl_meddez_anterior[[#This Row],[Hidrometro]]</f>
        <v>1248</v>
      </c>
      <c r="F17" s="13"/>
      <c r="G17" s="16">
        <f>tbl_meddez_anterior[[#This Row],[Hidrometro]]</f>
        <v>1248</v>
      </c>
      <c r="H17" s="14"/>
      <c r="I17" s="2">
        <f>tbl_mednov[[#This Row],[Medição 
Água Fria]]/100+tbl_mednov[[#This Row],[Medição 
Água Quente]]/1000</f>
        <v>0</v>
      </c>
      <c r="J17" s="15" t="str">
        <f>IF(tbl_mednov[[#This Row],[Total]]&gt;0,tbl_mednov[[#This Row],[Total]]/VLOOKUP(tbl_mednov[[#This Row],[Apto]],tbl_medfev[[Apto]:[Total]],6,FALSE)-1,"")</f>
        <v/>
      </c>
      <c r="K17" s="15" t="str">
        <f>IF(tbl_mednov[[#This Row],[Utilização (%)]]&lt;&gt;"",ALERTA_INDIVIDUAL-tbl_mednov[[#This Row],[Utilização (%)]],"")</f>
        <v/>
      </c>
    </row>
    <row r="18" spans="1:11" x14ac:dyDescent="0.25">
      <c r="A18" s="2">
        <f>tbl_consolidacao[[#This Row],[Torre]]</f>
        <v>2</v>
      </c>
      <c r="B18" s="2" t="str">
        <f>tbl_consolidacao[[#This Row],[Junta]]</f>
        <v>A</v>
      </c>
      <c r="C18" s="2">
        <f>tbl_consolidacao[[#This Row],[Unid]]</f>
        <v>202</v>
      </c>
      <c r="D18" s="2" t="str">
        <f>tbl_consolidacao[[#This Row],[Apto]]</f>
        <v>202-A2</v>
      </c>
      <c r="E18" s="2">
        <f>tbl_meddez_anterior[[#This Row],[Hidrometro]]</f>
        <v>1249</v>
      </c>
      <c r="F18" s="13"/>
      <c r="G18" s="16">
        <f>tbl_meddez_anterior[[#This Row],[Hidrometro]]</f>
        <v>1249</v>
      </c>
      <c r="H18" s="14"/>
      <c r="I18" s="2">
        <f>tbl_mednov[[#This Row],[Medição 
Água Fria]]/100+tbl_mednov[[#This Row],[Medição 
Água Quente]]/1000</f>
        <v>0</v>
      </c>
      <c r="J18" s="15" t="str">
        <f>IF(tbl_mednov[[#This Row],[Total]]&gt;0,tbl_mednov[[#This Row],[Total]]/VLOOKUP(tbl_mednov[[#This Row],[Apto]],tbl_medfev[[Apto]:[Total]],6,FALSE)-1,"")</f>
        <v/>
      </c>
      <c r="K18" s="15" t="str">
        <f>IF(tbl_mednov[[#This Row],[Utilização (%)]]&lt;&gt;"",ALERTA_INDIVIDUAL-tbl_mednov[[#This Row],[Utilização (%)]],"")</f>
        <v/>
      </c>
    </row>
    <row r="19" spans="1:11" x14ac:dyDescent="0.25">
      <c r="A19" s="2">
        <f>tbl_consolidacao[[#This Row],[Torre]]</f>
        <v>1</v>
      </c>
      <c r="B19" s="2" t="str">
        <f>tbl_consolidacao[[#This Row],[Junta]]</f>
        <v>A</v>
      </c>
      <c r="C19" s="2">
        <f>tbl_consolidacao[[#This Row],[Unid]]</f>
        <v>203</v>
      </c>
      <c r="D19" s="2" t="str">
        <f>tbl_consolidacao[[#This Row],[Apto]]</f>
        <v>203-A1</v>
      </c>
      <c r="E19" s="2">
        <f>tbl_meddez_anterior[[#This Row],[Hidrometro]]</f>
        <v>1250</v>
      </c>
      <c r="F19" s="13"/>
      <c r="G19" s="16">
        <f>tbl_meddez_anterior[[#This Row],[Hidrometro]]</f>
        <v>1250</v>
      </c>
      <c r="H19" s="14"/>
      <c r="I19" s="2">
        <f>tbl_mednov[[#This Row],[Medição 
Água Fria]]/100+tbl_mednov[[#This Row],[Medição 
Água Quente]]/1000</f>
        <v>0</v>
      </c>
      <c r="J19" s="15" t="str">
        <f>IF(tbl_mednov[[#This Row],[Total]]&gt;0,tbl_mednov[[#This Row],[Total]]/VLOOKUP(tbl_mednov[[#This Row],[Apto]],tbl_medfev[[Apto]:[Total]],6,FALSE)-1,"")</f>
        <v/>
      </c>
      <c r="K19" s="15" t="str">
        <f>IF(tbl_mednov[[#This Row],[Utilização (%)]]&lt;&gt;"",ALERTA_INDIVIDUAL-tbl_mednov[[#This Row],[Utilização (%)]],"")</f>
        <v/>
      </c>
    </row>
    <row r="20" spans="1:11" x14ac:dyDescent="0.25">
      <c r="A20" s="2">
        <f>tbl_consolidacao[[#This Row],[Torre]]</f>
        <v>2</v>
      </c>
      <c r="B20" s="2" t="str">
        <f>tbl_consolidacao[[#This Row],[Junta]]</f>
        <v>A</v>
      </c>
      <c r="C20" s="2">
        <f>tbl_consolidacao[[#This Row],[Unid]]</f>
        <v>203</v>
      </c>
      <c r="D20" s="2" t="str">
        <f>tbl_consolidacao[[#This Row],[Apto]]</f>
        <v>203-A2</v>
      </c>
      <c r="E20" s="2">
        <f>tbl_meddez_anterior[[#This Row],[Hidrometro]]</f>
        <v>1251</v>
      </c>
      <c r="F20" s="13"/>
      <c r="G20" s="16">
        <f>tbl_meddez_anterior[[#This Row],[Hidrometro]]</f>
        <v>1251</v>
      </c>
      <c r="H20" s="14"/>
      <c r="I20" s="2">
        <f>tbl_mednov[[#This Row],[Medição 
Água Fria]]/100+tbl_mednov[[#This Row],[Medição 
Água Quente]]/1000</f>
        <v>0</v>
      </c>
      <c r="J20" s="15" t="str">
        <f>IF(tbl_mednov[[#This Row],[Total]]&gt;0,tbl_mednov[[#This Row],[Total]]/VLOOKUP(tbl_mednov[[#This Row],[Apto]],tbl_medfev[[Apto]:[Total]],6,FALSE)-1,"")</f>
        <v/>
      </c>
      <c r="K20" s="15" t="str">
        <f>IF(tbl_mednov[[#This Row],[Utilização (%)]]&lt;&gt;"",ALERTA_INDIVIDUAL-tbl_mednov[[#This Row],[Utilização (%)]],"")</f>
        <v/>
      </c>
    </row>
    <row r="21" spans="1:11" x14ac:dyDescent="0.25">
      <c r="A21" s="2">
        <f>tbl_consolidacao[[#This Row],[Torre]]</f>
        <v>1</v>
      </c>
      <c r="B21" s="2" t="str">
        <f>tbl_consolidacao[[#This Row],[Junta]]</f>
        <v>A</v>
      </c>
      <c r="C21" s="2">
        <f>tbl_consolidacao[[#This Row],[Unid]]</f>
        <v>204</v>
      </c>
      <c r="D21" s="2" t="str">
        <f>tbl_consolidacao[[#This Row],[Apto]]</f>
        <v>204-A1</v>
      </c>
      <c r="E21" s="2">
        <f>tbl_meddez_anterior[[#This Row],[Hidrometro]]</f>
        <v>1252</v>
      </c>
      <c r="F21" s="13"/>
      <c r="G21" s="16">
        <f>tbl_meddez_anterior[[#This Row],[Hidrometro]]</f>
        <v>1252</v>
      </c>
      <c r="H21" s="14"/>
      <c r="I21" s="2">
        <f>tbl_mednov[[#This Row],[Medição 
Água Fria]]/100+tbl_mednov[[#This Row],[Medição 
Água Quente]]/1000</f>
        <v>0</v>
      </c>
      <c r="J21" s="15" t="str">
        <f>IF(tbl_mednov[[#This Row],[Total]]&gt;0,tbl_mednov[[#This Row],[Total]]/VLOOKUP(tbl_mednov[[#This Row],[Apto]],tbl_medfev[[Apto]:[Total]],6,FALSE)-1,"")</f>
        <v/>
      </c>
      <c r="K21" s="15" t="str">
        <f>IF(tbl_mednov[[#This Row],[Utilização (%)]]&lt;&gt;"",ALERTA_INDIVIDUAL-tbl_mednov[[#This Row],[Utilização (%)]],"")</f>
        <v/>
      </c>
    </row>
    <row r="22" spans="1:11" x14ac:dyDescent="0.25">
      <c r="A22" s="2">
        <f>tbl_consolidacao[[#This Row],[Torre]]</f>
        <v>2</v>
      </c>
      <c r="B22" s="2" t="str">
        <f>tbl_consolidacao[[#This Row],[Junta]]</f>
        <v>A</v>
      </c>
      <c r="C22" s="2">
        <f>tbl_consolidacao[[#This Row],[Unid]]</f>
        <v>204</v>
      </c>
      <c r="D22" s="2" t="str">
        <f>tbl_consolidacao[[#This Row],[Apto]]</f>
        <v>204-A2</v>
      </c>
      <c r="E22" s="2">
        <f>tbl_meddez_anterior[[#This Row],[Hidrometro]]</f>
        <v>1253</v>
      </c>
      <c r="F22" s="13"/>
      <c r="G22" s="16">
        <f>tbl_meddez_anterior[[#This Row],[Hidrometro]]</f>
        <v>1253</v>
      </c>
      <c r="H22" s="14"/>
      <c r="I22" s="2">
        <f>tbl_mednov[[#This Row],[Medição 
Água Fria]]/100+tbl_mednov[[#This Row],[Medição 
Água Quente]]/1000</f>
        <v>0</v>
      </c>
      <c r="J22" s="15" t="str">
        <f>IF(tbl_mednov[[#This Row],[Total]]&gt;0,tbl_mednov[[#This Row],[Total]]/VLOOKUP(tbl_mednov[[#This Row],[Apto]],tbl_medfev[[Apto]:[Total]],6,FALSE)-1,"")</f>
        <v/>
      </c>
      <c r="K22" s="15" t="str">
        <f>IF(tbl_mednov[[#This Row],[Utilização (%)]]&lt;&gt;"",ALERTA_INDIVIDUAL-tbl_mednov[[#This Row],[Utilização (%)]],"")</f>
        <v/>
      </c>
    </row>
    <row r="23" spans="1:11" x14ac:dyDescent="0.25">
      <c r="A23" s="2">
        <f>tbl_consolidacao[[#This Row],[Torre]]</f>
        <v>1</v>
      </c>
      <c r="B23" s="2" t="str">
        <f>tbl_consolidacao[[#This Row],[Junta]]</f>
        <v>B</v>
      </c>
      <c r="C23" s="2">
        <f>tbl_consolidacao[[#This Row],[Unid]]</f>
        <v>205</v>
      </c>
      <c r="D23" s="2" t="str">
        <f>tbl_consolidacao[[#This Row],[Apto]]</f>
        <v>205-B1</v>
      </c>
      <c r="E23" s="2">
        <f>tbl_meddez_anterior[[#This Row],[Hidrometro]]</f>
        <v>1254</v>
      </c>
      <c r="F23" s="13"/>
      <c r="G23" s="16">
        <f>tbl_meddez_anterior[[#This Row],[Hidrometro]]</f>
        <v>1254</v>
      </c>
      <c r="H23" s="14"/>
      <c r="I23" s="2">
        <f>tbl_mednov[[#This Row],[Medição 
Água Fria]]/100+tbl_mednov[[#This Row],[Medição 
Água Quente]]/1000</f>
        <v>0</v>
      </c>
      <c r="J23" s="15" t="str">
        <f>IF(tbl_mednov[[#This Row],[Total]]&gt;0,tbl_mednov[[#This Row],[Total]]/VLOOKUP(tbl_mednov[[#This Row],[Apto]],tbl_medfev[[Apto]:[Total]],6,FALSE)-1,"")</f>
        <v/>
      </c>
      <c r="K23" s="15" t="str">
        <f>IF(tbl_mednov[[#This Row],[Utilização (%)]]&lt;&gt;"",ALERTA_INDIVIDUAL-tbl_mednov[[#This Row],[Utilização (%)]],"")</f>
        <v/>
      </c>
    </row>
    <row r="24" spans="1:11" x14ac:dyDescent="0.25">
      <c r="A24" s="2">
        <f>tbl_consolidacao[[#This Row],[Torre]]</f>
        <v>2</v>
      </c>
      <c r="B24" s="2" t="str">
        <f>tbl_consolidacao[[#This Row],[Junta]]</f>
        <v>B</v>
      </c>
      <c r="C24" s="2">
        <f>tbl_consolidacao[[#This Row],[Unid]]</f>
        <v>205</v>
      </c>
      <c r="D24" s="2" t="str">
        <f>tbl_consolidacao[[#This Row],[Apto]]</f>
        <v>205-B2</v>
      </c>
      <c r="E24" s="2">
        <f>tbl_meddez_anterior[[#This Row],[Hidrometro]]</f>
        <v>1255</v>
      </c>
      <c r="F24" s="13"/>
      <c r="G24" s="16">
        <f>tbl_meddez_anterior[[#This Row],[Hidrometro]]</f>
        <v>1255</v>
      </c>
      <c r="H24" s="14"/>
      <c r="I24" s="2">
        <f>tbl_mednov[[#This Row],[Medição 
Água Fria]]/100+tbl_mednov[[#This Row],[Medição 
Água Quente]]/1000</f>
        <v>0</v>
      </c>
      <c r="J24" s="15" t="str">
        <f>IF(tbl_mednov[[#This Row],[Total]]&gt;0,tbl_mednov[[#This Row],[Total]]/VLOOKUP(tbl_mednov[[#This Row],[Apto]],tbl_medfev[[Apto]:[Total]],6,FALSE)-1,"")</f>
        <v/>
      </c>
      <c r="K24" s="15" t="str">
        <f>IF(tbl_mednov[[#This Row],[Utilização (%)]]&lt;&gt;"",ALERTA_INDIVIDUAL-tbl_mednov[[#This Row],[Utilização (%)]],"")</f>
        <v/>
      </c>
    </row>
    <row r="25" spans="1:11" x14ac:dyDescent="0.25">
      <c r="A25" s="2">
        <f>tbl_consolidacao[[#This Row],[Torre]]</f>
        <v>1</v>
      </c>
      <c r="B25" s="2" t="str">
        <f>tbl_consolidacao[[#This Row],[Junta]]</f>
        <v>B</v>
      </c>
      <c r="C25" s="2">
        <f>tbl_consolidacao[[#This Row],[Unid]]</f>
        <v>206</v>
      </c>
      <c r="D25" s="2" t="str">
        <f>tbl_consolidacao[[#This Row],[Apto]]</f>
        <v>206-B1</v>
      </c>
      <c r="E25" s="2">
        <f>tbl_meddez_anterior[[#This Row],[Hidrometro]]</f>
        <v>1256</v>
      </c>
      <c r="F25" s="13"/>
      <c r="G25" s="16">
        <f>tbl_meddez_anterior[[#This Row],[Hidrometro]]</f>
        <v>1256</v>
      </c>
      <c r="H25" s="14"/>
      <c r="I25" s="2">
        <f>tbl_mednov[[#This Row],[Medição 
Água Fria]]/100+tbl_mednov[[#This Row],[Medição 
Água Quente]]/1000</f>
        <v>0</v>
      </c>
      <c r="J25" s="15" t="str">
        <f>IF(tbl_mednov[[#This Row],[Total]]&gt;0,tbl_mednov[[#This Row],[Total]]/VLOOKUP(tbl_mednov[[#This Row],[Apto]],tbl_medfev[[Apto]:[Total]],6,FALSE)-1,"")</f>
        <v/>
      </c>
      <c r="K25" s="15" t="str">
        <f>IF(tbl_mednov[[#This Row],[Utilização (%)]]&lt;&gt;"",ALERTA_INDIVIDUAL-tbl_mednov[[#This Row],[Utilização (%)]],"")</f>
        <v/>
      </c>
    </row>
    <row r="26" spans="1:11" x14ac:dyDescent="0.25">
      <c r="A26" s="2">
        <f>tbl_consolidacao[[#This Row],[Torre]]</f>
        <v>2</v>
      </c>
      <c r="B26" s="2" t="str">
        <f>tbl_consolidacao[[#This Row],[Junta]]</f>
        <v>B</v>
      </c>
      <c r="C26" s="2">
        <f>tbl_consolidacao[[#This Row],[Unid]]</f>
        <v>206</v>
      </c>
      <c r="D26" s="2" t="str">
        <f>tbl_consolidacao[[#This Row],[Apto]]</f>
        <v>206-B2</v>
      </c>
      <c r="E26" s="2">
        <f>tbl_meddez_anterior[[#This Row],[Hidrometro]]</f>
        <v>1257</v>
      </c>
      <c r="F26" s="13"/>
      <c r="G26" s="16">
        <f>tbl_meddez_anterior[[#This Row],[Hidrometro]]</f>
        <v>1257</v>
      </c>
      <c r="H26" s="14"/>
      <c r="I26" s="2">
        <f>tbl_mednov[[#This Row],[Medição 
Água Fria]]/100+tbl_mednov[[#This Row],[Medição 
Água Quente]]/1000</f>
        <v>0</v>
      </c>
      <c r="J26" s="15" t="str">
        <f>IF(tbl_mednov[[#This Row],[Total]]&gt;0,tbl_mednov[[#This Row],[Total]]/VLOOKUP(tbl_mednov[[#This Row],[Apto]],tbl_medfev[[Apto]:[Total]],6,FALSE)-1,"")</f>
        <v/>
      </c>
      <c r="K26" s="15" t="str">
        <f>IF(tbl_mednov[[#This Row],[Utilização (%)]]&lt;&gt;"",ALERTA_INDIVIDUAL-tbl_mednov[[#This Row],[Utilização (%)]],"")</f>
        <v/>
      </c>
    </row>
    <row r="27" spans="1:11" x14ac:dyDescent="0.25">
      <c r="A27" s="2">
        <f>tbl_consolidacao[[#This Row],[Torre]]</f>
        <v>1</v>
      </c>
      <c r="B27" s="2" t="str">
        <f>tbl_consolidacao[[#This Row],[Junta]]</f>
        <v>B</v>
      </c>
      <c r="C27" s="2">
        <f>tbl_consolidacao[[#This Row],[Unid]]</f>
        <v>207</v>
      </c>
      <c r="D27" s="2" t="str">
        <f>tbl_consolidacao[[#This Row],[Apto]]</f>
        <v>207-B1</v>
      </c>
      <c r="E27" s="2">
        <f>tbl_meddez_anterior[[#This Row],[Hidrometro]]</f>
        <v>1258</v>
      </c>
      <c r="F27" s="13"/>
      <c r="G27" s="16">
        <f>tbl_meddez_anterior[[#This Row],[Hidrometro]]</f>
        <v>1258</v>
      </c>
      <c r="H27" s="14"/>
      <c r="I27" s="2">
        <f>tbl_mednov[[#This Row],[Medição 
Água Fria]]/100+tbl_mednov[[#This Row],[Medição 
Água Quente]]/1000</f>
        <v>0</v>
      </c>
      <c r="J27" s="15" t="str">
        <f>IF(tbl_mednov[[#This Row],[Total]]&gt;0,tbl_mednov[[#This Row],[Total]]/VLOOKUP(tbl_mednov[[#This Row],[Apto]],tbl_medfev[[Apto]:[Total]],6,FALSE)-1,"")</f>
        <v/>
      </c>
      <c r="K27" s="15" t="str">
        <f>IF(tbl_mednov[[#This Row],[Utilização (%)]]&lt;&gt;"",ALERTA_INDIVIDUAL-tbl_mednov[[#This Row],[Utilização (%)]],"")</f>
        <v/>
      </c>
    </row>
    <row r="28" spans="1:11" x14ac:dyDescent="0.25">
      <c r="A28" s="2">
        <f>tbl_consolidacao[[#This Row],[Torre]]</f>
        <v>2</v>
      </c>
      <c r="B28" s="2" t="str">
        <f>tbl_consolidacao[[#This Row],[Junta]]</f>
        <v>B</v>
      </c>
      <c r="C28" s="2">
        <f>tbl_consolidacao[[#This Row],[Unid]]</f>
        <v>207</v>
      </c>
      <c r="D28" s="2" t="str">
        <f>tbl_consolidacao[[#This Row],[Apto]]</f>
        <v>207-B2</v>
      </c>
      <c r="E28" s="2">
        <f>tbl_meddez_anterior[[#This Row],[Hidrometro]]</f>
        <v>1259</v>
      </c>
      <c r="F28" s="13"/>
      <c r="G28" s="16">
        <f>tbl_meddez_anterior[[#This Row],[Hidrometro]]</f>
        <v>1259</v>
      </c>
      <c r="H28" s="14"/>
      <c r="I28" s="2">
        <f>tbl_mednov[[#This Row],[Medição 
Água Fria]]/100+tbl_mednov[[#This Row],[Medição 
Água Quente]]/1000</f>
        <v>0</v>
      </c>
      <c r="J28" s="15" t="str">
        <f>IF(tbl_mednov[[#This Row],[Total]]&gt;0,tbl_mednov[[#This Row],[Total]]/VLOOKUP(tbl_mednov[[#This Row],[Apto]],tbl_medfev[[Apto]:[Total]],6,FALSE)-1,"")</f>
        <v/>
      </c>
      <c r="K28" s="15" t="str">
        <f>IF(tbl_mednov[[#This Row],[Utilização (%)]]&lt;&gt;"",ALERTA_INDIVIDUAL-tbl_mednov[[#This Row],[Utilização (%)]],"")</f>
        <v/>
      </c>
    </row>
    <row r="29" spans="1:11" x14ac:dyDescent="0.25">
      <c r="A29" s="2">
        <f>tbl_consolidacao[[#This Row],[Torre]]</f>
        <v>1</v>
      </c>
      <c r="B29" s="2" t="str">
        <f>tbl_consolidacao[[#This Row],[Junta]]</f>
        <v>B</v>
      </c>
      <c r="C29" s="2">
        <f>tbl_consolidacao[[#This Row],[Unid]]</f>
        <v>208</v>
      </c>
      <c r="D29" s="2" t="str">
        <f>tbl_consolidacao[[#This Row],[Apto]]</f>
        <v>208-B1</v>
      </c>
      <c r="E29" s="2">
        <f>tbl_meddez_anterior[[#This Row],[Hidrometro]]</f>
        <v>1260</v>
      </c>
      <c r="F29" s="13"/>
      <c r="G29" s="16">
        <f>tbl_meddez_anterior[[#This Row],[Hidrometro]]</f>
        <v>1260</v>
      </c>
      <c r="H29" s="14"/>
      <c r="I29" s="2">
        <f>tbl_mednov[[#This Row],[Medição 
Água Fria]]/100+tbl_mednov[[#This Row],[Medição 
Água Quente]]/1000</f>
        <v>0</v>
      </c>
      <c r="J29" s="15" t="str">
        <f>IF(tbl_mednov[[#This Row],[Total]]&gt;0,tbl_mednov[[#This Row],[Total]]/VLOOKUP(tbl_mednov[[#This Row],[Apto]],tbl_medfev[[Apto]:[Total]],6,FALSE)-1,"")</f>
        <v/>
      </c>
      <c r="K29" s="15" t="str">
        <f>IF(tbl_mednov[[#This Row],[Utilização (%)]]&lt;&gt;"",ALERTA_INDIVIDUAL-tbl_mednov[[#This Row],[Utilização (%)]],"")</f>
        <v/>
      </c>
    </row>
    <row r="30" spans="1:11" x14ac:dyDescent="0.25">
      <c r="A30" s="2">
        <f>tbl_consolidacao[[#This Row],[Torre]]</f>
        <v>2</v>
      </c>
      <c r="B30" s="2" t="str">
        <f>tbl_consolidacao[[#This Row],[Junta]]</f>
        <v>B</v>
      </c>
      <c r="C30" s="2">
        <f>tbl_consolidacao[[#This Row],[Unid]]</f>
        <v>208</v>
      </c>
      <c r="D30" s="2" t="str">
        <f>tbl_consolidacao[[#This Row],[Apto]]</f>
        <v>208-B2</v>
      </c>
      <c r="E30" s="2">
        <f>tbl_meddez_anterior[[#This Row],[Hidrometro]]</f>
        <v>1261</v>
      </c>
      <c r="F30" s="13"/>
      <c r="G30" s="16">
        <f>tbl_meddez_anterior[[#This Row],[Hidrometro]]</f>
        <v>1261</v>
      </c>
      <c r="H30" s="14"/>
      <c r="I30" s="2">
        <f>tbl_mednov[[#This Row],[Medição 
Água Fria]]/100+tbl_mednov[[#This Row],[Medição 
Água Quente]]/1000</f>
        <v>0</v>
      </c>
      <c r="J30" s="15" t="str">
        <f>IF(tbl_mednov[[#This Row],[Total]]&gt;0,tbl_mednov[[#This Row],[Total]]/VLOOKUP(tbl_mednov[[#This Row],[Apto]],tbl_medfev[[Apto]:[Total]],6,FALSE)-1,"")</f>
        <v/>
      </c>
      <c r="K30" s="15" t="str">
        <f>IF(tbl_mednov[[#This Row],[Utilização (%)]]&lt;&gt;"",ALERTA_INDIVIDUAL-tbl_mednov[[#This Row],[Utilização (%)]],"")</f>
        <v/>
      </c>
    </row>
    <row r="31" spans="1:11" x14ac:dyDescent="0.25">
      <c r="A31" s="2">
        <f>tbl_consolidacao[[#This Row],[Torre]]</f>
        <v>1</v>
      </c>
      <c r="B31" s="2" t="str">
        <f>tbl_consolidacao[[#This Row],[Junta]]</f>
        <v>A</v>
      </c>
      <c r="C31" s="2">
        <f>tbl_consolidacao[[#This Row],[Unid]]</f>
        <v>301</v>
      </c>
      <c r="D31" s="2" t="str">
        <f>tbl_consolidacao[[#This Row],[Apto]]</f>
        <v>301-A1</v>
      </c>
      <c r="E31" s="2">
        <f>tbl_meddez_anterior[[#This Row],[Hidrometro]]</f>
        <v>1262</v>
      </c>
      <c r="F31" s="13"/>
      <c r="G31" s="16">
        <f>tbl_meddez_anterior[[#This Row],[Hidrometro]]</f>
        <v>1262</v>
      </c>
      <c r="H31" s="14"/>
      <c r="I31" s="2">
        <f>tbl_mednov[[#This Row],[Medição 
Água Fria]]/100+tbl_mednov[[#This Row],[Medição 
Água Quente]]/1000</f>
        <v>0</v>
      </c>
      <c r="J31" s="15" t="str">
        <f>IF(tbl_mednov[[#This Row],[Total]]&gt;0,tbl_mednov[[#This Row],[Total]]/VLOOKUP(tbl_mednov[[#This Row],[Apto]],tbl_medfev[[Apto]:[Total]],6,FALSE)-1,"")</f>
        <v/>
      </c>
      <c r="K31" s="15" t="str">
        <f>IF(tbl_mednov[[#This Row],[Utilização (%)]]&lt;&gt;"",ALERTA_INDIVIDUAL-tbl_mednov[[#This Row],[Utilização (%)]],"")</f>
        <v/>
      </c>
    </row>
    <row r="32" spans="1:11" x14ac:dyDescent="0.25">
      <c r="A32" s="2">
        <f>tbl_consolidacao[[#This Row],[Torre]]</f>
        <v>2</v>
      </c>
      <c r="B32" s="2" t="str">
        <f>tbl_consolidacao[[#This Row],[Junta]]</f>
        <v>A</v>
      </c>
      <c r="C32" s="2">
        <f>tbl_consolidacao[[#This Row],[Unid]]</f>
        <v>301</v>
      </c>
      <c r="D32" s="2" t="str">
        <f>tbl_consolidacao[[#This Row],[Apto]]</f>
        <v>301-A2</v>
      </c>
      <c r="E32" s="2">
        <f>tbl_meddez_anterior[[#This Row],[Hidrometro]]</f>
        <v>1263</v>
      </c>
      <c r="F32" s="13"/>
      <c r="G32" s="16">
        <f>tbl_meddez_anterior[[#This Row],[Hidrometro]]</f>
        <v>1263</v>
      </c>
      <c r="H32" s="14"/>
      <c r="I32" s="2">
        <f>tbl_mednov[[#This Row],[Medição 
Água Fria]]/100+tbl_mednov[[#This Row],[Medição 
Água Quente]]/1000</f>
        <v>0</v>
      </c>
      <c r="J32" s="15" t="str">
        <f>IF(tbl_mednov[[#This Row],[Total]]&gt;0,tbl_mednov[[#This Row],[Total]]/VLOOKUP(tbl_mednov[[#This Row],[Apto]],tbl_medfev[[Apto]:[Total]],6,FALSE)-1,"")</f>
        <v/>
      </c>
      <c r="K32" s="15" t="str">
        <f>IF(tbl_mednov[[#This Row],[Utilização (%)]]&lt;&gt;"",ALERTA_INDIVIDUAL-tbl_mednov[[#This Row],[Utilização (%)]],"")</f>
        <v/>
      </c>
    </row>
    <row r="33" spans="1:11" x14ac:dyDescent="0.25">
      <c r="A33" s="2">
        <f>tbl_consolidacao[[#This Row],[Torre]]</f>
        <v>1</v>
      </c>
      <c r="B33" s="2" t="str">
        <f>tbl_consolidacao[[#This Row],[Junta]]</f>
        <v>A</v>
      </c>
      <c r="C33" s="2">
        <f>tbl_consolidacao[[#This Row],[Unid]]</f>
        <v>302</v>
      </c>
      <c r="D33" s="2" t="str">
        <f>tbl_consolidacao[[#This Row],[Apto]]</f>
        <v>302-A1</v>
      </c>
      <c r="E33" s="2">
        <f>tbl_meddez_anterior[[#This Row],[Hidrometro]]</f>
        <v>1264</v>
      </c>
      <c r="F33" s="13"/>
      <c r="G33" s="16">
        <f>tbl_meddez_anterior[[#This Row],[Hidrometro]]</f>
        <v>1264</v>
      </c>
      <c r="H33" s="14"/>
      <c r="I33" s="2">
        <f>tbl_mednov[[#This Row],[Medição 
Água Fria]]/100+tbl_mednov[[#This Row],[Medição 
Água Quente]]/1000</f>
        <v>0</v>
      </c>
      <c r="J33" s="15" t="str">
        <f>IF(tbl_mednov[[#This Row],[Total]]&gt;0,tbl_mednov[[#This Row],[Total]]/VLOOKUP(tbl_mednov[[#This Row],[Apto]],tbl_medfev[[Apto]:[Total]],6,FALSE)-1,"")</f>
        <v/>
      </c>
      <c r="K33" s="15" t="str">
        <f>IF(tbl_mednov[[#This Row],[Utilização (%)]]&lt;&gt;"",ALERTA_INDIVIDUAL-tbl_mednov[[#This Row],[Utilização (%)]],"")</f>
        <v/>
      </c>
    </row>
    <row r="34" spans="1:11" x14ac:dyDescent="0.25">
      <c r="A34" s="2">
        <f>tbl_consolidacao[[#This Row],[Torre]]</f>
        <v>2</v>
      </c>
      <c r="B34" s="2" t="str">
        <f>tbl_consolidacao[[#This Row],[Junta]]</f>
        <v>A</v>
      </c>
      <c r="C34" s="2">
        <f>tbl_consolidacao[[#This Row],[Unid]]</f>
        <v>302</v>
      </c>
      <c r="D34" s="2" t="str">
        <f>tbl_consolidacao[[#This Row],[Apto]]</f>
        <v>302-A2</v>
      </c>
      <c r="E34" s="2">
        <f>tbl_meddez_anterior[[#This Row],[Hidrometro]]</f>
        <v>1265</v>
      </c>
      <c r="F34" s="13"/>
      <c r="G34" s="16">
        <f>tbl_meddez_anterior[[#This Row],[Hidrometro]]</f>
        <v>1265</v>
      </c>
      <c r="H34" s="14"/>
      <c r="I34" s="2">
        <f>tbl_mednov[[#This Row],[Medição 
Água Fria]]/100+tbl_mednov[[#This Row],[Medição 
Água Quente]]/1000</f>
        <v>0</v>
      </c>
      <c r="J34" s="15" t="str">
        <f>IF(tbl_mednov[[#This Row],[Total]]&gt;0,tbl_mednov[[#This Row],[Total]]/VLOOKUP(tbl_mednov[[#This Row],[Apto]],tbl_medfev[[Apto]:[Total]],6,FALSE)-1,"")</f>
        <v/>
      </c>
      <c r="K34" s="15" t="str">
        <f>IF(tbl_mednov[[#This Row],[Utilização (%)]]&lt;&gt;"",ALERTA_INDIVIDUAL-tbl_mednov[[#This Row],[Utilização (%)]],"")</f>
        <v/>
      </c>
    </row>
    <row r="35" spans="1:11" x14ac:dyDescent="0.25">
      <c r="A35" s="2">
        <f>tbl_consolidacao[[#This Row],[Torre]]</f>
        <v>1</v>
      </c>
      <c r="B35" s="2" t="str">
        <f>tbl_consolidacao[[#This Row],[Junta]]</f>
        <v>A</v>
      </c>
      <c r="C35" s="2">
        <f>tbl_consolidacao[[#This Row],[Unid]]</f>
        <v>303</v>
      </c>
      <c r="D35" s="2" t="str">
        <f>tbl_consolidacao[[#This Row],[Apto]]</f>
        <v>303-A1</v>
      </c>
      <c r="E35" s="2">
        <f>tbl_meddez_anterior[[#This Row],[Hidrometro]]</f>
        <v>1266</v>
      </c>
      <c r="F35" s="13"/>
      <c r="G35" s="16">
        <f>tbl_meddez_anterior[[#This Row],[Hidrometro]]</f>
        <v>1266</v>
      </c>
      <c r="H35" s="14"/>
      <c r="I35" s="2">
        <f>tbl_mednov[[#This Row],[Medição 
Água Fria]]/100+tbl_mednov[[#This Row],[Medição 
Água Quente]]/1000</f>
        <v>0</v>
      </c>
      <c r="J35" s="15" t="str">
        <f>IF(tbl_mednov[[#This Row],[Total]]&gt;0,tbl_mednov[[#This Row],[Total]]/VLOOKUP(tbl_mednov[[#This Row],[Apto]],tbl_medfev[[Apto]:[Total]],6,FALSE)-1,"")</f>
        <v/>
      </c>
      <c r="K35" s="15" t="str">
        <f>IF(tbl_mednov[[#This Row],[Utilização (%)]]&lt;&gt;"",ALERTA_INDIVIDUAL-tbl_mednov[[#This Row],[Utilização (%)]],"")</f>
        <v/>
      </c>
    </row>
    <row r="36" spans="1:11" x14ac:dyDescent="0.25">
      <c r="A36" s="2">
        <f>tbl_consolidacao[[#This Row],[Torre]]</f>
        <v>2</v>
      </c>
      <c r="B36" s="2" t="str">
        <f>tbl_consolidacao[[#This Row],[Junta]]</f>
        <v>A</v>
      </c>
      <c r="C36" s="2">
        <f>tbl_consolidacao[[#This Row],[Unid]]</f>
        <v>303</v>
      </c>
      <c r="D36" s="2" t="str">
        <f>tbl_consolidacao[[#This Row],[Apto]]</f>
        <v>303-A2</v>
      </c>
      <c r="E36" s="2">
        <f>tbl_meddez_anterior[[#This Row],[Hidrometro]]</f>
        <v>1267</v>
      </c>
      <c r="F36" s="13"/>
      <c r="G36" s="16">
        <f>tbl_meddez_anterior[[#This Row],[Hidrometro]]</f>
        <v>1267</v>
      </c>
      <c r="H36" s="14"/>
      <c r="I36" s="2">
        <f>tbl_mednov[[#This Row],[Medição 
Água Fria]]/100+tbl_mednov[[#This Row],[Medição 
Água Quente]]/1000</f>
        <v>0</v>
      </c>
      <c r="J36" s="15" t="str">
        <f>IF(tbl_mednov[[#This Row],[Total]]&gt;0,tbl_mednov[[#This Row],[Total]]/VLOOKUP(tbl_mednov[[#This Row],[Apto]],tbl_medfev[[Apto]:[Total]],6,FALSE)-1,"")</f>
        <v/>
      </c>
      <c r="K36" s="15" t="str">
        <f>IF(tbl_mednov[[#This Row],[Utilização (%)]]&lt;&gt;"",ALERTA_INDIVIDUAL-tbl_mednov[[#This Row],[Utilização (%)]],"")</f>
        <v/>
      </c>
    </row>
    <row r="37" spans="1:11" x14ac:dyDescent="0.25">
      <c r="A37" s="2">
        <f>tbl_consolidacao[[#This Row],[Torre]]</f>
        <v>1</v>
      </c>
      <c r="B37" s="2" t="str">
        <f>tbl_consolidacao[[#This Row],[Junta]]</f>
        <v>A</v>
      </c>
      <c r="C37" s="2">
        <f>tbl_consolidacao[[#This Row],[Unid]]</f>
        <v>304</v>
      </c>
      <c r="D37" s="2" t="str">
        <f>tbl_consolidacao[[#This Row],[Apto]]</f>
        <v>304-A1</v>
      </c>
      <c r="E37" s="2">
        <f>tbl_meddez_anterior[[#This Row],[Hidrometro]]</f>
        <v>1268</v>
      </c>
      <c r="F37" s="13"/>
      <c r="G37" s="16">
        <f>tbl_meddez_anterior[[#This Row],[Hidrometro]]</f>
        <v>1268</v>
      </c>
      <c r="H37" s="14"/>
      <c r="I37" s="2">
        <f>tbl_mednov[[#This Row],[Medição 
Água Fria]]/100+tbl_mednov[[#This Row],[Medição 
Água Quente]]/1000</f>
        <v>0</v>
      </c>
      <c r="J37" s="15" t="str">
        <f>IF(tbl_mednov[[#This Row],[Total]]&gt;0,tbl_mednov[[#This Row],[Total]]/VLOOKUP(tbl_mednov[[#This Row],[Apto]],tbl_medfev[[Apto]:[Total]],6,FALSE)-1,"")</f>
        <v/>
      </c>
      <c r="K37" s="15" t="str">
        <f>IF(tbl_mednov[[#This Row],[Utilização (%)]]&lt;&gt;"",ALERTA_INDIVIDUAL-tbl_mednov[[#This Row],[Utilização (%)]],"")</f>
        <v/>
      </c>
    </row>
    <row r="38" spans="1:11" x14ac:dyDescent="0.25">
      <c r="A38" s="2">
        <f>tbl_consolidacao[[#This Row],[Torre]]</f>
        <v>2</v>
      </c>
      <c r="B38" s="2" t="str">
        <f>tbl_consolidacao[[#This Row],[Junta]]</f>
        <v>A</v>
      </c>
      <c r="C38" s="2">
        <f>tbl_consolidacao[[#This Row],[Unid]]</f>
        <v>304</v>
      </c>
      <c r="D38" s="2" t="str">
        <f>tbl_consolidacao[[#This Row],[Apto]]</f>
        <v>304-A2</v>
      </c>
      <c r="E38" s="2">
        <f>tbl_meddez_anterior[[#This Row],[Hidrometro]]</f>
        <v>1269</v>
      </c>
      <c r="F38" s="13"/>
      <c r="G38" s="16">
        <f>tbl_meddez_anterior[[#This Row],[Hidrometro]]</f>
        <v>1269</v>
      </c>
      <c r="H38" s="14"/>
      <c r="I38" s="2">
        <f>tbl_mednov[[#This Row],[Medição 
Água Fria]]/100+tbl_mednov[[#This Row],[Medição 
Água Quente]]/1000</f>
        <v>0</v>
      </c>
      <c r="J38" s="15" t="str">
        <f>IF(tbl_mednov[[#This Row],[Total]]&gt;0,tbl_mednov[[#This Row],[Total]]/VLOOKUP(tbl_mednov[[#This Row],[Apto]],tbl_medfev[[Apto]:[Total]],6,FALSE)-1,"")</f>
        <v/>
      </c>
      <c r="K38" s="15" t="str">
        <f>IF(tbl_mednov[[#This Row],[Utilização (%)]]&lt;&gt;"",ALERTA_INDIVIDUAL-tbl_mednov[[#This Row],[Utilização (%)]],"")</f>
        <v/>
      </c>
    </row>
    <row r="39" spans="1:11" x14ac:dyDescent="0.25">
      <c r="A39" s="2">
        <f>tbl_consolidacao[[#This Row],[Torre]]</f>
        <v>1</v>
      </c>
      <c r="B39" s="2" t="str">
        <f>tbl_consolidacao[[#This Row],[Junta]]</f>
        <v>B</v>
      </c>
      <c r="C39" s="2">
        <f>tbl_consolidacao[[#This Row],[Unid]]</f>
        <v>305</v>
      </c>
      <c r="D39" s="2" t="str">
        <f>tbl_consolidacao[[#This Row],[Apto]]</f>
        <v>305-B1</v>
      </c>
      <c r="E39" s="2">
        <f>tbl_meddez_anterior[[#This Row],[Hidrometro]]</f>
        <v>1270</v>
      </c>
      <c r="F39" s="13"/>
      <c r="G39" s="16">
        <f>tbl_meddez_anterior[[#This Row],[Hidrometro]]</f>
        <v>1270</v>
      </c>
      <c r="H39" s="14"/>
      <c r="I39" s="2">
        <f>tbl_mednov[[#This Row],[Medição 
Água Fria]]/100+tbl_mednov[[#This Row],[Medição 
Água Quente]]/1000</f>
        <v>0</v>
      </c>
      <c r="J39" s="15" t="str">
        <f>IF(tbl_mednov[[#This Row],[Total]]&gt;0,tbl_mednov[[#This Row],[Total]]/VLOOKUP(tbl_mednov[[#This Row],[Apto]],tbl_medfev[[Apto]:[Total]],6,FALSE)-1,"")</f>
        <v/>
      </c>
      <c r="K39" s="15" t="str">
        <f>IF(tbl_mednov[[#This Row],[Utilização (%)]]&lt;&gt;"",ALERTA_INDIVIDUAL-tbl_mednov[[#This Row],[Utilização (%)]],"")</f>
        <v/>
      </c>
    </row>
    <row r="40" spans="1:11" x14ac:dyDescent="0.25">
      <c r="A40" s="2">
        <f>tbl_consolidacao[[#This Row],[Torre]]</f>
        <v>2</v>
      </c>
      <c r="B40" s="2" t="str">
        <f>tbl_consolidacao[[#This Row],[Junta]]</f>
        <v>B</v>
      </c>
      <c r="C40" s="2">
        <f>tbl_consolidacao[[#This Row],[Unid]]</f>
        <v>305</v>
      </c>
      <c r="D40" s="2" t="str">
        <f>tbl_consolidacao[[#This Row],[Apto]]</f>
        <v>305-B2</v>
      </c>
      <c r="E40" s="2">
        <f>tbl_meddez_anterior[[#This Row],[Hidrometro]]</f>
        <v>1271</v>
      </c>
      <c r="F40" s="13"/>
      <c r="G40" s="16">
        <f>tbl_meddez_anterior[[#This Row],[Hidrometro]]</f>
        <v>1271</v>
      </c>
      <c r="H40" s="14"/>
      <c r="I40" s="2">
        <f>tbl_mednov[[#This Row],[Medição 
Água Fria]]/100+tbl_mednov[[#This Row],[Medição 
Água Quente]]/1000</f>
        <v>0</v>
      </c>
      <c r="J40" s="15" t="str">
        <f>IF(tbl_mednov[[#This Row],[Total]]&gt;0,tbl_mednov[[#This Row],[Total]]/VLOOKUP(tbl_mednov[[#This Row],[Apto]],tbl_medfev[[Apto]:[Total]],6,FALSE)-1,"")</f>
        <v/>
      </c>
      <c r="K40" s="15" t="str">
        <f>IF(tbl_mednov[[#This Row],[Utilização (%)]]&lt;&gt;"",ALERTA_INDIVIDUAL-tbl_mednov[[#This Row],[Utilização (%)]],"")</f>
        <v/>
      </c>
    </row>
    <row r="41" spans="1:11" x14ac:dyDescent="0.25">
      <c r="A41" s="2">
        <f>tbl_consolidacao[[#This Row],[Torre]]</f>
        <v>1</v>
      </c>
      <c r="B41" s="2" t="str">
        <f>tbl_consolidacao[[#This Row],[Junta]]</f>
        <v>B</v>
      </c>
      <c r="C41" s="2">
        <f>tbl_consolidacao[[#This Row],[Unid]]</f>
        <v>306</v>
      </c>
      <c r="D41" s="2" t="str">
        <f>tbl_consolidacao[[#This Row],[Apto]]</f>
        <v>306-B1</v>
      </c>
      <c r="E41" s="2">
        <f>tbl_meddez_anterior[[#This Row],[Hidrometro]]</f>
        <v>1272</v>
      </c>
      <c r="F41" s="13"/>
      <c r="G41" s="16">
        <f>tbl_meddez_anterior[[#This Row],[Hidrometro]]</f>
        <v>1272</v>
      </c>
      <c r="H41" s="14"/>
      <c r="I41" s="2">
        <f>tbl_mednov[[#This Row],[Medição 
Água Fria]]/100+tbl_mednov[[#This Row],[Medição 
Água Quente]]/1000</f>
        <v>0</v>
      </c>
      <c r="J41" s="15" t="str">
        <f>IF(tbl_mednov[[#This Row],[Total]]&gt;0,tbl_mednov[[#This Row],[Total]]/VLOOKUP(tbl_mednov[[#This Row],[Apto]],tbl_medfev[[Apto]:[Total]],6,FALSE)-1,"")</f>
        <v/>
      </c>
      <c r="K41" s="15" t="str">
        <f>IF(tbl_mednov[[#This Row],[Utilização (%)]]&lt;&gt;"",ALERTA_INDIVIDUAL-tbl_mednov[[#This Row],[Utilização (%)]],"")</f>
        <v/>
      </c>
    </row>
    <row r="42" spans="1:11" x14ac:dyDescent="0.25">
      <c r="A42" s="2">
        <f>tbl_consolidacao[[#This Row],[Torre]]</f>
        <v>2</v>
      </c>
      <c r="B42" s="2" t="str">
        <f>tbl_consolidacao[[#This Row],[Junta]]</f>
        <v>B</v>
      </c>
      <c r="C42" s="2">
        <f>tbl_consolidacao[[#This Row],[Unid]]</f>
        <v>306</v>
      </c>
      <c r="D42" s="2" t="str">
        <f>tbl_consolidacao[[#This Row],[Apto]]</f>
        <v>306-B2</v>
      </c>
      <c r="E42" s="2">
        <f>tbl_meddez_anterior[[#This Row],[Hidrometro]]</f>
        <v>1273</v>
      </c>
      <c r="F42" s="13"/>
      <c r="G42" s="16">
        <f>tbl_meddez_anterior[[#This Row],[Hidrometro]]</f>
        <v>1273</v>
      </c>
      <c r="H42" s="14"/>
      <c r="I42" s="2">
        <f>tbl_mednov[[#This Row],[Medição 
Água Fria]]/100+tbl_mednov[[#This Row],[Medição 
Água Quente]]/1000</f>
        <v>0</v>
      </c>
      <c r="J42" s="15" t="str">
        <f>IF(tbl_mednov[[#This Row],[Total]]&gt;0,tbl_mednov[[#This Row],[Total]]/VLOOKUP(tbl_mednov[[#This Row],[Apto]],tbl_medfev[[Apto]:[Total]],6,FALSE)-1,"")</f>
        <v/>
      </c>
      <c r="K42" s="15" t="str">
        <f>IF(tbl_mednov[[#This Row],[Utilização (%)]]&lt;&gt;"",ALERTA_INDIVIDUAL-tbl_mednov[[#This Row],[Utilização (%)]],"")</f>
        <v/>
      </c>
    </row>
    <row r="43" spans="1:11" x14ac:dyDescent="0.25">
      <c r="A43" s="2">
        <f>tbl_consolidacao[[#This Row],[Torre]]</f>
        <v>1</v>
      </c>
      <c r="B43" s="2" t="str">
        <f>tbl_consolidacao[[#This Row],[Junta]]</f>
        <v>B</v>
      </c>
      <c r="C43" s="2">
        <f>tbl_consolidacao[[#This Row],[Unid]]</f>
        <v>307</v>
      </c>
      <c r="D43" s="2" t="str">
        <f>tbl_consolidacao[[#This Row],[Apto]]</f>
        <v>307-B1</v>
      </c>
      <c r="E43" s="2">
        <f>tbl_meddez_anterior[[#This Row],[Hidrometro]]</f>
        <v>1274</v>
      </c>
      <c r="F43" s="13"/>
      <c r="G43" s="16">
        <f>tbl_meddez_anterior[[#This Row],[Hidrometro]]</f>
        <v>1274</v>
      </c>
      <c r="H43" s="14"/>
      <c r="I43" s="2">
        <f>tbl_mednov[[#This Row],[Medição 
Água Fria]]/100+tbl_mednov[[#This Row],[Medição 
Água Quente]]/1000</f>
        <v>0</v>
      </c>
      <c r="J43" s="15" t="str">
        <f>IF(tbl_mednov[[#This Row],[Total]]&gt;0,tbl_mednov[[#This Row],[Total]]/VLOOKUP(tbl_mednov[[#This Row],[Apto]],tbl_medfev[[Apto]:[Total]],6,FALSE)-1,"")</f>
        <v/>
      </c>
      <c r="K43" s="15" t="str">
        <f>IF(tbl_mednov[[#This Row],[Utilização (%)]]&lt;&gt;"",ALERTA_INDIVIDUAL-tbl_mednov[[#This Row],[Utilização (%)]],"")</f>
        <v/>
      </c>
    </row>
    <row r="44" spans="1:11" x14ac:dyDescent="0.25">
      <c r="A44" s="2">
        <f>tbl_consolidacao[[#This Row],[Torre]]</f>
        <v>2</v>
      </c>
      <c r="B44" s="2" t="str">
        <f>tbl_consolidacao[[#This Row],[Junta]]</f>
        <v>B</v>
      </c>
      <c r="C44" s="2">
        <f>tbl_consolidacao[[#This Row],[Unid]]</f>
        <v>307</v>
      </c>
      <c r="D44" s="2" t="str">
        <f>tbl_consolidacao[[#This Row],[Apto]]</f>
        <v>307-B2</v>
      </c>
      <c r="E44" s="2">
        <f>tbl_meddez_anterior[[#This Row],[Hidrometro]]</f>
        <v>1275</v>
      </c>
      <c r="F44" s="13"/>
      <c r="G44" s="16">
        <f>tbl_meddez_anterior[[#This Row],[Hidrometro]]</f>
        <v>1275</v>
      </c>
      <c r="H44" s="14"/>
      <c r="I44" s="2">
        <f>tbl_mednov[[#This Row],[Medição 
Água Fria]]/100+tbl_mednov[[#This Row],[Medição 
Água Quente]]/1000</f>
        <v>0</v>
      </c>
      <c r="J44" s="15" t="str">
        <f>IF(tbl_mednov[[#This Row],[Total]]&gt;0,tbl_mednov[[#This Row],[Total]]/VLOOKUP(tbl_mednov[[#This Row],[Apto]],tbl_medfev[[Apto]:[Total]],6,FALSE)-1,"")</f>
        <v/>
      </c>
      <c r="K44" s="15" t="str">
        <f>IF(tbl_mednov[[#This Row],[Utilização (%)]]&lt;&gt;"",ALERTA_INDIVIDUAL-tbl_mednov[[#This Row],[Utilização (%)]],"")</f>
        <v/>
      </c>
    </row>
    <row r="45" spans="1:11" x14ac:dyDescent="0.25">
      <c r="A45" s="2">
        <f>tbl_consolidacao[[#This Row],[Torre]]</f>
        <v>1</v>
      </c>
      <c r="B45" s="2" t="str">
        <f>tbl_consolidacao[[#This Row],[Junta]]</f>
        <v>B</v>
      </c>
      <c r="C45" s="2">
        <f>tbl_consolidacao[[#This Row],[Unid]]</f>
        <v>308</v>
      </c>
      <c r="D45" s="2" t="str">
        <f>tbl_consolidacao[[#This Row],[Apto]]</f>
        <v>308-B1</v>
      </c>
      <c r="E45" s="2">
        <f>tbl_meddez_anterior[[#This Row],[Hidrometro]]</f>
        <v>1276</v>
      </c>
      <c r="F45" s="13"/>
      <c r="G45" s="16">
        <f>tbl_meddez_anterior[[#This Row],[Hidrometro]]</f>
        <v>1276</v>
      </c>
      <c r="H45" s="14"/>
      <c r="I45" s="2">
        <f>tbl_mednov[[#This Row],[Medição 
Água Fria]]/100+tbl_mednov[[#This Row],[Medição 
Água Quente]]/1000</f>
        <v>0</v>
      </c>
      <c r="J45" s="15" t="str">
        <f>IF(tbl_mednov[[#This Row],[Total]]&gt;0,tbl_mednov[[#This Row],[Total]]/VLOOKUP(tbl_mednov[[#This Row],[Apto]],tbl_medfev[[Apto]:[Total]],6,FALSE)-1,"")</f>
        <v/>
      </c>
      <c r="K45" s="15" t="str">
        <f>IF(tbl_mednov[[#This Row],[Utilização (%)]]&lt;&gt;"",ALERTA_INDIVIDUAL-tbl_mednov[[#This Row],[Utilização (%)]],"")</f>
        <v/>
      </c>
    </row>
    <row r="46" spans="1:11" x14ac:dyDescent="0.25">
      <c r="A46" s="2">
        <f>tbl_consolidacao[[#This Row],[Torre]]</f>
        <v>2</v>
      </c>
      <c r="B46" s="2" t="str">
        <f>tbl_consolidacao[[#This Row],[Junta]]</f>
        <v>B</v>
      </c>
      <c r="C46" s="2">
        <f>tbl_consolidacao[[#This Row],[Unid]]</f>
        <v>308</v>
      </c>
      <c r="D46" s="2" t="str">
        <f>tbl_consolidacao[[#This Row],[Apto]]</f>
        <v>308-B2</v>
      </c>
      <c r="E46" s="2">
        <f>tbl_meddez_anterior[[#This Row],[Hidrometro]]</f>
        <v>1277</v>
      </c>
      <c r="F46" s="13"/>
      <c r="G46" s="16">
        <f>tbl_meddez_anterior[[#This Row],[Hidrometro]]</f>
        <v>1277</v>
      </c>
      <c r="H46" s="14"/>
      <c r="I46" s="2">
        <f>tbl_mednov[[#This Row],[Medição 
Água Fria]]/100+tbl_mednov[[#This Row],[Medição 
Água Quente]]/1000</f>
        <v>0</v>
      </c>
      <c r="J46" s="15" t="str">
        <f>IF(tbl_mednov[[#This Row],[Total]]&gt;0,tbl_mednov[[#This Row],[Total]]/VLOOKUP(tbl_mednov[[#This Row],[Apto]],tbl_medfev[[Apto]:[Total]],6,FALSE)-1,"")</f>
        <v/>
      </c>
      <c r="K46" s="15" t="str">
        <f>IF(tbl_mednov[[#This Row],[Utilização (%)]]&lt;&gt;"",ALERTA_INDIVIDUAL-tbl_mednov[[#This Row],[Utilização (%)]],"")</f>
        <v/>
      </c>
    </row>
  </sheetData>
  <sheetProtection algorithmName="SHA-512" hashValue="tUdmBUTu/GVnu66Uehq6yaujnuOaDP6gWz8rSC83U1sntJvxDWTvut65vbKUA+kePSX1FIo06foGy8kAYFka0g==" saltValue="fOFysu+9J3xUm5zjncOFPg==" spinCount="100000" sheet="1" objects="1" scenarios="1" selectLockedCells="1"/>
  <mergeCells count="3">
    <mergeCell ref="E1:F1"/>
    <mergeCell ref="G1:H1"/>
    <mergeCell ref="I1:J1"/>
  </mergeCells>
  <conditionalFormatting sqref="K3:K46">
    <cfRule type="iconSet" priority="1">
      <iconSet iconSet="3Flags" showValue="0">
        <cfvo type="percent" val="0"/>
        <cfvo type="percent" val="5"/>
        <cfvo type="percent" val="1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K46"/>
  <sheetViews>
    <sheetView showGridLines="0" workbookViewId="0">
      <selection activeCell="G1" sqref="G1:H1"/>
    </sheetView>
  </sheetViews>
  <sheetFormatPr defaultRowHeight="15" x14ac:dyDescent="0.25"/>
  <cols>
    <col min="1" max="3" width="7.7109375" customWidth="1"/>
    <col min="4" max="4" width="10.7109375" customWidth="1"/>
    <col min="5" max="9" width="12.7109375" customWidth="1"/>
    <col min="10" max="10" width="10.7109375" customWidth="1"/>
    <col min="11" max="11" width="3.7109375" customWidth="1"/>
  </cols>
  <sheetData>
    <row r="1" spans="1:11" ht="23.25" x14ac:dyDescent="0.35">
      <c r="E1" s="53" t="s">
        <v>48</v>
      </c>
      <c r="F1" s="53"/>
      <c r="G1" s="54"/>
      <c r="H1" s="54"/>
      <c r="I1" s="55" t="str">
        <f>IF(G1&lt;&gt;"",TEXT(G1,"mmmm-aa"),"")</f>
        <v/>
      </c>
      <c r="J1" s="55"/>
    </row>
    <row r="2" spans="1:11" ht="65.099999999999994" customHeight="1" x14ac:dyDescent="0.25">
      <c r="A2" s="3" t="s">
        <v>24</v>
      </c>
      <c r="B2" s="3" t="s">
        <v>25</v>
      </c>
      <c r="C2" s="3" t="s">
        <v>26</v>
      </c>
      <c r="D2" s="3" t="s">
        <v>49</v>
      </c>
      <c r="E2" s="3" t="s">
        <v>27</v>
      </c>
      <c r="F2" s="12" t="s">
        <v>43</v>
      </c>
      <c r="G2" s="10" t="s">
        <v>30</v>
      </c>
      <c r="H2" s="11" t="s">
        <v>44</v>
      </c>
      <c r="I2" s="3" t="s">
        <v>45</v>
      </c>
      <c r="J2" s="3" t="s">
        <v>46</v>
      </c>
      <c r="K2" s="3" t="s">
        <v>19</v>
      </c>
    </row>
    <row r="3" spans="1:11" x14ac:dyDescent="0.25">
      <c r="A3" s="2">
        <f>tbl_consolidacao[[#This Row],[Torre]]</f>
        <v>1</v>
      </c>
      <c r="B3" s="2" t="str">
        <f>tbl_consolidacao[[#This Row],[Junta]]</f>
        <v>A</v>
      </c>
      <c r="C3" s="2">
        <f>tbl_consolidacao[[#This Row],[Unid]]</f>
        <v>101</v>
      </c>
      <c r="D3" s="2" t="str">
        <f>tbl_consolidacao[[#This Row],[Apto]]</f>
        <v>101-A1</v>
      </c>
      <c r="E3" s="2">
        <f>tbl_meddez_anterior[[#This Row],[Hidrometro]]</f>
        <v>1234</v>
      </c>
      <c r="F3" s="13"/>
      <c r="G3" s="16">
        <f>tbl_meddez_anterior[[#This Row],[Hidrometro]]</f>
        <v>1234</v>
      </c>
      <c r="H3" s="14"/>
      <c r="I3" s="2">
        <f>tbl_meddez[[#This Row],[Medição 
Água Fria]]/100+tbl_meddez[[#This Row],[Medição 
Água Quente]]/1000</f>
        <v>0</v>
      </c>
      <c r="J3" s="15" t="str">
        <f>IF(tbl_meddez[[#This Row],[Total]]&gt;0,tbl_meddez[[#This Row],[Total]]/VLOOKUP(tbl_meddez[[#This Row],[Apto]],tbl_medfev[[Apto]:[Total]],6,FALSE)-1,"")</f>
        <v/>
      </c>
      <c r="K3" s="15" t="str">
        <f>IF(tbl_meddez[[#This Row],[Utilização (%)]]&lt;&gt;"",ALERTA_INDIVIDUAL-tbl_meddez[[#This Row],[Utilização (%)]],"")</f>
        <v/>
      </c>
    </row>
    <row r="4" spans="1:11" x14ac:dyDescent="0.25">
      <c r="A4" s="2">
        <f>tbl_consolidacao[[#This Row],[Torre]]</f>
        <v>2</v>
      </c>
      <c r="B4" s="2" t="str">
        <f>tbl_consolidacao[[#This Row],[Junta]]</f>
        <v>A</v>
      </c>
      <c r="C4" s="2">
        <f>tbl_consolidacao[[#This Row],[Unid]]</f>
        <v>101</v>
      </c>
      <c r="D4" s="2" t="str">
        <f>tbl_consolidacao[[#This Row],[Apto]]</f>
        <v>101-A2</v>
      </c>
      <c r="E4" s="2">
        <f>tbl_meddez_anterior[[#This Row],[Hidrometro]]</f>
        <v>1235</v>
      </c>
      <c r="F4" s="13"/>
      <c r="G4" s="16">
        <f>tbl_meddez_anterior[[#This Row],[Hidrometro]]</f>
        <v>1235</v>
      </c>
      <c r="H4" s="14"/>
      <c r="I4" s="2">
        <f>tbl_meddez[[#This Row],[Medição 
Água Fria]]/100+tbl_meddez[[#This Row],[Medição 
Água Quente]]/1000</f>
        <v>0</v>
      </c>
      <c r="J4" s="15" t="str">
        <f>IF(tbl_meddez[[#This Row],[Total]]&gt;0,tbl_meddez[[#This Row],[Total]]/VLOOKUP(tbl_meddez[[#This Row],[Apto]],tbl_medfev[[Apto]:[Total]],6,FALSE)-1,"")</f>
        <v/>
      </c>
      <c r="K4" s="15" t="str">
        <f>IF(tbl_meddez[[#This Row],[Utilização (%)]]&lt;&gt;"",ALERTA_INDIVIDUAL-tbl_meddez[[#This Row],[Utilização (%)]],"")</f>
        <v/>
      </c>
    </row>
    <row r="5" spans="1:11" x14ac:dyDescent="0.25">
      <c r="A5" s="2">
        <f>tbl_consolidacao[[#This Row],[Torre]]</f>
        <v>1</v>
      </c>
      <c r="B5" s="2" t="str">
        <f>tbl_consolidacao[[#This Row],[Junta]]</f>
        <v>A</v>
      </c>
      <c r="C5" s="2">
        <f>tbl_consolidacao[[#This Row],[Unid]]</f>
        <v>102</v>
      </c>
      <c r="D5" s="2" t="str">
        <f>tbl_consolidacao[[#This Row],[Apto]]</f>
        <v>102-A1</v>
      </c>
      <c r="E5" s="2">
        <f>tbl_meddez_anterior[[#This Row],[Hidrometro]]</f>
        <v>1236</v>
      </c>
      <c r="F5" s="13"/>
      <c r="G5" s="16">
        <f>tbl_meddez_anterior[[#This Row],[Hidrometro]]</f>
        <v>1236</v>
      </c>
      <c r="H5" s="14"/>
      <c r="I5" s="2">
        <f>tbl_meddez[[#This Row],[Medição 
Água Fria]]/100+tbl_meddez[[#This Row],[Medição 
Água Quente]]/1000</f>
        <v>0</v>
      </c>
      <c r="J5" s="15" t="str">
        <f>IF(tbl_meddez[[#This Row],[Total]]&gt;0,tbl_meddez[[#This Row],[Total]]/VLOOKUP(tbl_meddez[[#This Row],[Apto]],tbl_medfev[[Apto]:[Total]],6,FALSE)-1,"")</f>
        <v/>
      </c>
      <c r="K5" s="15" t="str">
        <f>IF(tbl_meddez[[#This Row],[Utilização (%)]]&lt;&gt;"",ALERTA_INDIVIDUAL-tbl_meddez[[#This Row],[Utilização (%)]],"")</f>
        <v/>
      </c>
    </row>
    <row r="6" spans="1:11" x14ac:dyDescent="0.25">
      <c r="A6" s="2">
        <f>tbl_consolidacao[[#This Row],[Torre]]</f>
        <v>2</v>
      </c>
      <c r="B6" s="2" t="str">
        <f>tbl_consolidacao[[#This Row],[Junta]]</f>
        <v>A</v>
      </c>
      <c r="C6" s="2">
        <f>tbl_consolidacao[[#This Row],[Unid]]</f>
        <v>102</v>
      </c>
      <c r="D6" s="2" t="str">
        <f>tbl_consolidacao[[#This Row],[Apto]]</f>
        <v>102-A2</v>
      </c>
      <c r="E6" s="2">
        <f>tbl_meddez_anterior[[#This Row],[Hidrometro]]</f>
        <v>1237</v>
      </c>
      <c r="F6" s="13"/>
      <c r="G6" s="16">
        <f>tbl_meddez_anterior[[#This Row],[Hidrometro]]</f>
        <v>1237</v>
      </c>
      <c r="H6" s="14"/>
      <c r="I6" s="2">
        <f>tbl_meddez[[#This Row],[Medição 
Água Fria]]/100+tbl_meddez[[#This Row],[Medição 
Água Quente]]/1000</f>
        <v>0</v>
      </c>
      <c r="J6" s="15" t="str">
        <f>IF(tbl_meddez[[#This Row],[Total]]&gt;0,tbl_meddez[[#This Row],[Total]]/VLOOKUP(tbl_meddez[[#This Row],[Apto]],tbl_medfev[[Apto]:[Total]],6,FALSE)-1,"")</f>
        <v/>
      </c>
      <c r="K6" s="15" t="str">
        <f>IF(tbl_meddez[[#This Row],[Utilização (%)]]&lt;&gt;"",ALERTA_INDIVIDUAL-tbl_meddez[[#This Row],[Utilização (%)]],"")</f>
        <v/>
      </c>
    </row>
    <row r="7" spans="1:11" x14ac:dyDescent="0.25">
      <c r="A7" s="2">
        <f>tbl_consolidacao[[#This Row],[Torre]]</f>
        <v>1</v>
      </c>
      <c r="B7" s="2" t="str">
        <f>tbl_consolidacao[[#This Row],[Junta]]</f>
        <v>A</v>
      </c>
      <c r="C7" s="2">
        <f>tbl_consolidacao[[#This Row],[Unid]]</f>
        <v>103</v>
      </c>
      <c r="D7" s="2" t="str">
        <f>tbl_consolidacao[[#This Row],[Apto]]</f>
        <v>103-A1</v>
      </c>
      <c r="E7" s="2">
        <f>tbl_meddez_anterior[[#This Row],[Hidrometro]]</f>
        <v>1238</v>
      </c>
      <c r="F7" s="13"/>
      <c r="G7" s="16">
        <f>tbl_meddez_anterior[[#This Row],[Hidrometro]]</f>
        <v>1238</v>
      </c>
      <c r="H7" s="14"/>
      <c r="I7" s="2">
        <f>tbl_meddez[[#This Row],[Medição 
Água Fria]]/100+tbl_meddez[[#This Row],[Medição 
Água Quente]]/1000</f>
        <v>0</v>
      </c>
      <c r="J7" s="15" t="str">
        <f>IF(tbl_meddez[[#This Row],[Total]]&gt;0,tbl_meddez[[#This Row],[Total]]/VLOOKUP(tbl_meddez[[#This Row],[Apto]],tbl_medfev[[Apto]:[Total]],6,FALSE)-1,"")</f>
        <v/>
      </c>
      <c r="K7" s="15" t="str">
        <f>IF(tbl_meddez[[#This Row],[Utilização (%)]]&lt;&gt;"",ALERTA_INDIVIDUAL-tbl_meddez[[#This Row],[Utilização (%)]],"")</f>
        <v/>
      </c>
    </row>
    <row r="8" spans="1:11" x14ac:dyDescent="0.25">
      <c r="A8" s="2">
        <f>tbl_consolidacao[[#This Row],[Torre]]</f>
        <v>2</v>
      </c>
      <c r="B8" s="2" t="str">
        <f>tbl_consolidacao[[#This Row],[Junta]]</f>
        <v>A</v>
      </c>
      <c r="C8" s="2">
        <f>tbl_consolidacao[[#This Row],[Unid]]</f>
        <v>103</v>
      </c>
      <c r="D8" s="2" t="str">
        <f>tbl_consolidacao[[#This Row],[Apto]]</f>
        <v>103-A2</v>
      </c>
      <c r="E8" s="2">
        <f>tbl_meddez_anterior[[#This Row],[Hidrometro]]</f>
        <v>1239</v>
      </c>
      <c r="F8" s="13"/>
      <c r="G8" s="16">
        <f>tbl_meddez_anterior[[#This Row],[Hidrometro]]</f>
        <v>1239</v>
      </c>
      <c r="H8" s="14"/>
      <c r="I8" s="2">
        <f>tbl_meddez[[#This Row],[Medição 
Água Fria]]/100+tbl_meddez[[#This Row],[Medição 
Água Quente]]/1000</f>
        <v>0</v>
      </c>
      <c r="J8" s="15" t="str">
        <f>IF(tbl_meddez[[#This Row],[Total]]&gt;0,tbl_meddez[[#This Row],[Total]]/VLOOKUP(tbl_meddez[[#This Row],[Apto]],tbl_medfev[[Apto]:[Total]],6,FALSE)-1,"")</f>
        <v/>
      </c>
      <c r="K8" s="15" t="str">
        <f>IF(tbl_meddez[[#This Row],[Utilização (%)]]&lt;&gt;"",ALERTA_INDIVIDUAL-tbl_meddez[[#This Row],[Utilização (%)]],"")</f>
        <v/>
      </c>
    </row>
    <row r="9" spans="1:11" x14ac:dyDescent="0.25">
      <c r="A9" s="2">
        <f>tbl_consolidacao[[#This Row],[Torre]]</f>
        <v>1</v>
      </c>
      <c r="B9" s="2" t="str">
        <f>tbl_consolidacao[[#This Row],[Junta]]</f>
        <v>A</v>
      </c>
      <c r="C9" s="2">
        <f>tbl_consolidacao[[#This Row],[Unid]]</f>
        <v>104</v>
      </c>
      <c r="D9" s="2" t="str">
        <f>tbl_consolidacao[[#This Row],[Apto]]</f>
        <v>104-A1</v>
      </c>
      <c r="E9" s="2">
        <f>tbl_meddez_anterior[[#This Row],[Hidrometro]]</f>
        <v>1240</v>
      </c>
      <c r="F9" s="13"/>
      <c r="G9" s="16">
        <f>tbl_meddez_anterior[[#This Row],[Hidrometro]]</f>
        <v>1240</v>
      </c>
      <c r="H9" s="14"/>
      <c r="I9" s="2">
        <f>tbl_meddez[[#This Row],[Medição 
Água Fria]]/100+tbl_meddez[[#This Row],[Medição 
Água Quente]]/1000</f>
        <v>0</v>
      </c>
      <c r="J9" s="15" t="str">
        <f>IF(tbl_meddez[[#This Row],[Total]]&gt;0,tbl_meddez[[#This Row],[Total]]/VLOOKUP(tbl_meddez[[#This Row],[Apto]],tbl_medfev[[Apto]:[Total]],6,FALSE)-1,"")</f>
        <v/>
      </c>
      <c r="K9" s="15" t="str">
        <f>IF(tbl_meddez[[#This Row],[Utilização (%)]]&lt;&gt;"",ALERTA_INDIVIDUAL-tbl_meddez[[#This Row],[Utilização (%)]],"")</f>
        <v/>
      </c>
    </row>
    <row r="10" spans="1:11" x14ac:dyDescent="0.25">
      <c r="A10" s="2">
        <f>tbl_consolidacao[[#This Row],[Torre]]</f>
        <v>2</v>
      </c>
      <c r="B10" s="2" t="str">
        <f>tbl_consolidacao[[#This Row],[Junta]]</f>
        <v>A</v>
      </c>
      <c r="C10" s="2">
        <f>tbl_consolidacao[[#This Row],[Unid]]</f>
        <v>104</v>
      </c>
      <c r="D10" s="2" t="str">
        <f>tbl_consolidacao[[#This Row],[Apto]]</f>
        <v>104-A2</v>
      </c>
      <c r="E10" s="2">
        <f>tbl_meddez_anterior[[#This Row],[Hidrometro]]</f>
        <v>1241</v>
      </c>
      <c r="F10" s="13"/>
      <c r="G10" s="16">
        <f>tbl_meddez_anterior[[#This Row],[Hidrometro]]</f>
        <v>1241</v>
      </c>
      <c r="H10" s="14"/>
      <c r="I10" s="2">
        <f>tbl_meddez[[#This Row],[Medição 
Água Fria]]/100+tbl_meddez[[#This Row],[Medição 
Água Quente]]/1000</f>
        <v>0</v>
      </c>
      <c r="J10" s="15" t="str">
        <f>IF(tbl_meddez[[#This Row],[Total]]&gt;0,tbl_meddez[[#This Row],[Total]]/VLOOKUP(tbl_meddez[[#This Row],[Apto]],tbl_medfev[[Apto]:[Total]],6,FALSE)-1,"")</f>
        <v/>
      </c>
      <c r="K10" s="15" t="str">
        <f>IF(tbl_meddez[[#This Row],[Utilização (%)]]&lt;&gt;"",ALERTA_INDIVIDUAL-tbl_meddez[[#This Row],[Utilização (%)]],"")</f>
        <v/>
      </c>
    </row>
    <row r="11" spans="1:11" x14ac:dyDescent="0.25">
      <c r="A11" s="2">
        <f>tbl_consolidacao[[#This Row],[Torre]]</f>
        <v>2</v>
      </c>
      <c r="B11" s="2" t="str">
        <f>tbl_consolidacao[[#This Row],[Junta]]</f>
        <v>B</v>
      </c>
      <c r="C11" s="2">
        <f>tbl_consolidacao[[#This Row],[Unid]]</f>
        <v>105</v>
      </c>
      <c r="D11" s="2" t="str">
        <f>tbl_consolidacao[[#This Row],[Apto]]</f>
        <v>105-B2</v>
      </c>
      <c r="E11" s="2">
        <f>tbl_meddez_anterior[[#This Row],[Hidrometro]]</f>
        <v>1242</v>
      </c>
      <c r="F11" s="13"/>
      <c r="G11" s="16">
        <f>tbl_meddez_anterior[[#This Row],[Hidrometro]]</f>
        <v>1242</v>
      </c>
      <c r="H11" s="14"/>
      <c r="I11" s="2">
        <f>tbl_meddez[[#This Row],[Medição 
Água Fria]]/100+tbl_meddez[[#This Row],[Medição 
Água Quente]]/1000</f>
        <v>0</v>
      </c>
      <c r="J11" s="15" t="str">
        <f>IF(tbl_meddez[[#This Row],[Total]]&gt;0,tbl_meddez[[#This Row],[Total]]/VLOOKUP(tbl_meddez[[#This Row],[Apto]],tbl_medfev[[Apto]:[Total]],6,FALSE)-1,"")</f>
        <v/>
      </c>
      <c r="K11" s="15" t="str">
        <f>IF(tbl_meddez[[#This Row],[Utilização (%)]]&lt;&gt;"",ALERTA_INDIVIDUAL-tbl_meddez[[#This Row],[Utilização (%)]],"")</f>
        <v/>
      </c>
    </row>
    <row r="12" spans="1:11" x14ac:dyDescent="0.25">
      <c r="A12" s="2">
        <f>tbl_consolidacao[[#This Row],[Torre]]</f>
        <v>2</v>
      </c>
      <c r="B12" s="2" t="str">
        <f>tbl_consolidacao[[#This Row],[Junta]]</f>
        <v>B</v>
      </c>
      <c r="C12" s="2">
        <f>tbl_consolidacao[[#This Row],[Unid]]</f>
        <v>106</v>
      </c>
      <c r="D12" s="2" t="str">
        <f>tbl_consolidacao[[#This Row],[Apto]]</f>
        <v>106-B2</v>
      </c>
      <c r="E12" s="2">
        <f>tbl_meddez_anterior[[#This Row],[Hidrometro]]</f>
        <v>1243</v>
      </c>
      <c r="F12" s="13"/>
      <c r="G12" s="16">
        <f>tbl_meddez_anterior[[#This Row],[Hidrometro]]</f>
        <v>1243</v>
      </c>
      <c r="H12" s="14"/>
      <c r="I12" s="2">
        <f>tbl_meddez[[#This Row],[Medição 
Água Fria]]/100+tbl_meddez[[#This Row],[Medição 
Água Quente]]/1000</f>
        <v>0</v>
      </c>
      <c r="J12" s="15" t="str">
        <f>IF(tbl_meddez[[#This Row],[Total]]&gt;0,tbl_meddez[[#This Row],[Total]]/VLOOKUP(tbl_meddez[[#This Row],[Apto]],tbl_medfev[[Apto]:[Total]],6,FALSE)-1,"")</f>
        <v/>
      </c>
      <c r="K12" s="15" t="str">
        <f>IF(tbl_meddez[[#This Row],[Utilização (%)]]&lt;&gt;"",ALERTA_INDIVIDUAL-tbl_meddez[[#This Row],[Utilização (%)]],"")</f>
        <v/>
      </c>
    </row>
    <row r="13" spans="1:11" x14ac:dyDescent="0.25">
      <c r="A13" s="2">
        <f>tbl_consolidacao[[#This Row],[Torre]]</f>
        <v>2</v>
      </c>
      <c r="B13" s="2" t="str">
        <f>tbl_consolidacao[[#This Row],[Junta]]</f>
        <v>B</v>
      </c>
      <c r="C13" s="2">
        <f>tbl_consolidacao[[#This Row],[Unid]]</f>
        <v>107</v>
      </c>
      <c r="D13" s="2" t="str">
        <f>tbl_consolidacao[[#This Row],[Apto]]</f>
        <v>107-B2</v>
      </c>
      <c r="E13" s="2">
        <f>tbl_meddez_anterior[[#This Row],[Hidrometro]]</f>
        <v>1244</v>
      </c>
      <c r="F13" s="13"/>
      <c r="G13" s="16">
        <f>tbl_meddez_anterior[[#This Row],[Hidrometro]]</f>
        <v>1244</v>
      </c>
      <c r="H13" s="14"/>
      <c r="I13" s="2">
        <f>tbl_meddez[[#This Row],[Medição 
Água Fria]]/100+tbl_meddez[[#This Row],[Medição 
Água Quente]]/1000</f>
        <v>0</v>
      </c>
      <c r="J13" s="15" t="str">
        <f>IF(tbl_meddez[[#This Row],[Total]]&gt;0,tbl_meddez[[#This Row],[Total]]/VLOOKUP(tbl_meddez[[#This Row],[Apto]],tbl_medfev[[Apto]:[Total]],6,FALSE)-1,"")</f>
        <v/>
      </c>
      <c r="K13" s="15" t="str">
        <f>IF(tbl_meddez[[#This Row],[Utilização (%)]]&lt;&gt;"",ALERTA_INDIVIDUAL-tbl_meddez[[#This Row],[Utilização (%)]],"")</f>
        <v/>
      </c>
    </row>
    <row r="14" spans="1:11" x14ac:dyDescent="0.25">
      <c r="A14" s="2">
        <f>tbl_consolidacao[[#This Row],[Torre]]</f>
        <v>2</v>
      </c>
      <c r="B14" s="2" t="str">
        <f>tbl_consolidacao[[#This Row],[Junta]]</f>
        <v>B</v>
      </c>
      <c r="C14" s="2">
        <f>tbl_consolidacao[[#This Row],[Unid]]</f>
        <v>108</v>
      </c>
      <c r="D14" s="2" t="str">
        <f>tbl_consolidacao[[#This Row],[Apto]]</f>
        <v>108-B2</v>
      </c>
      <c r="E14" s="2">
        <f>tbl_meddez_anterior[[#This Row],[Hidrometro]]</f>
        <v>1245</v>
      </c>
      <c r="F14" s="13"/>
      <c r="G14" s="16">
        <f>tbl_meddez_anterior[[#This Row],[Hidrometro]]</f>
        <v>1245</v>
      </c>
      <c r="H14" s="14"/>
      <c r="I14" s="2">
        <f>tbl_meddez[[#This Row],[Medição 
Água Fria]]/100+tbl_meddez[[#This Row],[Medição 
Água Quente]]/1000</f>
        <v>0</v>
      </c>
      <c r="J14" s="15" t="str">
        <f>IF(tbl_meddez[[#This Row],[Total]]&gt;0,tbl_meddez[[#This Row],[Total]]/VLOOKUP(tbl_meddez[[#This Row],[Apto]],tbl_medfev[[Apto]:[Total]],6,FALSE)-1,"")</f>
        <v/>
      </c>
      <c r="K14" s="15" t="str">
        <f>IF(tbl_meddez[[#This Row],[Utilização (%)]]&lt;&gt;"",ALERTA_INDIVIDUAL-tbl_meddez[[#This Row],[Utilização (%)]],"")</f>
        <v/>
      </c>
    </row>
    <row r="15" spans="1:11" x14ac:dyDescent="0.25">
      <c r="A15" s="2">
        <f>tbl_consolidacao[[#This Row],[Torre]]</f>
        <v>1</v>
      </c>
      <c r="B15" s="2" t="str">
        <f>tbl_consolidacao[[#This Row],[Junta]]</f>
        <v>A</v>
      </c>
      <c r="C15" s="2">
        <f>tbl_consolidacao[[#This Row],[Unid]]</f>
        <v>201</v>
      </c>
      <c r="D15" s="2" t="str">
        <f>tbl_consolidacao[[#This Row],[Apto]]</f>
        <v>201-A1</v>
      </c>
      <c r="E15" s="2">
        <f>tbl_meddez_anterior[[#This Row],[Hidrometro]]</f>
        <v>1246</v>
      </c>
      <c r="F15" s="13"/>
      <c r="G15" s="16">
        <f>tbl_meddez_anterior[[#This Row],[Hidrometro]]</f>
        <v>1246</v>
      </c>
      <c r="H15" s="14"/>
      <c r="I15" s="2">
        <f>tbl_meddez[[#This Row],[Medição 
Água Fria]]/100+tbl_meddez[[#This Row],[Medição 
Água Quente]]/1000</f>
        <v>0</v>
      </c>
      <c r="J15" s="15" t="str">
        <f>IF(tbl_meddez[[#This Row],[Total]]&gt;0,tbl_meddez[[#This Row],[Total]]/VLOOKUP(tbl_meddez[[#This Row],[Apto]],tbl_medfev[[Apto]:[Total]],6,FALSE)-1,"")</f>
        <v/>
      </c>
      <c r="K15" s="15" t="str">
        <f>IF(tbl_meddez[[#This Row],[Utilização (%)]]&lt;&gt;"",ALERTA_INDIVIDUAL-tbl_meddez[[#This Row],[Utilização (%)]],"")</f>
        <v/>
      </c>
    </row>
    <row r="16" spans="1:11" x14ac:dyDescent="0.25">
      <c r="A16" s="2">
        <f>tbl_consolidacao[[#This Row],[Torre]]</f>
        <v>2</v>
      </c>
      <c r="B16" s="2" t="str">
        <f>tbl_consolidacao[[#This Row],[Junta]]</f>
        <v>A</v>
      </c>
      <c r="C16" s="2">
        <f>tbl_consolidacao[[#This Row],[Unid]]</f>
        <v>201</v>
      </c>
      <c r="D16" s="2" t="str">
        <f>tbl_consolidacao[[#This Row],[Apto]]</f>
        <v>201-A2</v>
      </c>
      <c r="E16" s="2">
        <f>tbl_meddez_anterior[[#This Row],[Hidrometro]]</f>
        <v>1247</v>
      </c>
      <c r="F16" s="13"/>
      <c r="G16" s="16">
        <f>tbl_meddez_anterior[[#This Row],[Hidrometro]]</f>
        <v>1247</v>
      </c>
      <c r="H16" s="14"/>
      <c r="I16" s="2">
        <f>tbl_meddez[[#This Row],[Medição 
Água Fria]]/100+tbl_meddez[[#This Row],[Medição 
Água Quente]]/1000</f>
        <v>0</v>
      </c>
      <c r="J16" s="15" t="str">
        <f>IF(tbl_meddez[[#This Row],[Total]]&gt;0,tbl_meddez[[#This Row],[Total]]/VLOOKUP(tbl_meddez[[#This Row],[Apto]],tbl_medfev[[Apto]:[Total]],6,FALSE)-1,"")</f>
        <v/>
      </c>
      <c r="K16" s="15" t="str">
        <f>IF(tbl_meddez[[#This Row],[Utilização (%)]]&lt;&gt;"",ALERTA_INDIVIDUAL-tbl_meddez[[#This Row],[Utilização (%)]],"")</f>
        <v/>
      </c>
    </row>
    <row r="17" spans="1:11" x14ac:dyDescent="0.25">
      <c r="A17" s="2">
        <f>tbl_consolidacao[[#This Row],[Torre]]</f>
        <v>1</v>
      </c>
      <c r="B17" s="2" t="str">
        <f>tbl_consolidacao[[#This Row],[Junta]]</f>
        <v>A</v>
      </c>
      <c r="C17" s="2">
        <f>tbl_consolidacao[[#This Row],[Unid]]</f>
        <v>202</v>
      </c>
      <c r="D17" s="2" t="str">
        <f>tbl_consolidacao[[#This Row],[Apto]]</f>
        <v>202-A1</v>
      </c>
      <c r="E17" s="2">
        <f>tbl_meddez_anterior[[#This Row],[Hidrometro]]</f>
        <v>1248</v>
      </c>
      <c r="F17" s="13"/>
      <c r="G17" s="16">
        <f>tbl_meddez_anterior[[#This Row],[Hidrometro]]</f>
        <v>1248</v>
      </c>
      <c r="H17" s="14"/>
      <c r="I17" s="2">
        <f>tbl_meddez[[#This Row],[Medição 
Água Fria]]/100+tbl_meddez[[#This Row],[Medição 
Água Quente]]/1000</f>
        <v>0</v>
      </c>
      <c r="J17" s="15" t="str">
        <f>IF(tbl_meddez[[#This Row],[Total]]&gt;0,tbl_meddez[[#This Row],[Total]]/VLOOKUP(tbl_meddez[[#This Row],[Apto]],tbl_medfev[[Apto]:[Total]],6,FALSE)-1,"")</f>
        <v/>
      </c>
      <c r="K17" s="15" t="str">
        <f>IF(tbl_meddez[[#This Row],[Utilização (%)]]&lt;&gt;"",ALERTA_INDIVIDUAL-tbl_meddez[[#This Row],[Utilização (%)]],"")</f>
        <v/>
      </c>
    </row>
    <row r="18" spans="1:11" x14ac:dyDescent="0.25">
      <c r="A18" s="2">
        <f>tbl_consolidacao[[#This Row],[Torre]]</f>
        <v>2</v>
      </c>
      <c r="B18" s="2" t="str">
        <f>tbl_consolidacao[[#This Row],[Junta]]</f>
        <v>A</v>
      </c>
      <c r="C18" s="2">
        <f>tbl_consolidacao[[#This Row],[Unid]]</f>
        <v>202</v>
      </c>
      <c r="D18" s="2" t="str">
        <f>tbl_consolidacao[[#This Row],[Apto]]</f>
        <v>202-A2</v>
      </c>
      <c r="E18" s="2">
        <f>tbl_meddez_anterior[[#This Row],[Hidrometro]]</f>
        <v>1249</v>
      </c>
      <c r="F18" s="13"/>
      <c r="G18" s="16">
        <f>tbl_meddez_anterior[[#This Row],[Hidrometro]]</f>
        <v>1249</v>
      </c>
      <c r="H18" s="14"/>
      <c r="I18" s="2">
        <f>tbl_meddez[[#This Row],[Medição 
Água Fria]]/100+tbl_meddez[[#This Row],[Medição 
Água Quente]]/1000</f>
        <v>0</v>
      </c>
      <c r="J18" s="15" t="str">
        <f>IF(tbl_meddez[[#This Row],[Total]]&gt;0,tbl_meddez[[#This Row],[Total]]/VLOOKUP(tbl_meddez[[#This Row],[Apto]],tbl_medfev[[Apto]:[Total]],6,FALSE)-1,"")</f>
        <v/>
      </c>
      <c r="K18" s="15" t="str">
        <f>IF(tbl_meddez[[#This Row],[Utilização (%)]]&lt;&gt;"",ALERTA_INDIVIDUAL-tbl_meddez[[#This Row],[Utilização (%)]],"")</f>
        <v/>
      </c>
    </row>
    <row r="19" spans="1:11" x14ac:dyDescent="0.25">
      <c r="A19" s="2">
        <f>tbl_consolidacao[[#This Row],[Torre]]</f>
        <v>1</v>
      </c>
      <c r="B19" s="2" t="str">
        <f>tbl_consolidacao[[#This Row],[Junta]]</f>
        <v>A</v>
      </c>
      <c r="C19" s="2">
        <f>tbl_consolidacao[[#This Row],[Unid]]</f>
        <v>203</v>
      </c>
      <c r="D19" s="2" t="str">
        <f>tbl_consolidacao[[#This Row],[Apto]]</f>
        <v>203-A1</v>
      </c>
      <c r="E19" s="2">
        <f>tbl_meddez_anterior[[#This Row],[Hidrometro]]</f>
        <v>1250</v>
      </c>
      <c r="F19" s="13"/>
      <c r="G19" s="16">
        <f>tbl_meddez_anterior[[#This Row],[Hidrometro]]</f>
        <v>1250</v>
      </c>
      <c r="H19" s="14"/>
      <c r="I19" s="2">
        <f>tbl_meddez[[#This Row],[Medição 
Água Fria]]/100+tbl_meddez[[#This Row],[Medição 
Água Quente]]/1000</f>
        <v>0</v>
      </c>
      <c r="J19" s="15" t="str">
        <f>IF(tbl_meddez[[#This Row],[Total]]&gt;0,tbl_meddez[[#This Row],[Total]]/VLOOKUP(tbl_meddez[[#This Row],[Apto]],tbl_medfev[[Apto]:[Total]],6,FALSE)-1,"")</f>
        <v/>
      </c>
      <c r="K19" s="15" t="str">
        <f>IF(tbl_meddez[[#This Row],[Utilização (%)]]&lt;&gt;"",ALERTA_INDIVIDUAL-tbl_meddez[[#This Row],[Utilização (%)]],"")</f>
        <v/>
      </c>
    </row>
    <row r="20" spans="1:11" x14ac:dyDescent="0.25">
      <c r="A20" s="2">
        <f>tbl_consolidacao[[#This Row],[Torre]]</f>
        <v>2</v>
      </c>
      <c r="B20" s="2" t="str">
        <f>tbl_consolidacao[[#This Row],[Junta]]</f>
        <v>A</v>
      </c>
      <c r="C20" s="2">
        <f>tbl_consolidacao[[#This Row],[Unid]]</f>
        <v>203</v>
      </c>
      <c r="D20" s="2" t="str">
        <f>tbl_consolidacao[[#This Row],[Apto]]</f>
        <v>203-A2</v>
      </c>
      <c r="E20" s="2">
        <f>tbl_meddez_anterior[[#This Row],[Hidrometro]]</f>
        <v>1251</v>
      </c>
      <c r="F20" s="13"/>
      <c r="G20" s="16">
        <f>tbl_meddez_anterior[[#This Row],[Hidrometro]]</f>
        <v>1251</v>
      </c>
      <c r="H20" s="14"/>
      <c r="I20" s="2">
        <f>tbl_meddez[[#This Row],[Medição 
Água Fria]]/100+tbl_meddez[[#This Row],[Medição 
Água Quente]]/1000</f>
        <v>0</v>
      </c>
      <c r="J20" s="15" t="str">
        <f>IF(tbl_meddez[[#This Row],[Total]]&gt;0,tbl_meddez[[#This Row],[Total]]/VLOOKUP(tbl_meddez[[#This Row],[Apto]],tbl_medfev[[Apto]:[Total]],6,FALSE)-1,"")</f>
        <v/>
      </c>
      <c r="K20" s="15" t="str">
        <f>IF(tbl_meddez[[#This Row],[Utilização (%)]]&lt;&gt;"",ALERTA_INDIVIDUAL-tbl_meddez[[#This Row],[Utilização (%)]],"")</f>
        <v/>
      </c>
    </row>
    <row r="21" spans="1:11" x14ac:dyDescent="0.25">
      <c r="A21" s="2">
        <f>tbl_consolidacao[[#This Row],[Torre]]</f>
        <v>1</v>
      </c>
      <c r="B21" s="2" t="str">
        <f>tbl_consolidacao[[#This Row],[Junta]]</f>
        <v>A</v>
      </c>
      <c r="C21" s="2">
        <f>tbl_consolidacao[[#This Row],[Unid]]</f>
        <v>204</v>
      </c>
      <c r="D21" s="2" t="str">
        <f>tbl_consolidacao[[#This Row],[Apto]]</f>
        <v>204-A1</v>
      </c>
      <c r="E21" s="2">
        <f>tbl_meddez_anterior[[#This Row],[Hidrometro]]</f>
        <v>1252</v>
      </c>
      <c r="F21" s="13"/>
      <c r="G21" s="16">
        <f>tbl_meddez_anterior[[#This Row],[Hidrometro]]</f>
        <v>1252</v>
      </c>
      <c r="H21" s="14"/>
      <c r="I21" s="2">
        <f>tbl_meddez[[#This Row],[Medição 
Água Fria]]/100+tbl_meddez[[#This Row],[Medição 
Água Quente]]/1000</f>
        <v>0</v>
      </c>
      <c r="J21" s="15" t="str">
        <f>IF(tbl_meddez[[#This Row],[Total]]&gt;0,tbl_meddez[[#This Row],[Total]]/VLOOKUP(tbl_meddez[[#This Row],[Apto]],tbl_medfev[[Apto]:[Total]],6,FALSE)-1,"")</f>
        <v/>
      </c>
      <c r="K21" s="15" t="str">
        <f>IF(tbl_meddez[[#This Row],[Utilização (%)]]&lt;&gt;"",ALERTA_INDIVIDUAL-tbl_meddez[[#This Row],[Utilização (%)]],"")</f>
        <v/>
      </c>
    </row>
    <row r="22" spans="1:11" x14ac:dyDescent="0.25">
      <c r="A22" s="2">
        <f>tbl_consolidacao[[#This Row],[Torre]]</f>
        <v>2</v>
      </c>
      <c r="B22" s="2" t="str">
        <f>tbl_consolidacao[[#This Row],[Junta]]</f>
        <v>A</v>
      </c>
      <c r="C22" s="2">
        <f>tbl_consolidacao[[#This Row],[Unid]]</f>
        <v>204</v>
      </c>
      <c r="D22" s="2" t="str">
        <f>tbl_consolidacao[[#This Row],[Apto]]</f>
        <v>204-A2</v>
      </c>
      <c r="E22" s="2">
        <f>tbl_meddez_anterior[[#This Row],[Hidrometro]]</f>
        <v>1253</v>
      </c>
      <c r="F22" s="13"/>
      <c r="G22" s="16">
        <f>tbl_meddez_anterior[[#This Row],[Hidrometro]]</f>
        <v>1253</v>
      </c>
      <c r="H22" s="14"/>
      <c r="I22" s="2">
        <f>tbl_meddez[[#This Row],[Medição 
Água Fria]]/100+tbl_meddez[[#This Row],[Medição 
Água Quente]]/1000</f>
        <v>0</v>
      </c>
      <c r="J22" s="15" t="str">
        <f>IF(tbl_meddez[[#This Row],[Total]]&gt;0,tbl_meddez[[#This Row],[Total]]/VLOOKUP(tbl_meddez[[#This Row],[Apto]],tbl_medfev[[Apto]:[Total]],6,FALSE)-1,"")</f>
        <v/>
      </c>
      <c r="K22" s="15" t="str">
        <f>IF(tbl_meddez[[#This Row],[Utilização (%)]]&lt;&gt;"",ALERTA_INDIVIDUAL-tbl_meddez[[#This Row],[Utilização (%)]],"")</f>
        <v/>
      </c>
    </row>
    <row r="23" spans="1:11" x14ac:dyDescent="0.25">
      <c r="A23" s="2">
        <f>tbl_consolidacao[[#This Row],[Torre]]</f>
        <v>1</v>
      </c>
      <c r="B23" s="2" t="str">
        <f>tbl_consolidacao[[#This Row],[Junta]]</f>
        <v>B</v>
      </c>
      <c r="C23" s="2">
        <f>tbl_consolidacao[[#This Row],[Unid]]</f>
        <v>205</v>
      </c>
      <c r="D23" s="2" t="str">
        <f>tbl_consolidacao[[#This Row],[Apto]]</f>
        <v>205-B1</v>
      </c>
      <c r="E23" s="2">
        <f>tbl_meddez_anterior[[#This Row],[Hidrometro]]</f>
        <v>1254</v>
      </c>
      <c r="F23" s="13"/>
      <c r="G23" s="16">
        <f>tbl_meddez_anterior[[#This Row],[Hidrometro]]</f>
        <v>1254</v>
      </c>
      <c r="H23" s="14"/>
      <c r="I23" s="2">
        <f>tbl_meddez[[#This Row],[Medição 
Água Fria]]/100+tbl_meddez[[#This Row],[Medição 
Água Quente]]/1000</f>
        <v>0</v>
      </c>
      <c r="J23" s="15" t="str">
        <f>IF(tbl_meddez[[#This Row],[Total]]&gt;0,tbl_meddez[[#This Row],[Total]]/VLOOKUP(tbl_meddez[[#This Row],[Apto]],tbl_medfev[[Apto]:[Total]],6,FALSE)-1,"")</f>
        <v/>
      </c>
      <c r="K23" s="15" t="str">
        <f>IF(tbl_meddez[[#This Row],[Utilização (%)]]&lt;&gt;"",ALERTA_INDIVIDUAL-tbl_meddez[[#This Row],[Utilização (%)]],"")</f>
        <v/>
      </c>
    </row>
    <row r="24" spans="1:11" x14ac:dyDescent="0.25">
      <c r="A24" s="2">
        <f>tbl_consolidacao[[#This Row],[Torre]]</f>
        <v>2</v>
      </c>
      <c r="B24" s="2" t="str">
        <f>tbl_consolidacao[[#This Row],[Junta]]</f>
        <v>B</v>
      </c>
      <c r="C24" s="2">
        <f>tbl_consolidacao[[#This Row],[Unid]]</f>
        <v>205</v>
      </c>
      <c r="D24" s="2" t="str">
        <f>tbl_consolidacao[[#This Row],[Apto]]</f>
        <v>205-B2</v>
      </c>
      <c r="E24" s="2">
        <f>tbl_meddez_anterior[[#This Row],[Hidrometro]]</f>
        <v>1255</v>
      </c>
      <c r="F24" s="13"/>
      <c r="G24" s="16">
        <f>tbl_meddez_anterior[[#This Row],[Hidrometro]]</f>
        <v>1255</v>
      </c>
      <c r="H24" s="14"/>
      <c r="I24" s="2">
        <f>tbl_meddez[[#This Row],[Medição 
Água Fria]]/100+tbl_meddez[[#This Row],[Medição 
Água Quente]]/1000</f>
        <v>0</v>
      </c>
      <c r="J24" s="15" t="str">
        <f>IF(tbl_meddez[[#This Row],[Total]]&gt;0,tbl_meddez[[#This Row],[Total]]/VLOOKUP(tbl_meddez[[#This Row],[Apto]],tbl_medfev[[Apto]:[Total]],6,FALSE)-1,"")</f>
        <v/>
      </c>
      <c r="K24" s="15" t="str">
        <f>IF(tbl_meddez[[#This Row],[Utilização (%)]]&lt;&gt;"",ALERTA_INDIVIDUAL-tbl_meddez[[#This Row],[Utilização (%)]],"")</f>
        <v/>
      </c>
    </row>
    <row r="25" spans="1:11" x14ac:dyDescent="0.25">
      <c r="A25" s="2">
        <f>tbl_consolidacao[[#This Row],[Torre]]</f>
        <v>1</v>
      </c>
      <c r="B25" s="2" t="str">
        <f>tbl_consolidacao[[#This Row],[Junta]]</f>
        <v>B</v>
      </c>
      <c r="C25" s="2">
        <f>tbl_consolidacao[[#This Row],[Unid]]</f>
        <v>206</v>
      </c>
      <c r="D25" s="2" t="str">
        <f>tbl_consolidacao[[#This Row],[Apto]]</f>
        <v>206-B1</v>
      </c>
      <c r="E25" s="2">
        <f>tbl_meddez_anterior[[#This Row],[Hidrometro]]</f>
        <v>1256</v>
      </c>
      <c r="F25" s="13"/>
      <c r="G25" s="16">
        <f>tbl_meddez_anterior[[#This Row],[Hidrometro]]</f>
        <v>1256</v>
      </c>
      <c r="H25" s="14"/>
      <c r="I25" s="2">
        <f>tbl_meddez[[#This Row],[Medição 
Água Fria]]/100+tbl_meddez[[#This Row],[Medição 
Água Quente]]/1000</f>
        <v>0</v>
      </c>
      <c r="J25" s="15" t="str">
        <f>IF(tbl_meddez[[#This Row],[Total]]&gt;0,tbl_meddez[[#This Row],[Total]]/VLOOKUP(tbl_meddez[[#This Row],[Apto]],tbl_medfev[[Apto]:[Total]],6,FALSE)-1,"")</f>
        <v/>
      </c>
      <c r="K25" s="15" t="str">
        <f>IF(tbl_meddez[[#This Row],[Utilização (%)]]&lt;&gt;"",ALERTA_INDIVIDUAL-tbl_meddez[[#This Row],[Utilização (%)]],"")</f>
        <v/>
      </c>
    </row>
    <row r="26" spans="1:11" x14ac:dyDescent="0.25">
      <c r="A26" s="2">
        <f>tbl_consolidacao[[#This Row],[Torre]]</f>
        <v>2</v>
      </c>
      <c r="B26" s="2" t="str">
        <f>tbl_consolidacao[[#This Row],[Junta]]</f>
        <v>B</v>
      </c>
      <c r="C26" s="2">
        <f>tbl_consolidacao[[#This Row],[Unid]]</f>
        <v>206</v>
      </c>
      <c r="D26" s="2" t="str">
        <f>tbl_consolidacao[[#This Row],[Apto]]</f>
        <v>206-B2</v>
      </c>
      <c r="E26" s="2">
        <f>tbl_meddez_anterior[[#This Row],[Hidrometro]]</f>
        <v>1257</v>
      </c>
      <c r="F26" s="13"/>
      <c r="G26" s="16">
        <f>tbl_meddez_anterior[[#This Row],[Hidrometro]]</f>
        <v>1257</v>
      </c>
      <c r="H26" s="14"/>
      <c r="I26" s="2">
        <f>tbl_meddez[[#This Row],[Medição 
Água Fria]]/100+tbl_meddez[[#This Row],[Medição 
Água Quente]]/1000</f>
        <v>0</v>
      </c>
      <c r="J26" s="15" t="str">
        <f>IF(tbl_meddez[[#This Row],[Total]]&gt;0,tbl_meddez[[#This Row],[Total]]/VLOOKUP(tbl_meddez[[#This Row],[Apto]],tbl_medfev[[Apto]:[Total]],6,FALSE)-1,"")</f>
        <v/>
      </c>
      <c r="K26" s="15" t="str">
        <f>IF(tbl_meddez[[#This Row],[Utilização (%)]]&lt;&gt;"",ALERTA_INDIVIDUAL-tbl_meddez[[#This Row],[Utilização (%)]],"")</f>
        <v/>
      </c>
    </row>
    <row r="27" spans="1:11" x14ac:dyDescent="0.25">
      <c r="A27" s="2">
        <f>tbl_consolidacao[[#This Row],[Torre]]</f>
        <v>1</v>
      </c>
      <c r="B27" s="2" t="str">
        <f>tbl_consolidacao[[#This Row],[Junta]]</f>
        <v>B</v>
      </c>
      <c r="C27" s="2">
        <f>tbl_consolidacao[[#This Row],[Unid]]</f>
        <v>207</v>
      </c>
      <c r="D27" s="2" t="str">
        <f>tbl_consolidacao[[#This Row],[Apto]]</f>
        <v>207-B1</v>
      </c>
      <c r="E27" s="2">
        <f>tbl_meddez_anterior[[#This Row],[Hidrometro]]</f>
        <v>1258</v>
      </c>
      <c r="F27" s="13"/>
      <c r="G27" s="16">
        <f>tbl_meddez_anterior[[#This Row],[Hidrometro]]</f>
        <v>1258</v>
      </c>
      <c r="H27" s="14"/>
      <c r="I27" s="2">
        <f>tbl_meddez[[#This Row],[Medição 
Água Fria]]/100+tbl_meddez[[#This Row],[Medição 
Água Quente]]/1000</f>
        <v>0</v>
      </c>
      <c r="J27" s="15" t="str">
        <f>IF(tbl_meddez[[#This Row],[Total]]&gt;0,tbl_meddez[[#This Row],[Total]]/VLOOKUP(tbl_meddez[[#This Row],[Apto]],tbl_medfev[[Apto]:[Total]],6,FALSE)-1,"")</f>
        <v/>
      </c>
      <c r="K27" s="15" t="str">
        <f>IF(tbl_meddez[[#This Row],[Utilização (%)]]&lt;&gt;"",ALERTA_INDIVIDUAL-tbl_meddez[[#This Row],[Utilização (%)]],"")</f>
        <v/>
      </c>
    </row>
    <row r="28" spans="1:11" x14ac:dyDescent="0.25">
      <c r="A28" s="2">
        <f>tbl_consolidacao[[#This Row],[Torre]]</f>
        <v>2</v>
      </c>
      <c r="B28" s="2" t="str">
        <f>tbl_consolidacao[[#This Row],[Junta]]</f>
        <v>B</v>
      </c>
      <c r="C28" s="2">
        <f>tbl_consolidacao[[#This Row],[Unid]]</f>
        <v>207</v>
      </c>
      <c r="D28" s="2" t="str">
        <f>tbl_consolidacao[[#This Row],[Apto]]</f>
        <v>207-B2</v>
      </c>
      <c r="E28" s="2">
        <f>tbl_meddez_anterior[[#This Row],[Hidrometro]]</f>
        <v>1259</v>
      </c>
      <c r="F28" s="13"/>
      <c r="G28" s="16">
        <f>tbl_meddez_anterior[[#This Row],[Hidrometro]]</f>
        <v>1259</v>
      </c>
      <c r="H28" s="14"/>
      <c r="I28" s="2">
        <f>tbl_meddez[[#This Row],[Medição 
Água Fria]]/100+tbl_meddez[[#This Row],[Medição 
Água Quente]]/1000</f>
        <v>0</v>
      </c>
      <c r="J28" s="15" t="str">
        <f>IF(tbl_meddez[[#This Row],[Total]]&gt;0,tbl_meddez[[#This Row],[Total]]/VLOOKUP(tbl_meddez[[#This Row],[Apto]],tbl_medfev[[Apto]:[Total]],6,FALSE)-1,"")</f>
        <v/>
      </c>
      <c r="K28" s="15" t="str">
        <f>IF(tbl_meddez[[#This Row],[Utilização (%)]]&lt;&gt;"",ALERTA_INDIVIDUAL-tbl_meddez[[#This Row],[Utilização (%)]],"")</f>
        <v/>
      </c>
    </row>
    <row r="29" spans="1:11" x14ac:dyDescent="0.25">
      <c r="A29" s="2">
        <f>tbl_consolidacao[[#This Row],[Torre]]</f>
        <v>1</v>
      </c>
      <c r="B29" s="2" t="str">
        <f>tbl_consolidacao[[#This Row],[Junta]]</f>
        <v>B</v>
      </c>
      <c r="C29" s="2">
        <f>tbl_consolidacao[[#This Row],[Unid]]</f>
        <v>208</v>
      </c>
      <c r="D29" s="2" t="str">
        <f>tbl_consolidacao[[#This Row],[Apto]]</f>
        <v>208-B1</v>
      </c>
      <c r="E29" s="2">
        <f>tbl_meddez_anterior[[#This Row],[Hidrometro]]</f>
        <v>1260</v>
      </c>
      <c r="F29" s="13"/>
      <c r="G29" s="16">
        <f>tbl_meddez_anterior[[#This Row],[Hidrometro]]</f>
        <v>1260</v>
      </c>
      <c r="H29" s="14"/>
      <c r="I29" s="2">
        <f>tbl_meddez[[#This Row],[Medição 
Água Fria]]/100+tbl_meddez[[#This Row],[Medição 
Água Quente]]/1000</f>
        <v>0</v>
      </c>
      <c r="J29" s="15" t="str">
        <f>IF(tbl_meddez[[#This Row],[Total]]&gt;0,tbl_meddez[[#This Row],[Total]]/VLOOKUP(tbl_meddez[[#This Row],[Apto]],tbl_medfev[[Apto]:[Total]],6,FALSE)-1,"")</f>
        <v/>
      </c>
      <c r="K29" s="15" t="str">
        <f>IF(tbl_meddez[[#This Row],[Utilização (%)]]&lt;&gt;"",ALERTA_INDIVIDUAL-tbl_meddez[[#This Row],[Utilização (%)]],"")</f>
        <v/>
      </c>
    </row>
    <row r="30" spans="1:11" x14ac:dyDescent="0.25">
      <c r="A30" s="2">
        <f>tbl_consolidacao[[#This Row],[Torre]]</f>
        <v>2</v>
      </c>
      <c r="B30" s="2" t="str">
        <f>tbl_consolidacao[[#This Row],[Junta]]</f>
        <v>B</v>
      </c>
      <c r="C30" s="2">
        <f>tbl_consolidacao[[#This Row],[Unid]]</f>
        <v>208</v>
      </c>
      <c r="D30" s="2" t="str">
        <f>tbl_consolidacao[[#This Row],[Apto]]</f>
        <v>208-B2</v>
      </c>
      <c r="E30" s="2">
        <f>tbl_meddez_anterior[[#This Row],[Hidrometro]]</f>
        <v>1261</v>
      </c>
      <c r="F30" s="13"/>
      <c r="G30" s="16">
        <f>tbl_meddez_anterior[[#This Row],[Hidrometro]]</f>
        <v>1261</v>
      </c>
      <c r="H30" s="14"/>
      <c r="I30" s="2">
        <f>tbl_meddez[[#This Row],[Medição 
Água Fria]]/100+tbl_meddez[[#This Row],[Medição 
Água Quente]]/1000</f>
        <v>0</v>
      </c>
      <c r="J30" s="15" t="str">
        <f>IF(tbl_meddez[[#This Row],[Total]]&gt;0,tbl_meddez[[#This Row],[Total]]/VLOOKUP(tbl_meddez[[#This Row],[Apto]],tbl_medfev[[Apto]:[Total]],6,FALSE)-1,"")</f>
        <v/>
      </c>
      <c r="K30" s="15" t="str">
        <f>IF(tbl_meddez[[#This Row],[Utilização (%)]]&lt;&gt;"",ALERTA_INDIVIDUAL-tbl_meddez[[#This Row],[Utilização (%)]],"")</f>
        <v/>
      </c>
    </row>
    <row r="31" spans="1:11" x14ac:dyDescent="0.25">
      <c r="A31" s="2">
        <f>tbl_consolidacao[[#This Row],[Torre]]</f>
        <v>1</v>
      </c>
      <c r="B31" s="2" t="str">
        <f>tbl_consolidacao[[#This Row],[Junta]]</f>
        <v>A</v>
      </c>
      <c r="C31" s="2">
        <f>tbl_consolidacao[[#This Row],[Unid]]</f>
        <v>301</v>
      </c>
      <c r="D31" s="2" t="str">
        <f>tbl_consolidacao[[#This Row],[Apto]]</f>
        <v>301-A1</v>
      </c>
      <c r="E31" s="2">
        <f>tbl_meddez_anterior[[#This Row],[Hidrometro]]</f>
        <v>1262</v>
      </c>
      <c r="F31" s="13"/>
      <c r="G31" s="16">
        <f>tbl_meddez_anterior[[#This Row],[Hidrometro]]</f>
        <v>1262</v>
      </c>
      <c r="H31" s="14"/>
      <c r="I31" s="2">
        <f>tbl_meddez[[#This Row],[Medição 
Água Fria]]/100+tbl_meddez[[#This Row],[Medição 
Água Quente]]/1000</f>
        <v>0</v>
      </c>
      <c r="J31" s="15" t="str">
        <f>IF(tbl_meddez[[#This Row],[Total]]&gt;0,tbl_meddez[[#This Row],[Total]]/VLOOKUP(tbl_meddez[[#This Row],[Apto]],tbl_medfev[[Apto]:[Total]],6,FALSE)-1,"")</f>
        <v/>
      </c>
      <c r="K31" s="15" t="str">
        <f>IF(tbl_meddez[[#This Row],[Utilização (%)]]&lt;&gt;"",ALERTA_INDIVIDUAL-tbl_meddez[[#This Row],[Utilização (%)]],"")</f>
        <v/>
      </c>
    </row>
    <row r="32" spans="1:11" x14ac:dyDescent="0.25">
      <c r="A32" s="2">
        <f>tbl_consolidacao[[#This Row],[Torre]]</f>
        <v>2</v>
      </c>
      <c r="B32" s="2" t="str">
        <f>tbl_consolidacao[[#This Row],[Junta]]</f>
        <v>A</v>
      </c>
      <c r="C32" s="2">
        <f>tbl_consolidacao[[#This Row],[Unid]]</f>
        <v>301</v>
      </c>
      <c r="D32" s="2" t="str">
        <f>tbl_consolidacao[[#This Row],[Apto]]</f>
        <v>301-A2</v>
      </c>
      <c r="E32" s="2">
        <f>tbl_meddez_anterior[[#This Row],[Hidrometro]]</f>
        <v>1263</v>
      </c>
      <c r="F32" s="13"/>
      <c r="G32" s="16">
        <f>tbl_meddez_anterior[[#This Row],[Hidrometro]]</f>
        <v>1263</v>
      </c>
      <c r="H32" s="14"/>
      <c r="I32" s="2">
        <f>tbl_meddez[[#This Row],[Medição 
Água Fria]]/100+tbl_meddez[[#This Row],[Medição 
Água Quente]]/1000</f>
        <v>0</v>
      </c>
      <c r="J32" s="15" t="str">
        <f>IF(tbl_meddez[[#This Row],[Total]]&gt;0,tbl_meddez[[#This Row],[Total]]/VLOOKUP(tbl_meddez[[#This Row],[Apto]],tbl_medfev[[Apto]:[Total]],6,FALSE)-1,"")</f>
        <v/>
      </c>
      <c r="K32" s="15" t="str">
        <f>IF(tbl_meddez[[#This Row],[Utilização (%)]]&lt;&gt;"",ALERTA_INDIVIDUAL-tbl_meddez[[#This Row],[Utilização (%)]],"")</f>
        <v/>
      </c>
    </row>
    <row r="33" spans="1:11" x14ac:dyDescent="0.25">
      <c r="A33" s="2">
        <f>tbl_consolidacao[[#This Row],[Torre]]</f>
        <v>1</v>
      </c>
      <c r="B33" s="2" t="str">
        <f>tbl_consolidacao[[#This Row],[Junta]]</f>
        <v>A</v>
      </c>
      <c r="C33" s="2">
        <f>tbl_consolidacao[[#This Row],[Unid]]</f>
        <v>302</v>
      </c>
      <c r="D33" s="2" t="str">
        <f>tbl_consolidacao[[#This Row],[Apto]]</f>
        <v>302-A1</v>
      </c>
      <c r="E33" s="2">
        <f>tbl_meddez_anterior[[#This Row],[Hidrometro]]</f>
        <v>1264</v>
      </c>
      <c r="F33" s="13"/>
      <c r="G33" s="16">
        <f>tbl_meddez_anterior[[#This Row],[Hidrometro]]</f>
        <v>1264</v>
      </c>
      <c r="H33" s="14"/>
      <c r="I33" s="2">
        <f>tbl_meddez[[#This Row],[Medição 
Água Fria]]/100+tbl_meddez[[#This Row],[Medição 
Água Quente]]/1000</f>
        <v>0</v>
      </c>
      <c r="J33" s="15" t="str">
        <f>IF(tbl_meddez[[#This Row],[Total]]&gt;0,tbl_meddez[[#This Row],[Total]]/VLOOKUP(tbl_meddez[[#This Row],[Apto]],tbl_medfev[[Apto]:[Total]],6,FALSE)-1,"")</f>
        <v/>
      </c>
      <c r="K33" s="15" t="str">
        <f>IF(tbl_meddez[[#This Row],[Utilização (%)]]&lt;&gt;"",ALERTA_INDIVIDUAL-tbl_meddez[[#This Row],[Utilização (%)]],"")</f>
        <v/>
      </c>
    </row>
    <row r="34" spans="1:11" x14ac:dyDescent="0.25">
      <c r="A34" s="2">
        <f>tbl_consolidacao[[#This Row],[Torre]]</f>
        <v>2</v>
      </c>
      <c r="B34" s="2" t="str">
        <f>tbl_consolidacao[[#This Row],[Junta]]</f>
        <v>A</v>
      </c>
      <c r="C34" s="2">
        <f>tbl_consolidacao[[#This Row],[Unid]]</f>
        <v>302</v>
      </c>
      <c r="D34" s="2" t="str">
        <f>tbl_consolidacao[[#This Row],[Apto]]</f>
        <v>302-A2</v>
      </c>
      <c r="E34" s="2">
        <f>tbl_meddez_anterior[[#This Row],[Hidrometro]]</f>
        <v>1265</v>
      </c>
      <c r="F34" s="13"/>
      <c r="G34" s="16">
        <f>tbl_meddez_anterior[[#This Row],[Hidrometro]]</f>
        <v>1265</v>
      </c>
      <c r="H34" s="14"/>
      <c r="I34" s="2">
        <f>tbl_meddez[[#This Row],[Medição 
Água Fria]]/100+tbl_meddez[[#This Row],[Medição 
Água Quente]]/1000</f>
        <v>0</v>
      </c>
      <c r="J34" s="15" t="str">
        <f>IF(tbl_meddez[[#This Row],[Total]]&gt;0,tbl_meddez[[#This Row],[Total]]/VLOOKUP(tbl_meddez[[#This Row],[Apto]],tbl_medfev[[Apto]:[Total]],6,FALSE)-1,"")</f>
        <v/>
      </c>
      <c r="K34" s="15" t="str">
        <f>IF(tbl_meddez[[#This Row],[Utilização (%)]]&lt;&gt;"",ALERTA_INDIVIDUAL-tbl_meddez[[#This Row],[Utilização (%)]],"")</f>
        <v/>
      </c>
    </row>
    <row r="35" spans="1:11" x14ac:dyDescent="0.25">
      <c r="A35" s="2">
        <f>tbl_consolidacao[[#This Row],[Torre]]</f>
        <v>1</v>
      </c>
      <c r="B35" s="2" t="str">
        <f>tbl_consolidacao[[#This Row],[Junta]]</f>
        <v>A</v>
      </c>
      <c r="C35" s="2">
        <f>tbl_consolidacao[[#This Row],[Unid]]</f>
        <v>303</v>
      </c>
      <c r="D35" s="2" t="str">
        <f>tbl_consolidacao[[#This Row],[Apto]]</f>
        <v>303-A1</v>
      </c>
      <c r="E35" s="2">
        <f>tbl_meddez_anterior[[#This Row],[Hidrometro]]</f>
        <v>1266</v>
      </c>
      <c r="F35" s="13"/>
      <c r="G35" s="16">
        <f>tbl_meddez_anterior[[#This Row],[Hidrometro]]</f>
        <v>1266</v>
      </c>
      <c r="H35" s="14"/>
      <c r="I35" s="2">
        <f>tbl_meddez[[#This Row],[Medição 
Água Fria]]/100+tbl_meddez[[#This Row],[Medição 
Água Quente]]/1000</f>
        <v>0</v>
      </c>
      <c r="J35" s="15" t="str">
        <f>IF(tbl_meddez[[#This Row],[Total]]&gt;0,tbl_meddez[[#This Row],[Total]]/VLOOKUP(tbl_meddez[[#This Row],[Apto]],tbl_medfev[[Apto]:[Total]],6,FALSE)-1,"")</f>
        <v/>
      </c>
      <c r="K35" s="15" t="str">
        <f>IF(tbl_meddez[[#This Row],[Utilização (%)]]&lt;&gt;"",ALERTA_INDIVIDUAL-tbl_meddez[[#This Row],[Utilização (%)]],"")</f>
        <v/>
      </c>
    </row>
    <row r="36" spans="1:11" x14ac:dyDescent="0.25">
      <c r="A36" s="2">
        <f>tbl_consolidacao[[#This Row],[Torre]]</f>
        <v>2</v>
      </c>
      <c r="B36" s="2" t="str">
        <f>tbl_consolidacao[[#This Row],[Junta]]</f>
        <v>A</v>
      </c>
      <c r="C36" s="2">
        <f>tbl_consolidacao[[#This Row],[Unid]]</f>
        <v>303</v>
      </c>
      <c r="D36" s="2" t="str">
        <f>tbl_consolidacao[[#This Row],[Apto]]</f>
        <v>303-A2</v>
      </c>
      <c r="E36" s="2">
        <f>tbl_meddez_anterior[[#This Row],[Hidrometro]]</f>
        <v>1267</v>
      </c>
      <c r="F36" s="13"/>
      <c r="G36" s="16">
        <f>tbl_meddez_anterior[[#This Row],[Hidrometro]]</f>
        <v>1267</v>
      </c>
      <c r="H36" s="14"/>
      <c r="I36" s="2">
        <f>tbl_meddez[[#This Row],[Medição 
Água Fria]]/100+tbl_meddez[[#This Row],[Medição 
Água Quente]]/1000</f>
        <v>0</v>
      </c>
      <c r="J36" s="15" t="str">
        <f>IF(tbl_meddez[[#This Row],[Total]]&gt;0,tbl_meddez[[#This Row],[Total]]/VLOOKUP(tbl_meddez[[#This Row],[Apto]],tbl_medfev[[Apto]:[Total]],6,FALSE)-1,"")</f>
        <v/>
      </c>
      <c r="K36" s="15" t="str">
        <f>IF(tbl_meddez[[#This Row],[Utilização (%)]]&lt;&gt;"",ALERTA_INDIVIDUAL-tbl_meddez[[#This Row],[Utilização (%)]],"")</f>
        <v/>
      </c>
    </row>
    <row r="37" spans="1:11" x14ac:dyDescent="0.25">
      <c r="A37" s="2">
        <f>tbl_consolidacao[[#This Row],[Torre]]</f>
        <v>1</v>
      </c>
      <c r="B37" s="2" t="str">
        <f>tbl_consolidacao[[#This Row],[Junta]]</f>
        <v>A</v>
      </c>
      <c r="C37" s="2">
        <f>tbl_consolidacao[[#This Row],[Unid]]</f>
        <v>304</v>
      </c>
      <c r="D37" s="2" t="str">
        <f>tbl_consolidacao[[#This Row],[Apto]]</f>
        <v>304-A1</v>
      </c>
      <c r="E37" s="2">
        <f>tbl_meddez_anterior[[#This Row],[Hidrometro]]</f>
        <v>1268</v>
      </c>
      <c r="F37" s="13"/>
      <c r="G37" s="16">
        <f>tbl_meddez_anterior[[#This Row],[Hidrometro]]</f>
        <v>1268</v>
      </c>
      <c r="H37" s="14"/>
      <c r="I37" s="2">
        <f>tbl_meddez[[#This Row],[Medição 
Água Fria]]/100+tbl_meddez[[#This Row],[Medição 
Água Quente]]/1000</f>
        <v>0</v>
      </c>
      <c r="J37" s="15" t="str">
        <f>IF(tbl_meddez[[#This Row],[Total]]&gt;0,tbl_meddez[[#This Row],[Total]]/VLOOKUP(tbl_meddez[[#This Row],[Apto]],tbl_medfev[[Apto]:[Total]],6,FALSE)-1,"")</f>
        <v/>
      </c>
      <c r="K37" s="15" t="str">
        <f>IF(tbl_meddez[[#This Row],[Utilização (%)]]&lt;&gt;"",ALERTA_INDIVIDUAL-tbl_meddez[[#This Row],[Utilização (%)]],"")</f>
        <v/>
      </c>
    </row>
    <row r="38" spans="1:11" x14ac:dyDescent="0.25">
      <c r="A38" s="2">
        <f>tbl_consolidacao[[#This Row],[Torre]]</f>
        <v>2</v>
      </c>
      <c r="B38" s="2" t="str">
        <f>tbl_consolidacao[[#This Row],[Junta]]</f>
        <v>A</v>
      </c>
      <c r="C38" s="2">
        <f>tbl_consolidacao[[#This Row],[Unid]]</f>
        <v>304</v>
      </c>
      <c r="D38" s="2" t="str">
        <f>tbl_consolidacao[[#This Row],[Apto]]</f>
        <v>304-A2</v>
      </c>
      <c r="E38" s="2">
        <f>tbl_meddez_anterior[[#This Row],[Hidrometro]]</f>
        <v>1269</v>
      </c>
      <c r="F38" s="13"/>
      <c r="G38" s="16">
        <f>tbl_meddez_anterior[[#This Row],[Hidrometro]]</f>
        <v>1269</v>
      </c>
      <c r="H38" s="14"/>
      <c r="I38" s="2">
        <f>tbl_meddez[[#This Row],[Medição 
Água Fria]]/100+tbl_meddez[[#This Row],[Medição 
Água Quente]]/1000</f>
        <v>0</v>
      </c>
      <c r="J38" s="15" t="str">
        <f>IF(tbl_meddez[[#This Row],[Total]]&gt;0,tbl_meddez[[#This Row],[Total]]/VLOOKUP(tbl_meddez[[#This Row],[Apto]],tbl_medfev[[Apto]:[Total]],6,FALSE)-1,"")</f>
        <v/>
      </c>
      <c r="K38" s="15" t="str">
        <f>IF(tbl_meddez[[#This Row],[Utilização (%)]]&lt;&gt;"",ALERTA_INDIVIDUAL-tbl_meddez[[#This Row],[Utilização (%)]],"")</f>
        <v/>
      </c>
    </row>
    <row r="39" spans="1:11" x14ac:dyDescent="0.25">
      <c r="A39" s="2">
        <f>tbl_consolidacao[[#This Row],[Torre]]</f>
        <v>1</v>
      </c>
      <c r="B39" s="2" t="str">
        <f>tbl_consolidacao[[#This Row],[Junta]]</f>
        <v>B</v>
      </c>
      <c r="C39" s="2">
        <f>tbl_consolidacao[[#This Row],[Unid]]</f>
        <v>305</v>
      </c>
      <c r="D39" s="2" t="str">
        <f>tbl_consolidacao[[#This Row],[Apto]]</f>
        <v>305-B1</v>
      </c>
      <c r="E39" s="2">
        <f>tbl_meddez_anterior[[#This Row],[Hidrometro]]</f>
        <v>1270</v>
      </c>
      <c r="F39" s="13"/>
      <c r="G39" s="16">
        <f>tbl_meddez_anterior[[#This Row],[Hidrometro]]</f>
        <v>1270</v>
      </c>
      <c r="H39" s="14"/>
      <c r="I39" s="2">
        <f>tbl_meddez[[#This Row],[Medição 
Água Fria]]/100+tbl_meddez[[#This Row],[Medição 
Água Quente]]/1000</f>
        <v>0</v>
      </c>
      <c r="J39" s="15" t="str">
        <f>IF(tbl_meddez[[#This Row],[Total]]&gt;0,tbl_meddez[[#This Row],[Total]]/VLOOKUP(tbl_meddez[[#This Row],[Apto]],tbl_medfev[[Apto]:[Total]],6,FALSE)-1,"")</f>
        <v/>
      </c>
      <c r="K39" s="15" t="str">
        <f>IF(tbl_meddez[[#This Row],[Utilização (%)]]&lt;&gt;"",ALERTA_INDIVIDUAL-tbl_meddez[[#This Row],[Utilização (%)]],"")</f>
        <v/>
      </c>
    </row>
    <row r="40" spans="1:11" x14ac:dyDescent="0.25">
      <c r="A40" s="2">
        <f>tbl_consolidacao[[#This Row],[Torre]]</f>
        <v>2</v>
      </c>
      <c r="B40" s="2" t="str">
        <f>tbl_consolidacao[[#This Row],[Junta]]</f>
        <v>B</v>
      </c>
      <c r="C40" s="2">
        <f>tbl_consolidacao[[#This Row],[Unid]]</f>
        <v>305</v>
      </c>
      <c r="D40" s="2" t="str">
        <f>tbl_consolidacao[[#This Row],[Apto]]</f>
        <v>305-B2</v>
      </c>
      <c r="E40" s="2">
        <f>tbl_meddez_anterior[[#This Row],[Hidrometro]]</f>
        <v>1271</v>
      </c>
      <c r="F40" s="13"/>
      <c r="G40" s="16">
        <f>tbl_meddez_anterior[[#This Row],[Hidrometro]]</f>
        <v>1271</v>
      </c>
      <c r="H40" s="14"/>
      <c r="I40" s="2">
        <f>tbl_meddez[[#This Row],[Medição 
Água Fria]]/100+tbl_meddez[[#This Row],[Medição 
Água Quente]]/1000</f>
        <v>0</v>
      </c>
      <c r="J40" s="15" t="str">
        <f>IF(tbl_meddez[[#This Row],[Total]]&gt;0,tbl_meddez[[#This Row],[Total]]/VLOOKUP(tbl_meddez[[#This Row],[Apto]],tbl_medfev[[Apto]:[Total]],6,FALSE)-1,"")</f>
        <v/>
      </c>
      <c r="K40" s="15" t="str">
        <f>IF(tbl_meddez[[#This Row],[Utilização (%)]]&lt;&gt;"",ALERTA_INDIVIDUAL-tbl_meddez[[#This Row],[Utilização (%)]],"")</f>
        <v/>
      </c>
    </row>
    <row r="41" spans="1:11" x14ac:dyDescent="0.25">
      <c r="A41" s="2">
        <f>tbl_consolidacao[[#This Row],[Torre]]</f>
        <v>1</v>
      </c>
      <c r="B41" s="2" t="str">
        <f>tbl_consolidacao[[#This Row],[Junta]]</f>
        <v>B</v>
      </c>
      <c r="C41" s="2">
        <f>tbl_consolidacao[[#This Row],[Unid]]</f>
        <v>306</v>
      </c>
      <c r="D41" s="2" t="str">
        <f>tbl_consolidacao[[#This Row],[Apto]]</f>
        <v>306-B1</v>
      </c>
      <c r="E41" s="2">
        <f>tbl_meddez_anterior[[#This Row],[Hidrometro]]</f>
        <v>1272</v>
      </c>
      <c r="F41" s="13"/>
      <c r="G41" s="16">
        <f>tbl_meddez_anterior[[#This Row],[Hidrometro]]</f>
        <v>1272</v>
      </c>
      <c r="H41" s="14"/>
      <c r="I41" s="2">
        <f>tbl_meddez[[#This Row],[Medição 
Água Fria]]/100+tbl_meddez[[#This Row],[Medição 
Água Quente]]/1000</f>
        <v>0</v>
      </c>
      <c r="J41" s="15" t="str">
        <f>IF(tbl_meddez[[#This Row],[Total]]&gt;0,tbl_meddez[[#This Row],[Total]]/VLOOKUP(tbl_meddez[[#This Row],[Apto]],tbl_medfev[[Apto]:[Total]],6,FALSE)-1,"")</f>
        <v/>
      </c>
      <c r="K41" s="15" t="str">
        <f>IF(tbl_meddez[[#This Row],[Utilização (%)]]&lt;&gt;"",ALERTA_INDIVIDUAL-tbl_meddez[[#This Row],[Utilização (%)]],"")</f>
        <v/>
      </c>
    </row>
    <row r="42" spans="1:11" x14ac:dyDescent="0.25">
      <c r="A42" s="2">
        <f>tbl_consolidacao[[#This Row],[Torre]]</f>
        <v>2</v>
      </c>
      <c r="B42" s="2" t="str">
        <f>tbl_consolidacao[[#This Row],[Junta]]</f>
        <v>B</v>
      </c>
      <c r="C42" s="2">
        <f>tbl_consolidacao[[#This Row],[Unid]]</f>
        <v>306</v>
      </c>
      <c r="D42" s="2" t="str">
        <f>tbl_consolidacao[[#This Row],[Apto]]</f>
        <v>306-B2</v>
      </c>
      <c r="E42" s="2">
        <f>tbl_meddez_anterior[[#This Row],[Hidrometro]]</f>
        <v>1273</v>
      </c>
      <c r="F42" s="13"/>
      <c r="G42" s="16">
        <f>tbl_meddez_anterior[[#This Row],[Hidrometro]]</f>
        <v>1273</v>
      </c>
      <c r="H42" s="14"/>
      <c r="I42" s="2">
        <f>tbl_meddez[[#This Row],[Medição 
Água Fria]]/100+tbl_meddez[[#This Row],[Medição 
Água Quente]]/1000</f>
        <v>0</v>
      </c>
      <c r="J42" s="15" t="str">
        <f>IF(tbl_meddez[[#This Row],[Total]]&gt;0,tbl_meddez[[#This Row],[Total]]/VLOOKUP(tbl_meddez[[#This Row],[Apto]],tbl_medfev[[Apto]:[Total]],6,FALSE)-1,"")</f>
        <v/>
      </c>
      <c r="K42" s="15" t="str">
        <f>IF(tbl_meddez[[#This Row],[Utilização (%)]]&lt;&gt;"",ALERTA_INDIVIDUAL-tbl_meddez[[#This Row],[Utilização (%)]],"")</f>
        <v/>
      </c>
    </row>
    <row r="43" spans="1:11" x14ac:dyDescent="0.25">
      <c r="A43" s="2">
        <f>tbl_consolidacao[[#This Row],[Torre]]</f>
        <v>1</v>
      </c>
      <c r="B43" s="2" t="str">
        <f>tbl_consolidacao[[#This Row],[Junta]]</f>
        <v>B</v>
      </c>
      <c r="C43" s="2">
        <f>tbl_consolidacao[[#This Row],[Unid]]</f>
        <v>307</v>
      </c>
      <c r="D43" s="2" t="str">
        <f>tbl_consolidacao[[#This Row],[Apto]]</f>
        <v>307-B1</v>
      </c>
      <c r="E43" s="2">
        <f>tbl_meddez_anterior[[#This Row],[Hidrometro]]</f>
        <v>1274</v>
      </c>
      <c r="F43" s="13"/>
      <c r="G43" s="16">
        <f>tbl_meddez_anterior[[#This Row],[Hidrometro]]</f>
        <v>1274</v>
      </c>
      <c r="H43" s="14"/>
      <c r="I43" s="2">
        <f>tbl_meddez[[#This Row],[Medição 
Água Fria]]/100+tbl_meddez[[#This Row],[Medição 
Água Quente]]/1000</f>
        <v>0</v>
      </c>
      <c r="J43" s="15" t="str">
        <f>IF(tbl_meddez[[#This Row],[Total]]&gt;0,tbl_meddez[[#This Row],[Total]]/VLOOKUP(tbl_meddez[[#This Row],[Apto]],tbl_medfev[[Apto]:[Total]],6,FALSE)-1,"")</f>
        <v/>
      </c>
      <c r="K43" s="15" t="str">
        <f>IF(tbl_meddez[[#This Row],[Utilização (%)]]&lt;&gt;"",ALERTA_INDIVIDUAL-tbl_meddez[[#This Row],[Utilização (%)]],"")</f>
        <v/>
      </c>
    </row>
    <row r="44" spans="1:11" x14ac:dyDescent="0.25">
      <c r="A44" s="2">
        <f>tbl_consolidacao[[#This Row],[Torre]]</f>
        <v>2</v>
      </c>
      <c r="B44" s="2" t="str">
        <f>tbl_consolidacao[[#This Row],[Junta]]</f>
        <v>B</v>
      </c>
      <c r="C44" s="2">
        <f>tbl_consolidacao[[#This Row],[Unid]]</f>
        <v>307</v>
      </c>
      <c r="D44" s="2" t="str">
        <f>tbl_consolidacao[[#This Row],[Apto]]</f>
        <v>307-B2</v>
      </c>
      <c r="E44" s="2">
        <f>tbl_meddez_anterior[[#This Row],[Hidrometro]]</f>
        <v>1275</v>
      </c>
      <c r="F44" s="13"/>
      <c r="G44" s="16">
        <f>tbl_meddez_anterior[[#This Row],[Hidrometro]]</f>
        <v>1275</v>
      </c>
      <c r="H44" s="14"/>
      <c r="I44" s="2">
        <f>tbl_meddez[[#This Row],[Medição 
Água Fria]]/100+tbl_meddez[[#This Row],[Medição 
Água Quente]]/1000</f>
        <v>0</v>
      </c>
      <c r="J44" s="15" t="str">
        <f>IF(tbl_meddez[[#This Row],[Total]]&gt;0,tbl_meddez[[#This Row],[Total]]/VLOOKUP(tbl_meddez[[#This Row],[Apto]],tbl_medfev[[Apto]:[Total]],6,FALSE)-1,"")</f>
        <v/>
      </c>
      <c r="K44" s="15" t="str">
        <f>IF(tbl_meddez[[#This Row],[Utilização (%)]]&lt;&gt;"",ALERTA_INDIVIDUAL-tbl_meddez[[#This Row],[Utilização (%)]],"")</f>
        <v/>
      </c>
    </row>
    <row r="45" spans="1:11" x14ac:dyDescent="0.25">
      <c r="A45" s="2">
        <f>tbl_consolidacao[[#This Row],[Torre]]</f>
        <v>1</v>
      </c>
      <c r="B45" s="2" t="str">
        <f>tbl_consolidacao[[#This Row],[Junta]]</f>
        <v>B</v>
      </c>
      <c r="C45" s="2">
        <f>tbl_consolidacao[[#This Row],[Unid]]</f>
        <v>308</v>
      </c>
      <c r="D45" s="2" t="str">
        <f>tbl_consolidacao[[#This Row],[Apto]]</f>
        <v>308-B1</v>
      </c>
      <c r="E45" s="2">
        <f>tbl_meddez_anterior[[#This Row],[Hidrometro]]</f>
        <v>1276</v>
      </c>
      <c r="F45" s="13"/>
      <c r="G45" s="16">
        <f>tbl_meddez_anterior[[#This Row],[Hidrometro]]</f>
        <v>1276</v>
      </c>
      <c r="H45" s="14"/>
      <c r="I45" s="2">
        <f>tbl_meddez[[#This Row],[Medição 
Água Fria]]/100+tbl_meddez[[#This Row],[Medição 
Água Quente]]/1000</f>
        <v>0</v>
      </c>
      <c r="J45" s="15" t="str">
        <f>IF(tbl_meddez[[#This Row],[Total]]&gt;0,tbl_meddez[[#This Row],[Total]]/VLOOKUP(tbl_meddez[[#This Row],[Apto]],tbl_medfev[[Apto]:[Total]],6,FALSE)-1,"")</f>
        <v/>
      </c>
      <c r="K45" s="15" t="str">
        <f>IF(tbl_meddez[[#This Row],[Utilização (%)]]&lt;&gt;"",ALERTA_INDIVIDUAL-tbl_meddez[[#This Row],[Utilização (%)]],"")</f>
        <v/>
      </c>
    </row>
    <row r="46" spans="1:11" x14ac:dyDescent="0.25">
      <c r="A46" s="2">
        <f>tbl_consolidacao[[#This Row],[Torre]]</f>
        <v>2</v>
      </c>
      <c r="B46" s="2" t="str">
        <f>tbl_consolidacao[[#This Row],[Junta]]</f>
        <v>B</v>
      </c>
      <c r="C46" s="2">
        <f>tbl_consolidacao[[#This Row],[Unid]]</f>
        <v>308</v>
      </c>
      <c r="D46" s="2" t="str">
        <f>tbl_consolidacao[[#This Row],[Apto]]</f>
        <v>308-B2</v>
      </c>
      <c r="E46" s="2">
        <f>tbl_meddez_anterior[[#This Row],[Hidrometro]]</f>
        <v>1277</v>
      </c>
      <c r="F46" s="13"/>
      <c r="G46" s="16">
        <f>tbl_meddez_anterior[[#This Row],[Hidrometro]]</f>
        <v>1277</v>
      </c>
      <c r="H46" s="14"/>
      <c r="I46" s="2">
        <f>tbl_meddez[[#This Row],[Medição 
Água Fria]]/100+tbl_meddez[[#This Row],[Medição 
Água Quente]]/1000</f>
        <v>0</v>
      </c>
      <c r="J46" s="15" t="str">
        <f>IF(tbl_meddez[[#This Row],[Total]]&gt;0,tbl_meddez[[#This Row],[Total]]/VLOOKUP(tbl_meddez[[#This Row],[Apto]],tbl_medfev[[Apto]:[Total]],6,FALSE)-1,"")</f>
        <v/>
      </c>
      <c r="K46" s="15" t="str">
        <f>IF(tbl_meddez[[#This Row],[Utilização (%)]]&lt;&gt;"",ALERTA_INDIVIDUAL-tbl_meddez[[#This Row],[Utilização (%)]],"")</f>
        <v/>
      </c>
    </row>
  </sheetData>
  <sheetProtection algorithmName="SHA-512" hashValue="fi++TEmm+kPsI0RW35T6QSM4kEdoU4s7IKpGSC9MD7rxyzH2TSnNJs9ZYuE1Zqz1w4DCFaFqoA6r8aFxFQRZWA==" saltValue="l0PhfFZPZoWCLo9yYRHtxA==" spinCount="100000" sheet="1" objects="1" scenarios="1" selectLockedCells="1"/>
  <mergeCells count="3">
    <mergeCell ref="E1:F1"/>
    <mergeCell ref="G1:H1"/>
    <mergeCell ref="I1:J1"/>
  </mergeCells>
  <conditionalFormatting sqref="K3:K46">
    <cfRule type="iconSet" priority="1">
      <iconSet iconSet="3Flags" showValue="0">
        <cfvo type="percent" val="0"/>
        <cfvo type="percent" val="5"/>
        <cfvo type="percent" val="1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theme="8" tint="-0.249977111117893"/>
  </sheetPr>
  <dimension ref="A1:O11"/>
  <sheetViews>
    <sheetView showGridLines="0" workbookViewId="0">
      <selection activeCell="L3" sqref="L3"/>
    </sheetView>
  </sheetViews>
  <sheetFormatPr defaultRowHeight="15" x14ac:dyDescent="0.25"/>
  <cols>
    <col min="1" max="1" width="2.7109375" style="7" customWidth="1"/>
    <col min="2" max="2" width="20.85546875" style="7" bestFit="1" customWidth="1"/>
    <col min="3" max="3" width="6.85546875" style="7" customWidth="1"/>
    <col min="4" max="4" width="9.5703125" style="7" bestFit="1" customWidth="1"/>
    <col min="5" max="5" width="12.42578125" style="7" bestFit="1" customWidth="1"/>
    <col min="6" max="6" width="9.140625" style="7"/>
    <col min="7" max="7" width="8.7109375" customWidth="1"/>
    <col min="8" max="10" width="10.7109375" customWidth="1"/>
    <col min="11" max="11" width="12.7109375" customWidth="1"/>
    <col min="15" max="15" width="10.5703125" bestFit="1" customWidth="1"/>
  </cols>
  <sheetData>
    <row r="1" spans="2:15" ht="23.25" x14ac:dyDescent="0.35">
      <c r="G1" s="1" t="s">
        <v>18</v>
      </c>
    </row>
    <row r="2" spans="2:15" ht="23.25" x14ac:dyDescent="0.35">
      <c r="B2" s="8" t="s">
        <v>17</v>
      </c>
      <c r="G2" s="3" t="s">
        <v>58</v>
      </c>
      <c r="H2" s="3" t="s">
        <v>22</v>
      </c>
      <c r="I2" s="3" t="s">
        <v>23</v>
      </c>
      <c r="J2" s="3" t="s">
        <v>21</v>
      </c>
      <c r="K2" s="3" t="s">
        <v>20</v>
      </c>
    </row>
    <row r="3" spans="2:15" x14ac:dyDescent="0.25">
      <c r="B3" s="9" t="s">
        <v>0</v>
      </c>
      <c r="C3" s="9"/>
      <c r="D3" s="9"/>
      <c r="E3" s="9"/>
      <c r="G3" s="2">
        <v>1</v>
      </c>
      <c r="H3" s="4">
        <v>0</v>
      </c>
      <c r="I3" s="4">
        <f>IF(tbl_caesb[[#This Row],[Volume]]&lt;&gt;"",tbl_caesb[[#This Row],[Mínimo]]+tbl_caesb[[#This Row],[Volume]],"")</f>
        <v>10</v>
      </c>
      <c r="J3" s="5">
        <v>10</v>
      </c>
      <c r="K3" s="6">
        <v>2.65</v>
      </c>
    </row>
    <row r="4" spans="2:15" x14ac:dyDescent="0.25">
      <c r="B4" s="9" t="s">
        <v>1</v>
      </c>
      <c r="C4" s="9"/>
      <c r="D4" s="9" t="s">
        <v>2</v>
      </c>
      <c r="E4" s="9" t="s">
        <v>3</v>
      </c>
      <c r="G4" s="2">
        <v>2</v>
      </c>
      <c r="H4" s="4">
        <f>I3+1</f>
        <v>11</v>
      </c>
      <c r="I4" s="4">
        <f>IF(tbl_caesb[[#This Row],[Volume]]&lt;&gt;"",I3+tbl_caesb[[#This Row],[Volume]],"")</f>
        <v>15</v>
      </c>
      <c r="J4" s="5">
        <v>5</v>
      </c>
      <c r="K4" s="6">
        <v>4.92</v>
      </c>
    </row>
    <row r="5" spans="2:15" x14ac:dyDescent="0.25">
      <c r="B5" s="9"/>
      <c r="C5" s="9"/>
      <c r="D5" s="9"/>
      <c r="E5" s="9" t="s">
        <v>4</v>
      </c>
      <c r="G5" s="2">
        <v>3</v>
      </c>
      <c r="H5" s="4">
        <f>I4+1</f>
        <v>16</v>
      </c>
      <c r="I5" s="4">
        <f>IF(tbl_caesb[[#This Row],[Volume]]&lt;&gt;"",I4+tbl_caesb[[#This Row],[Volume]],"")</f>
        <v>25</v>
      </c>
      <c r="J5" s="5">
        <v>10</v>
      </c>
      <c r="K5" s="6">
        <v>6.28</v>
      </c>
      <c r="O5" s="56"/>
    </row>
    <row r="6" spans="2:15" x14ac:dyDescent="0.25">
      <c r="B6" s="9" t="s">
        <v>5</v>
      </c>
      <c r="C6" s="9" t="s">
        <v>6</v>
      </c>
      <c r="D6" s="9">
        <v>10</v>
      </c>
      <c r="E6" s="9">
        <v>2.65</v>
      </c>
      <c r="G6" s="2">
        <v>4</v>
      </c>
      <c r="H6" s="4">
        <f>I5+1</f>
        <v>26</v>
      </c>
      <c r="I6" s="4">
        <f>IF(tbl_caesb[[#This Row],[Volume]]&lt;&gt;"",I5+tbl_caesb[[#This Row],[Volume]],"")</f>
        <v>35</v>
      </c>
      <c r="J6" s="5">
        <v>10</v>
      </c>
      <c r="K6" s="6">
        <v>10.15</v>
      </c>
      <c r="O6" s="56"/>
    </row>
    <row r="7" spans="2:15" x14ac:dyDescent="0.25">
      <c r="B7" s="9" t="s">
        <v>7</v>
      </c>
      <c r="C7" s="9" t="s">
        <v>8</v>
      </c>
      <c r="D7" s="9">
        <v>5</v>
      </c>
      <c r="E7" s="9">
        <v>4.92</v>
      </c>
      <c r="G7" s="2">
        <v>5</v>
      </c>
      <c r="H7" s="4">
        <f>I6+1</f>
        <v>36</v>
      </c>
      <c r="I7" s="4">
        <f>IF(tbl_caesb[[#This Row],[Volume]]&lt;&gt;"",I6+tbl_caesb[[#This Row],[Volume]],"")</f>
        <v>50</v>
      </c>
      <c r="J7" s="5">
        <v>15</v>
      </c>
      <c r="K7" s="6">
        <v>11.2</v>
      </c>
      <c r="O7" s="56"/>
    </row>
    <row r="8" spans="2:15" x14ac:dyDescent="0.25">
      <c r="B8" s="9" t="s">
        <v>9</v>
      </c>
      <c r="C8" s="9" t="s">
        <v>10</v>
      </c>
      <c r="D8" s="9">
        <v>10</v>
      </c>
      <c r="E8" s="9">
        <v>6.28</v>
      </c>
      <c r="G8" s="2">
        <v>6</v>
      </c>
      <c r="H8" s="4">
        <f>I7+1</f>
        <v>51</v>
      </c>
      <c r="I8" s="4" t="str">
        <f>IF(tbl_caesb[[#This Row],[Volume]]&lt;&gt;"",I7+tbl_caesb[[#This Row],[Volume]],"")</f>
        <v/>
      </c>
      <c r="J8" s="5"/>
      <c r="K8" s="6">
        <v>12.27</v>
      </c>
      <c r="O8" s="56"/>
    </row>
    <row r="9" spans="2:15" x14ac:dyDescent="0.25">
      <c r="B9" s="9" t="s">
        <v>11</v>
      </c>
      <c r="C9" s="9" t="s">
        <v>12</v>
      </c>
      <c r="D9" s="9">
        <v>10</v>
      </c>
      <c r="E9" s="9">
        <v>10.15</v>
      </c>
      <c r="O9" s="56"/>
    </row>
    <row r="10" spans="2:15" x14ac:dyDescent="0.25">
      <c r="B10" s="9" t="s">
        <v>13</v>
      </c>
      <c r="C10" s="9" t="s">
        <v>14</v>
      </c>
      <c r="D10" s="9">
        <v>15</v>
      </c>
      <c r="E10" s="9">
        <v>11.2</v>
      </c>
      <c r="O10" s="56"/>
    </row>
    <row r="11" spans="2:15" x14ac:dyDescent="0.25">
      <c r="B11" s="9" t="s">
        <v>15</v>
      </c>
      <c r="C11" s="9" t="s">
        <v>16</v>
      </c>
      <c r="D11" s="9"/>
      <c r="E11" s="9">
        <v>12.27</v>
      </c>
    </row>
  </sheetData>
  <sheetProtection algorithmName="SHA-512" hashValue="UExZ1iY16/GEIdRCFM59TEW1/GFURjNAB18c0+CuvAW04Y2ccpAncOdWLkDqW52Y1cd3cNAxeN+coFE2mpkLNw==" saltValue="RJ1Ciz2Z9DG8YN4p4RA11g==" spinCount="100000" sheet="1" objects="1" scenarios="1" selectLockedCells="1" selectUnlockedCells="1"/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theme="8" tint="-0.249977111117893"/>
  </sheetPr>
  <dimension ref="A1:E14"/>
  <sheetViews>
    <sheetView showGridLines="0" workbookViewId="0">
      <selection activeCell="B5" sqref="B5"/>
    </sheetView>
  </sheetViews>
  <sheetFormatPr defaultRowHeight="15" x14ac:dyDescent="0.25"/>
  <cols>
    <col min="1" max="2" width="12.7109375" customWidth="1"/>
    <col min="3" max="3" width="15.7109375" customWidth="1"/>
    <col min="4" max="4" width="9.5703125" bestFit="1" customWidth="1"/>
  </cols>
  <sheetData>
    <row r="1" spans="1:5" ht="23.25" x14ac:dyDescent="0.35">
      <c r="A1" s="51" t="s">
        <v>52</v>
      </c>
      <c r="B1" s="51"/>
      <c r="C1" s="51"/>
    </row>
    <row r="2" spans="1:5" ht="30" customHeight="1" x14ac:dyDescent="0.25">
      <c r="A2" s="3" t="s">
        <v>51</v>
      </c>
      <c r="B2" s="3" t="s">
        <v>57</v>
      </c>
      <c r="C2" s="3" t="s">
        <v>20</v>
      </c>
      <c r="D2" s="3" t="s">
        <v>56</v>
      </c>
      <c r="E2" t="s">
        <v>105</v>
      </c>
    </row>
    <row r="3" spans="1:5" x14ac:dyDescent="0.25">
      <c r="A3" s="18">
        <v>42370</v>
      </c>
      <c r="B3" s="50">
        <v>1553</v>
      </c>
      <c r="C3" s="6">
        <v>15600</v>
      </c>
      <c r="D3" s="23">
        <f>IF(AND(tbl_contacaesb[[#This Row],[Valor]]&gt;0,tbl_contacaesb[[#This Row],[Medição (mês ant.)]]&gt;0),tbl_contacaesb[[#This Row],[Valor]]/tbl_contacaesb[[#This Row],[Medição (mês ant.)]],"")</f>
        <v>10.04507405022537</v>
      </c>
      <c r="E3" s="22" t="str">
        <f>IF(tbl_contacaesb[[#This Row],[Medição (mês ant.)]]&lt;&gt;0,IF(OR(ROUND(tbl_contacaesb[[#This Row],[Medição (mês ant.)]]-INDEX('Leitura de Hidrômetro'!$F$1:$Q$2,1,MATCH(TEXT(tbl_contacaesb[[#This Row],[Mês Referencia]],"mmmm"),tbl_consolidacao[[#Headers],[Janeiro]:[Dezembro]],0)),0)&gt;ALERTA_GERAL,ROUND(tbl_contacaesb[[#This Row],[Medição (mês ant.)]]-INDEX('Leitura de Hidrômetro'!$F$1:$Q$2,1,MATCH(TEXT(tbl_contacaesb[[#This Row],[Mês Referencia]],"mmmm"),tbl_consolidacao[[#Headers],[Janeiro]:[Dezembro]],0)),0)&lt;ALERTA_GERAL*-1),IF(ROUND(INDEX('Leitura de Hidrômetro'!$F$1:$Q$2,1,MATCH(TEXT(tbl_contacaesb[[#This Row],[Mês Referencia]],"mmmm"),tbl_consolidacao[[#Headers],[Janeiro]:[Dezembro]],0)),0)&lt;&gt;tbl_contacaesb[[#This Row],[Medição (mês ant.)]],"Valor diferente do aferido em " &amp; ROUND(tbl_contacaesb[[#This Row],[Medição (mês ant.)]]-INDEX('Leitura de Hidrômetro'!$F$1:$Q$2,1,MATCH(TEXT(tbl_contacaesb[[#This Row],[Mês Referencia]],"mmmm"),tbl_consolidacao[[#Headers],[Janeiro]:[Dezembro]],0)),0) &amp; " m³.",""),""),"")</f>
        <v/>
      </c>
    </row>
    <row r="4" spans="1:5" x14ac:dyDescent="0.25">
      <c r="A4" s="18">
        <v>42401</v>
      </c>
      <c r="B4" s="50">
        <v>483</v>
      </c>
      <c r="C4" s="6">
        <v>2720</v>
      </c>
      <c r="D4" s="23">
        <f>IF(AND(tbl_contacaesb[[#This Row],[Valor]]&gt;0,tbl_contacaesb[[#This Row],[Medição (mês ant.)]]&gt;0),tbl_contacaesb[[#This Row],[Valor]]/tbl_contacaesb[[#This Row],[Medição (mês ant.)]],"")</f>
        <v>5.6314699792960665</v>
      </c>
      <c r="E4" s="22" t="str">
        <f>IF(tbl_contacaesb[[#This Row],[Medição (mês ant.)]]&lt;&gt;0,IF(OR(ROUND(tbl_contacaesb[[#This Row],[Medição (mês ant.)]]-INDEX('Leitura de Hidrômetro'!$F$1:$Q$2,1,MATCH(TEXT(tbl_contacaesb[[#This Row],[Mês Referencia]],"mmmm"),tbl_consolidacao[[#Headers],[Janeiro]:[Dezembro]],0)),0)&gt;ALERTA_GERAL,ROUND(tbl_contacaesb[[#This Row],[Medição (mês ant.)]]-INDEX('Leitura de Hidrômetro'!$F$1:$Q$2,1,MATCH(TEXT(tbl_contacaesb[[#This Row],[Mês Referencia]],"mmmm"),tbl_consolidacao[[#Headers],[Janeiro]:[Dezembro]],0)),0)&lt;ALERTA_GERAL*-1),IF(ROUND(INDEX('Leitura de Hidrômetro'!$F$1:$Q$2,1,MATCH(TEXT(tbl_contacaesb[[#This Row],[Mês Referencia]],"mmmm"),tbl_consolidacao[[#Headers],[Janeiro]:[Dezembro]],0)),0)&lt;&gt;tbl_contacaesb[[#This Row],[Medição (mês ant.)]],"Valor diferente do aferido em " &amp; ROUND(tbl_contacaesb[[#This Row],[Medição (mês ant.)]]-INDEX('Leitura de Hidrômetro'!$F$1:$Q$2,1,MATCH(TEXT(tbl_contacaesb[[#This Row],[Mês Referencia]],"mmmm"),tbl_consolidacao[[#Headers],[Janeiro]:[Dezembro]],0)),0) &amp; " m³.",""),""),"")</f>
        <v>Valor diferente do aferido em -14 m³.</v>
      </c>
    </row>
    <row r="5" spans="1:5" x14ac:dyDescent="0.25">
      <c r="A5" s="18">
        <v>42430</v>
      </c>
      <c r="B5" s="50">
        <v>307</v>
      </c>
      <c r="C5" s="6">
        <v>1620</v>
      </c>
      <c r="D5" s="23">
        <f>IF(AND(tbl_contacaesb[[#This Row],[Valor]]&gt;0,tbl_contacaesb[[#This Row],[Medição (mês ant.)]]&gt;0),tbl_contacaesb[[#This Row],[Valor]]/tbl_contacaesb[[#This Row],[Medição (mês ant.)]],"")</f>
        <v>5.2768729641693808</v>
      </c>
      <c r="E5" s="22" t="str">
        <f>IF(tbl_contacaesb[[#This Row],[Medição (mês ant.)]]&lt;&gt;0,IF(OR(ROUND(tbl_contacaesb[[#This Row],[Medição (mês ant.)]]-INDEX('Leitura de Hidrômetro'!$F$1:$Q$2,1,MATCH(TEXT(tbl_contacaesb[[#This Row],[Mês Referencia]],"mmmm"),tbl_consolidacao[[#Headers],[Janeiro]:[Dezembro]],0)),0)&gt;ALERTA_GERAL,ROUND(tbl_contacaesb[[#This Row],[Medição (mês ant.)]]-INDEX('Leitura de Hidrômetro'!$F$1:$Q$2,1,MATCH(TEXT(tbl_contacaesb[[#This Row],[Mês Referencia]],"mmmm"),tbl_consolidacao[[#Headers],[Janeiro]:[Dezembro]],0)),0)&lt;ALERTA_GERAL*-1),IF(ROUND(INDEX('Leitura de Hidrômetro'!$F$1:$Q$2,1,MATCH(TEXT(tbl_contacaesb[[#This Row],[Mês Referencia]],"mmmm"),tbl_consolidacao[[#Headers],[Janeiro]:[Dezembro]],0)),0)&lt;&gt;tbl_contacaesb[[#This Row],[Medição (mês ant.)]],"Valor diferente do aferido em " &amp; ROUND(tbl_contacaesb[[#This Row],[Medição (mês ant.)]]-INDEX('Leitura de Hidrômetro'!$F$1:$Q$2,1,MATCH(TEXT(tbl_contacaesb[[#This Row],[Mês Referencia]],"mmmm"),tbl_consolidacao[[#Headers],[Janeiro]:[Dezembro]],0)),0) &amp; " m³.",""),""),"")</f>
        <v/>
      </c>
    </row>
    <row r="6" spans="1:5" x14ac:dyDescent="0.25">
      <c r="A6" s="18">
        <v>42461</v>
      </c>
      <c r="B6" s="50"/>
      <c r="C6" s="6"/>
      <c r="D6" s="23" t="str">
        <f>IF(AND(tbl_contacaesb[[#This Row],[Valor]]&gt;0,tbl_contacaesb[[#This Row],[Medição (mês ant.)]]&gt;0),tbl_contacaesb[[#This Row],[Valor]]/tbl_contacaesb[[#This Row],[Medição (mês ant.)]],"")</f>
        <v/>
      </c>
      <c r="E6" s="22" t="str">
        <f>IF(tbl_contacaesb[[#This Row],[Medição (mês ant.)]]&lt;&gt;0,IF(OR(ROUND(tbl_contacaesb[[#This Row],[Medição (mês ant.)]]-INDEX('Leitura de Hidrômetro'!$F$1:$Q$2,1,MATCH(TEXT(tbl_contacaesb[[#This Row],[Mês Referencia]],"mmmm"),tbl_consolidacao[[#Headers],[Janeiro]:[Dezembro]],0)),0)&gt;ALERTA_GERAL,ROUND(tbl_contacaesb[[#This Row],[Medição (mês ant.)]]-INDEX('Leitura de Hidrômetro'!$F$1:$Q$2,1,MATCH(TEXT(tbl_contacaesb[[#This Row],[Mês Referencia]],"mmmm"),tbl_consolidacao[[#Headers],[Janeiro]:[Dezembro]],0)),0)&lt;ALERTA_GERAL*-1),IF(ROUND(INDEX('Leitura de Hidrômetro'!$F$1:$Q$2,1,MATCH(TEXT(tbl_contacaesb[[#This Row],[Mês Referencia]],"mmmm"),tbl_consolidacao[[#Headers],[Janeiro]:[Dezembro]],0)),0)&lt;&gt;tbl_contacaesb[[#This Row],[Medição (mês ant.)]],"Valor diferente do aferido em " &amp; ROUND(tbl_contacaesb[[#This Row],[Medição (mês ant.)]]-INDEX('Leitura de Hidrômetro'!$F$1:$Q$2,1,MATCH(TEXT(tbl_contacaesb[[#This Row],[Mês Referencia]],"mmmm"),tbl_consolidacao[[#Headers],[Janeiro]:[Dezembro]],0)),0) &amp; " m³.",""),""),"")</f>
        <v/>
      </c>
    </row>
    <row r="7" spans="1:5" x14ac:dyDescent="0.25">
      <c r="A7" s="18">
        <v>42491</v>
      </c>
      <c r="B7" s="50"/>
      <c r="C7" s="6"/>
      <c r="D7" s="23" t="str">
        <f>IF(AND(tbl_contacaesb[[#This Row],[Valor]]&gt;0,tbl_contacaesb[[#This Row],[Medição (mês ant.)]]&gt;0),tbl_contacaesb[[#This Row],[Valor]]/tbl_contacaesb[[#This Row],[Medição (mês ant.)]],"")</f>
        <v/>
      </c>
      <c r="E7" s="22" t="str">
        <f>IF(tbl_contacaesb[[#This Row],[Medição (mês ant.)]]&lt;&gt;0,IF(OR(ROUND(tbl_contacaesb[[#This Row],[Medição (mês ant.)]]-INDEX('Leitura de Hidrômetro'!$F$1:$Q$2,1,MATCH(TEXT(tbl_contacaesb[[#This Row],[Mês Referencia]],"mmmm"),tbl_consolidacao[[#Headers],[Janeiro]:[Dezembro]],0)),0)&gt;ALERTA_GERAL,ROUND(tbl_contacaesb[[#This Row],[Medição (mês ant.)]]-INDEX('Leitura de Hidrômetro'!$F$1:$Q$2,1,MATCH(TEXT(tbl_contacaesb[[#This Row],[Mês Referencia]],"mmmm"),tbl_consolidacao[[#Headers],[Janeiro]:[Dezembro]],0)),0)&lt;ALERTA_GERAL*-1),IF(ROUND(INDEX('Leitura de Hidrômetro'!$F$1:$Q$2,1,MATCH(TEXT(tbl_contacaesb[[#This Row],[Mês Referencia]],"mmmm"),tbl_consolidacao[[#Headers],[Janeiro]:[Dezembro]],0)),0)&lt;&gt;tbl_contacaesb[[#This Row],[Medição (mês ant.)]],"Valor diferente do aferido em " &amp; ROUND(tbl_contacaesb[[#This Row],[Medição (mês ant.)]]-INDEX('Leitura de Hidrômetro'!$F$1:$Q$2,1,MATCH(TEXT(tbl_contacaesb[[#This Row],[Mês Referencia]],"mmmm"),tbl_consolidacao[[#Headers],[Janeiro]:[Dezembro]],0)),0) &amp; " m³.",""),""),"")</f>
        <v/>
      </c>
    </row>
    <row r="8" spans="1:5" x14ac:dyDescent="0.25">
      <c r="A8" s="18">
        <v>42522</v>
      </c>
      <c r="B8" s="50"/>
      <c r="C8" s="6"/>
      <c r="D8" s="23" t="str">
        <f>IF(AND(tbl_contacaesb[[#This Row],[Valor]]&gt;0,tbl_contacaesb[[#This Row],[Medição (mês ant.)]]&gt;0),tbl_contacaesb[[#This Row],[Valor]]/tbl_contacaesb[[#This Row],[Medição (mês ant.)]],"")</f>
        <v/>
      </c>
      <c r="E8" s="22" t="str">
        <f>IF(tbl_contacaesb[[#This Row],[Medição (mês ant.)]]&lt;&gt;0,IF(OR(ROUND(tbl_contacaesb[[#This Row],[Medição (mês ant.)]]-INDEX('Leitura de Hidrômetro'!$F$1:$Q$2,1,MATCH(TEXT(tbl_contacaesb[[#This Row],[Mês Referencia]],"mmmm"),tbl_consolidacao[[#Headers],[Janeiro]:[Dezembro]],0)),0)&gt;ALERTA_GERAL,ROUND(tbl_contacaesb[[#This Row],[Medição (mês ant.)]]-INDEX('Leitura de Hidrômetro'!$F$1:$Q$2,1,MATCH(TEXT(tbl_contacaesb[[#This Row],[Mês Referencia]],"mmmm"),tbl_consolidacao[[#Headers],[Janeiro]:[Dezembro]],0)),0)&lt;ALERTA_GERAL*-1),IF(ROUND(INDEX('Leitura de Hidrômetro'!$F$1:$Q$2,1,MATCH(TEXT(tbl_contacaesb[[#This Row],[Mês Referencia]],"mmmm"),tbl_consolidacao[[#Headers],[Janeiro]:[Dezembro]],0)),0)&lt;&gt;tbl_contacaesb[[#This Row],[Medição (mês ant.)]],"Valor diferente do aferido em " &amp; ROUND(tbl_contacaesb[[#This Row],[Medição (mês ant.)]]-INDEX('Leitura de Hidrômetro'!$F$1:$Q$2,1,MATCH(TEXT(tbl_contacaesb[[#This Row],[Mês Referencia]],"mmmm"),tbl_consolidacao[[#Headers],[Janeiro]:[Dezembro]],0)),0) &amp; " m³.",""),""),"")</f>
        <v/>
      </c>
    </row>
    <row r="9" spans="1:5" x14ac:dyDescent="0.25">
      <c r="A9" s="18">
        <v>42552</v>
      </c>
      <c r="B9" s="50"/>
      <c r="C9" s="6"/>
      <c r="D9" s="23" t="str">
        <f>IF(AND(tbl_contacaesb[[#This Row],[Valor]]&gt;0,tbl_contacaesb[[#This Row],[Medição (mês ant.)]]&gt;0),tbl_contacaesb[[#This Row],[Valor]]/tbl_contacaesb[[#This Row],[Medição (mês ant.)]],"")</f>
        <v/>
      </c>
      <c r="E9" s="22" t="str">
        <f>IF(tbl_contacaesb[[#This Row],[Medição (mês ant.)]]&lt;&gt;0,IF(OR(ROUND(tbl_contacaesb[[#This Row],[Medição (mês ant.)]]-INDEX('Leitura de Hidrômetro'!$F$1:$Q$2,1,MATCH(TEXT(tbl_contacaesb[[#This Row],[Mês Referencia]],"mmmm"),tbl_consolidacao[[#Headers],[Janeiro]:[Dezembro]],0)),0)&gt;ALERTA_GERAL,ROUND(tbl_contacaesb[[#This Row],[Medição (mês ant.)]]-INDEX('Leitura de Hidrômetro'!$F$1:$Q$2,1,MATCH(TEXT(tbl_contacaesb[[#This Row],[Mês Referencia]],"mmmm"),tbl_consolidacao[[#Headers],[Janeiro]:[Dezembro]],0)),0)&lt;ALERTA_GERAL*-1),IF(ROUND(INDEX('Leitura de Hidrômetro'!$F$1:$Q$2,1,MATCH(TEXT(tbl_contacaesb[[#This Row],[Mês Referencia]],"mmmm"),tbl_consolidacao[[#Headers],[Janeiro]:[Dezembro]],0)),0)&lt;&gt;tbl_contacaesb[[#This Row],[Medição (mês ant.)]],"Valor diferente do aferido em " &amp; ROUND(tbl_contacaesb[[#This Row],[Medição (mês ant.)]]-INDEX('Leitura de Hidrômetro'!$F$1:$Q$2,1,MATCH(TEXT(tbl_contacaesb[[#This Row],[Mês Referencia]],"mmmm"),tbl_consolidacao[[#Headers],[Janeiro]:[Dezembro]],0)),0) &amp; " m³.",""),""),"")</f>
        <v/>
      </c>
    </row>
    <row r="10" spans="1:5" x14ac:dyDescent="0.25">
      <c r="A10" s="18">
        <v>42583</v>
      </c>
      <c r="B10" s="50"/>
      <c r="C10" s="6"/>
      <c r="D10" s="23" t="str">
        <f>IF(AND(tbl_contacaesb[[#This Row],[Valor]]&gt;0,tbl_contacaesb[[#This Row],[Medição (mês ant.)]]&gt;0),tbl_contacaesb[[#This Row],[Valor]]/tbl_contacaesb[[#This Row],[Medição (mês ant.)]],"")</f>
        <v/>
      </c>
      <c r="E10" s="22" t="str">
        <f>IF(tbl_contacaesb[[#This Row],[Medição (mês ant.)]]&lt;&gt;0,IF(OR(ROUND(tbl_contacaesb[[#This Row],[Medição (mês ant.)]]-INDEX('Leitura de Hidrômetro'!$F$1:$Q$2,1,MATCH(TEXT(tbl_contacaesb[[#This Row],[Mês Referencia]],"mmmm"),tbl_consolidacao[[#Headers],[Janeiro]:[Dezembro]],0)),0)&gt;ALERTA_GERAL,ROUND(tbl_contacaesb[[#This Row],[Medição (mês ant.)]]-INDEX('Leitura de Hidrômetro'!$F$1:$Q$2,1,MATCH(TEXT(tbl_contacaesb[[#This Row],[Mês Referencia]],"mmmm"),tbl_consolidacao[[#Headers],[Janeiro]:[Dezembro]],0)),0)&lt;ALERTA_GERAL*-1),IF(ROUND(INDEX('Leitura de Hidrômetro'!$F$1:$Q$2,1,MATCH(TEXT(tbl_contacaesb[[#This Row],[Mês Referencia]],"mmmm"),tbl_consolidacao[[#Headers],[Janeiro]:[Dezembro]],0)),0)&lt;&gt;tbl_contacaesb[[#This Row],[Medição (mês ant.)]],"Valor diferente do aferido em " &amp; ROUND(tbl_contacaesb[[#This Row],[Medição (mês ant.)]]-INDEX('Leitura de Hidrômetro'!$F$1:$Q$2,1,MATCH(TEXT(tbl_contacaesb[[#This Row],[Mês Referencia]],"mmmm"),tbl_consolidacao[[#Headers],[Janeiro]:[Dezembro]],0)),0) &amp; " m³.",""),""),"")</f>
        <v/>
      </c>
    </row>
    <row r="11" spans="1:5" x14ac:dyDescent="0.25">
      <c r="A11" s="18">
        <v>42614</v>
      </c>
      <c r="B11" s="50"/>
      <c r="C11" s="6"/>
      <c r="D11" s="23" t="str">
        <f>IF(AND(tbl_contacaesb[[#This Row],[Valor]]&gt;0,tbl_contacaesb[[#This Row],[Medição (mês ant.)]]&gt;0),tbl_contacaesb[[#This Row],[Valor]]/tbl_contacaesb[[#This Row],[Medição (mês ant.)]],"")</f>
        <v/>
      </c>
      <c r="E11" s="22" t="str">
        <f>IF(tbl_contacaesb[[#This Row],[Medição (mês ant.)]]&lt;&gt;0,IF(OR(ROUND(tbl_contacaesb[[#This Row],[Medição (mês ant.)]]-INDEX('Leitura de Hidrômetro'!$F$1:$Q$2,1,MATCH(TEXT(tbl_contacaesb[[#This Row],[Mês Referencia]],"mmmm"),tbl_consolidacao[[#Headers],[Janeiro]:[Dezembro]],0)),0)&gt;ALERTA_GERAL,ROUND(tbl_contacaesb[[#This Row],[Medição (mês ant.)]]-INDEX('Leitura de Hidrômetro'!$F$1:$Q$2,1,MATCH(TEXT(tbl_contacaesb[[#This Row],[Mês Referencia]],"mmmm"),tbl_consolidacao[[#Headers],[Janeiro]:[Dezembro]],0)),0)&lt;ALERTA_GERAL*-1),IF(ROUND(INDEX('Leitura de Hidrômetro'!$F$1:$Q$2,1,MATCH(TEXT(tbl_contacaesb[[#This Row],[Mês Referencia]],"mmmm"),tbl_consolidacao[[#Headers],[Janeiro]:[Dezembro]],0)),0)&lt;&gt;tbl_contacaesb[[#This Row],[Medição (mês ant.)]],"Valor diferente do aferido em " &amp; ROUND(tbl_contacaesb[[#This Row],[Medição (mês ant.)]]-INDEX('Leitura de Hidrômetro'!$F$1:$Q$2,1,MATCH(TEXT(tbl_contacaesb[[#This Row],[Mês Referencia]],"mmmm"),tbl_consolidacao[[#Headers],[Janeiro]:[Dezembro]],0)),0) &amp; " m³.",""),""),"")</f>
        <v/>
      </c>
    </row>
    <row r="12" spans="1:5" x14ac:dyDescent="0.25">
      <c r="A12" s="18">
        <v>42644</v>
      </c>
      <c r="B12" s="50"/>
      <c r="C12" s="6"/>
      <c r="D12" s="23" t="str">
        <f>IF(AND(tbl_contacaesb[[#This Row],[Valor]]&gt;0,tbl_contacaesb[[#This Row],[Medição (mês ant.)]]&gt;0),tbl_contacaesb[[#This Row],[Valor]]/tbl_contacaesb[[#This Row],[Medição (mês ant.)]],"")</f>
        <v/>
      </c>
      <c r="E12" s="22" t="str">
        <f>IF(tbl_contacaesb[[#This Row],[Medição (mês ant.)]]&lt;&gt;0,IF(OR(ROUND(tbl_contacaesb[[#This Row],[Medição (mês ant.)]]-INDEX('Leitura de Hidrômetro'!$F$1:$Q$2,1,MATCH(TEXT(tbl_contacaesb[[#This Row],[Mês Referencia]],"mmmm"),tbl_consolidacao[[#Headers],[Janeiro]:[Dezembro]],0)),0)&gt;ALERTA_GERAL,ROUND(tbl_contacaesb[[#This Row],[Medição (mês ant.)]]-INDEX('Leitura de Hidrômetro'!$F$1:$Q$2,1,MATCH(TEXT(tbl_contacaesb[[#This Row],[Mês Referencia]],"mmmm"),tbl_consolidacao[[#Headers],[Janeiro]:[Dezembro]],0)),0)&lt;ALERTA_GERAL*-1),IF(ROUND(INDEX('Leitura de Hidrômetro'!$F$1:$Q$2,1,MATCH(TEXT(tbl_contacaesb[[#This Row],[Mês Referencia]],"mmmm"),tbl_consolidacao[[#Headers],[Janeiro]:[Dezembro]],0)),0)&lt;&gt;tbl_contacaesb[[#This Row],[Medição (mês ant.)]],"Valor diferente do aferido em " &amp; ROUND(tbl_contacaesb[[#This Row],[Medição (mês ant.)]]-INDEX('Leitura de Hidrômetro'!$F$1:$Q$2,1,MATCH(TEXT(tbl_contacaesb[[#This Row],[Mês Referencia]],"mmmm"),tbl_consolidacao[[#Headers],[Janeiro]:[Dezembro]],0)),0) &amp; " m³.",""),""),"")</f>
        <v/>
      </c>
    </row>
    <row r="13" spans="1:5" x14ac:dyDescent="0.25">
      <c r="A13" s="18">
        <v>42675</v>
      </c>
      <c r="B13" s="50"/>
      <c r="C13" s="6"/>
      <c r="D13" s="23" t="str">
        <f>IF(AND(tbl_contacaesb[[#This Row],[Valor]]&gt;0,tbl_contacaesb[[#This Row],[Medição (mês ant.)]]&gt;0),tbl_contacaesb[[#This Row],[Valor]]/tbl_contacaesb[[#This Row],[Medição (mês ant.)]],"")</f>
        <v/>
      </c>
      <c r="E13" s="22" t="str">
        <f>IF(tbl_contacaesb[[#This Row],[Medição (mês ant.)]]&lt;&gt;0,IF(OR(ROUND(tbl_contacaesb[[#This Row],[Medição (mês ant.)]]-INDEX('Leitura de Hidrômetro'!$F$1:$Q$2,1,MATCH(TEXT(tbl_contacaesb[[#This Row],[Mês Referencia]],"mmmm"),tbl_consolidacao[[#Headers],[Janeiro]:[Dezembro]],0)),0)&gt;ALERTA_GERAL,ROUND(tbl_contacaesb[[#This Row],[Medição (mês ant.)]]-INDEX('Leitura de Hidrômetro'!$F$1:$Q$2,1,MATCH(TEXT(tbl_contacaesb[[#This Row],[Mês Referencia]],"mmmm"),tbl_consolidacao[[#Headers],[Janeiro]:[Dezembro]],0)),0)&lt;ALERTA_GERAL*-1),IF(ROUND(INDEX('Leitura de Hidrômetro'!$F$1:$Q$2,1,MATCH(TEXT(tbl_contacaesb[[#This Row],[Mês Referencia]],"mmmm"),tbl_consolidacao[[#Headers],[Janeiro]:[Dezembro]],0)),0)&lt;&gt;tbl_contacaesb[[#This Row],[Medição (mês ant.)]],"Valor diferente do aferido em " &amp; ROUND(tbl_contacaesb[[#This Row],[Medição (mês ant.)]]-INDEX('Leitura de Hidrômetro'!$F$1:$Q$2,1,MATCH(TEXT(tbl_contacaesb[[#This Row],[Mês Referencia]],"mmmm"),tbl_consolidacao[[#Headers],[Janeiro]:[Dezembro]],0)),0) &amp; " m³.",""),""),"")</f>
        <v/>
      </c>
    </row>
    <row r="14" spans="1:5" x14ac:dyDescent="0.25">
      <c r="A14" s="18">
        <v>42705</v>
      </c>
      <c r="B14" s="50"/>
      <c r="C14" s="6"/>
      <c r="D14" s="23" t="str">
        <f>IF(AND(tbl_contacaesb[[#This Row],[Valor]]&gt;0,tbl_contacaesb[[#This Row],[Medição (mês ant.)]]&gt;0),tbl_contacaesb[[#This Row],[Valor]]/tbl_contacaesb[[#This Row],[Medição (mês ant.)]],"")</f>
        <v/>
      </c>
      <c r="E14" s="22" t="str">
        <f>IF(tbl_contacaesb[[#This Row],[Medição (mês ant.)]]&lt;&gt;0,IF(OR(ROUND(tbl_contacaesb[[#This Row],[Medição (mês ant.)]]-INDEX('Leitura de Hidrômetro'!$F$1:$Q$2,1,MATCH(TEXT(tbl_contacaesb[[#This Row],[Mês Referencia]],"mmmm"),tbl_consolidacao[[#Headers],[Janeiro]:[Dezembro]],0)),0)&gt;ALERTA_GERAL,ROUND(tbl_contacaesb[[#This Row],[Medição (mês ant.)]]-INDEX('Leitura de Hidrômetro'!$F$1:$Q$2,1,MATCH(TEXT(tbl_contacaesb[[#This Row],[Mês Referencia]],"mmmm"),tbl_consolidacao[[#Headers],[Janeiro]:[Dezembro]],0)),0)&lt;ALERTA_GERAL*-1),IF(ROUND(INDEX('Leitura de Hidrômetro'!$F$1:$Q$2,1,MATCH(TEXT(tbl_contacaesb[[#This Row],[Mês Referencia]],"mmmm"),tbl_consolidacao[[#Headers],[Janeiro]:[Dezembro]],0)),0)&lt;&gt;tbl_contacaesb[[#This Row],[Medição (mês ant.)]],"Valor diferente do aferido em " &amp; ROUND(tbl_contacaesb[[#This Row],[Medição (mês ant.)]]-INDEX('Leitura de Hidrômetro'!$F$1:$Q$2,1,MATCH(TEXT(tbl_contacaesb[[#This Row],[Mês Referencia]],"mmmm"),tbl_consolidacao[[#Headers],[Janeiro]:[Dezembro]],0)),0) &amp; " m³.",""),""),"")</f>
        <v/>
      </c>
    </row>
  </sheetData>
  <sheetProtection algorithmName="SHA-512" hashValue="wpt5tfxcOnqEGkMTFROibI2WgorCDnLroZKQiRKsYf0OrTo9SlJzoOrFALf2k/6tTHn54pOmzaPvkk3wd7EqCA==" saltValue="dpVHiCWFiHRtrau696ogMA==" spinCount="100000" sheet="1" objects="1" scenarios="1" selectLockedCells="1"/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theme="9" tint="0.39997558519241921"/>
  </sheetPr>
  <dimension ref="B2:C35"/>
  <sheetViews>
    <sheetView showGridLines="0" tabSelected="1" zoomScale="85" zoomScaleNormal="85" workbookViewId="0"/>
  </sheetViews>
  <sheetFormatPr defaultRowHeight="15" x14ac:dyDescent="0.25"/>
  <cols>
    <col min="2" max="2" width="76.140625" bestFit="1" customWidth="1"/>
    <col min="3" max="3" width="21" bestFit="1" customWidth="1"/>
  </cols>
  <sheetData>
    <row r="2" spans="2:3" ht="24" thickBot="1" x14ac:dyDescent="0.4">
      <c r="B2" s="1" t="s">
        <v>72</v>
      </c>
      <c r="C2" s="19">
        <f>COUNTIFS(tbl_distribuicao[Diferença no Mês],"&gt;0")</f>
        <v>44</v>
      </c>
    </row>
    <row r="3" spans="2:3" ht="15.75" thickTop="1" x14ac:dyDescent="0.25"/>
    <row r="4" spans="2:3" ht="24" thickBot="1" x14ac:dyDescent="0.4">
      <c r="B4" s="1" t="s">
        <v>73</v>
      </c>
      <c r="C4" s="19">
        <f>COUNTIFS(tbl_distribuicao[Diferença no Mês],"&lt;0")</f>
        <v>0</v>
      </c>
    </row>
    <row r="5" spans="2:3" ht="15.75" thickTop="1" x14ac:dyDescent="0.25"/>
    <row r="6" spans="2:3" ht="24" thickBot="1" x14ac:dyDescent="0.4">
      <c r="B6" s="1" t="s">
        <v>74</v>
      </c>
      <c r="C6" s="19">
        <f>COUNTIFS(tbl_distribuicao[Diferença no Mês],"=0")</f>
        <v>0</v>
      </c>
    </row>
    <row r="7" spans="2:3" ht="18.75" thickTop="1" thickBot="1" x14ac:dyDescent="0.35">
      <c r="B7" s="21"/>
      <c r="C7" s="21"/>
    </row>
    <row r="8" spans="2:3" ht="15.75" thickTop="1" x14ac:dyDescent="0.25"/>
    <row r="9" spans="2:3" ht="24" thickBot="1" x14ac:dyDescent="0.4">
      <c r="B9" s="1" t="s">
        <v>77</v>
      </c>
      <c r="C9" s="35">
        <f>SUMIF(tbl_distribuicao[Diferença no Mês],"&gt;0")</f>
        <v>3639.0527999999936</v>
      </c>
    </row>
    <row r="10" spans="2:3" ht="15.75" thickTop="1" x14ac:dyDescent="0.25"/>
    <row r="11" spans="2:3" ht="24" thickBot="1" x14ac:dyDescent="0.4">
      <c r="B11" s="1" t="s">
        <v>78</v>
      </c>
      <c r="C11" s="35">
        <f>SUMIF(tbl_distribuicao[Diferença no Mês],"&lt;0")</f>
        <v>0</v>
      </c>
    </row>
    <row r="12" spans="2:3" ht="18.75" thickTop="1" thickBot="1" x14ac:dyDescent="0.35">
      <c r="B12" s="21"/>
      <c r="C12" s="21"/>
    </row>
    <row r="13" spans="2:3" ht="15.75" thickTop="1" x14ac:dyDescent="0.25"/>
    <row r="14" spans="2:3" ht="24" thickBot="1" x14ac:dyDescent="0.4">
      <c r="B14" s="1" t="s">
        <v>75</v>
      </c>
      <c r="C14" s="35">
        <f>SUM(tbl_distribuicao[Diferença no Mês])</f>
        <v>3639.0527999999936</v>
      </c>
    </row>
    <row r="15" spans="2:3" ht="15.75" thickTop="1" x14ac:dyDescent="0.25"/>
    <row r="16" spans="2:3" ht="24" thickBot="1" x14ac:dyDescent="0.4">
      <c r="B16" s="1" t="s">
        <v>76</v>
      </c>
      <c r="C16" s="35">
        <f>C14*12</f>
        <v>43668.633599999921</v>
      </c>
    </row>
    <row r="17" spans="2:3" ht="18.75" thickTop="1" thickBot="1" x14ac:dyDescent="0.35">
      <c r="B17" s="21"/>
      <c r="C17" s="21"/>
    </row>
    <row r="18" spans="2:3" ht="15.75" thickTop="1" x14ac:dyDescent="0.25"/>
    <row r="19" spans="2:3" ht="24" hidden="1" thickBot="1" x14ac:dyDescent="0.4">
      <c r="B19" s="38" t="s">
        <v>80</v>
      </c>
    </row>
    <row r="20" spans="2:3" ht="15.75" hidden="1" thickTop="1" x14ac:dyDescent="0.25"/>
    <row r="21" spans="2:3" ht="23.25" hidden="1" x14ac:dyDescent="0.35">
      <c r="B21" s="1" t="s">
        <v>102</v>
      </c>
    </row>
    <row r="22" spans="2:3" hidden="1" x14ac:dyDescent="0.25"/>
    <row r="23" spans="2:3" ht="23.25" hidden="1" x14ac:dyDescent="0.35">
      <c r="B23" s="1" t="s">
        <v>95</v>
      </c>
    </row>
    <row r="24" spans="2:3" hidden="1" x14ac:dyDescent="0.25"/>
    <row r="25" spans="2:3" ht="23.25" hidden="1" x14ac:dyDescent="0.35">
      <c r="B25" s="1" t="s">
        <v>96</v>
      </c>
    </row>
    <row r="26" spans="2:3" ht="23.25" hidden="1" x14ac:dyDescent="0.35">
      <c r="B26" s="1" t="s">
        <v>101</v>
      </c>
    </row>
    <row r="27" spans="2:3" ht="23.25" hidden="1" x14ac:dyDescent="0.35">
      <c r="B27" s="1" t="s">
        <v>97</v>
      </c>
    </row>
    <row r="28" spans="2:3" ht="23.25" hidden="1" x14ac:dyDescent="0.35">
      <c r="B28" s="1" t="s">
        <v>98</v>
      </c>
    </row>
    <row r="29" spans="2:3" ht="23.25" hidden="1" x14ac:dyDescent="0.35">
      <c r="B29" s="1" t="s">
        <v>99</v>
      </c>
    </row>
    <row r="30" spans="2:3" ht="23.25" hidden="1" x14ac:dyDescent="0.35">
      <c r="B30" s="1" t="s">
        <v>100</v>
      </c>
    </row>
    <row r="31" spans="2:3" ht="23.25" hidden="1" x14ac:dyDescent="0.35">
      <c r="B31" s="1"/>
    </row>
    <row r="32" spans="2:3" ht="23.25" hidden="1" x14ac:dyDescent="0.35">
      <c r="B32" s="1" t="s">
        <v>103</v>
      </c>
    </row>
    <row r="33" spans="2:2" ht="23.25" hidden="1" x14ac:dyDescent="0.35">
      <c r="B33" s="1" t="s">
        <v>104</v>
      </c>
    </row>
    <row r="34" spans="2:2" ht="23.25" x14ac:dyDescent="0.35">
      <c r="B34" s="1"/>
    </row>
    <row r="35" spans="2:2" ht="23.25" x14ac:dyDescent="0.35">
      <c r="B35" s="1"/>
    </row>
  </sheetData>
  <sheetProtection algorithmName="SHA-512" hashValue="ZQOjt/yN5OfNyy7EQ/S275tBnpVKTxZhYFQs6uqVXzxQiePajxKluhK+sBhTdb0qKphMKI1yOsq8P00jEDHioQ==" saltValue="BXOhSn72vKjespZb6TOk1g==" spinCount="100000" sheet="1" objects="1" scenarios="1" selectLockedCells="1" selectUnlockedCells="1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tabColor theme="8" tint="0.39997558519241921"/>
  </sheetPr>
  <dimension ref="A1:AC49"/>
  <sheetViews>
    <sheetView showGridLines="0" zoomScaleNormal="100" workbookViewId="0">
      <selection sqref="A1:D1"/>
    </sheetView>
  </sheetViews>
  <sheetFormatPr defaultRowHeight="15" x14ac:dyDescent="0.25"/>
  <cols>
    <col min="1" max="3" width="7.7109375" customWidth="1"/>
    <col min="4" max="4" width="10.7109375" customWidth="1"/>
    <col min="5" max="5" width="12.7109375" customWidth="1"/>
    <col min="6" max="7" width="10.7109375" customWidth="1"/>
    <col min="8" max="8" width="10.7109375" hidden="1" customWidth="1"/>
    <col min="9" max="13" width="9.140625" hidden="1" customWidth="1"/>
    <col min="14" max="15" width="12.7109375" hidden="1" customWidth="1"/>
    <col min="16" max="16" width="15.7109375" customWidth="1"/>
    <col min="17" max="21" width="8.7109375" hidden="1" customWidth="1"/>
    <col min="22" max="23" width="15.7109375" customWidth="1"/>
    <col min="24" max="24" width="16.5703125" bestFit="1" customWidth="1"/>
    <col min="25" max="25" width="15.7109375" customWidth="1"/>
  </cols>
  <sheetData>
    <row r="1" spans="1:29" ht="24" thickBot="1" x14ac:dyDescent="0.4">
      <c r="A1" s="51" t="s">
        <v>53</v>
      </c>
      <c r="B1" s="51"/>
      <c r="C1" s="51"/>
      <c r="D1" s="51"/>
      <c r="E1" s="20">
        <v>42370</v>
      </c>
      <c r="H1" s="25" t="s">
        <v>69</v>
      </c>
      <c r="I1" s="25">
        <v>5</v>
      </c>
    </row>
    <row r="2" spans="1:29" ht="15.75" thickTop="1" x14ac:dyDescent="0.25">
      <c r="H2" s="25">
        <f>VLOOKUP(H4,tbl_caesb[[Faixa]:[Valor]],$I$1,FALSE)</f>
        <v>2.65</v>
      </c>
      <c r="I2" s="25">
        <f>VLOOKUP(I4,tbl_caesb[[Faixa]:[Valor]],$I$1,FALSE)</f>
        <v>4.92</v>
      </c>
      <c r="J2" s="25">
        <f>VLOOKUP(J4,tbl_caesb[[Faixa]:[Valor]],$I$1,FALSE)</f>
        <v>6.28</v>
      </c>
      <c r="K2" s="25">
        <f>VLOOKUP(K4,tbl_caesb[[Faixa]:[Valor]],$I$1,FALSE)</f>
        <v>10.15</v>
      </c>
      <c r="L2" s="25">
        <f>VLOOKUP(L4,tbl_caesb[[Faixa]:[Valor]],$I$1,FALSE)</f>
        <v>11.2</v>
      </c>
      <c r="M2" s="25">
        <f>VLOOKUP(M4,tbl_caesb[[Faixa]:[Valor]],$I$1,FALSE)</f>
        <v>12.27</v>
      </c>
      <c r="N2" s="25"/>
      <c r="O2" s="25"/>
      <c r="P2" s="34">
        <f>SUM(tbl_distribuicao[Valor CAESB Futuro])</f>
        <v>19239.052799999998</v>
      </c>
      <c r="S2" s="25"/>
      <c r="T2" s="25"/>
      <c r="U2" s="25"/>
      <c r="V2" s="34">
        <f>SUM(tbl_distribuicao[Valor Padrão Atual])</f>
        <v>15708.760319999999</v>
      </c>
      <c r="W2" s="34">
        <f>SUM(tbl_distribuicao[Valor Padrão Atual AJUSTADO])</f>
        <v>15599.999999999995</v>
      </c>
      <c r="X2" s="34">
        <f>SUM(tbl_distribuicao[Diferença no Mês])</f>
        <v>3639.0527999999936</v>
      </c>
      <c r="Y2" s="34">
        <f>SUM(tbl_distribuicao[Diferença no Ano])</f>
        <v>43668.63359999995</v>
      </c>
      <c r="Z2" s="28"/>
      <c r="AA2" s="28"/>
      <c r="AB2" s="28"/>
      <c r="AC2" s="28"/>
    </row>
    <row r="3" spans="1:29" hidden="1" x14ac:dyDescent="0.25">
      <c r="G3" s="24" t="s">
        <v>68</v>
      </c>
      <c r="H3" s="52" t="s">
        <v>83</v>
      </c>
      <c r="I3" s="52"/>
      <c r="J3" s="25">
        <v>4</v>
      </c>
      <c r="S3" s="39" t="s">
        <v>87</v>
      </c>
      <c r="T3" s="25"/>
      <c r="U3" s="25"/>
      <c r="V3" s="25" t="s">
        <v>94</v>
      </c>
      <c r="X3" s="28"/>
      <c r="Y3" s="29"/>
      <c r="Z3" s="28"/>
      <c r="AA3" s="28"/>
      <c r="AB3" s="28"/>
      <c r="AC3" s="28"/>
    </row>
    <row r="4" spans="1:29" hidden="1" x14ac:dyDescent="0.25">
      <c r="G4" s="25">
        <f>MATCH(TEXT(E1,"mmmm"),tbl_consolidacao[#Headers],0)-MATCH(tbl_distribuicao[[#Headers],[Apto]],tbl_consolidacao[#Headers],0)+1</f>
        <v>3</v>
      </c>
      <c r="H4" s="25">
        <v>1</v>
      </c>
      <c r="I4" s="25">
        <v>2</v>
      </c>
      <c r="J4" s="25">
        <v>3</v>
      </c>
      <c r="K4" s="25">
        <v>4</v>
      </c>
      <c r="L4" s="25">
        <v>5</v>
      </c>
      <c r="M4" s="25">
        <v>6</v>
      </c>
      <c r="O4" s="24"/>
      <c r="P4" s="24"/>
      <c r="Q4" s="25">
        <v>1</v>
      </c>
      <c r="R4" s="25">
        <v>2</v>
      </c>
      <c r="S4" s="25">
        <v>3</v>
      </c>
      <c r="T4" s="25"/>
      <c r="U4" s="25"/>
      <c r="V4" s="25">
        <f>VLOOKUP(E1,tbl_contacaesb[[Mês Referencia]:[Valor]],3,FALSE)/V2</f>
        <v>0.9930764542978272</v>
      </c>
      <c r="X4" s="28"/>
      <c r="Y4" s="29"/>
      <c r="Z4" s="28"/>
      <c r="AA4" s="28"/>
      <c r="AB4" s="28"/>
      <c r="AC4" s="28"/>
    </row>
    <row r="5" spans="1:29" ht="65.099999999999994" customHeight="1" x14ac:dyDescent="0.25">
      <c r="A5" s="3" t="s">
        <v>24</v>
      </c>
      <c r="B5" s="3" t="s">
        <v>25</v>
      </c>
      <c r="C5" s="3" t="s">
        <v>26</v>
      </c>
      <c r="D5" s="45" t="s">
        <v>49</v>
      </c>
      <c r="E5" s="3" t="s">
        <v>65</v>
      </c>
      <c r="F5" s="3" t="s">
        <v>66</v>
      </c>
      <c r="G5" s="3" t="s">
        <v>67</v>
      </c>
      <c r="H5" s="3" t="s">
        <v>59</v>
      </c>
      <c r="I5" s="3" t="s">
        <v>60</v>
      </c>
      <c r="J5" s="3" t="s">
        <v>61</v>
      </c>
      <c r="K5" s="3" t="s">
        <v>62</v>
      </c>
      <c r="L5" s="3" t="s">
        <v>63</v>
      </c>
      <c r="M5" s="3" t="s">
        <v>64</v>
      </c>
      <c r="N5" s="3" t="s">
        <v>89</v>
      </c>
      <c r="O5" s="3" t="s">
        <v>90</v>
      </c>
      <c r="P5" s="44" t="s">
        <v>88</v>
      </c>
      <c r="Q5" s="3" t="s">
        <v>84</v>
      </c>
      <c r="R5" s="3" t="s">
        <v>85</v>
      </c>
      <c r="S5" s="3" t="s">
        <v>86</v>
      </c>
      <c r="T5" s="3" t="s">
        <v>91</v>
      </c>
      <c r="U5" s="3" t="s">
        <v>92</v>
      </c>
      <c r="V5" s="3" t="s">
        <v>82</v>
      </c>
      <c r="W5" s="46" t="s">
        <v>93</v>
      </c>
      <c r="X5" s="30" t="s">
        <v>71</v>
      </c>
      <c r="Y5" s="30" t="s">
        <v>70</v>
      </c>
    </row>
    <row r="6" spans="1:29" x14ac:dyDescent="0.25">
      <c r="A6" s="40">
        <v>1</v>
      </c>
      <c r="B6" s="40" t="s">
        <v>28</v>
      </c>
      <c r="C6" s="40">
        <v>101</v>
      </c>
      <c r="D6" s="48" t="str">
        <f>tbl_distribuicao[[#This Row],[Unid]]&amp;"-"&amp;tbl_distribuicao[[#This Row],[Junta]]&amp;tbl_distribuicao[[#This Row],[Torre]]</f>
        <v>101-A1</v>
      </c>
      <c r="E6" s="41">
        <f>VLOOKUP(tbl_distribuicao[[#This Row],[Apto]],tbl_consolidacao[[Apto]:[Dezembro]],$G$4-1,FALSE)</f>
        <v>1.02</v>
      </c>
      <c r="F6" s="41">
        <f>VLOOKUP(tbl_distribuicao[[#This Row],[Apto]],tbl_consolidacao[[Apto]:[Dezembro]],$G$4,FALSE)</f>
        <v>36.308</v>
      </c>
      <c r="G6" s="41">
        <f>tbl_distribuicao[[#This Row],[Leitura Mês Referencia]]-tbl_distribuicao[[#This Row],[Leitura Mês Anterior]]</f>
        <v>35.287999999999997</v>
      </c>
      <c r="H6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6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6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6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6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6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6" s="31">
        <f>SUMPRODUCT(tbl_distribuicao[[#This Row],[Faixa 1]:[Faixa 6]],$H$2:$M$2)</f>
        <v>218.62559999999996</v>
      </c>
      <c r="O6" s="31">
        <f>tbl_distribuicao[[#This Row],[Tarifa Água CAESB Futuro]]</f>
        <v>218.62559999999996</v>
      </c>
      <c r="P6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6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6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6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6" s="42">
        <f>SUMPRODUCT(tbl_distribuicao[[#This Row],[Faixa 1_]:[Faixa 3_]],$H$2:$J$2)</f>
        <v>178.50863999999999</v>
      </c>
      <c r="U6" s="42">
        <f>tbl_distribuicao[[#This Row],[Tarifa Água CAESB Atual]]</f>
        <v>178.50863999999999</v>
      </c>
      <c r="V6" s="42">
        <f>SUM(tbl_distribuicao[[#This Row],[Tarifa Água CAESB Atual]:[Tarifa Esgoto CAESB Atual]])</f>
        <v>357.01727999999997</v>
      </c>
      <c r="W6" s="47">
        <f>tbl_distribuicao[[#This Row],[Valor Padrão Atual]]*$V$4</f>
        <v>354.54545454545456</v>
      </c>
      <c r="X6" s="32">
        <f>tbl_distribuicao[[#This Row],[Valor CAESB Futuro]]-tbl_distribuicao[[#This Row],[Valor Padrão Atual AJUSTADO]]</f>
        <v>82.705745454545365</v>
      </c>
      <c r="Y6" s="33">
        <f>tbl_distribuicao[[#This Row],[Diferença no Mês]]*12</f>
        <v>992.46894545454438</v>
      </c>
    </row>
    <row r="7" spans="1:29" x14ac:dyDescent="0.25">
      <c r="A7" s="40">
        <v>2</v>
      </c>
      <c r="B7" s="40" t="s">
        <v>28</v>
      </c>
      <c r="C7" s="40">
        <v>101</v>
      </c>
      <c r="D7" s="48" t="str">
        <f>tbl_distribuicao[[#This Row],[Unid]]&amp;"-"&amp;tbl_distribuicao[[#This Row],[Junta]]&amp;tbl_distribuicao[[#This Row],[Torre]]</f>
        <v>101-A2</v>
      </c>
      <c r="E7" s="41">
        <f>VLOOKUP(tbl_distribuicao[[#This Row],[Apto]],tbl_consolidacao[[Apto]:[Dezembro]],$G$4-1,FALSE)</f>
        <v>1.02</v>
      </c>
      <c r="F7" s="41">
        <f>VLOOKUP(tbl_distribuicao[[#This Row],[Apto]],tbl_consolidacao[[Apto]:[Dezembro]],$G$4,FALSE)</f>
        <v>36.308</v>
      </c>
      <c r="G7" s="41">
        <f>tbl_distribuicao[[#This Row],[Leitura Mês Referencia]]-tbl_distribuicao[[#This Row],[Leitura Mês Anterior]]</f>
        <v>35.287999999999997</v>
      </c>
      <c r="H7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7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7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7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7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7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7" s="31">
        <f>SUMPRODUCT(tbl_distribuicao[[#This Row],[Faixa 1]:[Faixa 6]],$H$2:$M$2)</f>
        <v>218.62559999999996</v>
      </c>
      <c r="O7" s="31">
        <f>tbl_distribuicao[[#This Row],[Tarifa Água CAESB Futuro]]</f>
        <v>218.62559999999996</v>
      </c>
      <c r="P7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7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7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7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7" s="42">
        <f>SUMPRODUCT(tbl_distribuicao[[#This Row],[Faixa 1_]:[Faixa 3_]],$H$2:$J$2)</f>
        <v>178.50863999999999</v>
      </c>
      <c r="U7" s="42">
        <f>tbl_distribuicao[[#This Row],[Tarifa Água CAESB Atual]]</f>
        <v>178.50863999999999</v>
      </c>
      <c r="V7" s="42">
        <f>SUM(tbl_distribuicao[[#This Row],[Tarifa Água CAESB Atual]:[Tarifa Esgoto CAESB Atual]])</f>
        <v>357.01727999999997</v>
      </c>
      <c r="W7" s="47">
        <f>tbl_distribuicao[[#This Row],[Valor Padrão Atual]]*$V$4</f>
        <v>354.54545454545456</v>
      </c>
      <c r="X7" s="32">
        <f>tbl_distribuicao[[#This Row],[Valor CAESB Futuro]]-tbl_distribuicao[[#This Row],[Valor Padrão Atual AJUSTADO]]</f>
        <v>82.705745454545365</v>
      </c>
      <c r="Y7" s="32">
        <f>tbl_distribuicao[[#This Row],[Diferença no Mês]]*12</f>
        <v>992.46894545454438</v>
      </c>
    </row>
    <row r="8" spans="1:29" x14ac:dyDescent="0.25">
      <c r="A8" s="40">
        <v>1</v>
      </c>
      <c r="B8" s="40" t="s">
        <v>28</v>
      </c>
      <c r="C8" s="40">
        <v>102</v>
      </c>
      <c r="D8" s="48" t="str">
        <f>tbl_distribuicao[[#This Row],[Unid]]&amp;"-"&amp;tbl_distribuicao[[#This Row],[Junta]]&amp;tbl_distribuicao[[#This Row],[Torre]]</f>
        <v>102-A1</v>
      </c>
      <c r="E8" s="41">
        <f>VLOOKUP(tbl_distribuicao[[#This Row],[Apto]],tbl_consolidacao[[Apto]:[Dezembro]],$G$4-1,FALSE)</f>
        <v>1.02</v>
      </c>
      <c r="F8" s="41">
        <f>VLOOKUP(tbl_distribuicao[[#This Row],[Apto]],tbl_consolidacao[[Apto]:[Dezembro]],$G$4,FALSE)</f>
        <v>36.308</v>
      </c>
      <c r="G8" s="41">
        <f>tbl_distribuicao[[#This Row],[Leitura Mês Referencia]]-tbl_distribuicao[[#This Row],[Leitura Mês Anterior]]</f>
        <v>35.287999999999997</v>
      </c>
      <c r="H8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8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8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8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8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8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8" s="31">
        <f>SUMPRODUCT(tbl_distribuicao[[#This Row],[Faixa 1]:[Faixa 6]],$H$2:$M$2)</f>
        <v>218.62559999999996</v>
      </c>
      <c r="O8" s="31">
        <f>tbl_distribuicao[[#This Row],[Tarifa Água CAESB Futuro]]</f>
        <v>218.62559999999996</v>
      </c>
      <c r="P8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8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8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8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8" s="42">
        <f>SUMPRODUCT(tbl_distribuicao[[#This Row],[Faixa 1_]:[Faixa 3_]],$H$2:$J$2)</f>
        <v>178.50863999999999</v>
      </c>
      <c r="U8" s="42">
        <f>tbl_distribuicao[[#This Row],[Tarifa Água CAESB Atual]]</f>
        <v>178.50863999999999</v>
      </c>
      <c r="V8" s="42">
        <f>SUM(tbl_distribuicao[[#This Row],[Tarifa Água CAESB Atual]:[Tarifa Esgoto CAESB Atual]])</f>
        <v>357.01727999999997</v>
      </c>
      <c r="W8" s="47">
        <f>tbl_distribuicao[[#This Row],[Valor Padrão Atual]]*$V$4</f>
        <v>354.54545454545456</v>
      </c>
      <c r="X8" s="32">
        <f>tbl_distribuicao[[#This Row],[Valor CAESB Futuro]]-tbl_distribuicao[[#This Row],[Valor Padrão Atual AJUSTADO]]</f>
        <v>82.705745454545365</v>
      </c>
      <c r="Y8" s="32">
        <f>tbl_distribuicao[[#This Row],[Diferença no Mês]]*12</f>
        <v>992.46894545454438</v>
      </c>
    </row>
    <row r="9" spans="1:29" x14ac:dyDescent="0.25">
      <c r="A9" s="40">
        <v>2</v>
      </c>
      <c r="B9" s="40" t="s">
        <v>28</v>
      </c>
      <c r="C9" s="40">
        <v>102</v>
      </c>
      <c r="D9" s="48" t="str">
        <f>tbl_distribuicao[[#This Row],[Unid]]&amp;"-"&amp;tbl_distribuicao[[#This Row],[Junta]]&amp;tbl_distribuicao[[#This Row],[Torre]]</f>
        <v>102-A2</v>
      </c>
      <c r="E9" s="41">
        <f>VLOOKUP(tbl_distribuicao[[#This Row],[Apto]],tbl_consolidacao[[Apto]:[Dezembro]],$G$4-1,FALSE)</f>
        <v>1.02</v>
      </c>
      <c r="F9" s="41">
        <f>VLOOKUP(tbl_distribuicao[[#This Row],[Apto]],tbl_consolidacao[[Apto]:[Dezembro]],$G$4,FALSE)</f>
        <v>36.308</v>
      </c>
      <c r="G9" s="41">
        <f>tbl_distribuicao[[#This Row],[Leitura Mês Referencia]]-tbl_distribuicao[[#This Row],[Leitura Mês Anterior]]</f>
        <v>35.287999999999997</v>
      </c>
      <c r="H9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9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9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9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9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9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9" s="31">
        <f>SUMPRODUCT(tbl_distribuicao[[#This Row],[Faixa 1]:[Faixa 6]],$H$2:$M$2)</f>
        <v>218.62559999999996</v>
      </c>
      <c r="O9" s="31">
        <f>tbl_distribuicao[[#This Row],[Tarifa Água CAESB Futuro]]</f>
        <v>218.62559999999996</v>
      </c>
      <c r="P9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9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9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9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9" s="42">
        <f>SUMPRODUCT(tbl_distribuicao[[#This Row],[Faixa 1_]:[Faixa 3_]],$H$2:$J$2)</f>
        <v>178.50863999999999</v>
      </c>
      <c r="U9" s="42">
        <f>tbl_distribuicao[[#This Row],[Tarifa Água CAESB Atual]]</f>
        <v>178.50863999999999</v>
      </c>
      <c r="V9" s="42">
        <f>SUM(tbl_distribuicao[[#This Row],[Tarifa Água CAESB Atual]:[Tarifa Esgoto CAESB Atual]])</f>
        <v>357.01727999999997</v>
      </c>
      <c r="W9" s="47">
        <f>tbl_distribuicao[[#This Row],[Valor Padrão Atual]]*$V$4</f>
        <v>354.54545454545456</v>
      </c>
      <c r="X9" s="32">
        <f>tbl_distribuicao[[#This Row],[Valor CAESB Futuro]]-tbl_distribuicao[[#This Row],[Valor Padrão Atual AJUSTADO]]</f>
        <v>82.705745454545365</v>
      </c>
      <c r="Y9" s="32">
        <f>tbl_distribuicao[[#This Row],[Diferença no Mês]]*12</f>
        <v>992.46894545454438</v>
      </c>
    </row>
    <row r="10" spans="1:29" x14ac:dyDescent="0.25">
      <c r="A10" s="40">
        <v>1</v>
      </c>
      <c r="B10" s="40" t="s">
        <v>28</v>
      </c>
      <c r="C10" s="40">
        <v>103</v>
      </c>
      <c r="D10" s="48" t="str">
        <f>tbl_distribuicao[[#This Row],[Unid]]&amp;"-"&amp;tbl_distribuicao[[#This Row],[Junta]]&amp;tbl_distribuicao[[#This Row],[Torre]]</f>
        <v>103-A1</v>
      </c>
      <c r="E10" s="41">
        <f>VLOOKUP(tbl_distribuicao[[#This Row],[Apto]],tbl_consolidacao[[Apto]:[Dezembro]],$G$4-1,FALSE)</f>
        <v>1.02</v>
      </c>
      <c r="F10" s="41">
        <f>VLOOKUP(tbl_distribuicao[[#This Row],[Apto]],tbl_consolidacao[[Apto]:[Dezembro]],$G$4,FALSE)</f>
        <v>36.308</v>
      </c>
      <c r="G10" s="41">
        <f>tbl_distribuicao[[#This Row],[Leitura Mês Referencia]]-tbl_distribuicao[[#This Row],[Leitura Mês Anterior]]</f>
        <v>35.287999999999997</v>
      </c>
      <c r="H10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10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10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10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10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10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10" s="31">
        <f>SUMPRODUCT(tbl_distribuicao[[#This Row],[Faixa 1]:[Faixa 6]],$H$2:$M$2)</f>
        <v>218.62559999999996</v>
      </c>
      <c r="O10" s="31">
        <f>tbl_distribuicao[[#This Row],[Tarifa Água CAESB Futuro]]</f>
        <v>218.62559999999996</v>
      </c>
      <c r="P10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10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10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10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10" s="42">
        <f>SUMPRODUCT(tbl_distribuicao[[#This Row],[Faixa 1_]:[Faixa 3_]],$H$2:$J$2)</f>
        <v>178.50863999999999</v>
      </c>
      <c r="U10" s="42">
        <f>tbl_distribuicao[[#This Row],[Tarifa Água CAESB Atual]]</f>
        <v>178.50863999999999</v>
      </c>
      <c r="V10" s="42">
        <f>SUM(tbl_distribuicao[[#This Row],[Tarifa Água CAESB Atual]:[Tarifa Esgoto CAESB Atual]])</f>
        <v>357.01727999999997</v>
      </c>
      <c r="W10" s="47">
        <f>tbl_distribuicao[[#This Row],[Valor Padrão Atual]]*$V$4</f>
        <v>354.54545454545456</v>
      </c>
      <c r="X10" s="32">
        <f>tbl_distribuicao[[#This Row],[Valor CAESB Futuro]]-tbl_distribuicao[[#This Row],[Valor Padrão Atual AJUSTADO]]</f>
        <v>82.705745454545365</v>
      </c>
      <c r="Y10" s="32">
        <f>tbl_distribuicao[[#This Row],[Diferença no Mês]]*12</f>
        <v>992.46894545454438</v>
      </c>
    </row>
    <row r="11" spans="1:29" x14ac:dyDescent="0.25">
      <c r="A11" s="40">
        <v>2</v>
      </c>
      <c r="B11" s="40" t="s">
        <v>28</v>
      </c>
      <c r="C11" s="40">
        <v>103</v>
      </c>
      <c r="D11" s="48" t="str">
        <f>tbl_distribuicao[[#This Row],[Unid]]&amp;"-"&amp;tbl_distribuicao[[#This Row],[Junta]]&amp;tbl_distribuicao[[#This Row],[Torre]]</f>
        <v>103-A2</v>
      </c>
      <c r="E11" s="41">
        <f>VLOOKUP(tbl_distribuicao[[#This Row],[Apto]],tbl_consolidacao[[Apto]:[Dezembro]],$G$4-1,FALSE)</f>
        <v>1.02</v>
      </c>
      <c r="F11" s="41">
        <f>VLOOKUP(tbl_distribuicao[[#This Row],[Apto]],tbl_consolidacao[[Apto]:[Dezembro]],$G$4,FALSE)</f>
        <v>36.308</v>
      </c>
      <c r="G11" s="41">
        <f>tbl_distribuicao[[#This Row],[Leitura Mês Referencia]]-tbl_distribuicao[[#This Row],[Leitura Mês Anterior]]</f>
        <v>35.287999999999997</v>
      </c>
      <c r="H11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11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11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11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11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11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11" s="31">
        <f>SUMPRODUCT(tbl_distribuicao[[#This Row],[Faixa 1]:[Faixa 6]],$H$2:$M$2)</f>
        <v>218.62559999999996</v>
      </c>
      <c r="O11" s="31">
        <f>tbl_distribuicao[[#This Row],[Tarifa Água CAESB Futuro]]</f>
        <v>218.62559999999996</v>
      </c>
      <c r="P11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11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11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11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11" s="42">
        <f>SUMPRODUCT(tbl_distribuicao[[#This Row],[Faixa 1_]:[Faixa 3_]],$H$2:$J$2)</f>
        <v>178.50863999999999</v>
      </c>
      <c r="U11" s="42">
        <f>tbl_distribuicao[[#This Row],[Tarifa Água CAESB Atual]]</f>
        <v>178.50863999999999</v>
      </c>
      <c r="V11" s="42">
        <f>SUM(tbl_distribuicao[[#This Row],[Tarifa Água CAESB Atual]:[Tarifa Esgoto CAESB Atual]])</f>
        <v>357.01727999999997</v>
      </c>
      <c r="W11" s="47">
        <f>tbl_distribuicao[[#This Row],[Valor Padrão Atual]]*$V$4</f>
        <v>354.54545454545456</v>
      </c>
      <c r="X11" s="32">
        <f>tbl_distribuicao[[#This Row],[Valor CAESB Futuro]]-tbl_distribuicao[[#This Row],[Valor Padrão Atual AJUSTADO]]</f>
        <v>82.705745454545365</v>
      </c>
      <c r="Y11" s="32">
        <f>tbl_distribuicao[[#This Row],[Diferença no Mês]]*12</f>
        <v>992.46894545454438</v>
      </c>
    </row>
    <row r="12" spans="1:29" x14ac:dyDescent="0.25">
      <c r="A12" s="40">
        <v>1</v>
      </c>
      <c r="B12" s="40" t="s">
        <v>28</v>
      </c>
      <c r="C12" s="40">
        <v>104</v>
      </c>
      <c r="D12" s="48" t="str">
        <f>tbl_distribuicao[[#This Row],[Unid]]&amp;"-"&amp;tbl_distribuicao[[#This Row],[Junta]]&amp;tbl_distribuicao[[#This Row],[Torre]]</f>
        <v>104-A1</v>
      </c>
      <c r="E12" s="41">
        <f>VLOOKUP(tbl_distribuicao[[#This Row],[Apto]],tbl_consolidacao[[Apto]:[Dezembro]],$G$4-1,FALSE)</f>
        <v>1.02</v>
      </c>
      <c r="F12" s="41">
        <f>VLOOKUP(tbl_distribuicao[[#This Row],[Apto]],tbl_consolidacao[[Apto]:[Dezembro]],$G$4,FALSE)</f>
        <v>36.308</v>
      </c>
      <c r="G12" s="41">
        <f>tbl_distribuicao[[#This Row],[Leitura Mês Referencia]]-tbl_distribuicao[[#This Row],[Leitura Mês Anterior]]</f>
        <v>35.287999999999997</v>
      </c>
      <c r="H12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12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12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12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12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12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12" s="31">
        <f>SUMPRODUCT(tbl_distribuicao[[#This Row],[Faixa 1]:[Faixa 6]],$H$2:$M$2)</f>
        <v>218.62559999999996</v>
      </c>
      <c r="O12" s="31">
        <f>tbl_distribuicao[[#This Row],[Tarifa Água CAESB Futuro]]</f>
        <v>218.62559999999996</v>
      </c>
      <c r="P12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12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12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12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12" s="42">
        <f>SUMPRODUCT(tbl_distribuicao[[#This Row],[Faixa 1_]:[Faixa 3_]],$H$2:$J$2)</f>
        <v>178.50863999999999</v>
      </c>
      <c r="U12" s="42">
        <f>tbl_distribuicao[[#This Row],[Tarifa Água CAESB Atual]]</f>
        <v>178.50863999999999</v>
      </c>
      <c r="V12" s="42">
        <f>SUM(tbl_distribuicao[[#This Row],[Tarifa Água CAESB Atual]:[Tarifa Esgoto CAESB Atual]])</f>
        <v>357.01727999999997</v>
      </c>
      <c r="W12" s="47">
        <f>tbl_distribuicao[[#This Row],[Valor Padrão Atual]]*$V$4</f>
        <v>354.54545454545456</v>
      </c>
      <c r="X12" s="32">
        <f>tbl_distribuicao[[#This Row],[Valor CAESB Futuro]]-tbl_distribuicao[[#This Row],[Valor Padrão Atual AJUSTADO]]</f>
        <v>82.705745454545365</v>
      </c>
      <c r="Y12" s="32">
        <f>tbl_distribuicao[[#This Row],[Diferença no Mês]]*12</f>
        <v>992.46894545454438</v>
      </c>
    </row>
    <row r="13" spans="1:29" x14ac:dyDescent="0.25">
      <c r="A13" s="40">
        <v>2</v>
      </c>
      <c r="B13" s="40" t="s">
        <v>28</v>
      </c>
      <c r="C13" s="40">
        <v>104</v>
      </c>
      <c r="D13" s="48" t="str">
        <f>tbl_distribuicao[[#This Row],[Unid]]&amp;"-"&amp;tbl_distribuicao[[#This Row],[Junta]]&amp;tbl_distribuicao[[#This Row],[Torre]]</f>
        <v>104-A2</v>
      </c>
      <c r="E13" s="41">
        <f>VLOOKUP(tbl_distribuicao[[#This Row],[Apto]],tbl_consolidacao[[Apto]:[Dezembro]],$G$4-1,FALSE)</f>
        <v>1.02</v>
      </c>
      <c r="F13" s="41">
        <f>VLOOKUP(tbl_distribuicao[[#This Row],[Apto]],tbl_consolidacao[[Apto]:[Dezembro]],$G$4,FALSE)</f>
        <v>36.308</v>
      </c>
      <c r="G13" s="41">
        <f>tbl_distribuicao[[#This Row],[Leitura Mês Referencia]]-tbl_distribuicao[[#This Row],[Leitura Mês Anterior]]</f>
        <v>35.287999999999997</v>
      </c>
      <c r="H13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13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13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13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13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13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13" s="31">
        <f>SUMPRODUCT(tbl_distribuicao[[#This Row],[Faixa 1]:[Faixa 6]],$H$2:$M$2)</f>
        <v>218.62559999999996</v>
      </c>
      <c r="O13" s="31">
        <f>tbl_distribuicao[[#This Row],[Tarifa Água CAESB Futuro]]</f>
        <v>218.62559999999996</v>
      </c>
      <c r="P13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13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13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13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13" s="42">
        <f>SUMPRODUCT(tbl_distribuicao[[#This Row],[Faixa 1_]:[Faixa 3_]],$H$2:$J$2)</f>
        <v>178.50863999999999</v>
      </c>
      <c r="U13" s="42">
        <f>tbl_distribuicao[[#This Row],[Tarifa Água CAESB Atual]]</f>
        <v>178.50863999999999</v>
      </c>
      <c r="V13" s="42">
        <f>SUM(tbl_distribuicao[[#This Row],[Tarifa Água CAESB Atual]:[Tarifa Esgoto CAESB Atual]])</f>
        <v>357.01727999999997</v>
      </c>
      <c r="W13" s="47">
        <f>tbl_distribuicao[[#This Row],[Valor Padrão Atual]]*$V$4</f>
        <v>354.54545454545456</v>
      </c>
      <c r="X13" s="32">
        <f>tbl_distribuicao[[#This Row],[Valor CAESB Futuro]]-tbl_distribuicao[[#This Row],[Valor Padrão Atual AJUSTADO]]</f>
        <v>82.705745454545365</v>
      </c>
      <c r="Y13" s="32">
        <f>tbl_distribuicao[[#This Row],[Diferença no Mês]]*12</f>
        <v>992.46894545454438</v>
      </c>
    </row>
    <row r="14" spans="1:29" x14ac:dyDescent="0.25">
      <c r="A14" s="40">
        <v>2</v>
      </c>
      <c r="B14" s="40" t="s">
        <v>29</v>
      </c>
      <c r="C14" s="40">
        <v>105</v>
      </c>
      <c r="D14" s="48" t="str">
        <f>tbl_distribuicao[[#This Row],[Unid]]&amp;"-"&amp;tbl_distribuicao[[#This Row],[Junta]]&amp;tbl_distribuicao[[#This Row],[Torre]]</f>
        <v>105-B2</v>
      </c>
      <c r="E14" s="41">
        <f>VLOOKUP(tbl_distribuicao[[#This Row],[Apto]],tbl_consolidacao[[Apto]:[Dezembro]],$G$4-1,FALSE)</f>
        <v>1.02</v>
      </c>
      <c r="F14" s="41">
        <f>VLOOKUP(tbl_distribuicao[[#This Row],[Apto]],tbl_consolidacao[[Apto]:[Dezembro]],$G$4,FALSE)</f>
        <v>36.308</v>
      </c>
      <c r="G14" s="41">
        <f>tbl_distribuicao[[#This Row],[Leitura Mês Referencia]]-tbl_distribuicao[[#This Row],[Leitura Mês Anterior]]</f>
        <v>35.287999999999997</v>
      </c>
      <c r="H14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14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14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14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14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14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14" s="31">
        <f>SUMPRODUCT(tbl_distribuicao[[#This Row],[Faixa 1]:[Faixa 6]],$H$2:$M$2)</f>
        <v>218.62559999999996</v>
      </c>
      <c r="O14" s="31">
        <f>tbl_distribuicao[[#This Row],[Tarifa Água CAESB Futuro]]</f>
        <v>218.62559999999996</v>
      </c>
      <c r="P14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14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14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14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14" s="42">
        <f>SUMPRODUCT(tbl_distribuicao[[#This Row],[Faixa 1_]:[Faixa 3_]],$H$2:$J$2)</f>
        <v>178.50863999999999</v>
      </c>
      <c r="U14" s="42">
        <f>tbl_distribuicao[[#This Row],[Tarifa Água CAESB Atual]]</f>
        <v>178.50863999999999</v>
      </c>
      <c r="V14" s="42">
        <f>SUM(tbl_distribuicao[[#This Row],[Tarifa Água CAESB Atual]:[Tarifa Esgoto CAESB Atual]])</f>
        <v>357.01727999999997</v>
      </c>
      <c r="W14" s="47">
        <f>tbl_distribuicao[[#This Row],[Valor Padrão Atual]]*$V$4</f>
        <v>354.54545454545456</v>
      </c>
      <c r="X14" s="32">
        <f>tbl_distribuicao[[#This Row],[Valor CAESB Futuro]]-tbl_distribuicao[[#This Row],[Valor Padrão Atual AJUSTADO]]</f>
        <v>82.705745454545365</v>
      </c>
      <c r="Y14" s="32">
        <f>tbl_distribuicao[[#This Row],[Diferença no Mês]]*12</f>
        <v>992.46894545454438</v>
      </c>
    </row>
    <row r="15" spans="1:29" x14ac:dyDescent="0.25">
      <c r="A15" s="40">
        <v>2</v>
      </c>
      <c r="B15" s="40" t="s">
        <v>29</v>
      </c>
      <c r="C15" s="40">
        <v>106</v>
      </c>
      <c r="D15" s="48" t="str">
        <f>tbl_distribuicao[[#This Row],[Unid]]&amp;"-"&amp;tbl_distribuicao[[#This Row],[Junta]]&amp;tbl_distribuicao[[#This Row],[Torre]]</f>
        <v>106-B2</v>
      </c>
      <c r="E15" s="41">
        <f>VLOOKUP(tbl_distribuicao[[#This Row],[Apto]],tbl_consolidacao[[Apto]:[Dezembro]],$G$4-1,FALSE)</f>
        <v>1.02</v>
      </c>
      <c r="F15" s="41">
        <f>VLOOKUP(tbl_distribuicao[[#This Row],[Apto]],tbl_consolidacao[[Apto]:[Dezembro]],$G$4,FALSE)</f>
        <v>36.308</v>
      </c>
      <c r="G15" s="41">
        <f>tbl_distribuicao[[#This Row],[Leitura Mês Referencia]]-tbl_distribuicao[[#This Row],[Leitura Mês Anterior]]</f>
        <v>35.287999999999997</v>
      </c>
      <c r="H15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15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15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15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15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15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15" s="31">
        <f>SUMPRODUCT(tbl_distribuicao[[#This Row],[Faixa 1]:[Faixa 6]],$H$2:$M$2)</f>
        <v>218.62559999999996</v>
      </c>
      <c r="O15" s="31">
        <f>tbl_distribuicao[[#This Row],[Tarifa Água CAESB Futuro]]</f>
        <v>218.62559999999996</v>
      </c>
      <c r="P15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15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15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15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15" s="42">
        <f>SUMPRODUCT(tbl_distribuicao[[#This Row],[Faixa 1_]:[Faixa 3_]],$H$2:$J$2)</f>
        <v>178.50863999999999</v>
      </c>
      <c r="U15" s="42">
        <f>tbl_distribuicao[[#This Row],[Tarifa Água CAESB Atual]]</f>
        <v>178.50863999999999</v>
      </c>
      <c r="V15" s="42">
        <f>SUM(tbl_distribuicao[[#This Row],[Tarifa Água CAESB Atual]:[Tarifa Esgoto CAESB Atual]])</f>
        <v>357.01727999999997</v>
      </c>
      <c r="W15" s="47">
        <f>tbl_distribuicao[[#This Row],[Valor Padrão Atual]]*$V$4</f>
        <v>354.54545454545456</v>
      </c>
      <c r="X15" s="32">
        <f>tbl_distribuicao[[#This Row],[Valor CAESB Futuro]]-tbl_distribuicao[[#This Row],[Valor Padrão Atual AJUSTADO]]</f>
        <v>82.705745454545365</v>
      </c>
      <c r="Y15" s="32">
        <f>tbl_distribuicao[[#This Row],[Diferença no Mês]]*12</f>
        <v>992.46894545454438</v>
      </c>
    </row>
    <row r="16" spans="1:29" x14ac:dyDescent="0.25">
      <c r="A16" s="40">
        <v>2</v>
      </c>
      <c r="B16" s="40" t="s">
        <v>29</v>
      </c>
      <c r="C16" s="40">
        <v>107</v>
      </c>
      <c r="D16" s="48" t="str">
        <f>tbl_distribuicao[[#This Row],[Unid]]&amp;"-"&amp;tbl_distribuicao[[#This Row],[Junta]]&amp;tbl_distribuicao[[#This Row],[Torre]]</f>
        <v>107-B2</v>
      </c>
      <c r="E16" s="41">
        <f>VLOOKUP(tbl_distribuicao[[#This Row],[Apto]],tbl_consolidacao[[Apto]:[Dezembro]],$G$4-1,FALSE)</f>
        <v>1.02</v>
      </c>
      <c r="F16" s="41">
        <f>VLOOKUP(tbl_distribuicao[[#This Row],[Apto]],tbl_consolidacao[[Apto]:[Dezembro]],$G$4,FALSE)</f>
        <v>36.308</v>
      </c>
      <c r="G16" s="41">
        <f>tbl_distribuicao[[#This Row],[Leitura Mês Referencia]]-tbl_distribuicao[[#This Row],[Leitura Mês Anterior]]</f>
        <v>35.287999999999997</v>
      </c>
      <c r="H16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16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16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2]]&gt;0,tbl_distribuicao[[#This Row],[Consumo Mês Referência]]-SUM(tbl_distribuicao[[#This Row],[Faixa 1]:[Faixa 2]]),0))</f>
        <v>10</v>
      </c>
      <c r="K16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3]]&gt;0,tbl_distribuicao[[#This Row],[Consumo Mês Referência]]-SUM(tbl_distribuicao[[#This Row],[Faixa 1]:[Faixa 3]]),0))</f>
        <v>10</v>
      </c>
      <c r="L16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4]]&gt;0,tbl_distribuicao[[#This Row],[Consumo Mês Referência]]-SUM(tbl_distribuicao[[#This Row],[Faixa 1]:[Faixa 4]]),0))</f>
        <v>0.2879999999999967</v>
      </c>
      <c r="M16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16" s="31">
        <f>SUMPRODUCT(tbl_distribuicao[[#This Row],[Faixa 1]:[Faixa 6]],$H$2:$M$2)</f>
        <v>218.62559999999996</v>
      </c>
      <c r="O16" s="31">
        <f>tbl_distribuicao[[#This Row],[Tarifa Água CAESB Futuro]]</f>
        <v>218.62559999999996</v>
      </c>
      <c r="P16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16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16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16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16" s="42">
        <f>SUMPRODUCT(tbl_distribuicao[[#This Row],[Faixa 1_]:[Faixa 3_]],$H$2:$J$2)</f>
        <v>178.50863999999999</v>
      </c>
      <c r="U16" s="42">
        <f>tbl_distribuicao[[#This Row],[Tarifa Água CAESB Atual]]</f>
        <v>178.50863999999999</v>
      </c>
      <c r="V16" s="42">
        <f>SUM(tbl_distribuicao[[#This Row],[Tarifa Água CAESB Atual]:[Tarifa Esgoto CAESB Atual]])</f>
        <v>357.01727999999997</v>
      </c>
      <c r="W16" s="47">
        <f>tbl_distribuicao[[#This Row],[Valor Padrão Atual]]*$V$4</f>
        <v>354.54545454545456</v>
      </c>
      <c r="X16" s="32">
        <f>tbl_distribuicao[[#This Row],[Valor CAESB Futuro]]-tbl_distribuicao[[#This Row],[Valor Padrão Atual AJUSTADO]]</f>
        <v>82.705745454545365</v>
      </c>
      <c r="Y16" s="32">
        <f>tbl_distribuicao[[#This Row],[Diferença no Mês]]*12</f>
        <v>992.46894545454438</v>
      </c>
    </row>
    <row r="17" spans="1:25" x14ac:dyDescent="0.25">
      <c r="A17" s="40">
        <v>2</v>
      </c>
      <c r="B17" s="40" t="s">
        <v>29</v>
      </c>
      <c r="C17" s="40">
        <v>108</v>
      </c>
      <c r="D17" s="48" t="str">
        <f>tbl_distribuicao[[#This Row],[Unid]]&amp;"-"&amp;tbl_distribuicao[[#This Row],[Junta]]&amp;tbl_distribuicao[[#This Row],[Torre]]</f>
        <v>108-B2</v>
      </c>
      <c r="E17" s="41">
        <f>VLOOKUP(tbl_distribuicao[[#This Row],[Apto]],tbl_consolidacao[[Apto]:[Dezembro]],$G$4-1,FALSE)</f>
        <v>1.02</v>
      </c>
      <c r="F17" s="41">
        <f>VLOOKUP(tbl_distribuicao[[#This Row],[Apto]],tbl_consolidacao[[Apto]:[Dezembro]],$G$4,FALSE)</f>
        <v>36.308</v>
      </c>
      <c r="G17" s="41">
        <f>tbl_distribuicao[[#This Row],[Leitura Mês Referencia]]-tbl_distribuicao[[#This Row],[Leitura Mês Anterior]]</f>
        <v>35.287999999999997</v>
      </c>
      <c r="H17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17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17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17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17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17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17" s="31">
        <f>SUMPRODUCT(tbl_distribuicao[[#This Row],[Faixa 1]:[Faixa 6]],$H$2:$M$2)</f>
        <v>218.62559999999996</v>
      </c>
      <c r="O17" s="31">
        <f>tbl_distribuicao[[#This Row],[Tarifa Água CAESB Futuro]]</f>
        <v>218.62559999999996</v>
      </c>
      <c r="P17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17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17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17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17" s="42">
        <f>SUMPRODUCT(tbl_distribuicao[[#This Row],[Faixa 1_]:[Faixa 3_]],$H$2:$J$2)</f>
        <v>178.50863999999999</v>
      </c>
      <c r="U17" s="42">
        <f>tbl_distribuicao[[#This Row],[Tarifa Água CAESB Atual]]</f>
        <v>178.50863999999999</v>
      </c>
      <c r="V17" s="42">
        <f>SUM(tbl_distribuicao[[#This Row],[Tarifa Água CAESB Atual]:[Tarifa Esgoto CAESB Atual]])</f>
        <v>357.01727999999997</v>
      </c>
      <c r="W17" s="47">
        <f>tbl_distribuicao[[#This Row],[Valor Padrão Atual]]*$V$4</f>
        <v>354.54545454545456</v>
      </c>
      <c r="X17" s="32">
        <f>tbl_distribuicao[[#This Row],[Valor CAESB Futuro]]-tbl_distribuicao[[#This Row],[Valor Padrão Atual AJUSTADO]]</f>
        <v>82.705745454545365</v>
      </c>
      <c r="Y17" s="32">
        <f>tbl_distribuicao[[#This Row],[Diferença no Mês]]*12</f>
        <v>992.46894545454438</v>
      </c>
    </row>
    <row r="18" spans="1:25" x14ac:dyDescent="0.25">
      <c r="A18" s="40">
        <v>1</v>
      </c>
      <c r="B18" s="40" t="s">
        <v>28</v>
      </c>
      <c r="C18" s="40">
        <v>201</v>
      </c>
      <c r="D18" s="48" t="str">
        <f>tbl_distribuicao[[#This Row],[Unid]]&amp;"-"&amp;tbl_distribuicao[[#This Row],[Junta]]&amp;tbl_distribuicao[[#This Row],[Torre]]</f>
        <v>201-A1</v>
      </c>
      <c r="E18" s="41">
        <f>VLOOKUP(tbl_distribuicao[[#This Row],[Apto]],tbl_consolidacao[[Apto]:[Dezembro]],$G$4-1,FALSE)</f>
        <v>1.02</v>
      </c>
      <c r="F18" s="41">
        <f>VLOOKUP(tbl_distribuicao[[#This Row],[Apto]],tbl_consolidacao[[Apto]:[Dezembro]],$G$4,FALSE)</f>
        <v>36.308</v>
      </c>
      <c r="G18" s="41">
        <f>tbl_distribuicao[[#This Row],[Leitura Mês Referencia]]-tbl_distribuicao[[#This Row],[Leitura Mês Anterior]]</f>
        <v>35.287999999999997</v>
      </c>
      <c r="H18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18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18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18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18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18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18" s="31">
        <f>SUMPRODUCT(tbl_distribuicao[[#This Row],[Faixa 1]:[Faixa 6]],$H$2:$M$2)</f>
        <v>218.62559999999996</v>
      </c>
      <c r="O18" s="31">
        <f>tbl_distribuicao[[#This Row],[Tarifa Água CAESB Futuro]]</f>
        <v>218.62559999999996</v>
      </c>
      <c r="P18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18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18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18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18" s="42">
        <f>SUMPRODUCT(tbl_distribuicao[[#This Row],[Faixa 1_]:[Faixa 3_]],$H$2:$J$2)</f>
        <v>178.50863999999999</v>
      </c>
      <c r="U18" s="42">
        <f>tbl_distribuicao[[#This Row],[Tarifa Água CAESB Atual]]</f>
        <v>178.50863999999999</v>
      </c>
      <c r="V18" s="42">
        <f>SUM(tbl_distribuicao[[#This Row],[Tarifa Água CAESB Atual]:[Tarifa Esgoto CAESB Atual]])</f>
        <v>357.01727999999997</v>
      </c>
      <c r="W18" s="47">
        <f>tbl_distribuicao[[#This Row],[Valor Padrão Atual]]*$V$4</f>
        <v>354.54545454545456</v>
      </c>
      <c r="X18" s="32">
        <f>tbl_distribuicao[[#This Row],[Valor CAESB Futuro]]-tbl_distribuicao[[#This Row],[Valor Padrão Atual AJUSTADO]]</f>
        <v>82.705745454545365</v>
      </c>
      <c r="Y18" s="32">
        <f>tbl_distribuicao[[#This Row],[Diferença no Mês]]*12</f>
        <v>992.46894545454438</v>
      </c>
    </row>
    <row r="19" spans="1:25" x14ac:dyDescent="0.25">
      <c r="A19" s="40">
        <v>2</v>
      </c>
      <c r="B19" s="40" t="s">
        <v>28</v>
      </c>
      <c r="C19" s="40">
        <v>201</v>
      </c>
      <c r="D19" s="48" t="str">
        <f>tbl_distribuicao[[#This Row],[Unid]]&amp;"-"&amp;tbl_distribuicao[[#This Row],[Junta]]&amp;tbl_distribuicao[[#This Row],[Torre]]</f>
        <v>201-A2</v>
      </c>
      <c r="E19" s="41">
        <f>VLOOKUP(tbl_distribuicao[[#This Row],[Apto]],tbl_consolidacao[[Apto]:[Dezembro]],$G$4-1,FALSE)</f>
        <v>1.02</v>
      </c>
      <c r="F19" s="41">
        <f>VLOOKUP(tbl_distribuicao[[#This Row],[Apto]],tbl_consolidacao[[Apto]:[Dezembro]],$G$4,FALSE)</f>
        <v>36.308</v>
      </c>
      <c r="G19" s="41">
        <f>tbl_distribuicao[[#This Row],[Leitura Mês Referencia]]-tbl_distribuicao[[#This Row],[Leitura Mês Anterior]]</f>
        <v>35.287999999999997</v>
      </c>
      <c r="H19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19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19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19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19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19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19" s="31">
        <f>SUMPRODUCT(tbl_distribuicao[[#This Row],[Faixa 1]:[Faixa 6]],$H$2:$M$2)</f>
        <v>218.62559999999996</v>
      </c>
      <c r="O19" s="31">
        <f>tbl_distribuicao[[#This Row],[Tarifa Água CAESB Futuro]]</f>
        <v>218.62559999999996</v>
      </c>
      <c r="P19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19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19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19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19" s="42">
        <f>SUMPRODUCT(tbl_distribuicao[[#This Row],[Faixa 1_]:[Faixa 3_]],$H$2:$J$2)</f>
        <v>178.50863999999999</v>
      </c>
      <c r="U19" s="42">
        <f>tbl_distribuicao[[#This Row],[Tarifa Água CAESB Atual]]</f>
        <v>178.50863999999999</v>
      </c>
      <c r="V19" s="42">
        <f>SUM(tbl_distribuicao[[#This Row],[Tarifa Água CAESB Atual]:[Tarifa Esgoto CAESB Atual]])</f>
        <v>357.01727999999997</v>
      </c>
      <c r="W19" s="47">
        <f>tbl_distribuicao[[#This Row],[Valor Padrão Atual]]*$V$4</f>
        <v>354.54545454545456</v>
      </c>
      <c r="X19" s="32">
        <f>tbl_distribuicao[[#This Row],[Valor CAESB Futuro]]-tbl_distribuicao[[#This Row],[Valor Padrão Atual AJUSTADO]]</f>
        <v>82.705745454545365</v>
      </c>
      <c r="Y19" s="32">
        <f>tbl_distribuicao[[#This Row],[Diferença no Mês]]*12</f>
        <v>992.46894545454438</v>
      </c>
    </row>
    <row r="20" spans="1:25" x14ac:dyDescent="0.25">
      <c r="A20" s="40">
        <v>1</v>
      </c>
      <c r="B20" s="40" t="s">
        <v>28</v>
      </c>
      <c r="C20" s="40">
        <v>202</v>
      </c>
      <c r="D20" s="48" t="str">
        <f>tbl_distribuicao[[#This Row],[Unid]]&amp;"-"&amp;tbl_distribuicao[[#This Row],[Junta]]&amp;tbl_distribuicao[[#This Row],[Torre]]</f>
        <v>202-A1</v>
      </c>
      <c r="E20" s="41">
        <f>VLOOKUP(tbl_distribuicao[[#This Row],[Apto]],tbl_consolidacao[[Apto]:[Dezembro]],$G$4-1,FALSE)</f>
        <v>1.02</v>
      </c>
      <c r="F20" s="41">
        <f>VLOOKUP(tbl_distribuicao[[#This Row],[Apto]],tbl_consolidacao[[Apto]:[Dezembro]],$G$4,FALSE)</f>
        <v>36.308</v>
      </c>
      <c r="G20" s="41">
        <f>tbl_distribuicao[[#This Row],[Leitura Mês Referencia]]-tbl_distribuicao[[#This Row],[Leitura Mês Anterior]]</f>
        <v>35.287999999999997</v>
      </c>
      <c r="H20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20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20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20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20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20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20" s="31">
        <f>SUMPRODUCT(tbl_distribuicao[[#This Row],[Faixa 1]:[Faixa 6]],$H$2:$M$2)</f>
        <v>218.62559999999996</v>
      </c>
      <c r="O20" s="31">
        <f>tbl_distribuicao[[#This Row],[Tarifa Água CAESB Futuro]]</f>
        <v>218.62559999999996</v>
      </c>
      <c r="P20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20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20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20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20" s="42">
        <f>SUMPRODUCT(tbl_distribuicao[[#This Row],[Faixa 1_]:[Faixa 3_]],$H$2:$J$2)</f>
        <v>178.50863999999999</v>
      </c>
      <c r="U20" s="42">
        <f>tbl_distribuicao[[#This Row],[Tarifa Água CAESB Atual]]</f>
        <v>178.50863999999999</v>
      </c>
      <c r="V20" s="42">
        <f>SUM(tbl_distribuicao[[#This Row],[Tarifa Água CAESB Atual]:[Tarifa Esgoto CAESB Atual]])</f>
        <v>357.01727999999997</v>
      </c>
      <c r="W20" s="47">
        <f>tbl_distribuicao[[#This Row],[Valor Padrão Atual]]*$V$4</f>
        <v>354.54545454545456</v>
      </c>
      <c r="X20" s="32">
        <f>tbl_distribuicao[[#This Row],[Valor CAESB Futuro]]-tbl_distribuicao[[#This Row],[Valor Padrão Atual AJUSTADO]]</f>
        <v>82.705745454545365</v>
      </c>
      <c r="Y20" s="32">
        <f>tbl_distribuicao[[#This Row],[Diferença no Mês]]*12</f>
        <v>992.46894545454438</v>
      </c>
    </row>
    <row r="21" spans="1:25" x14ac:dyDescent="0.25">
      <c r="A21" s="40">
        <v>2</v>
      </c>
      <c r="B21" s="40" t="s">
        <v>28</v>
      </c>
      <c r="C21" s="40">
        <v>202</v>
      </c>
      <c r="D21" s="48" t="str">
        <f>tbl_distribuicao[[#This Row],[Unid]]&amp;"-"&amp;tbl_distribuicao[[#This Row],[Junta]]&amp;tbl_distribuicao[[#This Row],[Torre]]</f>
        <v>202-A2</v>
      </c>
      <c r="E21" s="41">
        <f>VLOOKUP(tbl_distribuicao[[#This Row],[Apto]],tbl_consolidacao[[Apto]:[Dezembro]],$G$4-1,FALSE)</f>
        <v>1.02</v>
      </c>
      <c r="F21" s="41">
        <f>VLOOKUP(tbl_distribuicao[[#This Row],[Apto]],tbl_consolidacao[[Apto]:[Dezembro]],$G$4,FALSE)</f>
        <v>36.308</v>
      </c>
      <c r="G21" s="41">
        <f>tbl_distribuicao[[#This Row],[Leitura Mês Referencia]]-tbl_distribuicao[[#This Row],[Leitura Mês Anterior]]</f>
        <v>35.287999999999997</v>
      </c>
      <c r="H21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21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21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21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21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21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21" s="31">
        <f>SUMPRODUCT(tbl_distribuicao[[#This Row],[Faixa 1]:[Faixa 6]],$H$2:$M$2)</f>
        <v>218.62559999999996</v>
      </c>
      <c r="O21" s="31">
        <f>tbl_distribuicao[[#This Row],[Tarifa Água CAESB Futuro]]</f>
        <v>218.62559999999996</v>
      </c>
      <c r="P21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21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21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21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21" s="42">
        <f>SUMPRODUCT(tbl_distribuicao[[#This Row],[Faixa 1_]:[Faixa 3_]],$H$2:$J$2)</f>
        <v>178.50863999999999</v>
      </c>
      <c r="U21" s="42">
        <f>tbl_distribuicao[[#This Row],[Tarifa Água CAESB Atual]]</f>
        <v>178.50863999999999</v>
      </c>
      <c r="V21" s="42">
        <f>SUM(tbl_distribuicao[[#This Row],[Tarifa Água CAESB Atual]:[Tarifa Esgoto CAESB Atual]])</f>
        <v>357.01727999999997</v>
      </c>
      <c r="W21" s="47">
        <f>tbl_distribuicao[[#This Row],[Valor Padrão Atual]]*$V$4</f>
        <v>354.54545454545456</v>
      </c>
      <c r="X21" s="32">
        <f>tbl_distribuicao[[#This Row],[Valor CAESB Futuro]]-tbl_distribuicao[[#This Row],[Valor Padrão Atual AJUSTADO]]</f>
        <v>82.705745454545365</v>
      </c>
      <c r="Y21" s="32">
        <f>tbl_distribuicao[[#This Row],[Diferença no Mês]]*12</f>
        <v>992.46894545454438</v>
      </c>
    </row>
    <row r="22" spans="1:25" x14ac:dyDescent="0.25">
      <c r="A22" s="40">
        <v>1</v>
      </c>
      <c r="B22" s="40" t="s">
        <v>28</v>
      </c>
      <c r="C22" s="40">
        <v>203</v>
      </c>
      <c r="D22" s="48" t="str">
        <f>tbl_distribuicao[[#This Row],[Unid]]&amp;"-"&amp;tbl_distribuicao[[#This Row],[Junta]]&amp;tbl_distribuicao[[#This Row],[Torre]]</f>
        <v>203-A1</v>
      </c>
      <c r="E22" s="41">
        <f>VLOOKUP(tbl_distribuicao[[#This Row],[Apto]],tbl_consolidacao[[Apto]:[Dezembro]],$G$4-1,FALSE)</f>
        <v>1.02</v>
      </c>
      <c r="F22" s="41">
        <f>VLOOKUP(tbl_distribuicao[[#This Row],[Apto]],tbl_consolidacao[[Apto]:[Dezembro]],$G$4,FALSE)</f>
        <v>36.308</v>
      </c>
      <c r="G22" s="41">
        <f>tbl_distribuicao[[#This Row],[Leitura Mês Referencia]]-tbl_distribuicao[[#This Row],[Leitura Mês Anterior]]</f>
        <v>35.287999999999997</v>
      </c>
      <c r="H22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22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22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22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22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22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22" s="31">
        <f>SUMPRODUCT(tbl_distribuicao[[#This Row],[Faixa 1]:[Faixa 6]],$H$2:$M$2)</f>
        <v>218.62559999999996</v>
      </c>
      <c r="O22" s="31">
        <f>tbl_distribuicao[[#This Row],[Tarifa Água CAESB Futuro]]</f>
        <v>218.62559999999996</v>
      </c>
      <c r="P22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22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22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22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22" s="42">
        <f>SUMPRODUCT(tbl_distribuicao[[#This Row],[Faixa 1_]:[Faixa 3_]],$H$2:$J$2)</f>
        <v>178.50863999999999</v>
      </c>
      <c r="U22" s="42">
        <f>tbl_distribuicao[[#This Row],[Tarifa Água CAESB Atual]]</f>
        <v>178.50863999999999</v>
      </c>
      <c r="V22" s="42">
        <f>SUM(tbl_distribuicao[[#This Row],[Tarifa Água CAESB Atual]:[Tarifa Esgoto CAESB Atual]])</f>
        <v>357.01727999999997</v>
      </c>
      <c r="W22" s="47">
        <f>tbl_distribuicao[[#This Row],[Valor Padrão Atual]]*$V$4</f>
        <v>354.54545454545456</v>
      </c>
      <c r="X22" s="32">
        <f>tbl_distribuicao[[#This Row],[Valor CAESB Futuro]]-tbl_distribuicao[[#This Row],[Valor Padrão Atual AJUSTADO]]</f>
        <v>82.705745454545365</v>
      </c>
      <c r="Y22" s="32">
        <f>tbl_distribuicao[[#This Row],[Diferença no Mês]]*12</f>
        <v>992.46894545454438</v>
      </c>
    </row>
    <row r="23" spans="1:25" x14ac:dyDescent="0.25">
      <c r="A23" s="40">
        <v>2</v>
      </c>
      <c r="B23" s="40" t="s">
        <v>28</v>
      </c>
      <c r="C23" s="40">
        <v>203</v>
      </c>
      <c r="D23" s="48" t="str">
        <f>tbl_distribuicao[[#This Row],[Unid]]&amp;"-"&amp;tbl_distribuicao[[#This Row],[Junta]]&amp;tbl_distribuicao[[#This Row],[Torre]]</f>
        <v>203-A2</v>
      </c>
      <c r="E23" s="41">
        <f>VLOOKUP(tbl_distribuicao[[#This Row],[Apto]],tbl_consolidacao[[Apto]:[Dezembro]],$G$4-1,FALSE)</f>
        <v>1.02</v>
      </c>
      <c r="F23" s="41">
        <f>VLOOKUP(tbl_distribuicao[[#This Row],[Apto]],tbl_consolidacao[[Apto]:[Dezembro]],$G$4,FALSE)</f>
        <v>36.308</v>
      </c>
      <c r="G23" s="41">
        <f>tbl_distribuicao[[#This Row],[Leitura Mês Referencia]]-tbl_distribuicao[[#This Row],[Leitura Mês Anterior]]</f>
        <v>35.287999999999997</v>
      </c>
      <c r="H23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23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23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23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23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23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23" s="31">
        <f>SUMPRODUCT(tbl_distribuicao[[#This Row],[Faixa 1]:[Faixa 6]],$H$2:$M$2)</f>
        <v>218.62559999999996</v>
      </c>
      <c r="O23" s="31">
        <f>tbl_distribuicao[[#This Row],[Tarifa Água CAESB Futuro]]</f>
        <v>218.62559999999996</v>
      </c>
      <c r="P23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23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23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23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23" s="42">
        <f>SUMPRODUCT(tbl_distribuicao[[#This Row],[Faixa 1_]:[Faixa 3_]],$H$2:$J$2)</f>
        <v>178.50863999999999</v>
      </c>
      <c r="U23" s="42">
        <f>tbl_distribuicao[[#This Row],[Tarifa Água CAESB Atual]]</f>
        <v>178.50863999999999</v>
      </c>
      <c r="V23" s="42">
        <f>SUM(tbl_distribuicao[[#This Row],[Tarifa Água CAESB Atual]:[Tarifa Esgoto CAESB Atual]])</f>
        <v>357.01727999999997</v>
      </c>
      <c r="W23" s="47">
        <f>tbl_distribuicao[[#This Row],[Valor Padrão Atual]]*$V$4</f>
        <v>354.54545454545456</v>
      </c>
      <c r="X23" s="32">
        <f>tbl_distribuicao[[#This Row],[Valor CAESB Futuro]]-tbl_distribuicao[[#This Row],[Valor Padrão Atual AJUSTADO]]</f>
        <v>82.705745454545365</v>
      </c>
      <c r="Y23" s="32">
        <f>tbl_distribuicao[[#This Row],[Diferença no Mês]]*12</f>
        <v>992.46894545454438</v>
      </c>
    </row>
    <row r="24" spans="1:25" x14ac:dyDescent="0.25">
      <c r="A24" s="40">
        <v>1</v>
      </c>
      <c r="B24" s="40" t="s">
        <v>28</v>
      </c>
      <c r="C24" s="40">
        <v>204</v>
      </c>
      <c r="D24" s="48" t="str">
        <f>tbl_distribuicao[[#This Row],[Unid]]&amp;"-"&amp;tbl_distribuicao[[#This Row],[Junta]]&amp;tbl_distribuicao[[#This Row],[Torre]]</f>
        <v>204-A1</v>
      </c>
      <c r="E24" s="41">
        <f>VLOOKUP(tbl_distribuicao[[#This Row],[Apto]],tbl_consolidacao[[Apto]:[Dezembro]],$G$4-1,FALSE)</f>
        <v>1.02</v>
      </c>
      <c r="F24" s="41">
        <f>VLOOKUP(tbl_distribuicao[[#This Row],[Apto]],tbl_consolidacao[[Apto]:[Dezembro]],$G$4,FALSE)</f>
        <v>36.308</v>
      </c>
      <c r="G24" s="41">
        <f>tbl_distribuicao[[#This Row],[Leitura Mês Referencia]]-tbl_distribuicao[[#This Row],[Leitura Mês Anterior]]</f>
        <v>35.287999999999997</v>
      </c>
      <c r="H24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24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24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24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24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24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24" s="31">
        <f>SUMPRODUCT(tbl_distribuicao[[#This Row],[Faixa 1]:[Faixa 6]],$H$2:$M$2)</f>
        <v>218.62559999999996</v>
      </c>
      <c r="O24" s="31">
        <f>tbl_distribuicao[[#This Row],[Tarifa Água CAESB Futuro]]</f>
        <v>218.62559999999996</v>
      </c>
      <c r="P24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24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24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24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24" s="42">
        <f>SUMPRODUCT(tbl_distribuicao[[#This Row],[Faixa 1_]:[Faixa 3_]],$H$2:$J$2)</f>
        <v>178.50863999999999</v>
      </c>
      <c r="U24" s="42">
        <f>tbl_distribuicao[[#This Row],[Tarifa Água CAESB Atual]]</f>
        <v>178.50863999999999</v>
      </c>
      <c r="V24" s="42">
        <f>SUM(tbl_distribuicao[[#This Row],[Tarifa Água CAESB Atual]:[Tarifa Esgoto CAESB Atual]])</f>
        <v>357.01727999999997</v>
      </c>
      <c r="W24" s="47">
        <f>tbl_distribuicao[[#This Row],[Valor Padrão Atual]]*$V$4</f>
        <v>354.54545454545456</v>
      </c>
      <c r="X24" s="32">
        <f>tbl_distribuicao[[#This Row],[Valor CAESB Futuro]]-tbl_distribuicao[[#This Row],[Valor Padrão Atual AJUSTADO]]</f>
        <v>82.705745454545365</v>
      </c>
      <c r="Y24" s="32">
        <f>tbl_distribuicao[[#This Row],[Diferença no Mês]]*12</f>
        <v>992.46894545454438</v>
      </c>
    </row>
    <row r="25" spans="1:25" x14ac:dyDescent="0.25">
      <c r="A25" s="40">
        <v>2</v>
      </c>
      <c r="B25" s="40" t="s">
        <v>28</v>
      </c>
      <c r="C25" s="40">
        <v>204</v>
      </c>
      <c r="D25" s="48" t="str">
        <f>tbl_distribuicao[[#This Row],[Unid]]&amp;"-"&amp;tbl_distribuicao[[#This Row],[Junta]]&amp;tbl_distribuicao[[#This Row],[Torre]]</f>
        <v>204-A2</v>
      </c>
      <c r="E25" s="41">
        <f>VLOOKUP(tbl_distribuicao[[#This Row],[Apto]],tbl_consolidacao[[Apto]:[Dezembro]],$G$4-1,FALSE)</f>
        <v>1.02</v>
      </c>
      <c r="F25" s="41">
        <f>VLOOKUP(tbl_distribuicao[[#This Row],[Apto]],tbl_consolidacao[[Apto]:[Dezembro]],$G$4,FALSE)</f>
        <v>36.308</v>
      </c>
      <c r="G25" s="41">
        <f>tbl_distribuicao[[#This Row],[Leitura Mês Referencia]]-tbl_distribuicao[[#This Row],[Leitura Mês Anterior]]</f>
        <v>35.287999999999997</v>
      </c>
      <c r="H25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25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25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25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25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25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25" s="31">
        <f>SUMPRODUCT(tbl_distribuicao[[#This Row],[Faixa 1]:[Faixa 6]],$H$2:$M$2)</f>
        <v>218.62559999999996</v>
      </c>
      <c r="O25" s="31">
        <f>tbl_distribuicao[[#This Row],[Tarifa Água CAESB Futuro]]</f>
        <v>218.62559999999996</v>
      </c>
      <c r="P25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25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25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25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25" s="42">
        <f>SUMPRODUCT(tbl_distribuicao[[#This Row],[Faixa 1_]:[Faixa 3_]],$H$2:$J$2)</f>
        <v>178.50863999999999</v>
      </c>
      <c r="U25" s="42">
        <f>tbl_distribuicao[[#This Row],[Tarifa Água CAESB Atual]]</f>
        <v>178.50863999999999</v>
      </c>
      <c r="V25" s="42">
        <f>SUM(tbl_distribuicao[[#This Row],[Tarifa Água CAESB Atual]:[Tarifa Esgoto CAESB Atual]])</f>
        <v>357.01727999999997</v>
      </c>
      <c r="W25" s="47">
        <f>tbl_distribuicao[[#This Row],[Valor Padrão Atual]]*$V$4</f>
        <v>354.54545454545456</v>
      </c>
      <c r="X25" s="32">
        <f>tbl_distribuicao[[#This Row],[Valor CAESB Futuro]]-tbl_distribuicao[[#This Row],[Valor Padrão Atual AJUSTADO]]</f>
        <v>82.705745454545365</v>
      </c>
      <c r="Y25" s="32">
        <f>tbl_distribuicao[[#This Row],[Diferença no Mês]]*12</f>
        <v>992.46894545454438</v>
      </c>
    </row>
    <row r="26" spans="1:25" x14ac:dyDescent="0.25">
      <c r="A26" s="40">
        <v>1</v>
      </c>
      <c r="B26" s="40" t="s">
        <v>29</v>
      </c>
      <c r="C26" s="40">
        <v>205</v>
      </c>
      <c r="D26" s="48" t="str">
        <f>tbl_distribuicao[[#This Row],[Unid]]&amp;"-"&amp;tbl_distribuicao[[#This Row],[Junta]]&amp;tbl_distribuicao[[#This Row],[Torre]]</f>
        <v>205-B1</v>
      </c>
      <c r="E26" s="41">
        <f>VLOOKUP(tbl_distribuicao[[#This Row],[Apto]],tbl_consolidacao[[Apto]:[Dezembro]],$G$4-1,FALSE)</f>
        <v>1.02</v>
      </c>
      <c r="F26" s="41">
        <f>VLOOKUP(tbl_distribuicao[[#This Row],[Apto]],tbl_consolidacao[[Apto]:[Dezembro]],$G$4,FALSE)</f>
        <v>36.308</v>
      </c>
      <c r="G26" s="41">
        <f>tbl_distribuicao[[#This Row],[Leitura Mês Referencia]]-tbl_distribuicao[[#This Row],[Leitura Mês Anterior]]</f>
        <v>35.287999999999997</v>
      </c>
      <c r="H26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26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26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26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26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26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26" s="31">
        <f>SUMPRODUCT(tbl_distribuicao[[#This Row],[Faixa 1]:[Faixa 6]],$H$2:$M$2)</f>
        <v>218.62559999999996</v>
      </c>
      <c r="O26" s="31">
        <f>tbl_distribuicao[[#This Row],[Tarifa Água CAESB Futuro]]</f>
        <v>218.62559999999996</v>
      </c>
      <c r="P26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26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26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26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26" s="42">
        <f>SUMPRODUCT(tbl_distribuicao[[#This Row],[Faixa 1_]:[Faixa 3_]],$H$2:$J$2)</f>
        <v>178.50863999999999</v>
      </c>
      <c r="U26" s="42">
        <f>tbl_distribuicao[[#This Row],[Tarifa Água CAESB Atual]]</f>
        <v>178.50863999999999</v>
      </c>
      <c r="V26" s="42">
        <f>SUM(tbl_distribuicao[[#This Row],[Tarifa Água CAESB Atual]:[Tarifa Esgoto CAESB Atual]])</f>
        <v>357.01727999999997</v>
      </c>
      <c r="W26" s="47">
        <f>tbl_distribuicao[[#This Row],[Valor Padrão Atual]]*$V$4</f>
        <v>354.54545454545456</v>
      </c>
      <c r="X26" s="32">
        <f>tbl_distribuicao[[#This Row],[Valor CAESB Futuro]]-tbl_distribuicao[[#This Row],[Valor Padrão Atual AJUSTADO]]</f>
        <v>82.705745454545365</v>
      </c>
      <c r="Y26" s="32">
        <f>tbl_distribuicao[[#This Row],[Diferença no Mês]]*12</f>
        <v>992.46894545454438</v>
      </c>
    </row>
    <row r="27" spans="1:25" x14ac:dyDescent="0.25">
      <c r="A27" s="40">
        <v>2</v>
      </c>
      <c r="B27" s="40" t="s">
        <v>29</v>
      </c>
      <c r="C27" s="40">
        <v>205</v>
      </c>
      <c r="D27" s="48" t="str">
        <f>tbl_distribuicao[[#This Row],[Unid]]&amp;"-"&amp;tbl_distribuicao[[#This Row],[Junta]]&amp;tbl_distribuicao[[#This Row],[Torre]]</f>
        <v>205-B2</v>
      </c>
      <c r="E27" s="41">
        <f>VLOOKUP(tbl_distribuicao[[#This Row],[Apto]],tbl_consolidacao[[Apto]:[Dezembro]],$G$4-1,FALSE)</f>
        <v>1.02</v>
      </c>
      <c r="F27" s="41">
        <f>VLOOKUP(tbl_distribuicao[[#This Row],[Apto]],tbl_consolidacao[[Apto]:[Dezembro]],$G$4,FALSE)</f>
        <v>36.308</v>
      </c>
      <c r="G27" s="41">
        <f>tbl_distribuicao[[#This Row],[Leitura Mês Referencia]]-tbl_distribuicao[[#This Row],[Leitura Mês Anterior]]</f>
        <v>35.287999999999997</v>
      </c>
      <c r="H27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27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27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27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27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27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27" s="31">
        <f>SUMPRODUCT(tbl_distribuicao[[#This Row],[Faixa 1]:[Faixa 6]],$H$2:$M$2)</f>
        <v>218.62559999999996</v>
      </c>
      <c r="O27" s="31">
        <f>tbl_distribuicao[[#This Row],[Tarifa Água CAESB Futuro]]</f>
        <v>218.62559999999996</v>
      </c>
      <c r="P27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27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27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27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27" s="42">
        <f>SUMPRODUCT(tbl_distribuicao[[#This Row],[Faixa 1_]:[Faixa 3_]],$H$2:$J$2)</f>
        <v>178.50863999999999</v>
      </c>
      <c r="U27" s="42">
        <f>tbl_distribuicao[[#This Row],[Tarifa Água CAESB Atual]]</f>
        <v>178.50863999999999</v>
      </c>
      <c r="V27" s="42">
        <f>SUM(tbl_distribuicao[[#This Row],[Tarifa Água CAESB Atual]:[Tarifa Esgoto CAESB Atual]])</f>
        <v>357.01727999999997</v>
      </c>
      <c r="W27" s="47">
        <f>tbl_distribuicao[[#This Row],[Valor Padrão Atual]]*$V$4</f>
        <v>354.54545454545456</v>
      </c>
      <c r="X27" s="32">
        <f>tbl_distribuicao[[#This Row],[Valor CAESB Futuro]]-tbl_distribuicao[[#This Row],[Valor Padrão Atual AJUSTADO]]</f>
        <v>82.705745454545365</v>
      </c>
      <c r="Y27" s="32">
        <f>tbl_distribuicao[[#This Row],[Diferença no Mês]]*12</f>
        <v>992.46894545454438</v>
      </c>
    </row>
    <row r="28" spans="1:25" x14ac:dyDescent="0.25">
      <c r="A28" s="40">
        <v>1</v>
      </c>
      <c r="B28" s="40" t="s">
        <v>29</v>
      </c>
      <c r="C28" s="40">
        <v>206</v>
      </c>
      <c r="D28" s="48" t="str">
        <f>tbl_distribuicao[[#This Row],[Unid]]&amp;"-"&amp;tbl_distribuicao[[#This Row],[Junta]]&amp;tbl_distribuicao[[#This Row],[Torre]]</f>
        <v>206-B1</v>
      </c>
      <c r="E28" s="41">
        <f>VLOOKUP(tbl_distribuicao[[#This Row],[Apto]],tbl_consolidacao[[Apto]:[Dezembro]],$G$4-1,FALSE)</f>
        <v>1.02</v>
      </c>
      <c r="F28" s="41">
        <f>VLOOKUP(tbl_distribuicao[[#This Row],[Apto]],tbl_consolidacao[[Apto]:[Dezembro]],$G$4,FALSE)</f>
        <v>36.308</v>
      </c>
      <c r="G28" s="41">
        <f>tbl_distribuicao[[#This Row],[Leitura Mês Referencia]]-tbl_distribuicao[[#This Row],[Leitura Mês Anterior]]</f>
        <v>35.287999999999997</v>
      </c>
      <c r="H28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28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28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28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28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28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28" s="31">
        <f>SUMPRODUCT(tbl_distribuicao[[#This Row],[Faixa 1]:[Faixa 6]],$H$2:$M$2)</f>
        <v>218.62559999999996</v>
      </c>
      <c r="O28" s="31">
        <f>tbl_distribuicao[[#This Row],[Tarifa Água CAESB Futuro]]</f>
        <v>218.62559999999996</v>
      </c>
      <c r="P28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28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28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28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28" s="42">
        <f>SUMPRODUCT(tbl_distribuicao[[#This Row],[Faixa 1_]:[Faixa 3_]],$H$2:$J$2)</f>
        <v>178.50863999999999</v>
      </c>
      <c r="U28" s="42">
        <f>tbl_distribuicao[[#This Row],[Tarifa Água CAESB Atual]]</f>
        <v>178.50863999999999</v>
      </c>
      <c r="V28" s="42">
        <f>SUM(tbl_distribuicao[[#This Row],[Tarifa Água CAESB Atual]:[Tarifa Esgoto CAESB Atual]])</f>
        <v>357.01727999999997</v>
      </c>
      <c r="W28" s="47">
        <f>tbl_distribuicao[[#This Row],[Valor Padrão Atual]]*$V$4</f>
        <v>354.54545454545456</v>
      </c>
      <c r="X28" s="32">
        <f>tbl_distribuicao[[#This Row],[Valor CAESB Futuro]]-tbl_distribuicao[[#This Row],[Valor Padrão Atual AJUSTADO]]</f>
        <v>82.705745454545365</v>
      </c>
      <c r="Y28" s="32">
        <f>tbl_distribuicao[[#This Row],[Diferença no Mês]]*12</f>
        <v>992.46894545454438</v>
      </c>
    </row>
    <row r="29" spans="1:25" x14ac:dyDescent="0.25">
      <c r="A29" s="40">
        <v>2</v>
      </c>
      <c r="B29" s="40" t="s">
        <v>29</v>
      </c>
      <c r="C29" s="40">
        <v>206</v>
      </c>
      <c r="D29" s="48" t="str">
        <f>tbl_distribuicao[[#This Row],[Unid]]&amp;"-"&amp;tbl_distribuicao[[#This Row],[Junta]]&amp;tbl_distribuicao[[#This Row],[Torre]]</f>
        <v>206-B2</v>
      </c>
      <c r="E29" s="41">
        <f>VLOOKUP(tbl_distribuicao[[#This Row],[Apto]],tbl_consolidacao[[Apto]:[Dezembro]],$G$4-1,FALSE)</f>
        <v>1.02</v>
      </c>
      <c r="F29" s="41">
        <f>VLOOKUP(tbl_distribuicao[[#This Row],[Apto]],tbl_consolidacao[[Apto]:[Dezembro]],$G$4,FALSE)</f>
        <v>36.308</v>
      </c>
      <c r="G29" s="41">
        <f>tbl_distribuicao[[#This Row],[Leitura Mês Referencia]]-tbl_distribuicao[[#This Row],[Leitura Mês Anterior]]</f>
        <v>35.287999999999997</v>
      </c>
      <c r="H29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29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29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29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29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29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29" s="31">
        <f>SUMPRODUCT(tbl_distribuicao[[#This Row],[Faixa 1]:[Faixa 6]],$H$2:$M$2)</f>
        <v>218.62559999999996</v>
      </c>
      <c r="O29" s="31">
        <f>tbl_distribuicao[[#This Row],[Tarifa Água CAESB Futuro]]</f>
        <v>218.62559999999996</v>
      </c>
      <c r="P29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29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29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29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29" s="42">
        <f>SUMPRODUCT(tbl_distribuicao[[#This Row],[Faixa 1_]:[Faixa 3_]],$H$2:$J$2)</f>
        <v>178.50863999999999</v>
      </c>
      <c r="U29" s="42">
        <f>tbl_distribuicao[[#This Row],[Tarifa Água CAESB Atual]]</f>
        <v>178.50863999999999</v>
      </c>
      <c r="V29" s="42">
        <f>SUM(tbl_distribuicao[[#This Row],[Tarifa Água CAESB Atual]:[Tarifa Esgoto CAESB Atual]])</f>
        <v>357.01727999999997</v>
      </c>
      <c r="W29" s="47">
        <f>tbl_distribuicao[[#This Row],[Valor Padrão Atual]]*$V$4</f>
        <v>354.54545454545456</v>
      </c>
      <c r="X29" s="32">
        <f>tbl_distribuicao[[#This Row],[Valor CAESB Futuro]]-tbl_distribuicao[[#This Row],[Valor Padrão Atual AJUSTADO]]</f>
        <v>82.705745454545365</v>
      </c>
      <c r="Y29" s="32">
        <f>tbl_distribuicao[[#This Row],[Diferença no Mês]]*12</f>
        <v>992.46894545454438</v>
      </c>
    </row>
    <row r="30" spans="1:25" x14ac:dyDescent="0.25">
      <c r="A30" s="40">
        <v>1</v>
      </c>
      <c r="B30" s="40" t="s">
        <v>29</v>
      </c>
      <c r="C30" s="40">
        <v>207</v>
      </c>
      <c r="D30" s="48" t="str">
        <f>tbl_distribuicao[[#This Row],[Unid]]&amp;"-"&amp;tbl_distribuicao[[#This Row],[Junta]]&amp;tbl_distribuicao[[#This Row],[Torre]]</f>
        <v>207-B1</v>
      </c>
      <c r="E30" s="41">
        <f>VLOOKUP(tbl_distribuicao[[#This Row],[Apto]],tbl_consolidacao[[Apto]:[Dezembro]],$G$4-1,FALSE)</f>
        <v>1.02</v>
      </c>
      <c r="F30" s="41">
        <f>VLOOKUP(tbl_distribuicao[[#This Row],[Apto]],tbl_consolidacao[[Apto]:[Dezembro]],$G$4,FALSE)</f>
        <v>36.308</v>
      </c>
      <c r="G30" s="41">
        <f>tbl_distribuicao[[#This Row],[Leitura Mês Referencia]]-tbl_distribuicao[[#This Row],[Leitura Mês Anterior]]</f>
        <v>35.287999999999997</v>
      </c>
      <c r="H30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30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30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30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30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30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30" s="31">
        <f>SUMPRODUCT(tbl_distribuicao[[#This Row],[Faixa 1]:[Faixa 6]],$H$2:$M$2)</f>
        <v>218.62559999999996</v>
      </c>
      <c r="O30" s="31">
        <f>tbl_distribuicao[[#This Row],[Tarifa Água CAESB Futuro]]</f>
        <v>218.62559999999996</v>
      </c>
      <c r="P30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30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30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30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30" s="42">
        <f>SUMPRODUCT(tbl_distribuicao[[#This Row],[Faixa 1_]:[Faixa 3_]],$H$2:$J$2)</f>
        <v>178.50863999999999</v>
      </c>
      <c r="U30" s="42">
        <f>tbl_distribuicao[[#This Row],[Tarifa Água CAESB Atual]]</f>
        <v>178.50863999999999</v>
      </c>
      <c r="V30" s="42">
        <f>SUM(tbl_distribuicao[[#This Row],[Tarifa Água CAESB Atual]:[Tarifa Esgoto CAESB Atual]])</f>
        <v>357.01727999999997</v>
      </c>
      <c r="W30" s="47">
        <f>tbl_distribuicao[[#This Row],[Valor Padrão Atual]]*$V$4</f>
        <v>354.54545454545456</v>
      </c>
      <c r="X30" s="32">
        <f>tbl_distribuicao[[#This Row],[Valor CAESB Futuro]]-tbl_distribuicao[[#This Row],[Valor Padrão Atual AJUSTADO]]</f>
        <v>82.705745454545365</v>
      </c>
      <c r="Y30" s="32">
        <f>tbl_distribuicao[[#This Row],[Diferença no Mês]]*12</f>
        <v>992.46894545454438</v>
      </c>
    </row>
    <row r="31" spans="1:25" x14ac:dyDescent="0.25">
      <c r="A31" s="40">
        <v>2</v>
      </c>
      <c r="B31" s="40" t="s">
        <v>29</v>
      </c>
      <c r="C31" s="40">
        <v>207</v>
      </c>
      <c r="D31" s="48" t="str">
        <f>tbl_distribuicao[[#This Row],[Unid]]&amp;"-"&amp;tbl_distribuicao[[#This Row],[Junta]]&amp;tbl_distribuicao[[#This Row],[Torre]]</f>
        <v>207-B2</v>
      </c>
      <c r="E31" s="41">
        <f>VLOOKUP(tbl_distribuicao[[#This Row],[Apto]],tbl_consolidacao[[Apto]:[Dezembro]],$G$4-1,FALSE)</f>
        <v>1.02</v>
      </c>
      <c r="F31" s="41">
        <f>VLOOKUP(tbl_distribuicao[[#This Row],[Apto]],tbl_consolidacao[[Apto]:[Dezembro]],$G$4,FALSE)</f>
        <v>36.308</v>
      </c>
      <c r="G31" s="41">
        <f>tbl_distribuicao[[#This Row],[Leitura Mês Referencia]]-tbl_distribuicao[[#This Row],[Leitura Mês Anterior]]</f>
        <v>35.287999999999997</v>
      </c>
      <c r="H31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31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31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31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31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31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31" s="31">
        <f>SUMPRODUCT(tbl_distribuicao[[#This Row],[Faixa 1]:[Faixa 6]],$H$2:$M$2)</f>
        <v>218.62559999999996</v>
      </c>
      <c r="O31" s="31">
        <f>tbl_distribuicao[[#This Row],[Tarifa Água CAESB Futuro]]</f>
        <v>218.62559999999996</v>
      </c>
      <c r="P31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31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31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31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31" s="42">
        <f>SUMPRODUCT(tbl_distribuicao[[#This Row],[Faixa 1_]:[Faixa 3_]],$H$2:$J$2)</f>
        <v>178.50863999999999</v>
      </c>
      <c r="U31" s="42">
        <f>tbl_distribuicao[[#This Row],[Tarifa Água CAESB Atual]]</f>
        <v>178.50863999999999</v>
      </c>
      <c r="V31" s="42">
        <f>SUM(tbl_distribuicao[[#This Row],[Tarifa Água CAESB Atual]:[Tarifa Esgoto CAESB Atual]])</f>
        <v>357.01727999999997</v>
      </c>
      <c r="W31" s="47">
        <f>tbl_distribuicao[[#This Row],[Valor Padrão Atual]]*$V$4</f>
        <v>354.54545454545456</v>
      </c>
      <c r="X31" s="32">
        <f>tbl_distribuicao[[#This Row],[Valor CAESB Futuro]]-tbl_distribuicao[[#This Row],[Valor Padrão Atual AJUSTADO]]</f>
        <v>82.705745454545365</v>
      </c>
      <c r="Y31" s="32">
        <f>tbl_distribuicao[[#This Row],[Diferença no Mês]]*12</f>
        <v>992.46894545454438</v>
      </c>
    </row>
    <row r="32" spans="1:25" x14ac:dyDescent="0.25">
      <c r="A32" s="40">
        <v>1</v>
      </c>
      <c r="B32" s="40" t="s">
        <v>29</v>
      </c>
      <c r="C32" s="40">
        <v>208</v>
      </c>
      <c r="D32" s="48" t="str">
        <f>tbl_distribuicao[[#This Row],[Unid]]&amp;"-"&amp;tbl_distribuicao[[#This Row],[Junta]]&amp;tbl_distribuicao[[#This Row],[Torre]]</f>
        <v>208-B1</v>
      </c>
      <c r="E32" s="41">
        <f>VLOOKUP(tbl_distribuicao[[#This Row],[Apto]],tbl_consolidacao[[Apto]:[Dezembro]],$G$4-1,FALSE)</f>
        <v>1.02</v>
      </c>
      <c r="F32" s="41">
        <f>VLOOKUP(tbl_distribuicao[[#This Row],[Apto]],tbl_consolidacao[[Apto]:[Dezembro]],$G$4,FALSE)</f>
        <v>36.308</v>
      </c>
      <c r="G32" s="41">
        <f>tbl_distribuicao[[#This Row],[Leitura Mês Referencia]]-tbl_distribuicao[[#This Row],[Leitura Mês Anterior]]</f>
        <v>35.287999999999997</v>
      </c>
      <c r="H32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32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32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32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32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32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32" s="31">
        <f>SUMPRODUCT(tbl_distribuicao[[#This Row],[Faixa 1]:[Faixa 6]],$H$2:$M$2)</f>
        <v>218.62559999999996</v>
      </c>
      <c r="O32" s="31">
        <f>tbl_distribuicao[[#This Row],[Tarifa Água CAESB Futuro]]</f>
        <v>218.62559999999996</v>
      </c>
      <c r="P32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32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32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32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32" s="42">
        <f>SUMPRODUCT(tbl_distribuicao[[#This Row],[Faixa 1_]:[Faixa 3_]],$H$2:$J$2)</f>
        <v>178.50863999999999</v>
      </c>
      <c r="U32" s="42">
        <f>tbl_distribuicao[[#This Row],[Tarifa Água CAESB Atual]]</f>
        <v>178.50863999999999</v>
      </c>
      <c r="V32" s="42">
        <f>SUM(tbl_distribuicao[[#This Row],[Tarifa Água CAESB Atual]:[Tarifa Esgoto CAESB Atual]])</f>
        <v>357.01727999999997</v>
      </c>
      <c r="W32" s="47">
        <f>tbl_distribuicao[[#This Row],[Valor Padrão Atual]]*$V$4</f>
        <v>354.54545454545456</v>
      </c>
      <c r="X32" s="32">
        <f>tbl_distribuicao[[#This Row],[Valor CAESB Futuro]]-tbl_distribuicao[[#This Row],[Valor Padrão Atual AJUSTADO]]</f>
        <v>82.705745454545365</v>
      </c>
      <c r="Y32" s="32">
        <f>tbl_distribuicao[[#This Row],[Diferença no Mês]]*12</f>
        <v>992.46894545454438</v>
      </c>
    </row>
    <row r="33" spans="1:25" x14ac:dyDescent="0.25">
      <c r="A33" s="40">
        <v>2</v>
      </c>
      <c r="B33" s="40" t="s">
        <v>29</v>
      </c>
      <c r="C33" s="40">
        <v>208</v>
      </c>
      <c r="D33" s="48" t="str">
        <f>tbl_distribuicao[[#This Row],[Unid]]&amp;"-"&amp;tbl_distribuicao[[#This Row],[Junta]]&amp;tbl_distribuicao[[#This Row],[Torre]]</f>
        <v>208-B2</v>
      </c>
      <c r="E33" s="41">
        <f>VLOOKUP(tbl_distribuicao[[#This Row],[Apto]],tbl_consolidacao[[Apto]:[Dezembro]],$G$4-1,FALSE)</f>
        <v>1.02</v>
      </c>
      <c r="F33" s="41">
        <f>VLOOKUP(tbl_distribuicao[[#This Row],[Apto]],tbl_consolidacao[[Apto]:[Dezembro]],$G$4,FALSE)</f>
        <v>36.308</v>
      </c>
      <c r="G33" s="41">
        <f>tbl_distribuicao[[#This Row],[Leitura Mês Referencia]]-tbl_distribuicao[[#This Row],[Leitura Mês Anterior]]</f>
        <v>35.287999999999997</v>
      </c>
      <c r="H33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33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33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33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33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33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33" s="31">
        <f>SUMPRODUCT(tbl_distribuicao[[#This Row],[Faixa 1]:[Faixa 6]],$H$2:$M$2)</f>
        <v>218.62559999999996</v>
      </c>
      <c r="O33" s="31">
        <f>tbl_distribuicao[[#This Row],[Tarifa Água CAESB Futuro]]</f>
        <v>218.62559999999996</v>
      </c>
      <c r="P33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33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33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33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33" s="42">
        <f>SUMPRODUCT(tbl_distribuicao[[#This Row],[Faixa 1_]:[Faixa 3_]],$H$2:$J$2)</f>
        <v>178.50863999999999</v>
      </c>
      <c r="U33" s="42">
        <f>tbl_distribuicao[[#This Row],[Tarifa Água CAESB Atual]]</f>
        <v>178.50863999999999</v>
      </c>
      <c r="V33" s="42">
        <f>SUM(tbl_distribuicao[[#This Row],[Tarifa Água CAESB Atual]:[Tarifa Esgoto CAESB Atual]])</f>
        <v>357.01727999999997</v>
      </c>
      <c r="W33" s="47">
        <f>tbl_distribuicao[[#This Row],[Valor Padrão Atual]]*$V$4</f>
        <v>354.54545454545456</v>
      </c>
      <c r="X33" s="32">
        <f>tbl_distribuicao[[#This Row],[Valor CAESB Futuro]]-tbl_distribuicao[[#This Row],[Valor Padrão Atual AJUSTADO]]</f>
        <v>82.705745454545365</v>
      </c>
      <c r="Y33" s="32">
        <f>tbl_distribuicao[[#This Row],[Diferença no Mês]]*12</f>
        <v>992.46894545454438</v>
      </c>
    </row>
    <row r="34" spans="1:25" x14ac:dyDescent="0.25">
      <c r="A34" s="40">
        <v>1</v>
      </c>
      <c r="B34" s="40" t="s">
        <v>28</v>
      </c>
      <c r="C34" s="40">
        <v>301</v>
      </c>
      <c r="D34" s="48" t="str">
        <f>tbl_distribuicao[[#This Row],[Unid]]&amp;"-"&amp;tbl_distribuicao[[#This Row],[Junta]]&amp;tbl_distribuicao[[#This Row],[Torre]]</f>
        <v>301-A1</v>
      </c>
      <c r="E34" s="41">
        <f>VLOOKUP(tbl_distribuicao[[#This Row],[Apto]],tbl_consolidacao[[Apto]:[Dezembro]],$G$4-1,FALSE)</f>
        <v>1.02</v>
      </c>
      <c r="F34" s="41">
        <f>VLOOKUP(tbl_distribuicao[[#This Row],[Apto]],tbl_consolidacao[[Apto]:[Dezembro]],$G$4,FALSE)</f>
        <v>36.308</v>
      </c>
      <c r="G34" s="41">
        <f>tbl_distribuicao[[#This Row],[Leitura Mês Referencia]]-tbl_distribuicao[[#This Row],[Leitura Mês Anterior]]</f>
        <v>35.287999999999997</v>
      </c>
      <c r="H34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34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34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34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34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34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34" s="31">
        <f>SUMPRODUCT(tbl_distribuicao[[#This Row],[Faixa 1]:[Faixa 6]],$H$2:$M$2)</f>
        <v>218.62559999999996</v>
      </c>
      <c r="O34" s="31">
        <f>tbl_distribuicao[[#This Row],[Tarifa Água CAESB Futuro]]</f>
        <v>218.62559999999996</v>
      </c>
      <c r="P34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34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34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34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34" s="42">
        <f>SUMPRODUCT(tbl_distribuicao[[#This Row],[Faixa 1_]:[Faixa 3_]],$H$2:$J$2)</f>
        <v>178.50863999999999</v>
      </c>
      <c r="U34" s="42">
        <f>tbl_distribuicao[[#This Row],[Tarifa Água CAESB Atual]]</f>
        <v>178.50863999999999</v>
      </c>
      <c r="V34" s="42">
        <f>SUM(tbl_distribuicao[[#This Row],[Tarifa Água CAESB Atual]:[Tarifa Esgoto CAESB Atual]])</f>
        <v>357.01727999999997</v>
      </c>
      <c r="W34" s="47">
        <f>tbl_distribuicao[[#This Row],[Valor Padrão Atual]]*$V$4</f>
        <v>354.54545454545456</v>
      </c>
      <c r="X34" s="32">
        <f>tbl_distribuicao[[#This Row],[Valor CAESB Futuro]]-tbl_distribuicao[[#This Row],[Valor Padrão Atual AJUSTADO]]</f>
        <v>82.705745454545365</v>
      </c>
      <c r="Y34" s="32">
        <f>tbl_distribuicao[[#This Row],[Diferença no Mês]]*12</f>
        <v>992.46894545454438</v>
      </c>
    </row>
    <row r="35" spans="1:25" x14ac:dyDescent="0.25">
      <c r="A35" s="40">
        <v>2</v>
      </c>
      <c r="B35" s="40" t="s">
        <v>28</v>
      </c>
      <c r="C35" s="40">
        <v>301</v>
      </c>
      <c r="D35" s="48" t="str">
        <f>tbl_distribuicao[[#This Row],[Unid]]&amp;"-"&amp;tbl_distribuicao[[#This Row],[Junta]]&amp;tbl_distribuicao[[#This Row],[Torre]]</f>
        <v>301-A2</v>
      </c>
      <c r="E35" s="41">
        <f>VLOOKUP(tbl_distribuicao[[#This Row],[Apto]],tbl_consolidacao[[Apto]:[Dezembro]],$G$4-1,FALSE)</f>
        <v>1.02</v>
      </c>
      <c r="F35" s="41">
        <f>VLOOKUP(tbl_distribuicao[[#This Row],[Apto]],tbl_consolidacao[[Apto]:[Dezembro]],$G$4,FALSE)</f>
        <v>36.308</v>
      </c>
      <c r="G35" s="41">
        <f>tbl_distribuicao[[#This Row],[Leitura Mês Referencia]]-tbl_distribuicao[[#This Row],[Leitura Mês Anterior]]</f>
        <v>35.287999999999997</v>
      </c>
      <c r="H35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35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35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35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35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35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35" s="31">
        <f>SUMPRODUCT(tbl_distribuicao[[#This Row],[Faixa 1]:[Faixa 6]],$H$2:$M$2)</f>
        <v>218.62559999999996</v>
      </c>
      <c r="O35" s="31">
        <f>tbl_distribuicao[[#This Row],[Tarifa Água CAESB Futuro]]</f>
        <v>218.62559999999996</v>
      </c>
      <c r="P35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35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35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35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35" s="42">
        <f>SUMPRODUCT(tbl_distribuicao[[#This Row],[Faixa 1_]:[Faixa 3_]],$H$2:$J$2)</f>
        <v>178.50863999999999</v>
      </c>
      <c r="U35" s="42">
        <f>tbl_distribuicao[[#This Row],[Tarifa Água CAESB Atual]]</f>
        <v>178.50863999999999</v>
      </c>
      <c r="V35" s="42">
        <f>SUM(tbl_distribuicao[[#This Row],[Tarifa Água CAESB Atual]:[Tarifa Esgoto CAESB Atual]])</f>
        <v>357.01727999999997</v>
      </c>
      <c r="W35" s="47">
        <f>tbl_distribuicao[[#This Row],[Valor Padrão Atual]]*$V$4</f>
        <v>354.54545454545456</v>
      </c>
      <c r="X35" s="32">
        <f>tbl_distribuicao[[#This Row],[Valor CAESB Futuro]]-tbl_distribuicao[[#This Row],[Valor Padrão Atual AJUSTADO]]</f>
        <v>82.705745454545365</v>
      </c>
      <c r="Y35" s="32">
        <f>tbl_distribuicao[[#This Row],[Diferença no Mês]]*12</f>
        <v>992.46894545454438</v>
      </c>
    </row>
    <row r="36" spans="1:25" x14ac:dyDescent="0.25">
      <c r="A36" s="40">
        <v>1</v>
      </c>
      <c r="B36" s="40" t="s">
        <v>28</v>
      </c>
      <c r="C36" s="40">
        <v>302</v>
      </c>
      <c r="D36" s="48" t="str">
        <f>tbl_distribuicao[[#This Row],[Unid]]&amp;"-"&amp;tbl_distribuicao[[#This Row],[Junta]]&amp;tbl_distribuicao[[#This Row],[Torre]]</f>
        <v>302-A1</v>
      </c>
      <c r="E36" s="41">
        <f>VLOOKUP(tbl_distribuicao[[#This Row],[Apto]],tbl_consolidacao[[Apto]:[Dezembro]],$G$4-1,FALSE)</f>
        <v>1.02</v>
      </c>
      <c r="F36" s="41">
        <f>VLOOKUP(tbl_distribuicao[[#This Row],[Apto]],tbl_consolidacao[[Apto]:[Dezembro]],$G$4,FALSE)</f>
        <v>36.308</v>
      </c>
      <c r="G36" s="41">
        <f>tbl_distribuicao[[#This Row],[Leitura Mês Referencia]]-tbl_distribuicao[[#This Row],[Leitura Mês Anterior]]</f>
        <v>35.287999999999997</v>
      </c>
      <c r="H36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36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36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36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36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36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36" s="31">
        <f>SUMPRODUCT(tbl_distribuicao[[#This Row],[Faixa 1]:[Faixa 6]],$H$2:$M$2)</f>
        <v>218.62559999999996</v>
      </c>
      <c r="O36" s="31">
        <f>tbl_distribuicao[[#This Row],[Tarifa Água CAESB Futuro]]</f>
        <v>218.62559999999996</v>
      </c>
      <c r="P36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36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36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36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36" s="42">
        <f>SUMPRODUCT(tbl_distribuicao[[#This Row],[Faixa 1_]:[Faixa 3_]],$H$2:$J$2)</f>
        <v>178.50863999999999</v>
      </c>
      <c r="U36" s="42">
        <f>tbl_distribuicao[[#This Row],[Tarifa Água CAESB Atual]]</f>
        <v>178.50863999999999</v>
      </c>
      <c r="V36" s="42">
        <f>SUM(tbl_distribuicao[[#This Row],[Tarifa Água CAESB Atual]:[Tarifa Esgoto CAESB Atual]])</f>
        <v>357.01727999999997</v>
      </c>
      <c r="W36" s="47">
        <f>tbl_distribuicao[[#This Row],[Valor Padrão Atual]]*$V$4</f>
        <v>354.54545454545456</v>
      </c>
      <c r="X36" s="32">
        <f>tbl_distribuicao[[#This Row],[Valor CAESB Futuro]]-tbl_distribuicao[[#This Row],[Valor Padrão Atual AJUSTADO]]</f>
        <v>82.705745454545365</v>
      </c>
      <c r="Y36" s="32">
        <f>tbl_distribuicao[[#This Row],[Diferença no Mês]]*12</f>
        <v>992.46894545454438</v>
      </c>
    </row>
    <row r="37" spans="1:25" x14ac:dyDescent="0.25">
      <c r="A37" s="40">
        <v>2</v>
      </c>
      <c r="B37" s="40" t="s">
        <v>28</v>
      </c>
      <c r="C37" s="40">
        <v>302</v>
      </c>
      <c r="D37" s="48" t="str">
        <f>tbl_distribuicao[[#This Row],[Unid]]&amp;"-"&amp;tbl_distribuicao[[#This Row],[Junta]]&amp;tbl_distribuicao[[#This Row],[Torre]]</f>
        <v>302-A2</v>
      </c>
      <c r="E37" s="41">
        <f>VLOOKUP(tbl_distribuicao[[#This Row],[Apto]],tbl_consolidacao[[Apto]:[Dezembro]],$G$4-1,FALSE)</f>
        <v>1.02</v>
      </c>
      <c r="F37" s="41">
        <f>VLOOKUP(tbl_distribuicao[[#This Row],[Apto]],tbl_consolidacao[[Apto]:[Dezembro]],$G$4,FALSE)</f>
        <v>36.308</v>
      </c>
      <c r="G37" s="41">
        <f>tbl_distribuicao[[#This Row],[Leitura Mês Referencia]]-tbl_distribuicao[[#This Row],[Leitura Mês Anterior]]</f>
        <v>35.287999999999997</v>
      </c>
      <c r="H37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37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37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37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37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37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37" s="31">
        <f>SUMPRODUCT(tbl_distribuicao[[#This Row],[Faixa 1]:[Faixa 6]],$H$2:$M$2)</f>
        <v>218.62559999999996</v>
      </c>
      <c r="O37" s="31">
        <f>tbl_distribuicao[[#This Row],[Tarifa Água CAESB Futuro]]</f>
        <v>218.62559999999996</v>
      </c>
      <c r="P37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37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37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37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37" s="42">
        <f>SUMPRODUCT(tbl_distribuicao[[#This Row],[Faixa 1_]:[Faixa 3_]],$H$2:$J$2)</f>
        <v>178.50863999999999</v>
      </c>
      <c r="U37" s="42">
        <f>tbl_distribuicao[[#This Row],[Tarifa Água CAESB Atual]]</f>
        <v>178.50863999999999</v>
      </c>
      <c r="V37" s="42">
        <f>SUM(tbl_distribuicao[[#This Row],[Tarifa Água CAESB Atual]:[Tarifa Esgoto CAESB Atual]])</f>
        <v>357.01727999999997</v>
      </c>
      <c r="W37" s="47">
        <f>tbl_distribuicao[[#This Row],[Valor Padrão Atual]]*$V$4</f>
        <v>354.54545454545456</v>
      </c>
      <c r="X37" s="32">
        <f>tbl_distribuicao[[#This Row],[Valor CAESB Futuro]]-tbl_distribuicao[[#This Row],[Valor Padrão Atual AJUSTADO]]</f>
        <v>82.705745454545365</v>
      </c>
      <c r="Y37" s="32">
        <f>tbl_distribuicao[[#This Row],[Diferença no Mês]]*12</f>
        <v>992.46894545454438</v>
      </c>
    </row>
    <row r="38" spans="1:25" x14ac:dyDescent="0.25">
      <c r="A38" s="40">
        <v>1</v>
      </c>
      <c r="B38" s="40" t="s">
        <v>28</v>
      </c>
      <c r="C38" s="40">
        <v>303</v>
      </c>
      <c r="D38" s="48" t="str">
        <f>tbl_distribuicao[[#This Row],[Unid]]&amp;"-"&amp;tbl_distribuicao[[#This Row],[Junta]]&amp;tbl_distribuicao[[#This Row],[Torre]]</f>
        <v>303-A1</v>
      </c>
      <c r="E38" s="41">
        <f>VLOOKUP(tbl_distribuicao[[#This Row],[Apto]],tbl_consolidacao[[Apto]:[Dezembro]],$G$4-1,FALSE)</f>
        <v>1.02</v>
      </c>
      <c r="F38" s="41">
        <f>VLOOKUP(tbl_distribuicao[[#This Row],[Apto]],tbl_consolidacao[[Apto]:[Dezembro]],$G$4,FALSE)</f>
        <v>36.308</v>
      </c>
      <c r="G38" s="41">
        <f>tbl_distribuicao[[#This Row],[Leitura Mês Referencia]]-tbl_distribuicao[[#This Row],[Leitura Mês Anterior]]</f>
        <v>35.287999999999997</v>
      </c>
      <c r="H38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38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38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38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38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38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38" s="31">
        <f>SUMPRODUCT(tbl_distribuicao[[#This Row],[Faixa 1]:[Faixa 6]],$H$2:$M$2)</f>
        <v>218.62559999999996</v>
      </c>
      <c r="O38" s="31">
        <f>tbl_distribuicao[[#This Row],[Tarifa Água CAESB Futuro]]</f>
        <v>218.62559999999996</v>
      </c>
      <c r="P38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38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38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38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38" s="42">
        <f>SUMPRODUCT(tbl_distribuicao[[#This Row],[Faixa 1_]:[Faixa 3_]],$H$2:$J$2)</f>
        <v>178.50863999999999</v>
      </c>
      <c r="U38" s="42">
        <f>tbl_distribuicao[[#This Row],[Tarifa Água CAESB Atual]]</f>
        <v>178.50863999999999</v>
      </c>
      <c r="V38" s="42">
        <f>SUM(tbl_distribuicao[[#This Row],[Tarifa Água CAESB Atual]:[Tarifa Esgoto CAESB Atual]])</f>
        <v>357.01727999999997</v>
      </c>
      <c r="W38" s="47">
        <f>tbl_distribuicao[[#This Row],[Valor Padrão Atual]]*$V$4</f>
        <v>354.54545454545456</v>
      </c>
      <c r="X38" s="32">
        <f>tbl_distribuicao[[#This Row],[Valor CAESB Futuro]]-tbl_distribuicao[[#This Row],[Valor Padrão Atual AJUSTADO]]</f>
        <v>82.705745454545365</v>
      </c>
      <c r="Y38" s="32">
        <f>tbl_distribuicao[[#This Row],[Diferença no Mês]]*12</f>
        <v>992.46894545454438</v>
      </c>
    </row>
    <row r="39" spans="1:25" x14ac:dyDescent="0.25">
      <c r="A39" s="40">
        <v>2</v>
      </c>
      <c r="B39" s="40" t="s">
        <v>28</v>
      </c>
      <c r="C39" s="40">
        <v>303</v>
      </c>
      <c r="D39" s="48" t="str">
        <f>tbl_distribuicao[[#This Row],[Unid]]&amp;"-"&amp;tbl_distribuicao[[#This Row],[Junta]]&amp;tbl_distribuicao[[#This Row],[Torre]]</f>
        <v>303-A2</v>
      </c>
      <c r="E39" s="41">
        <f>VLOOKUP(tbl_distribuicao[[#This Row],[Apto]],tbl_consolidacao[[Apto]:[Dezembro]],$G$4-1,FALSE)</f>
        <v>1.02</v>
      </c>
      <c r="F39" s="41">
        <f>VLOOKUP(tbl_distribuicao[[#This Row],[Apto]],tbl_consolidacao[[Apto]:[Dezembro]],$G$4,FALSE)</f>
        <v>36.308</v>
      </c>
      <c r="G39" s="41">
        <f>tbl_distribuicao[[#This Row],[Leitura Mês Referencia]]-tbl_distribuicao[[#This Row],[Leitura Mês Anterior]]</f>
        <v>35.287999999999997</v>
      </c>
      <c r="H39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39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39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39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39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39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39" s="31">
        <f>SUMPRODUCT(tbl_distribuicao[[#This Row],[Faixa 1]:[Faixa 6]],$H$2:$M$2)</f>
        <v>218.62559999999996</v>
      </c>
      <c r="O39" s="31">
        <f>tbl_distribuicao[[#This Row],[Tarifa Água CAESB Futuro]]</f>
        <v>218.62559999999996</v>
      </c>
      <c r="P39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39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39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39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39" s="42">
        <f>SUMPRODUCT(tbl_distribuicao[[#This Row],[Faixa 1_]:[Faixa 3_]],$H$2:$J$2)</f>
        <v>178.50863999999999</v>
      </c>
      <c r="U39" s="42">
        <f>tbl_distribuicao[[#This Row],[Tarifa Água CAESB Atual]]</f>
        <v>178.50863999999999</v>
      </c>
      <c r="V39" s="42">
        <f>SUM(tbl_distribuicao[[#This Row],[Tarifa Água CAESB Atual]:[Tarifa Esgoto CAESB Atual]])</f>
        <v>357.01727999999997</v>
      </c>
      <c r="W39" s="47">
        <f>tbl_distribuicao[[#This Row],[Valor Padrão Atual]]*$V$4</f>
        <v>354.54545454545456</v>
      </c>
      <c r="X39" s="32">
        <f>tbl_distribuicao[[#This Row],[Valor CAESB Futuro]]-tbl_distribuicao[[#This Row],[Valor Padrão Atual AJUSTADO]]</f>
        <v>82.705745454545365</v>
      </c>
      <c r="Y39" s="32">
        <f>tbl_distribuicao[[#This Row],[Diferença no Mês]]*12</f>
        <v>992.46894545454438</v>
      </c>
    </row>
    <row r="40" spans="1:25" x14ac:dyDescent="0.25">
      <c r="A40" s="40">
        <v>1</v>
      </c>
      <c r="B40" s="40" t="s">
        <v>28</v>
      </c>
      <c r="C40" s="40">
        <v>304</v>
      </c>
      <c r="D40" s="48" t="str">
        <f>tbl_distribuicao[[#This Row],[Unid]]&amp;"-"&amp;tbl_distribuicao[[#This Row],[Junta]]&amp;tbl_distribuicao[[#This Row],[Torre]]</f>
        <v>304-A1</v>
      </c>
      <c r="E40" s="41">
        <f>VLOOKUP(tbl_distribuicao[[#This Row],[Apto]],tbl_consolidacao[[Apto]:[Dezembro]],$G$4-1,FALSE)</f>
        <v>1.02</v>
      </c>
      <c r="F40" s="41">
        <f>VLOOKUP(tbl_distribuicao[[#This Row],[Apto]],tbl_consolidacao[[Apto]:[Dezembro]],$G$4,FALSE)</f>
        <v>36.308</v>
      </c>
      <c r="G40" s="41">
        <f>tbl_distribuicao[[#This Row],[Leitura Mês Referencia]]-tbl_distribuicao[[#This Row],[Leitura Mês Anterior]]</f>
        <v>35.287999999999997</v>
      </c>
      <c r="H40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40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40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40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40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40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40" s="31">
        <f>SUMPRODUCT(tbl_distribuicao[[#This Row],[Faixa 1]:[Faixa 6]],$H$2:$M$2)</f>
        <v>218.62559999999996</v>
      </c>
      <c r="O40" s="31">
        <f>tbl_distribuicao[[#This Row],[Tarifa Água CAESB Futuro]]</f>
        <v>218.62559999999996</v>
      </c>
      <c r="P40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40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40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40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40" s="42">
        <f>SUMPRODUCT(tbl_distribuicao[[#This Row],[Faixa 1_]:[Faixa 3_]],$H$2:$J$2)</f>
        <v>178.50863999999999</v>
      </c>
      <c r="U40" s="42">
        <f>tbl_distribuicao[[#This Row],[Tarifa Água CAESB Atual]]</f>
        <v>178.50863999999999</v>
      </c>
      <c r="V40" s="42">
        <f>SUM(tbl_distribuicao[[#This Row],[Tarifa Água CAESB Atual]:[Tarifa Esgoto CAESB Atual]])</f>
        <v>357.01727999999997</v>
      </c>
      <c r="W40" s="47">
        <f>tbl_distribuicao[[#This Row],[Valor Padrão Atual]]*$V$4</f>
        <v>354.54545454545456</v>
      </c>
      <c r="X40" s="32">
        <f>tbl_distribuicao[[#This Row],[Valor CAESB Futuro]]-tbl_distribuicao[[#This Row],[Valor Padrão Atual AJUSTADO]]</f>
        <v>82.705745454545365</v>
      </c>
      <c r="Y40" s="32">
        <f>tbl_distribuicao[[#This Row],[Diferença no Mês]]*12</f>
        <v>992.46894545454438</v>
      </c>
    </row>
    <row r="41" spans="1:25" x14ac:dyDescent="0.25">
      <c r="A41" s="40">
        <v>2</v>
      </c>
      <c r="B41" s="40" t="s">
        <v>28</v>
      </c>
      <c r="C41" s="40">
        <v>304</v>
      </c>
      <c r="D41" s="48" t="str">
        <f>tbl_distribuicao[[#This Row],[Unid]]&amp;"-"&amp;tbl_distribuicao[[#This Row],[Junta]]&amp;tbl_distribuicao[[#This Row],[Torre]]</f>
        <v>304-A2</v>
      </c>
      <c r="E41" s="41">
        <f>VLOOKUP(tbl_distribuicao[[#This Row],[Apto]],tbl_consolidacao[[Apto]:[Dezembro]],$G$4-1,FALSE)</f>
        <v>1.02</v>
      </c>
      <c r="F41" s="41">
        <f>VLOOKUP(tbl_distribuicao[[#This Row],[Apto]],tbl_consolidacao[[Apto]:[Dezembro]],$G$4,FALSE)</f>
        <v>36.308</v>
      </c>
      <c r="G41" s="41">
        <f>tbl_distribuicao[[#This Row],[Leitura Mês Referencia]]-tbl_distribuicao[[#This Row],[Leitura Mês Anterior]]</f>
        <v>35.287999999999997</v>
      </c>
      <c r="H41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41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41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41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41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41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41" s="31">
        <f>SUMPRODUCT(tbl_distribuicao[[#This Row],[Faixa 1]:[Faixa 6]],$H$2:$M$2)</f>
        <v>218.62559999999996</v>
      </c>
      <c r="O41" s="31">
        <f>tbl_distribuicao[[#This Row],[Tarifa Água CAESB Futuro]]</f>
        <v>218.62559999999996</v>
      </c>
      <c r="P41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41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41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41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41" s="42">
        <f>SUMPRODUCT(tbl_distribuicao[[#This Row],[Faixa 1_]:[Faixa 3_]],$H$2:$J$2)</f>
        <v>178.50863999999999</v>
      </c>
      <c r="U41" s="42">
        <f>tbl_distribuicao[[#This Row],[Tarifa Água CAESB Atual]]</f>
        <v>178.50863999999999</v>
      </c>
      <c r="V41" s="42">
        <f>SUM(tbl_distribuicao[[#This Row],[Tarifa Água CAESB Atual]:[Tarifa Esgoto CAESB Atual]])</f>
        <v>357.01727999999997</v>
      </c>
      <c r="W41" s="47">
        <f>tbl_distribuicao[[#This Row],[Valor Padrão Atual]]*$V$4</f>
        <v>354.54545454545456</v>
      </c>
      <c r="X41" s="32">
        <f>tbl_distribuicao[[#This Row],[Valor CAESB Futuro]]-tbl_distribuicao[[#This Row],[Valor Padrão Atual AJUSTADO]]</f>
        <v>82.705745454545365</v>
      </c>
      <c r="Y41" s="32">
        <f>tbl_distribuicao[[#This Row],[Diferença no Mês]]*12</f>
        <v>992.46894545454438</v>
      </c>
    </row>
    <row r="42" spans="1:25" x14ac:dyDescent="0.25">
      <c r="A42" s="40">
        <v>1</v>
      </c>
      <c r="B42" s="40" t="s">
        <v>29</v>
      </c>
      <c r="C42" s="40">
        <v>305</v>
      </c>
      <c r="D42" s="48" t="str">
        <f>tbl_distribuicao[[#This Row],[Unid]]&amp;"-"&amp;tbl_distribuicao[[#This Row],[Junta]]&amp;tbl_distribuicao[[#This Row],[Torre]]</f>
        <v>305-B1</v>
      </c>
      <c r="E42" s="41">
        <f>VLOOKUP(tbl_distribuicao[[#This Row],[Apto]],tbl_consolidacao[[Apto]:[Dezembro]],$G$4-1,FALSE)</f>
        <v>1.02</v>
      </c>
      <c r="F42" s="41">
        <f>VLOOKUP(tbl_distribuicao[[#This Row],[Apto]],tbl_consolidacao[[Apto]:[Dezembro]],$G$4,FALSE)</f>
        <v>36.308</v>
      </c>
      <c r="G42" s="41">
        <f>tbl_distribuicao[[#This Row],[Leitura Mês Referencia]]-tbl_distribuicao[[#This Row],[Leitura Mês Anterior]]</f>
        <v>35.287999999999997</v>
      </c>
      <c r="H42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42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42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42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42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42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42" s="31">
        <f>SUMPRODUCT(tbl_distribuicao[[#This Row],[Faixa 1]:[Faixa 6]],$H$2:$M$2)</f>
        <v>218.62559999999996</v>
      </c>
      <c r="O42" s="31">
        <f>tbl_distribuicao[[#This Row],[Tarifa Água CAESB Futuro]]</f>
        <v>218.62559999999996</v>
      </c>
      <c r="P42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42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42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42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42" s="42">
        <f>SUMPRODUCT(tbl_distribuicao[[#This Row],[Faixa 1_]:[Faixa 3_]],$H$2:$J$2)</f>
        <v>178.50863999999999</v>
      </c>
      <c r="U42" s="42">
        <f>tbl_distribuicao[[#This Row],[Tarifa Água CAESB Atual]]</f>
        <v>178.50863999999999</v>
      </c>
      <c r="V42" s="42">
        <f>SUM(tbl_distribuicao[[#This Row],[Tarifa Água CAESB Atual]:[Tarifa Esgoto CAESB Atual]])</f>
        <v>357.01727999999997</v>
      </c>
      <c r="W42" s="47">
        <f>tbl_distribuicao[[#This Row],[Valor Padrão Atual]]*$V$4</f>
        <v>354.54545454545456</v>
      </c>
      <c r="X42" s="32">
        <f>tbl_distribuicao[[#This Row],[Valor CAESB Futuro]]-tbl_distribuicao[[#This Row],[Valor Padrão Atual AJUSTADO]]</f>
        <v>82.705745454545365</v>
      </c>
      <c r="Y42" s="32">
        <f>tbl_distribuicao[[#This Row],[Diferença no Mês]]*12</f>
        <v>992.46894545454438</v>
      </c>
    </row>
    <row r="43" spans="1:25" x14ac:dyDescent="0.25">
      <c r="A43" s="40">
        <v>2</v>
      </c>
      <c r="B43" s="40" t="s">
        <v>29</v>
      </c>
      <c r="C43" s="40">
        <v>305</v>
      </c>
      <c r="D43" s="48" t="str">
        <f>tbl_distribuicao[[#This Row],[Unid]]&amp;"-"&amp;tbl_distribuicao[[#This Row],[Junta]]&amp;tbl_distribuicao[[#This Row],[Torre]]</f>
        <v>305-B2</v>
      </c>
      <c r="E43" s="41">
        <f>VLOOKUP(tbl_distribuicao[[#This Row],[Apto]],tbl_consolidacao[[Apto]:[Dezembro]],$G$4-1,FALSE)</f>
        <v>1.02</v>
      </c>
      <c r="F43" s="41">
        <f>VLOOKUP(tbl_distribuicao[[#This Row],[Apto]],tbl_consolidacao[[Apto]:[Dezembro]],$G$4,FALSE)</f>
        <v>36.308</v>
      </c>
      <c r="G43" s="41">
        <f>tbl_distribuicao[[#This Row],[Leitura Mês Referencia]]-tbl_distribuicao[[#This Row],[Leitura Mês Anterior]]</f>
        <v>35.287999999999997</v>
      </c>
      <c r="H43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43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43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43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43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43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43" s="31">
        <f>SUMPRODUCT(tbl_distribuicao[[#This Row],[Faixa 1]:[Faixa 6]],$H$2:$M$2)</f>
        <v>218.62559999999996</v>
      </c>
      <c r="O43" s="31">
        <f>tbl_distribuicao[[#This Row],[Tarifa Água CAESB Futuro]]</f>
        <v>218.62559999999996</v>
      </c>
      <c r="P43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43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43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43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43" s="42">
        <f>SUMPRODUCT(tbl_distribuicao[[#This Row],[Faixa 1_]:[Faixa 3_]],$H$2:$J$2)</f>
        <v>178.50863999999999</v>
      </c>
      <c r="U43" s="42">
        <f>tbl_distribuicao[[#This Row],[Tarifa Água CAESB Atual]]</f>
        <v>178.50863999999999</v>
      </c>
      <c r="V43" s="42">
        <f>SUM(tbl_distribuicao[[#This Row],[Tarifa Água CAESB Atual]:[Tarifa Esgoto CAESB Atual]])</f>
        <v>357.01727999999997</v>
      </c>
      <c r="W43" s="47">
        <f>tbl_distribuicao[[#This Row],[Valor Padrão Atual]]*$V$4</f>
        <v>354.54545454545456</v>
      </c>
      <c r="X43" s="32">
        <f>tbl_distribuicao[[#This Row],[Valor CAESB Futuro]]-tbl_distribuicao[[#This Row],[Valor Padrão Atual AJUSTADO]]</f>
        <v>82.705745454545365</v>
      </c>
      <c r="Y43" s="32">
        <f>tbl_distribuicao[[#This Row],[Diferença no Mês]]*12</f>
        <v>992.46894545454438</v>
      </c>
    </row>
    <row r="44" spans="1:25" x14ac:dyDescent="0.25">
      <c r="A44" s="40">
        <v>1</v>
      </c>
      <c r="B44" s="40" t="s">
        <v>29</v>
      </c>
      <c r="C44" s="40">
        <v>306</v>
      </c>
      <c r="D44" s="48" t="str">
        <f>tbl_distribuicao[[#This Row],[Unid]]&amp;"-"&amp;tbl_distribuicao[[#This Row],[Junta]]&amp;tbl_distribuicao[[#This Row],[Torre]]</f>
        <v>306-B1</v>
      </c>
      <c r="E44" s="41">
        <f>VLOOKUP(tbl_distribuicao[[#This Row],[Apto]],tbl_consolidacao[[Apto]:[Dezembro]],$G$4-1,FALSE)</f>
        <v>1.02</v>
      </c>
      <c r="F44" s="41">
        <f>VLOOKUP(tbl_distribuicao[[#This Row],[Apto]],tbl_consolidacao[[Apto]:[Dezembro]],$G$4,FALSE)</f>
        <v>36.308</v>
      </c>
      <c r="G44" s="41">
        <f>tbl_distribuicao[[#This Row],[Leitura Mês Referencia]]-tbl_distribuicao[[#This Row],[Leitura Mês Anterior]]</f>
        <v>35.287999999999997</v>
      </c>
      <c r="H44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44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44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44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44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44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44" s="31">
        <f>SUMPRODUCT(tbl_distribuicao[[#This Row],[Faixa 1]:[Faixa 6]],$H$2:$M$2)</f>
        <v>218.62559999999996</v>
      </c>
      <c r="O44" s="31">
        <f>tbl_distribuicao[[#This Row],[Tarifa Água CAESB Futuro]]</f>
        <v>218.62559999999996</v>
      </c>
      <c r="P44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44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44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44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44" s="42">
        <f>SUMPRODUCT(tbl_distribuicao[[#This Row],[Faixa 1_]:[Faixa 3_]],$H$2:$J$2)</f>
        <v>178.50863999999999</v>
      </c>
      <c r="U44" s="42">
        <f>tbl_distribuicao[[#This Row],[Tarifa Água CAESB Atual]]</f>
        <v>178.50863999999999</v>
      </c>
      <c r="V44" s="42">
        <f>SUM(tbl_distribuicao[[#This Row],[Tarifa Água CAESB Atual]:[Tarifa Esgoto CAESB Atual]])</f>
        <v>357.01727999999997</v>
      </c>
      <c r="W44" s="47">
        <f>tbl_distribuicao[[#This Row],[Valor Padrão Atual]]*$V$4</f>
        <v>354.54545454545456</v>
      </c>
      <c r="X44" s="32">
        <f>tbl_distribuicao[[#This Row],[Valor CAESB Futuro]]-tbl_distribuicao[[#This Row],[Valor Padrão Atual AJUSTADO]]</f>
        <v>82.705745454545365</v>
      </c>
      <c r="Y44" s="32">
        <f>tbl_distribuicao[[#This Row],[Diferença no Mês]]*12</f>
        <v>992.46894545454438</v>
      </c>
    </row>
    <row r="45" spans="1:25" x14ac:dyDescent="0.25">
      <c r="A45" s="40">
        <v>2</v>
      </c>
      <c r="B45" s="40" t="s">
        <v>29</v>
      </c>
      <c r="C45" s="40">
        <v>306</v>
      </c>
      <c r="D45" s="48" t="str">
        <f>tbl_distribuicao[[#This Row],[Unid]]&amp;"-"&amp;tbl_distribuicao[[#This Row],[Junta]]&amp;tbl_distribuicao[[#This Row],[Torre]]</f>
        <v>306-B2</v>
      </c>
      <c r="E45" s="41">
        <f>VLOOKUP(tbl_distribuicao[[#This Row],[Apto]],tbl_consolidacao[[Apto]:[Dezembro]],$G$4-1,FALSE)</f>
        <v>1.02</v>
      </c>
      <c r="F45" s="41">
        <f>VLOOKUP(tbl_distribuicao[[#This Row],[Apto]],tbl_consolidacao[[Apto]:[Dezembro]],$G$4,FALSE)</f>
        <v>36.308</v>
      </c>
      <c r="G45" s="41">
        <f>tbl_distribuicao[[#This Row],[Leitura Mês Referencia]]-tbl_distribuicao[[#This Row],[Leitura Mês Anterior]]</f>
        <v>35.287999999999997</v>
      </c>
      <c r="H45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45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45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45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45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45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45" s="31">
        <f>SUMPRODUCT(tbl_distribuicao[[#This Row],[Faixa 1]:[Faixa 6]],$H$2:$M$2)</f>
        <v>218.62559999999996</v>
      </c>
      <c r="O45" s="31">
        <f>tbl_distribuicao[[#This Row],[Tarifa Água CAESB Futuro]]</f>
        <v>218.62559999999996</v>
      </c>
      <c r="P45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45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45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45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45" s="42">
        <f>SUMPRODUCT(tbl_distribuicao[[#This Row],[Faixa 1_]:[Faixa 3_]],$H$2:$J$2)</f>
        <v>178.50863999999999</v>
      </c>
      <c r="U45" s="42">
        <f>tbl_distribuicao[[#This Row],[Tarifa Água CAESB Atual]]</f>
        <v>178.50863999999999</v>
      </c>
      <c r="V45" s="42">
        <f>SUM(tbl_distribuicao[[#This Row],[Tarifa Água CAESB Atual]:[Tarifa Esgoto CAESB Atual]])</f>
        <v>357.01727999999997</v>
      </c>
      <c r="W45" s="47">
        <f>tbl_distribuicao[[#This Row],[Valor Padrão Atual]]*$V$4</f>
        <v>354.54545454545456</v>
      </c>
      <c r="X45" s="32">
        <f>tbl_distribuicao[[#This Row],[Valor CAESB Futuro]]-tbl_distribuicao[[#This Row],[Valor Padrão Atual AJUSTADO]]</f>
        <v>82.705745454545365</v>
      </c>
      <c r="Y45" s="32">
        <f>tbl_distribuicao[[#This Row],[Diferença no Mês]]*12</f>
        <v>992.46894545454438</v>
      </c>
    </row>
    <row r="46" spans="1:25" x14ac:dyDescent="0.25">
      <c r="A46" s="40">
        <v>1</v>
      </c>
      <c r="B46" s="40" t="s">
        <v>29</v>
      </c>
      <c r="C46" s="40">
        <v>307</v>
      </c>
      <c r="D46" s="48" t="str">
        <f>tbl_distribuicao[[#This Row],[Unid]]&amp;"-"&amp;tbl_distribuicao[[#This Row],[Junta]]&amp;tbl_distribuicao[[#This Row],[Torre]]</f>
        <v>307-B1</v>
      </c>
      <c r="E46" s="41">
        <f>VLOOKUP(tbl_distribuicao[[#This Row],[Apto]],tbl_consolidacao[[Apto]:[Dezembro]],$G$4-1,FALSE)</f>
        <v>1.02</v>
      </c>
      <c r="F46" s="41">
        <f>VLOOKUP(tbl_distribuicao[[#This Row],[Apto]],tbl_consolidacao[[Apto]:[Dezembro]],$G$4,FALSE)</f>
        <v>36.308</v>
      </c>
      <c r="G46" s="41">
        <f>tbl_distribuicao[[#This Row],[Leitura Mês Referencia]]-tbl_distribuicao[[#This Row],[Leitura Mês Anterior]]</f>
        <v>35.287999999999997</v>
      </c>
      <c r="H46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46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46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46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46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46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46" s="31">
        <f>SUMPRODUCT(tbl_distribuicao[[#This Row],[Faixa 1]:[Faixa 6]],$H$2:$M$2)</f>
        <v>218.62559999999996</v>
      </c>
      <c r="O46" s="31">
        <f>tbl_distribuicao[[#This Row],[Tarifa Água CAESB Futuro]]</f>
        <v>218.62559999999996</v>
      </c>
      <c r="P46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46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46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46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46" s="42">
        <f>SUMPRODUCT(tbl_distribuicao[[#This Row],[Faixa 1_]:[Faixa 3_]],$H$2:$J$2)</f>
        <v>178.50863999999999</v>
      </c>
      <c r="U46" s="42">
        <f>tbl_distribuicao[[#This Row],[Tarifa Água CAESB Atual]]</f>
        <v>178.50863999999999</v>
      </c>
      <c r="V46" s="42">
        <f>SUM(tbl_distribuicao[[#This Row],[Tarifa Água CAESB Atual]:[Tarifa Esgoto CAESB Atual]])</f>
        <v>357.01727999999997</v>
      </c>
      <c r="W46" s="47">
        <f>tbl_distribuicao[[#This Row],[Valor Padrão Atual]]*$V$4</f>
        <v>354.54545454545456</v>
      </c>
      <c r="X46" s="32">
        <f>tbl_distribuicao[[#This Row],[Valor CAESB Futuro]]-tbl_distribuicao[[#This Row],[Valor Padrão Atual AJUSTADO]]</f>
        <v>82.705745454545365</v>
      </c>
      <c r="Y46" s="32">
        <f>tbl_distribuicao[[#This Row],[Diferença no Mês]]*12</f>
        <v>992.46894545454438</v>
      </c>
    </row>
    <row r="47" spans="1:25" x14ac:dyDescent="0.25">
      <c r="A47" s="40">
        <v>2</v>
      </c>
      <c r="B47" s="40" t="s">
        <v>29</v>
      </c>
      <c r="C47" s="40">
        <v>307</v>
      </c>
      <c r="D47" s="48" t="str">
        <f>tbl_distribuicao[[#This Row],[Unid]]&amp;"-"&amp;tbl_distribuicao[[#This Row],[Junta]]&amp;tbl_distribuicao[[#This Row],[Torre]]</f>
        <v>307-B2</v>
      </c>
      <c r="E47" s="41">
        <f>VLOOKUP(tbl_distribuicao[[#This Row],[Apto]],tbl_consolidacao[[Apto]:[Dezembro]],$G$4-1,FALSE)</f>
        <v>1.02</v>
      </c>
      <c r="F47" s="41">
        <f>VLOOKUP(tbl_distribuicao[[#This Row],[Apto]],tbl_consolidacao[[Apto]:[Dezembro]],$G$4,FALSE)</f>
        <v>36.308</v>
      </c>
      <c r="G47" s="41">
        <f>tbl_distribuicao[[#This Row],[Leitura Mês Referencia]]-tbl_distribuicao[[#This Row],[Leitura Mês Anterior]]</f>
        <v>35.287999999999997</v>
      </c>
      <c r="H47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47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47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47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47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47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47" s="31">
        <f>SUMPRODUCT(tbl_distribuicao[[#This Row],[Faixa 1]:[Faixa 6]],$H$2:$M$2)</f>
        <v>218.62559999999996</v>
      </c>
      <c r="O47" s="31">
        <f>tbl_distribuicao[[#This Row],[Tarifa Água CAESB Futuro]]</f>
        <v>218.62559999999996</v>
      </c>
      <c r="P47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47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47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47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47" s="42">
        <f>SUMPRODUCT(tbl_distribuicao[[#This Row],[Faixa 1_]:[Faixa 3_]],$H$2:$J$2)</f>
        <v>178.50863999999999</v>
      </c>
      <c r="U47" s="42">
        <f>tbl_distribuicao[[#This Row],[Tarifa Água CAESB Atual]]</f>
        <v>178.50863999999999</v>
      </c>
      <c r="V47" s="42">
        <f>SUM(tbl_distribuicao[[#This Row],[Tarifa Água CAESB Atual]:[Tarifa Esgoto CAESB Atual]])</f>
        <v>357.01727999999997</v>
      </c>
      <c r="W47" s="47">
        <f>tbl_distribuicao[[#This Row],[Valor Padrão Atual]]*$V$4</f>
        <v>354.54545454545456</v>
      </c>
      <c r="X47" s="32">
        <f>tbl_distribuicao[[#This Row],[Valor CAESB Futuro]]-tbl_distribuicao[[#This Row],[Valor Padrão Atual AJUSTADO]]</f>
        <v>82.705745454545365</v>
      </c>
      <c r="Y47" s="32">
        <f>tbl_distribuicao[[#This Row],[Diferença no Mês]]*12</f>
        <v>992.46894545454438</v>
      </c>
    </row>
    <row r="48" spans="1:25" x14ac:dyDescent="0.25">
      <c r="A48" s="40">
        <v>1</v>
      </c>
      <c r="B48" s="40" t="s">
        <v>29</v>
      </c>
      <c r="C48" s="40">
        <v>308</v>
      </c>
      <c r="D48" s="48" t="str">
        <f>tbl_distribuicao[[#This Row],[Unid]]&amp;"-"&amp;tbl_distribuicao[[#This Row],[Junta]]&amp;tbl_distribuicao[[#This Row],[Torre]]</f>
        <v>308-B1</v>
      </c>
      <c r="E48" s="41">
        <f>VLOOKUP(tbl_distribuicao[[#This Row],[Apto]],tbl_consolidacao[[Apto]:[Dezembro]],$G$4-1,FALSE)</f>
        <v>1.02</v>
      </c>
      <c r="F48" s="41">
        <f>VLOOKUP(tbl_distribuicao[[#This Row],[Apto]],tbl_consolidacao[[Apto]:[Dezembro]],$G$4,FALSE)</f>
        <v>36.308</v>
      </c>
      <c r="G48" s="41">
        <f>tbl_distribuicao[[#This Row],[Leitura Mês Referencia]]-tbl_distribuicao[[#This Row],[Leitura Mês Anterior]]</f>
        <v>35.287999999999997</v>
      </c>
      <c r="H48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48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48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48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48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48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48" s="31">
        <f>SUMPRODUCT(tbl_distribuicao[[#This Row],[Faixa 1]:[Faixa 6]],$H$2:$M$2)</f>
        <v>218.62559999999996</v>
      </c>
      <c r="O48" s="31">
        <f>tbl_distribuicao[[#This Row],[Tarifa Água CAESB Futuro]]</f>
        <v>218.62559999999996</v>
      </c>
      <c r="P48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48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48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48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48" s="42">
        <f>SUMPRODUCT(tbl_distribuicao[[#This Row],[Faixa 1_]:[Faixa 3_]],$H$2:$J$2)</f>
        <v>178.50863999999999</v>
      </c>
      <c r="U48" s="42">
        <f>tbl_distribuicao[[#This Row],[Tarifa Água CAESB Atual]]</f>
        <v>178.50863999999999</v>
      </c>
      <c r="V48" s="42">
        <f>SUM(tbl_distribuicao[[#This Row],[Tarifa Água CAESB Atual]:[Tarifa Esgoto CAESB Atual]])</f>
        <v>357.01727999999997</v>
      </c>
      <c r="W48" s="47">
        <f>tbl_distribuicao[[#This Row],[Valor Padrão Atual]]*$V$4</f>
        <v>354.54545454545456</v>
      </c>
      <c r="X48" s="32">
        <f>tbl_distribuicao[[#This Row],[Valor CAESB Futuro]]-tbl_distribuicao[[#This Row],[Valor Padrão Atual AJUSTADO]]</f>
        <v>82.705745454545365</v>
      </c>
      <c r="Y48" s="32">
        <f>tbl_distribuicao[[#This Row],[Diferença no Mês]]*12</f>
        <v>992.46894545454438</v>
      </c>
    </row>
    <row r="49" spans="1:25" x14ac:dyDescent="0.25">
      <c r="A49" s="40">
        <v>2</v>
      </c>
      <c r="B49" s="40" t="s">
        <v>29</v>
      </c>
      <c r="C49" s="40">
        <v>308</v>
      </c>
      <c r="D49" s="48" t="str">
        <f>tbl_distribuicao[[#This Row],[Unid]]&amp;"-"&amp;tbl_distribuicao[[#This Row],[Junta]]&amp;tbl_distribuicao[[#This Row],[Torre]]</f>
        <v>308-B2</v>
      </c>
      <c r="E49" s="41">
        <f>VLOOKUP(tbl_distribuicao[[#This Row],[Apto]],tbl_consolidacao[[Apto]:[Dezembro]],$G$4-1,FALSE)</f>
        <v>1.02</v>
      </c>
      <c r="F49" s="41">
        <f>VLOOKUP(tbl_distribuicao[[#This Row],[Apto]],tbl_consolidacao[[Apto]:[Dezembro]],$G$4,FALSE)</f>
        <v>36.308</v>
      </c>
      <c r="G49" s="41">
        <f>tbl_distribuicao[[#This Row],[Leitura Mês Referencia]]-tbl_distribuicao[[#This Row],[Leitura Mês Anterior]]</f>
        <v>35.287999999999997</v>
      </c>
      <c r="H49" s="41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I49" s="41">
        <f>IF((tbl_distribuicao[[#This Row],[Consumo Mês Referência]]-tbl_distribuicao[[#This Row],[Faixa 1]])&gt;VLOOKUP($I$4,tbl_caesb[[Faixa]:[Volume]],$J$3,FALSE),VLOOKUP($I$4,tbl_caesb[[Faixa]:[Volume]],$J$3,FALSE),IF(tbl_distribuicao[[#This Row],[Faixa 1]]&gt;0,tbl_distribuicao[[#This Row],[Consumo Mês Referência]]-tbl_distribuicao[[#This Row],[Faixa 1]],0))</f>
        <v>5</v>
      </c>
      <c r="J49" s="41">
        <f>IF((tbl_distribuicao[[#This Row],[Consumo Mês Referência]]-SUM(tbl_distribuicao[[#This Row],[Faixa 1]:[Faixa 2]]))&gt;VLOOKUP($J$4,tbl_caesb[[Faixa]:[Volume]],$J$3,FALSE),VLOOKUP($J$4,tbl_caesb[[Faixa]:[Volume]],$J$3,FALSE),IF(tbl_distribuicao[[#This Row],[Faixa 1]]&gt;0,tbl_distribuicao[[#This Row],[Consumo Mês Referência]]-SUM(tbl_distribuicao[[#This Row],[Faixa 1]:[Faixa 2]]),0))</f>
        <v>10</v>
      </c>
      <c r="K49" s="41">
        <f>IF((tbl_distribuicao[[#This Row],[Consumo Mês Referência]]-SUM(tbl_distribuicao[[#This Row],[Faixa 1]:[Faixa 3]]))&gt;VLOOKUP($K$4,tbl_caesb[[Faixa]:[Volume]],$J$3,FALSE),VLOOKUP($K$4,tbl_caesb[[Faixa]:[Volume]],$J$3,FALSE),IF(tbl_distribuicao[[#This Row],[Faixa 1]]&gt;0,tbl_distribuicao[[#This Row],[Consumo Mês Referência]]-SUM(tbl_distribuicao[[#This Row],[Faixa 1]:[Faixa 3]]),0))</f>
        <v>10</v>
      </c>
      <c r="L49" s="41">
        <f>IF((tbl_distribuicao[[#This Row],[Consumo Mês Referência]]-SUM(tbl_distribuicao[[#This Row],[Faixa 1]:[Faixa 4]]))&gt;VLOOKUP($L$4,tbl_caesb[[Faixa]:[Volume]],$J$3,FALSE),VLOOKUP($L$4,tbl_caesb[[Faixa]:[Volume]],$J$3,FALSE),IF(tbl_distribuicao[[#This Row],[Faixa 1]]&gt;0,tbl_distribuicao[[#This Row],[Consumo Mês Referência]]-SUM(tbl_distribuicao[[#This Row],[Faixa 1]:[Faixa 4]]),0))</f>
        <v>0.2879999999999967</v>
      </c>
      <c r="M49" s="41">
        <f>IF(AND((tbl_distribuicao[[#This Row],[Consumo Mês Referência]]-SUM(tbl_distribuicao[[#This Row],[Faixa 1]:[Faixa 5]]))&gt;VLOOKUP($M$4,tbl_caesb[[Faixa]:[Volume]],$J$3,FALSE),VLOOKUP($M$4,tbl_caesb[[Faixa]:[Volume]],$J$3,FALSE)&gt;0),VLOOKUP($M$4,tbl_caesb[[Faixa]:[Volume]],$J$3,FALSE),IF(tbl_distribuicao[[#This Row],[Faixa 5]]&gt;0,tbl_distribuicao[[#This Row],[Consumo Mês Referência]]-SUM(tbl_distribuicao[[#This Row],[Faixa 1]:[Faixa 5]]),0))</f>
        <v>0</v>
      </c>
      <c r="N49" s="31">
        <f>SUMPRODUCT(tbl_distribuicao[[#This Row],[Faixa 1]:[Faixa 6]],$H$2:$M$2)</f>
        <v>218.62559999999996</v>
      </c>
      <c r="O49" s="31">
        <f>tbl_distribuicao[[#This Row],[Tarifa Água CAESB Futuro]]</f>
        <v>218.62559999999996</v>
      </c>
      <c r="P49" s="43">
        <f>IF(SUM(tbl_distribuicao[[#This Row],[Tarifa Água CAESB Futuro]:[Tarifa Esgoto CAESB Futuro]])&gt;MINIMO_CAESB,SUM(tbl_distribuicao[[#This Row],[Tarifa Água CAESB Futuro]:[Tarifa Esgoto CAESB Futuro]]),MINIMO_CAESB)</f>
        <v>437.25119999999993</v>
      </c>
      <c r="Q49" s="42">
        <f>IF(tbl_distribuicao[[#This Row],[Consumo Mês Referência]]&gt;VLOOKUP($H$4,tbl_caesb[[Faixa]:[Volume]],$J$3,FALSE),VLOOKUP($H$4,tbl_caesb[[Faixa]:[Volume]],$J$3,FALSE),tbl_distribuicao[[#This Row],[Consumo Mês Referência]])</f>
        <v>10</v>
      </c>
      <c r="R49" s="42">
        <f>IF((tbl_distribuicao[[#This Row],[Consumo Mês Referência]]-tbl_distribuicao[[#This Row],[Faixa 1_]])&gt;VLOOKUP($I$4,tbl_caesb[[Faixa]:[Volume]],$J$3,FALSE),VLOOKUP($I$4,tbl_caesb[[Faixa]:[Volume]],$J$3,FALSE),IF(tbl_distribuicao[[#This Row],[Faixa 1_]]&gt;0,tbl_distribuicao[[#This Row],[Consumo Mês Referência]]-tbl_distribuicao[[#This Row],[Faixa 1_]],0))</f>
        <v>5</v>
      </c>
      <c r="S49" s="42">
        <f>IF(AND((tbl_distribuicao[[#This Row],[Consumo Mês Referência]]-SUM(tbl_distribuicao[[#This Row],[Faixa 1_]:[Faixa 2_]]))&gt;VLOOKUP($J$4,tbl_caesb[[Faixa]:[Volume]],$J$3,FALSE),VLOOKUP($J$4,tbl_caesb[[Faixa]:[Volume]],$J$3,FALSE)&gt;0,$S$3=""),VLOOKUP($J$4,tbl_caesb[[Faixa]:[Volume]],$J$3,FALSE),IF(tbl_distribuicao[[#This Row],[Faixa 2_]]&gt;0,tbl_distribuicao[[#This Row],[Consumo Mês Referência]]-SUM(tbl_distribuicao[[#This Row],[Faixa 1_]:[Faixa 2_]]),0))</f>
        <v>20.287999999999997</v>
      </c>
      <c r="T49" s="42">
        <f>SUMPRODUCT(tbl_distribuicao[[#This Row],[Faixa 1_]:[Faixa 3_]],$H$2:$J$2)</f>
        <v>178.50863999999999</v>
      </c>
      <c r="U49" s="42">
        <f>tbl_distribuicao[[#This Row],[Tarifa Água CAESB Atual]]</f>
        <v>178.50863999999999</v>
      </c>
      <c r="V49" s="42">
        <f>SUM(tbl_distribuicao[[#This Row],[Tarifa Água CAESB Atual]:[Tarifa Esgoto CAESB Atual]])</f>
        <v>357.01727999999997</v>
      </c>
      <c r="W49" s="47">
        <f>tbl_distribuicao[[#This Row],[Valor Padrão Atual]]*$V$4</f>
        <v>354.54545454545456</v>
      </c>
      <c r="X49" s="32">
        <f>tbl_distribuicao[[#This Row],[Valor CAESB Futuro]]-tbl_distribuicao[[#This Row],[Valor Padrão Atual AJUSTADO]]</f>
        <v>82.705745454545365</v>
      </c>
      <c r="Y49" s="32">
        <f>tbl_distribuicao[[#This Row],[Diferença no Mês]]*12</f>
        <v>992.46894545454438</v>
      </c>
    </row>
  </sheetData>
  <sheetProtection algorithmName="SHA-512" hashValue="YG/yZ9K3GgU4Qk9mILLr4hndZTLs4aWW2zAle5FGhDE/GSk0bsP0OTjDi2FDSgi4IRfMvyYnJ/ctrNJ+74LXhg==" saltValue="l3URvqBzD78ojFQdW+GUXA==" spinCount="100000" sheet="1" objects="1" scenarios="1" sort="0" autoFilter="0"/>
  <mergeCells count="2">
    <mergeCell ref="A1:D1"/>
    <mergeCell ref="H3:I3"/>
  </mergeCells>
  <dataValidations count="1">
    <dataValidation type="list" allowBlank="1" showInputMessage="1" showErrorMessage="1" sqref="E1">
      <formula1>lst_mesreferencia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tabColor theme="8" tint="0.39997558519241921"/>
  </sheetPr>
  <dimension ref="A1:Q46"/>
  <sheetViews>
    <sheetView showGridLines="0" zoomScaleNormal="100" workbookViewId="0">
      <selection activeCell="F1" sqref="F1"/>
    </sheetView>
  </sheetViews>
  <sheetFormatPr defaultRowHeight="15" x14ac:dyDescent="0.25"/>
  <cols>
    <col min="1" max="3" width="7.7109375" customWidth="1"/>
    <col min="4" max="4" width="10.7109375" customWidth="1"/>
    <col min="5" max="17" width="12.7109375" customWidth="1"/>
  </cols>
  <sheetData>
    <row r="1" spans="1:17" ht="15.75" thickBot="1" x14ac:dyDescent="0.3">
      <c r="E1" s="37" t="s">
        <v>79</v>
      </c>
      <c r="F1" s="36">
        <f>IF(SUM(tbl_consolidacao[Janeiro])&gt;0,SUM(tbl_consolidacao[Janeiro])-SUM(tbl_consolidacao[Dezembro (Anterior)]),0)</f>
        <v>1552.6719999999998</v>
      </c>
      <c r="G1" s="36">
        <f>IF(SUM(tbl_consolidacao[Fevereiro])&gt;0,SUM(tbl_consolidacao[Fevereiro])-SUM(tbl_consolidacao[Janeiro]),0)</f>
        <v>496.6719999999998</v>
      </c>
      <c r="H1" s="36">
        <f>IF(SUM(tbl_consolidacao[Março])&gt;0,SUM(tbl_consolidacao[Março])-SUM(tbl_consolidacao[Fevereiro]),0)</f>
        <v>310.28800000000001</v>
      </c>
      <c r="I1" s="36">
        <f>IF(SUM(tbl_consolidacao[Abril])&gt;0,SUM(tbl_consolidacao[Abril])-SUM(tbl_consolidacao[Março]),0)</f>
        <v>0</v>
      </c>
      <c r="J1" s="36">
        <f>IF(SUM(tbl_consolidacao[Maio])&gt;0,SUM(tbl_consolidacao[Maio])-SUM(tbl_consolidacao[Abril]),0)</f>
        <v>0</v>
      </c>
      <c r="K1" s="36">
        <f>IF(SUM(tbl_consolidacao[Junho])&gt;0,SUM(tbl_consolidacao[Junho])-SUM(tbl_consolidacao[Maio]),0)</f>
        <v>0</v>
      </c>
      <c r="L1" s="36">
        <f>IF(SUM(tbl_consolidacao[Julho])&gt;0,SUM(tbl_consolidacao[Julho])-SUM(tbl_consolidacao[Junho]),0)</f>
        <v>0</v>
      </c>
      <c r="M1" s="36">
        <f>IF(SUM(tbl_consolidacao[Agosto])&gt;0,SUM(tbl_consolidacao[Agosto])-SUM(tbl_consolidacao[Julho]),0)</f>
        <v>0</v>
      </c>
      <c r="N1" s="36">
        <f>IF(SUM(tbl_consolidacao[Setembro])&gt;0,SUM(tbl_consolidacao[Setembro])-SUM(tbl_consolidacao[Agosto]),0)</f>
        <v>0</v>
      </c>
      <c r="O1" s="36">
        <f>IF(SUM(tbl_consolidacao[Outubro])&gt;0,SUM(tbl_consolidacao[Outubro])-SUM(tbl_consolidacao[Setembro]),0)</f>
        <v>0</v>
      </c>
      <c r="P1" s="36">
        <f>IF(SUM(tbl_consolidacao[Novembro])&gt;0,SUM(tbl_consolidacao[Novembro])-SUM(tbl_consolidacao[Outubro]),0)</f>
        <v>0</v>
      </c>
      <c r="Q1" s="36">
        <f>IF(SUM(tbl_consolidacao[Dezembro])&gt;0,SUM(tbl_consolidacao[Dezembro])-SUM(tbl_consolidacao[Novembro]),0)</f>
        <v>0</v>
      </c>
    </row>
    <row r="2" spans="1:17" ht="65.099999999999994" customHeight="1" x14ac:dyDescent="0.25">
      <c r="A2" s="3" t="s">
        <v>24</v>
      </c>
      <c r="B2" s="3" t="s">
        <v>25</v>
      </c>
      <c r="C2" s="3" t="s">
        <v>26</v>
      </c>
      <c r="D2" s="3" t="s">
        <v>49</v>
      </c>
      <c r="E2" s="3" t="s">
        <v>50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35</v>
      </c>
      <c r="K2" s="3" t="s">
        <v>36</v>
      </c>
      <c r="L2" s="3" t="s">
        <v>37</v>
      </c>
      <c r="M2" s="3" t="s">
        <v>38</v>
      </c>
      <c r="N2" s="3" t="s">
        <v>39</v>
      </c>
      <c r="O2" s="3" t="s">
        <v>40</v>
      </c>
      <c r="P2" s="3" t="s">
        <v>41</v>
      </c>
      <c r="Q2" s="3" t="s">
        <v>42</v>
      </c>
    </row>
    <row r="3" spans="1:17" x14ac:dyDescent="0.25">
      <c r="A3" s="2">
        <v>1</v>
      </c>
      <c r="B3" s="2" t="s">
        <v>28</v>
      </c>
      <c r="C3" s="2">
        <v>101</v>
      </c>
      <c r="D3" s="2" t="str">
        <f>tbl_consolidacao[[#This Row],[Unid]]&amp;"-"&amp;tbl_consolidacao[[#This Row],[Junta]]&amp;tbl_consolidacao[[#This Row],[Torre]]</f>
        <v>101-A1</v>
      </c>
      <c r="E3" s="26">
        <f>VLOOKUP(tbl_consolidacao[[#This Row],[Apto]],tbl_meddez_anterior[[Apto]:[Total]],6,FALSE)</f>
        <v>1.02</v>
      </c>
      <c r="F3" s="26">
        <f>VLOOKUP(tbl_consolidacao[[#This Row],[Apto]],tbl_medjan[[Apto]:[Total]],6,FALSE)</f>
        <v>36.308</v>
      </c>
      <c r="G3" s="26">
        <f>VLOOKUP(tbl_consolidacao[[#This Row],[Apto]],tbl_medfev[[Apto]:[Total]],6,FALSE)</f>
        <v>47.595999999999997</v>
      </c>
      <c r="H3" s="26">
        <f>VLOOKUP(tbl_consolidacao[[#This Row],[Apto]],tbl_medmar[[Apto]:[Total]],6,FALSE)</f>
        <v>54.648000000000003</v>
      </c>
      <c r="I3" s="26">
        <f>VLOOKUP(tbl_consolidacao[[#This Row],[Apto]],tbl_medabr[[Apto]:[Total]],6,FALSE)</f>
        <v>0</v>
      </c>
      <c r="J3" s="26">
        <f>VLOOKUP(tbl_consolidacao[[#This Row],[Apto]],tbl_medmai[[Apto]:[Total]],6,FALSE)</f>
        <v>0</v>
      </c>
      <c r="K3" s="26">
        <f>VLOOKUP(tbl_consolidacao[[#This Row],[Apto]],tbl_medjun[[Apto]:[Total]],6,FALSE)</f>
        <v>0</v>
      </c>
      <c r="L3" s="26">
        <f>VLOOKUP(tbl_consolidacao[[#This Row],[Apto]],tbl_medjul[[Apto]:[Total]],6,FALSE)</f>
        <v>0</v>
      </c>
      <c r="M3" s="26">
        <f>VLOOKUP(tbl_consolidacao[[#This Row],[Apto]],tbl_medago[[Apto]:[Total]],6,FALSE)</f>
        <v>0</v>
      </c>
      <c r="N3" s="26">
        <f>VLOOKUP(tbl_consolidacao[[#This Row],[Apto]],tbl_medset[[Apto]:[Total]],6,FALSE)</f>
        <v>0</v>
      </c>
      <c r="O3" s="26">
        <f>VLOOKUP(tbl_consolidacao[[#This Row],[Apto]],tbl_medout[[Apto]:[Total]],6,FALSE)</f>
        <v>0</v>
      </c>
      <c r="P3" s="26">
        <f>VLOOKUP(tbl_consolidacao[[#This Row],[Apto]],tbl_mednov[[Apto]:[Total]],6,FALSE)</f>
        <v>0</v>
      </c>
      <c r="Q3" s="26">
        <f>VLOOKUP(tbl_consolidacao[[#This Row],[Apto]],tbl_meddez[[Apto]:[Total]],6,FALSE)</f>
        <v>0</v>
      </c>
    </row>
    <row r="4" spans="1:17" x14ac:dyDescent="0.25">
      <c r="A4" s="2">
        <v>2</v>
      </c>
      <c r="B4" s="2" t="s">
        <v>28</v>
      </c>
      <c r="C4" s="2">
        <v>101</v>
      </c>
      <c r="D4" s="2" t="str">
        <f>tbl_consolidacao[[#This Row],[Unid]]&amp;"-"&amp;tbl_consolidacao[[#This Row],[Junta]]&amp;tbl_consolidacao[[#This Row],[Torre]]</f>
        <v>101-A2</v>
      </c>
      <c r="E4" s="26">
        <f>VLOOKUP(tbl_consolidacao[[#This Row],[Apto]],tbl_meddez_anterior[[Apto]:[Total]],6,FALSE)</f>
        <v>1.02</v>
      </c>
      <c r="F4" s="26">
        <f>VLOOKUP(tbl_consolidacao[[#This Row],[Apto]],tbl_medjan[[Apto]:[Total]],6,FALSE)</f>
        <v>36.308</v>
      </c>
      <c r="G4" s="26">
        <f>VLOOKUP(tbl_consolidacao[[#This Row],[Apto]],tbl_medfev[[Apto]:[Total]],6,FALSE)</f>
        <v>47.595999999999997</v>
      </c>
      <c r="H4" s="26">
        <f>VLOOKUP(tbl_consolidacao[[#This Row],[Apto]],tbl_medmar[[Apto]:[Total]],6,FALSE)</f>
        <v>54.648000000000003</v>
      </c>
      <c r="I4" s="26">
        <f>VLOOKUP(tbl_consolidacao[[#This Row],[Apto]],tbl_medabr[[Apto]:[Total]],6,FALSE)</f>
        <v>0</v>
      </c>
      <c r="J4" s="26">
        <f>VLOOKUP(tbl_consolidacao[[#This Row],[Apto]],tbl_medmai[[Apto]:[Total]],6,FALSE)</f>
        <v>0</v>
      </c>
      <c r="K4" s="26">
        <f>VLOOKUP(tbl_consolidacao[[#This Row],[Apto]],tbl_medjun[[Apto]:[Total]],6,FALSE)</f>
        <v>0</v>
      </c>
      <c r="L4" s="26">
        <f>VLOOKUP(tbl_consolidacao[[#This Row],[Apto]],tbl_medjul[[Apto]:[Total]],6,FALSE)</f>
        <v>0</v>
      </c>
      <c r="M4" s="26">
        <f>VLOOKUP(tbl_consolidacao[[#This Row],[Apto]],tbl_medago[[Apto]:[Total]],6,FALSE)</f>
        <v>0</v>
      </c>
      <c r="N4" s="26">
        <f>VLOOKUP(tbl_consolidacao[[#This Row],[Apto]],tbl_medset[[Apto]:[Total]],6,FALSE)</f>
        <v>0</v>
      </c>
      <c r="O4" s="26">
        <f>VLOOKUP(tbl_consolidacao[[#This Row],[Apto]],tbl_medout[[Apto]:[Total]],6,FALSE)</f>
        <v>0</v>
      </c>
      <c r="P4" s="26">
        <f>VLOOKUP(tbl_consolidacao[[#This Row],[Apto]],tbl_mednov[[Apto]:[Total]],6,FALSE)</f>
        <v>0</v>
      </c>
      <c r="Q4" s="26">
        <f>VLOOKUP(tbl_consolidacao[[#This Row],[Apto]],tbl_meddez[[Apto]:[Total]],6,FALSE)</f>
        <v>0</v>
      </c>
    </row>
    <row r="5" spans="1:17" x14ac:dyDescent="0.25">
      <c r="A5" s="2">
        <v>1</v>
      </c>
      <c r="B5" s="2" t="s">
        <v>28</v>
      </c>
      <c r="C5" s="2">
        <v>102</v>
      </c>
      <c r="D5" s="2" t="str">
        <f>tbl_consolidacao[[#This Row],[Unid]]&amp;"-"&amp;tbl_consolidacao[[#This Row],[Junta]]&amp;tbl_consolidacao[[#This Row],[Torre]]</f>
        <v>102-A1</v>
      </c>
      <c r="E5" s="26">
        <f>VLOOKUP(tbl_consolidacao[[#This Row],[Apto]],tbl_meddez_anterior[[Apto]:[Total]],6,FALSE)</f>
        <v>1.02</v>
      </c>
      <c r="F5" s="26">
        <f>VLOOKUP(tbl_consolidacao[[#This Row],[Apto]],tbl_medjan[[Apto]:[Total]],6,FALSE)</f>
        <v>36.308</v>
      </c>
      <c r="G5" s="26">
        <f>VLOOKUP(tbl_consolidacao[[#This Row],[Apto]],tbl_medfev[[Apto]:[Total]],6,FALSE)</f>
        <v>47.595999999999997</v>
      </c>
      <c r="H5" s="26">
        <f>VLOOKUP(tbl_consolidacao[[#This Row],[Apto]],tbl_medmar[[Apto]:[Total]],6,FALSE)</f>
        <v>54.648000000000003</v>
      </c>
      <c r="I5" s="26">
        <f>VLOOKUP(tbl_consolidacao[[#This Row],[Apto]],tbl_medabr[[Apto]:[Total]],6,FALSE)</f>
        <v>0</v>
      </c>
      <c r="J5" s="26">
        <f>VLOOKUP(tbl_consolidacao[[#This Row],[Apto]],tbl_medmai[[Apto]:[Total]],6,FALSE)</f>
        <v>0</v>
      </c>
      <c r="K5" s="26">
        <f>VLOOKUP(tbl_consolidacao[[#This Row],[Apto]],tbl_medjun[[Apto]:[Total]],6,FALSE)</f>
        <v>0</v>
      </c>
      <c r="L5" s="26">
        <f>VLOOKUP(tbl_consolidacao[[#This Row],[Apto]],tbl_medjul[[Apto]:[Total]],6,FALSE)</f>
        <v>0</v>
      </c>
      <c r="M5" s="26">
        <f>VLOOKUP(tbl_consolidacao[[#This Row],[Apto]],tbl_medago[[Apto]:[Total]],6,FALSE)</f>
        <v>0</v>
      </c>
      <c r="N5" s="26">
        <f>VLOOKUP(tbl_consolidacao[[#This Row],[Apto]],tbl_medset[[Apto]:[Total]],6,FALSE)</f>
        <v>0</v>
      </c>
      <c r="O5" s="26">
        <f>VLOOKUP(tbl_consolidacao[[#This Row],[Apto]],tbl_medout[[Apto]:[Total]],6,FALSE)</f>
        <v>0</v>
      </c>
      <c r="P5" s="26">
        <f>VLOOKUP(tbl_consolidacao[[#This Row],[Apto]],tbl_mednov[[Apto]:[Total]],6,FALSE)</f>
        <v>0</v>
      </c>
      <c r="Q5" s="26">
        <f>VLOOKUP(tbl_consolidacao[[#This Row],[Apto]],tbl_meddez[[Apto]:[Total]],6,FALSE)</f>
        <v>0</v>
      </c>
    </row>
    <row r="6" spans="1:17" x14ac:dyDescent="0.25">
      <c r="A6" s="2">
        <v>2</v>
      </c>
      <c r="B6" s="2" t="s">
        <v>28</v>
      </c>
      <c r="C6" s="2">
        <v>102</v>
      </c>
      <c r="D6" s="2" t="str">
        <f>tbl_consolidacao[[#This Row],[Unid]]&amp;"-"&amp;tbl_consolidacao[[#This Row],[Junta]]&amp;tbl_consolidacao[[#This Row],[Torre]]</f>
        <v>102-A2</v>
      </c>
      <c r="E6" s="26">
        <f>VLOOKUP(tbl_consolidacao[[#This Row],[Apto]],tbl_meddez_anterior[[Apto]:[Total]],6,FALSE)</f>
        <v>1.02</v>
      </c>
      <c r="F6" s="26">
        <f>VLOOKUP(tbl_consolidacao[[#This Row],[Apto]],tbl_medjan[[Apto]:[Total]],6,FALSE)</f>
        <v>36.308</v>
      </c>
      <c r="G6" s="26">
        <f>VLOOKUP(tbl_consolidacao[[#This Row],[Apto]],tbl_medfev[[Apto]:[Total]],6,FALSE)</f>
        <v>47.595999999999997</v>
      </c>
      <c r="H6" s="26">
        <f>VLOOKUP(tbl_consolidacao[[#This Row],[Apto]],tbl_medmar[[Apto]:[Total]],6,FALSE)</f>
        <v>54.648000000000003</v>
      </c>
      <c r="I6" s="26">
        <f>VLOOKUP(tbl_consolidacao[[#This Row],[Apto]],tbl_medabr[[Apto]:[Total]],6,FALSE)</f>
        <v>0</v>
      </c>
      <c r="J6" s="26">
        <f>VLOOKUP(tbl_consolidacao[[#This Row],[Apto]],tbl_medmai[[Apto]:[Total]],6,FALSE)</f>
        <v>0</v>
      </c>
      <c r="K6" s="26">
        <f>VLOOKUP(tbl_consolidacao[[#This Row],[Apto]],tbl_medjun[[Apto]:[Total]],6,FALSE)</f>
        <v>0</v>
      </c>
      <c r="L6" s="26">
        <f>VLOOKUP(tbl_consolidacao[[#This Row],[Apto]],tbl_medjul[[Apto]:[Total]],6,FALSE)</f>
        <v>0</v>
      </c>
      <c r="M6" s="26">
        <f>VLOOKUP(tbl_consolidacao[[#This Row],[Apto]],tbl_medago[[Apto]:[Total]],6,FALSE)</f>
        <v>0</v>
      </c>
      <c r="N6" s="26">
        <f>VLOOKUP(tbl_consolidacao[[#This Row],[Apto]],tbl_medset[[Apto]:[Total]],6,FALSE)</f>
        <v>0</v>
      </c>
      <c r="O6" s="26">
        <f>VLOOKUP(tbl_consolidacao[[#This Row],[Apto]],tbl_medout[[Apto]:[Total]],6,FALSE)</f>
        <v>0</v>
      </c>
      <c r="P6" s="26">
        <f>VLOOKUP(tbl_consolidacao[[#This Row],[Apto]],tbl_mednov[[Apto]:[Total]],6,FALSE)</f>
        <v>0</v>
      </c>
      <c r="Q6" s="26">
        <f>VLOOKUP(tbl_consolidacao[[#This Row],[Apto]],tbl_meddez[[Apto]:[Total]],6,FALSE)</f>
        <v>0</v>
      </c>
    </row>
    <row r="7" spans="1:17" x14ac:dyDescent="0.25">
      <c r="A7" s="2">
        <v>1</v>
      </c>
      <c r="B7" s="2" t="s">
        <v>28</v>
      </c>
      <c r="C7" s="2">
        <v>103</v>
      </c>
      <c r="D7" s="2" t="str">
        <f>tbl_consolidacao[[#This Row],[Unid]]&amp;"-"&amp;tbl_consolidacao[[#This Row],[Junta]]&amp;tbl_consolidacao[[#This Row],[Torre]]</f>
        <v>103-A1</v>
      </c>
      <c r="E7" s="26">
        <f>VLOOKUP(tbl_consolidacao[[#This Row],[Apto]],tbl_meddez_anterior[[Apto]:[Total]],6,FALSE)</f>
        <v>1.02</v>
      </c>
      <c r="F7" s="26">
        <f>VLOOKUP(tbl_consolidacao[[#This Row],[Apto]],tbl_medjan[[Apto]:[Total]],6,FALSE)</f>
        <v>36.308</v>
      </c>
      <c r="G7" s="26">
        <f>VLOOKUP(tbl_consolidacao[[#This Row],[Apto]],tbl_medfev[[Apto]:[Total]],6,FALSE)</f>
        <v>47.595999999999997</v>
      </c>
      <c r="H7" s="26">
        <f>VLOOKUP(tbl_consolidacao[[#This Row],[Apto]],tbl_medmar[[Apto]:[Total]],6,FALSE)</f>
        <v>54.648000000000003</v>
      </c>
      <c r="I7" s="26">
        <f>VLOOKUP(tbl_consolidacao[[#This Row],[Apto]],tbl_medabr[[Apto]:[Total]],6,FALSE)</f>
        <v>0</v>
      </c>
      <c r="J7" s="26">
        <f>VLOOKUP(tbl_consolidacao[[#This Row],[Apto]],tbl_medmai[[Apto]:[Total]],6,FALSE)</f>
        <v>0</v>
      </c>
      <c r="K7" s="26">
        <f>VLOOKUP(tbl_consolidacao[[#This Row],[Apto]],tbl_medjun[[Apto]:[Total]],6,FALSE)</f>
        <v>0</v>
      </c>
      <c r="L7" s="26">
        <f>VLOOKUP(tbl_consolidacao[[#This Row],[Apto]],tbl_medjul[[Apto]:[Total]],6,FALSE)</f>
        <v>0</v>
      </c>
      <c r="M7" s="26">
        <f>VLOOKUP(tbl_consolidacao[[#This Row],[Apto]],tbl_medago[[Apto]:[Total]],6,FALSE)</f>
        <v>0</v>
      </c>
      <c r="N7" s="26">
        <f>VLOOKUP(tbl_consolidacao[[#This Row],[Apto]],tbl_medset[[Apto]:[Total]],6,FALSE)</f>
        <v>0</v>
      </c>
      <c r="O7" s="26">
        <f>VLOOKUP(tbl_consolidacao[[#This Row],[Apto]],tbl_medout[[Apto]:[Total]],6,FALSE)</f>
        <v>0</v>
      </c>
      <c r="P7" s="26">
        <f>VLOOKUP(tbl_consolidacao[[#This Row],[Apto]],tbl_mednov[[Apto]:[Total]],6,FALSE)</f>
        <v>0</v>
      </c>
      <c r="Q7" s="26">
        <f>VLOOKUP(tbl_consolidacao[[#This Row],[Apto]],tbl_meddez[[Apto]:[Total]],6,FALSE)</f>
        <v>0</v>
      </c>
    </row>
    <row r="8" spans="1:17" x14ac:dyDescent="0.25">
      <c r="A8" s="2">
        <v>2</v>
      </c>
      <c r="B8" s="2" t="s">
        <v>28</v>
      </c>
      <c r="C8" s="2">
        <v>103</v>
      </c>
      <c r="D8" s="2" t="str">
        <f>tbl_consolidacao[[#This Row],[Unid]]&amp;"-"&amp;tbl_consolidacao[[#This Row],[Junta]]&amp;tbl_consolidacao[[#This Row],[Torre]]</f>
        <v>103-A2</v>
      </c>
      <c r="E8" s="26">
        <f>VLOOKUP(tbl_consolidacao[[#This Row],[Apto]],tbl_meddez_anterior[[Apto]:[Total]],6,FALSE)</f>
        <v>1.02</v>
      </c>
      <c r="F8" s="26">
        <f>VLOOKUP(tbl_consolidacao[[#This Row],[Apto]],tbl_medjan[[Apto]:[Total]],6,FALSE)</f>
        <v>36.308</v>
      </c>
      <c r="G8" s="26">
        <f>VLOOKUP(tbl_consolidacao[[#This Row],[Apto]],tbl_medfev[[Apto]:[Total]],6,FALSE)</f>
        <v>47.595999999999997</v>
      </c>
      <c r="H8" s="26">
        <f>VLOOKUP(tbl_consolidacao[[#This Row],[Apto]],tbl_medmar[[Apto]:[Total]],6,FALSE)</f>
        <v>54.648000000000003</v>
      </c>
      <c r="I8" s="26">
        <f>VLOOKUP(tbl_consolidacao[[#This Row],[Apto]],tbl_medabr[[Apto]:[Total]],6,FALSE)</f>
        <v>0</v>
      </c>
      <c r="J8" s="26">
        <f>VLOOKUP(tbl_consolidacao[[#This Row],[Apto]],tbl_medmai[[Apto]:[Total]],6,FALSE)</f>
        <v>0</v>
      </c>
      <c r="K8" s="26">
        <f>VLOOKUP(tbl_consolidacao[[#This Row],[Apto]],tbl_medjun[[Apto]:[Total]],6,FALSE)</f>
        <v>0</v>
      </c>
      <c r="L8" s="26">
        <f>VLOOKUP(tbl_consolidacao[[#This Row],[Apto]],tbl_medjul[[Apto]:[Total]],6,FALSE)</f>
        <v>0</v>
      </c>
      <c r="M8" s="26">
        <f>VLOOKUP(tbl_consolidacao[[#This Row],[Apto]],tbl_medago[[Apto]:[Total]],6,FALSE)</f>
        <v>0</v>
      </c>
      <c r="N8" s="26">
        <f>VLOOKUP(tbl_consolidacao[[#This Row],[Apto]],tbl_medset[[Apto]:[Total]],6,FALSE)</f>
        <v>0</v>
      </c>
      <c r="O8" s="26">
        <f>VLOOKUP(tbl_consolidacao[[#This Row],[Apto]],tbl_medout[[Apto]:[Total]],6,FALSE)</f>
        <v>0</v>
      </c>
      <c r="P8" s="26">
        <f>VLOOKUP(tbl_consolidacao[[#This Row],[Apto]],tbl_mednov[[Apto]:[Total]],6,FALSE)</f>
        <v>0</v>
      </c>
      <c r="Q8" s="26">
        <f>VLOOKUP(tbl_consolidacao[[#This Row],[Apto]],tbl_meddez[[Apto]:[Total]],6,FALSE)</f>
        <v>0</v>
      </c>
    </row>
    <row r="9" spans="1:17" x14ac:dyDescent="0.25">
      <c r="A9" s="2">
        <v>1</v>
      </c>
      <c r="B9" s="2" t="s">
        <v>28</v>
      </c>
      <c r="C9" s="2">
        <v>104</v>
      </c>
      <c r="D9" s="2" t="str">
        <f>tbl_consolidacao[[#This Row],[Unid]]&amp;"-"&amp;tbl_consolidacao[[#This Row],[Junta]]&amp;tbl_consolidacao[[#This Row],[Torre]]</f>
        <v>104-A1</v>
      </c>
      <c r="E9" s="26">
        <f>VLOOKUP(tbl_consolidacao[[#This Row],[Apto]],tbl_meddez_anterior[[Apto]:[Total]],6,FALSE)</f>
        <v>1.02</v>
      </c>
      <c r="F9" s="26">
        <f>VLOOKUP(tbl_consolidacao[[#This Row],[Apto]],tbl_medjan[[Apto]:[Total]],6,FALSE)</f>
        <v>36.308</v>
      </c>
      <c r="G9" s="26">
        <f>VLOOKUP(tbl_consolidacao[[#This Row],[Apto]],tbl_medfev[[Apto]:[Total]],6,FALSE)</f>
        <v>47.595999999999997</v>
      </c>
      <c r="H9" s="26">
        <f>VLOOKUP(tbl_consolidacao[[#This Row],[Apto]],tbl_medmar[[Apto]:[Total]],6,FALSE)</f>
        <v>54.648000000000003</v>
      </c>
      <c r="I9" s="26">
        <f>VLOOKUP(tbl_consolidacao[[#This Row],[Apto]],tbl_medabr[[Apto]:[Total]],6,FALSE)</f>
        <v>0</v>
      </c>
      <c r="J9" s="26">
        <f>VLOOKUP(tbl_consolidacao[[#This Row],[Apto]],tbl_medmai[[Apto]:[Total]],6,FALSE)</f>
        <v>0</v>
      </c>
      <c r="K9" s="26">
        <f>VLOOKUP(tbl_consolidacao[[#This Row],[Apto]],tbl_medjun[[Apto]:[Total]],6,FALSE)</f>
        <v>0</v>
      </c>
      <c r="L9" s="26">
        <f>VLOOKUP(tbl_consolidacao[[#This Row],[Apto]],tbl_medjul[[Apto]:[Total]],6,FALSE)</f>
        <v>0</v>
      </c>
      <c r="M9" s="26">
        <f>VLOOKUP(tbl_consolidacao[[#This Row],[Apto]],tbl_medago[[Apto]:[Total]],6,FALSE)</f>
        <v>0</v>
      </c>
      <c r="N9" s="26">
        <f>VLOOKUP(tbl_consolidacao[[#This Row],[Apto]],tbl_medset[[Apto]:[Total]],6,FALSE)</f>
        <v>0</v>
      </c>
      <c r="O9" s="26">
        <f>VLOOKUP(tbl_consolidacao[[#This Row],[Apto]],tbl_medout[[Apto]:[Total]],6,FALSE)</f>
        <v>0</v>
      </c>
      <c r="P9" s="26">
        <f>VLOOKUP(tbl_consolidacao[[#This Row],[Apto]],tbl_mednov[[Apto]:[Total]],6,FALSE)</f>
        <v>0</v>
      </c>
      <c r="Q9" s="26">
        <f>VLOOKUP(tbl_consolidacao[[#This Row],[Apto]],tbl_meddez[[Apto]:[Total]],6,FALSE)</f>
        <v>0</v>
      </c>
    </row>
    <row r="10" spans="1:17" x14ac:dyDescent="0.25">
      <c r="A10" s="2">
        <v>2</v>
      </c>
      <c r="B10" s="2" t="s">
        <v>28</v>
      </c>
      <c r="C10" s="2">
        <v>104</v>
      </c>
      <c r="D10" s="2" t="str">
        <f>tbl_consolidacao[[#This Row],[Unid]]&amp;"-"&amp;tbl_consolidacao[[#This Row],[Junta]]&amp;tbl_consolidacao[[#This Row],[Torre]]</f>
        <v>104-A2</v>
      </c>
      <c r="E10" s="26">
        <f>VLOOKUP(tbl_consolidacao[[#This Row],[Apto]],tbl_meddez_anterior[[Apto]:[Total]],6,FALSE)</f>
        <v>1.02</v>
      </c>
      <c r="F10" s="26">
        <f>VLOOKUP(tbl_consolidacao[[#This Row],[Apto]],tbl_medjan[[Apto]:[Total]],6,FALSE)</f>
        <v>36.308</v>
      </c>
      <c r="G10" s="26">
        <f>VLOOKUP(tbl_consolidacao[[#This Row],[Apto]],tbl_medfev[[Apto]:[Total]],6,FALSE)</f>
        <v>47.595999999999997</v>
      </c>
      <c r="H10" s="26">
        <f>VLOOKUP(tbl_consolidacao[[#This Row],[Apto]],tbl_medmar[[Apto]:[Total]],6,FALSE)</f>
        <v>54.648000000000003</v>
      </c>
      <c r="I10" s="26">
        <f>VLOOKUP(tbl_consolidacao[[#This Row],[Apto]],tbl_medabr[[Apto]:[Total]],6,FALSE)</f>
        <v>0</v>
      </c>
      <c r="J10" s="26">
        <f>VLOOKUP(tbl_consolidacao[[#This Row],[Apto]],tbl_medmai[[Apto]:[Total]],6,FALSE)</f>
        <v>0</v>
      </c>
      <c r="K10" s="26">
        <f>VLOOKUP(tbl_consolidacao[[#This Row],[Apto]],tbl_medjun[[Apto]:[Total]],6,FALSE)</f>
        <v>0</v>
      </c>
      <c r="L10" s="26">
        <f>VLOOKUP(tbl_consolidacao[[#This Row],[Apto]],tbl_medjul[[Apto]:[Total]],6,FALSE)</f>
        <v>0</v>
      </c>
      <c r="M10" s="26">
        <f>VLOOKUP(tbl_consolidacao[[#This Row],[Apto]],tbl_medago[[Apto]:[Total]],6,FALSE)</f>
        <v>0</v>
      </c>
      <c r="N10" s="26">
        <f>VLOOKUP(tbl_consolidacao[[#This Row],[Apto]],tbl_medset[[Apto]:[Total]],6,FALSE)</f>
        <v>0</v>
      </c>
      <c r="O10" s="26">
        <f>VLOOKUP(tbl_consolidacao[[#This Row],[Apto]],tbl_medout[[Apto]:[Total]],6,FALSE)</f>
        <v>0</v>
      </c>
      <c r="P10" s="26">
        <f>VLOOKUP(tbl_consolidacao[[#This Row],[Apto]],tbl_mednov[[Apto]:[Total]],6,FALSE)</f>
        <v>0</v>
      </c>
      <c r="Q10" s="26">
        <f>VLOOKUP(tbl_consolidacao[[#This Row],[Apto]],tbl_meddez[[Apto]:[Total]],6,FALSE)</f>
        <v>0</v>
      </c>
    </row>
    <row r="11" spans="1:17" x14ac:dyDescent="0.25">
      <c r="A11" s="2">
        <v>2</v>
      </c>
      <c r="B11" s="2" t="s">
        <v>29</v>
      </c>
      <c r="C11" s="2">
        <v>105</v>
      </c>
      <c r="D11" s="2" t="str">
        <f>tbl_consolidacao[[#This Row],[Unid]]&amp;"-"&amp;tbl_consolidacao[[#This Row],[Junta]]&amp;tbl_consolidacao[[#This Row],[Torre]]</f>
        <v>105-B2</v>
      </c>
      <c r="E11" s="26">
        <f>VLOOKUP(tbl_consolidacao[[#This Row],[Apto]],tbl_meddez_anterior[[Apto]:[Total]],6,FALSE)</f>
        <v>1.02</v>
      </c>
      <c r="F11" s="26">
        <f>VLOOKUP(tbl_consolidacao[[#This Row],[Apto]],tbl_medjan[[Apto]:[Total]],6,FALSE)</f>
        <v>36.308</v>
      </c>
      <c r="G11" s="26">
        <f>VLOOKUP(tbl_consolidacao[[#This Row],[Apto]],tbl_medfev[[Apto]:[Total]],6,FALSE)</f>
        <v>47.595999999999997</v>
      </c>
      <c r="H11" s="26">
        <f>VLOOKUP(tbl_consolidacao[[#This Row],[Apto]],tbl_medmar[[Apto]:[Total]],6,FALSE)</f>
        <v>54.648000000000003</v>
      </c>
      <c r="I11" s="26">
        <f>VLOOKUP(tbl_consolidacao[[#This Row],[Apto]],tbl_medabr[[Apto]:[Total]],6,FALSE)</f>
        <v>0</v>
      </c>
      <c r="J11" s="26">
        <f>VLOOKUP(tbl_consolidacao[[#This Row],[Apto]],tbl_medmai[[Apto]:[Total]],6,FALSE)</f>
        <v>0</v>
      </c>
      <c r="K11" s="26">
        <f>VLOOKUP(tbl_consolidacao[[#This Row],[Apto]],tbl_medjun[[Apto]:[Total]],6,FALSE)</f>
        <v>0</v>
      </c>
      <c r="L11" s="26">
        <f>VLOOKUP(tbl_consolidacao[[#This Row],[Apto]],tbl_medjul[[Apto]:[Total]],6,FALSE)</f>
        <v>0</v>
      </c>
      <c r="M11" s="26">
        <f>VLOOKUP(tbl_consolidacao[[#This Row],[Apto]],tbl_medago[[Apto]:[Total]],6,FALSE)</f>
        <v>0</v>
      </c>
      <c r="N11" s="26">
        <f>VLOOKUP(tbl_consolidacao[[#This Row],[Apto]],tbl_medset[[Apto]:[Total]],6,FALSE)</f>
        <v>0</v>
      </c>
      <c r="O11" s="26">
        <f>VLOOKUP(tbl_consolidacao[[#This Row],[Apto]],tbl_medout[[Apto]:[Total]],6,FALSE)</f>
        <v>0</v>
      </c>
      <c r="P11" s="26">
        <f>VLOOKUP(tbl_consolidacao[[#This Row],[Apto]],tbl_mednov[[Apto]:[Total]],6,FALSE)</f>
        <v>0</v>
      </c>
      <c r="Q11" s="26">
        <f>VLOOKUP(tbl_consolidacao[[#This Row],[Apto]],tbl_meddez[[Apto]:[Total]],6,FALSE)</f>
        <v>0</v>
      </c>
    </row>
    <row r="12" spans="1:17" x14ac:dyDescent="0.25">
      <c r="A12" s="2">
        <v>2</v>
      </c>
      <c r="B12" s="2" t="s">
        <v>29</v>
      </c>
      <c r="C12" s="2">
        <v>106</v>
      </c>
      <c r="D12" s="2" t="str">
        <f>tbl_consolidacao[[#This Row],[Unid]]&amp;"-"&amp;tbl_consolidacao[[#This Row],[Junta]]&amp;tbl_consolidacao[[#This Row],[Torre]]</f>
        <v>106-B2</v>
      </c>
      <c r="E12" s="26">
        <f>VLOOKUP(tbl_consolidacao[[#This Row],[Apto]],tbl_meddez_anterior[[Apto]:[Total]],6,FALSE)</f>
        <v>1.02</v>
      </c>
      <c r="F12" s="26">
        <f>VLOOKUP(tbl_consolidacao[[#This Row],[Apto]],tbl_medjan[[Apto]:[Total]],6,FALSE)</f>
        <v>36.308</v>
      </c>
      <c r="G12" s="26">
        <f>VLOOKUP(tbl_consolidacao[[#This Row],[Apto]],tbl_medfev[[Apto]:[Total]],6,FALSE)</f>
        <v>47.595999999999997</v>
      </c>
      <c r="H12" s="26">
        <f>VLOOKUP(tbl_consolidacao[[#This Row],[Apto]],tbl_medmar[[Apto]:[Total]],6,FALSE)</f>
        <v>54.648000000000003</v>
      </c>
      <c r="I12" s="26">
        <f>VLOOKUP(tbl_consolidacao[[#This Row],[Apto]],tbl_medabr[[Apto]:[Total]],6,FALSE)</f>
        <v>0</v>
      </c>
      <c r="J12" s="26">
        <f>VLOOKUP(tbl_consolidacao[[#This Row],[Apto]],tbl_medmai[[Apto]:[Total]],6,FALSE)</f>
        <v>0</v>
      </c>
      <c r="K12" s="26">
        <f>VLOOKUP(tbl_consolidacao[[#This Row],[Apto]],tbl_medjun[[Apto]:[Total]],6,FALSE)</f>
        <v>0</v>
      </c>
      <c r="L12" s="26">
        <f>VLOOKUP(tbl_consolidacao[[#This Row],[Apto]],tbl_medjul[[Apto]:[Total]],6,FALSE)</f>
        <v>0</v>
      </c>
      <c r="M12" s="26">
        <f>VLOOKUP(tbl_consolidacao[[#This Row],[Apto]],tbl_medago[[Apto]:[Total]],6,FALSE)</f>
        <v>0</v>
      </c>
      <c r="N12" s="26">
        <f>VLOOKUP(tbl_consolidacao[[#This Row],[Apto]],tbl_medset[[Apto]:[Total]],6,FALSE)</f>
        <v>0</v>
      </c>
      <c r="O12" s="26">
        <f>VLOOKUP(tbl_consolidacao[[#This Row],[Apto]],tbl_medout[[Apto]:[Total]],6,FALSE)</f>
        <v>0</v>
      </c>
      <c r="P12" s="26">
        <f>VLOOKUP(tbl_consolidacao[[#This Row],[Apto]],tbl_mednov[[Apto]:[Total]],6,FALSE)</f>
        <v>0</v>
      </c>
      <c r="Q12" s="26">
        <f>VLOOKUP(tbl_consolidacao[[#This Row],[Apto]],tbl_meddez[[Apto]:[Total]],6,FALSE)</f>
        <v>0</v>
      </c>
    </row>
    <row r="13" spans="1:17" x14ac:dyDescent="0.25">
      <c r="A13" s="2">
        <v>2</v>
      </c>
      <c r="B13" s="2" t="s">
        <v>29</v>
      </c>
      <c r="C13" s="2">
        <v>107</v>
      </c>
      <c r="D13" s="2" t="str">
        <f>tbl_consolidacao[[#This Row],[Unid]]&amp;"-"&amp;tbl_consolidacao[[#This Row],[Junta]]&amp;tbl_consolidacao[[#This Row],[Torre]]</f>
        <v>107-B2</v>
      </c>
      <c r="E13" s="26">
        <f>VLOOKUP(tbl_consolidacao[[#This Row],[Apto]],tbl_meddez_anterior[[Apto]:[Total]],6,FALSE)</f>
        <v>1.02</v>
      </c>
      <c r="F13" s="26">
        <f>VLOOKUP(tbl_consolidacao[[#This Row],[Apto]],tbl_medjan[[Apto]:[Total]],6,FALSE)</f>
        <v>36.308</v>
      </c>
      <c r="G13" s="26">
        <f>VLOOKUP(tbl_consolidacao[[#This Row],[Apto]],tbl_medfev[[Apto]:[Total]],6,FALSE)</f>
        <v>47.595999999999997</v>
      </c>
      <c r="H13" s="26">
        <f>VLOOKUP(tbl_consolidacao[[#This Row],[Apto]],tbl_medmar[[Apto]:[Total]],6,FALSE)</f>
        <v>54.648000000000003</v>
      </c>
      <c r="I13" s="26">
        <f>VLOOKUP(tbl_consolidacao[[#This Row],[Apto]],tbl_medabr[[Apto]:[Total]],6,FALSE)</f>
        <v>0</v>
      </c>
      <c r="J13" s="26">
        <f>VLOOKUP(tbl_consolidacao[[#This Row],[Apto]],tbl_medmai[[Apto]:[Total]],6,FALSE)</f>
        <v>0</v>
      </c>
      <c r="K13" s="26">
        <f>VLOOKUP(tbl_consolidacao[[#This Row],[Apto]],tbl_medjun[[Apto]:[Total]],6,FALSE)</f>
        <v>0</v>
      </c>
      <c r="L13" s="26">
        <f>VLOOKUP(tbl_consolidacao[[#This Row],[Apto]],tbl_medjul[[Apto]:[Total]],6,FALSE)</f>
        <v>0</v>
      </c>
      <c r="M13" s="26">
        <f>VLOOKUP(tbl_consolidacao[[#This Row],[Apto]],tbl_medago[[Apto]:[Total]],6,FALSE)</f>
        <v>0</v>
      </c>
      <c r="N13" s="26">
        <f>VLOOKUP(tbl_consolidacao[[#This Row],[Apto]],tbl_medset[[Apto]:[Total]],6,FALSE)</f>
        <v>0</v>
      </c>
      <c r="O13" s="26">
        <f>VLOOKUP(tbl_consolidacao[[#This Row],[Apto]],tbl_medout[[Apto]:[Total]],6,FALSE)</f>
        <v>0</v>
      </c>
      <c r="P13" s="26">
        <f>VLOOKUP(tbl_consolidacao[[#This Row],[Apto]],tbl_mednov[[Apto]:[Total]],6,FALSE)</f>
        <v>0</v>
      </c>
      <c r="Q13" s="26">
        <f>VLOOKUP(tbl_consolidacao[[#This Row],[Apto]],tbl_meddez[[Apto]:[Total]],6,FALSE)</f>
        <v>0</v>
      </c>
    </row>
    <row r="14" spans="1:17" x14ac:dyDescent="0.25">
      <c r="A14" s="2">
        <v>2</v>
      </c>
      <c r="B14" s="2" t="s">
        <v>29</v>
      </c>
      <c r="C14" s="2">
        <v>108</v>
      </c>
      <c r="D14" s="2" t="str">
        <f>tbl_consolidacao[[#This Row],[Unid]]&amp;"-"&amp;tbl_consolidacao[[#This Row],[Junta]]&amp;tbl_consolidacao[[#This Row],[Torre]]</f>
        <v>108-B2</v>
      </c>
      <c r="E14" s="26">
        <f>VLOOKUP(tbl_consolidacao[[#This Row],[Apto]],tbl_meddez_anterior[[Apto]:[Total]],6,FALSE)</f>
        <v>1.02</v>
      </c>
      <c r="F14" s="26">
        <f>VLOOKUP(tbl_consolidacao[[#This Row],[Apto]],tbl_medjan[[Apto]:[Total]],6,FALSE)</f>
        <v>36.308</v>
      </c>
      <c r="G14" s="26">
        <f>VLOOKUP(tbl_consolidacao[[#This Row],[Apto]],tbl_medfev[[Apto]:[Total]],6,FALSE)</f>
        <v>47.595999999999997</v>
      </c>
      <c r="H14" s="26">
        <f>VLOOKUP(tbl_consolidacao[[#This Row],[Apto]],tbl_medmar[[Apto]:[Total]],6,FALSE)</f>
        <v>54.648000000000003</v>
      </c>
      <c r="I14" s="26">
        <f>VLOOKUP(tbl_consolidacao[[#This Row],[Apto]],tbl_medabr[[Apto]:[Total]],6,FALSE)</f>
        <v>0</v>
      </c>
      <c r="J14" s="26">
        <f>VLOOKUP(tbl_consolidacao[[#This Row],[Apto]],tbl_medmai[[Apto]:[Total]],6,FALSE)</f>
        <v>0</v>
      </c>
      <c r="K14" s="26">
        <f>VLOOKUP(tbl_consolidacao[[#This Row],[Apto]],tbl_medjun[[Apto]:[Total]],6,FALSE)</f>
        <v>0</v>
      </c>
      <c r="L14" s="26">
        <f>VLOOKUP(tbl_consolidacao[[#This Row],[Apto]],tbl_medjul[[Apto]:[Total]],6,FALSE)</f>
        <v>0</v>
      </c>
      <c r="M14" s="26">
        <f>VLOOKUP(tbl_consolidacao[[#This Row],[Apto]],tbl_medago[[Apto]:[Total]],6,FALSE)</f>
        <v>0</v>
      </c>
      <c r="N14" s="26">
        <f>VLOOKUP(tbl_consolidacao[[#This Row],[Apto]],tbl_medset[[Apto]:[Total]],6,FALSE)</f>
        <v>0</v>
      </c>
      <c r="O14" s="26">
        <f>VLOOKUP(tbl_consolidacao[[#This Row],[Apto]],tbl_medout[[Apto]:[Total]],6,FALSE)</f>
        <v>0</v>
      </c>
      <c r="P14" s="26">
        <f>VLOOKUP(tbl_consolidacao[[#This Row],[Apto]],tbl_mednov[[Apto]:[Total]],6,FALSE)</f>
        <v>0</v>
      </c>
      <c r="Q14" s="26">
        <f>VLOOKUP(tbl_consolidacao[[#This Row],[Apto]],tbl_meddez[[Apto]:[Total]],6,FALSE)</f>
        <v>0</v>
      </c>
    </row>
    <row r="15" spans="1:17" x14ac:dyDescent="0.25">
      <c r="A15" s="2">
        <v>1</v>
      </c>
      <c r="B15" s="2" t="s">
        <v>28</v>
      </c>
      <c r="C15" s="2">
        <v>201</v>
      </c>
      <c r="D15" s="2" t="str">
        <f>tbl_consolidacao[[#This Row],[Unid]]&amp;"-"&amp;tbl_consolidacao[[#This Row],[Junta]]&amp;tbl_consolidacao[[#This Row],[Torre]]</f>
        <v>201-A1</v>
      </c>
      <c r="E15" s="26">
        <f>VLOOKUP(tbl_consolidacao[[#This Row],[Apto]],tbl_meddez_anterior[[Apto]:[Total]],6,FALSE)</f>
        <v>1.02</v>
      </c>
      <c r="F15" s="26">
        <f>VLOOKUP(tbl_consolidacao[[#This Row],[Apto]],tbl_medjan[[Apto]:[Total]],6,FALSE)</f>
        <v>36.308</v>
      </c>
      <c r="G15" s="26">
        <f>VLOOKUP(tbl_consolidacao[[#This Row],[Apto]],tbl_medfev[[Apto]:[Total]],6,FALSE)</f>
        <v>47.595999999999997</v>
      </c>
      <c r="H15" s="26">
        <f>VLOOKUP(tbl_consolidacao[[#This Row],[Apto]],tbl_medmar[[Apto]:[Total]],6,FALSE)</f>
        <v>54.648000000000003</v>
      </c>
      <c r="I15" s="26">
        <f>VLOOKUP(tbl_consolidacao[[#This Row],[Apto]],tbl_medabr[[Apto]:[Total]],6,FALSE)</f>
        <v>0</v>
      </c>
      <c r="J15" s="26">
        <f>VLOOKUP(tbl_consolidacao[[#This Row],[Apto]],tbl_medmai[[Apto]:[Total]],6,FALSE)</f>
        <v>0</v>
      </c>
      <c r="K15" s="26">
        <f>VLOOKUP(tbl_consolidacao[[#This Row],[Apto]],tbl_medjun[[Apto]:[Total]],6,FALSE)</f>
        <v>0</v>
      </c>
      <c r="L15" s="26">
        <f>VLOOKUP(tbl_consolidacao[[#This Row],[Apto]],tbl_medjul[[Apto]:[Total]],6,FALSE)</f>
        <v>0</v>
      </c>
      <c r="M15" s="26">
        <f>VLOOKUP(tbl_consolidacao[[#This Row],[Apto]],tbl_medago[[Apto]:[Total]],6,FALSE)</f>
        <v>0</v>
      </c>
      <c r="N15" s="26">
        <f>VLOOKUP(tbl_consolidacao[[#This Row],[Apto]],tbl_medset[[Apto]:[Total]],6,FALSE)</f>
        <v>0</v>
      </c>
      <c r="O15" s="26">
        <f>VLOOKUP(tbl_consolidacao[[#This Row],[Apto]],tbl_medout[[Apto]:[Total]],6,FALSE)</f>
        <v>0</v>
      </c>
      <c r="P15" s="26">
        <f>VLOOKUP(tbl_consolidacao[[#This Row],[Apto]],tbl_mednov[[Apto]:[Total]],6,FALSE)</f>
        <v>0</v>
      </c>
      <c r="Q15" s="26">
        <f>VLOOKUP(tbl_consolidacao[[#This Row],[Apto]],tbl_meddez[[Apto]:[Total]],6,FALSE)</f>
        <v>0</v>
      </c>
    </row>
    <row r="16" spans="1:17" x14ac:dyDescent="0.25">
      <c r="A16" s="2">
        <v>2</v>
      </c>
      <c r="B16" s="2" t="s">
        <v>28</v>
      </c>
      <c r="C16" s="2">
        <v>201</v>
      </c>
      <c r="D16" s="2" t="str">
        <f>tbl_consolidacao[[#This Row],[Unid]]&amp;"-"&amp;tbl_consolidacao[[#This Row],[Junta]]&amp;tbl_consolidacao[[#This Row],[Torre]]</f>
        <v>201-A2</v>
      </c>
      <c r="E16" s="26">
        <f>VLOOKUP(tbl_consolidacao[[#This Row],[Apto]],tbl_meddez_anterior[[Apto]:[Total]],6,FALSE)</f>
        <v>1.02</v>
      </c>
      <c r="F16" s="26">
        <f>VLOOKUP(tbl_consolidacao[[#This Row],[Apto]],tbl_medjan[[Apto]:[Total]],6,FALSE)</f>
        <v>36.308</v>
      </c>
      <c r="G16" s="26">
        <f>VLOOKUP(tbl_consolidacao[[#This Row],[Apto]],tbl_medfev[[Apto]:[Total]],6,FALSE)</f>
        <v>47.595999999999997</v>
      </c>
      <c r="H16" s="26">
        <f>VLOOKUP(tbl_consolidacao[[#This Row],[Apto]],tbl_medmar[[Apto]:[Total]],6,FALSE)</f>
        <v>54.648000000000003</v>
      </c>
      <c r="I16" s="26">
        <f>VLOOKUP(tbl_consolidacao[[#This Row],[Apto]],tbl_medabr[[Apto]:[Total]],6,FALSE)</f>
        <v>0</v>
      </c>
      <c r="J16" s="26">
        <f>VLOOKUP(tbl_consolidacao[[#This Row],[Apto]],tbl_medmai[[Apto]:[Total]],6,FALSE)</f>
        <v>0</v>
      </c>
      <c r="K16" s="26">
        <f>VLOOKUP(tbl_consolidacao[[#This Row],[Apto]],tbl_medjun[[Apto]:[Total]],6,FALSE)</f>
        <v>0</v>
      </c>
      <c r="L16" s="26">
        <f>VLOOKUP(tbl_consolidacao[[#This Row],[Apto]],tbl_medjul[[Apto]:[Total]],6,FALSE)</f>
        <v>0</v>
      </c>
      <c r="M16" s="26">
        <f>VLOOKUP(tbl_consolidacao[[#This Row],[Apto]],tbl_medago[[Apto]:[Total]],6,FALSE)</f>
        <v>0</v>
      </c>
      <c r="N16" s="26">
        <f>VLOOKUP(tbl_consolidacao[[#This Row],[Apto]],tbl_medset[[Apto]:[Total]],6,FALSE)</f>
        <v>0</v>
      </c>
      <c r="O16" s="26">
        <f>VLOOKUP(tbl_consolidacao[[#This Row],[Apto]],tbl_medout[[Apto]:[Total]],6,FALSE)</f>
        <v>0</v>
      </c>
      <c r="P16" s="26">
        <f>VLOOKUP(tbl_consolidacao[[#This Row],[Apto]],tbl_mednov[[Apto]:[Total]],6,FALSE)</f>
        <v>0</v>
      </c>
      <c r="Q16" s="26">
        <f>VLOOKUP(tbl_consolidacao[[#This Row],[Apto]],tbl_meddez[[Apto]:[Total]],6,FALSE)</f>
        <v>0</v>
      </c>
    </row>
    <row r="17" spans="1:17" x14ac:dyDescent="0.25">
      <c r="A17" s="2">
        <v>1</v>
      </c>
      <c r="B17" s="2" t="s">
        <v>28</v>
      </c>
      <c r="C17" s="2">
        <v>202</v>
      </c>
      <c r="D17" s="2" t="str">
        <f>tbl_consolidacao[[#This Row],[Unid]]&amp;"-"&amp;tbl_consolidacao[[#This Row],[Junta]]&amp;tbl_consolidacao[[#This Row],[Torre]]</f>
        <v>202-A1</v>
      </c>
      <c r="E17" s="26">
        <f>VLOOKUP(tbl_consolidacao[[#This Row],[Apto]],tbl_meddez_anterior[[Apto]:[Total]],6,FALSE)</f>
        <v>1.02</v>
      </c>
      <c r="F17" s="26">
        <f>VLOOKUP(tbl_consolidacao[[#This Row],[Apto]],tbl_medjan[[Apto]:[Total]],6,FALSE)</f>
        <v>36.308</v>
      </c>
      <c r="G17" s="26">
        <f>VLOOKUP(tbl_consolidacao[[#This Row],[Apto]],tbl_medfev[[Apto]:[Total]],6,FALSE)</f>
        <v>47.595999999999997</v>
      </c>
      <c r="H17" s="26">
        <f>VLOOKUP(tbl_consolidacao[[#This Row],[Apto]],tbl_medmar[[Apto]:[Total]],6,FALSE)</f>
        <v>54.648000000000003</v>
      </c>
      <c r="I17" s="26">
        <f>VLOOKUP(tbl_consolidacao[[#This Row],[Apto]],tbl_medabr[[Apto]:[Total]],6,FALSE)</f>
        <v>0</v>
      </c>
      <c r="J17" s="26">
        <f>VLOOKUP(tbl_consolidacao[[#This Row],[Apto]],tbl_medmai[[Apto]:[Total]],6,FALSE)</f>
        <v>0</v>
      </c>
      <c r="K17" s="26">
        <f>VLOOKUP(tbl_consolidacao[[#This Row],[Apto]],tbl_medjun[[Apto]:[Total]],6,FALSE)</f>
        <v>0</v>
      </c>
      <c r="L17" s="26">
        <f>VLOOKUP(tbl_consolidacao[[#This Row],[Apto]],tbl_medjul[[Apto]:[Total]],6,FALSE)</f>
        <v>0</v>
      </c>
      <c r="M17" s="26">
        <f>VLOOKUP(tbl_consolidacao[[#This Row],[Apto]],tbl_medago[[Apto]:[Total]],6,FALSE)</f>
        <v>0</v>
      </c>
      <c r="N17" s="26">
        <f>VLOOKUP(tbl_consolidacao[[#This Row],[Apto]],tbl_medset[[Apto]:[Total]],6,FALSE)</f>
        <v>0</v>
      </c>
      <c r="O17" s="26">
        <f>VLOOKUP(tbl_consolidacao[[#This Row],[Apto]],tbl_medout[[Apto]:[Total]],6,FALSE)</f>
        <v>0</v>
      </c>
      <c r="P17" s="26">
        <f>VLOOKUP(tbl_consolidacao[[#This Row],[Apto]],tbl_mednov[[Apto]:[Total]],6,FALSE)</f>
        <v>0</v>
      </c>
      <c r="Q17" s="26">
        <f>VLOOKUP(tbl_consolidacao[[#This Row],[Apto]],tbl_meddez[[Apto]:[Total]],6,FALSE)</f>
        <v>0</v>
      </c>
    </row>
    <row r="18" spans="1:17" x14ac:dyDescent="0.25">
      <c r="A18" s="2">
        <v>2</v>
      </c>
      <c r="B18" s="2" t="s">
        <v>28</v>
      </c>
      <c r="C18" s="2">
        <v>202</v>
      </c>
      <c r="D18" s="2" t="str">
        <f>tbl_consolidacao[[#This Row],[Unid]]&amp;"-"&amp;tbl_consolidacao[[#This Row],[Junta]]&amp;tbl_consolidacao[[#This Row],[Torre]]</f>
        <v>202-A2</v>
      </c>
      <c r="E18" s="26">
        <f>VLOOKUP(tbl_consolidacao[[#This Row],[Apto]],tbl_meddez_anterior[[Apto]:[Total]],6,FALSE)</f>
        <v>1.02</v>
      </c>
      <c r="F18" s="26">
        <f>VLOOKUP(tbl_consolidacao[[#This Row],[Apto]],tbl_medjan[[Apto]:[Total]],6,FALSE)</f>
        <v>36.308</v>
      </c>
      <c r="G18" s="26">
        <f>VLOOKUP(tbl_consolidacao[[#This Row],[Apto]],tbl_medfev[[Apto]:[Total]],6,FALSE)</f>
        <v>47.595999999999997</v>
      </c>
      <c r="H18" s="26">
        <f>VLOOKUP(tbl_consolidacao[[#This Row],[Apto]],tbl_medmar[[Apto]:[Total]],6,FALSE)</f>
        <v>54.648000000000003</v>
      </c>
      <c r="I18" s="26">
        <f>VLOOKUP(tbl_consolidacao[[#This Row],[Apto]],tbl_medabr[[Apto]:[Total]],6,FALSE)</f>
        <v>0</v>
      </c>
      <c r="J18" s="26">
        <f>VLOOKUP(tbl_consolidacao[[#This Row],[Apto]],tbl_medmai[[Apto]:[Total]],6,FALSE)</f>
        <v>0</v>
      </c>
      <c r="K18" s="26">
        <f>VLOOKUP(tbl_consolidacao[[#This Row],[Apto]],tbl_medjun[[Apto]:[Total]],6,FALSE)</f>
        <v>0</v>
      </c>
      <c r="L18" s="26">
        <f>VLOOKUP(tbl_consolidacao[[#This Row],[Apto]],tbl_medjul[[Apto]:[Total]],6,FALSE)</f>
        <v>0</v>
      </c>
      <c r="M18" s="26">
        <f>VLOOKUP(tbl_consolidacao[[#This Row],[Apto]],tbl_medago[[Apto]:[Total]],6,FALSE)</f>
        <v>0</v>
      </c>
      <c r="N18" s="26">
        <f>VLOOKUP(tbl_consolidacao[[#This Row],[Apto]],tbl_medset[[Apto]:[Total]],6,FALSE)</f>
        <v>0</v>
      </c>
      <c r="O18" s="26">
        <f>VLOOKUP(tbl_consolidacao[[#This Row],[Apto]],tbl_medout[[Apto]:[Total]],6,FALSE)</f>
        <v>0</v>
      </c>
      <c r="P18" s="26">
        <f>VLOOKUP(tbl_consolidacao[[#This Row],[Apto]],tbl_mednov[[Apto]:[Total]],6,FALSE)</f>
        <v>0</v>
      </c>
      <c r="Q18" s="26">
        <f>VLOOKUP(tbl_consolidacao[[#This Row],[Apto]],tbl_meddez[[Apto]:[Total]],6,FALSE)</f>
        <v>0</v>
      </c>
    </row>
    <row r="19" spans="1:17" x14ac:dyDescent="0.25">
      <c r="A19" s="2">
        <v>1</v>
      </c>
      <c r="B19" s="2" t="s">
        <v>28</v>
      </c>
      <c r="C19" s="2">
        <v>203</v>
      </c>
      <c r="D19" s="2" t="str">
        <f>tbl_consolidacao[[#This Row],[Unid]]&amp;"-"&amp;tbl_consolidacao[[#This Row],[Junta]]&amp;tbl_consolidacao[[#This Row],[Torre]]</f>
        <v>203-A1</v>
      </c>
      <c r="E19" s="26">
        <f>VLOOKUP(tbl_consolidacao[[#This Row],[Apto]],tbl_meddez_anterior[[Apto]:[Total]],6,FALSE)</f>
        <v>1.02</v>
      </c>
      <c r="F19" s="26">
        <f>VLOOKUP(tbl_consolidacao[[#This Row],[Apto]],tbl_medjan[[Apto]:[Total]],6,FALSE)</f>
        <v>36.308</v>
      </c>
      <c r="G19" s="26">
        <f>VLOOKUP(tbl_consolidacao[[#This Row],[Apto]],tbl_medfev[[Apto]:[Total]],6,FALSE)</f>
        <v>47.595999999999997</v>
      </c>
      <c r="H19" s="26">
        <f>VLOOKUP(tbl_consolidacao[[#This Row],[Apto]],tbl_medmar[[Apto]:[Total]],6,FALSE)</f>
        <v>54.648000000000003</v>
      </c>
      <c r="I19" s="26">
        <f>VLOOKUP(tbl_consolidacao[[#This Row],[Apto]],tbl_medabr[[Apto]:[Total]],6,FALSE)</f>
        <v>0</v>
      </c>
      <c r="J19" s="26">
        <f>VLOOKUP(tbl_consolidacao[[#This Row],[Apto]],tbl_medmai[[Apto]:[Total]],6,FALSE)</f>
        <v>0</v>
      </c>
      <c r="K19" s="26">
        <f>VLOOKUP(tbl_consolidacao[[#This Row],[Apto]],tbl_medjun[[Apto]:[Total]],6,FALSE)</f>
        <v>0</v>
      </c>
      <c r="L19" s="26">
        <f>VLOOKUP(tbl_consolidacao[[#This Row],[Apto]],tbl_medjul[[Apto]:[Total]],6,FALSE)</f>
        <v>0</v>
      </c>
      <c r="M19" s="26">
        <f>VLOOKUP(tbl_consolidacao[[#This Row],[Apto]],tbl_medago[[Apto]:[Total]],6,FALSE)</f>
        <v>0</v>
      </c>
      <c r="N19" s="26">
        <f>VLOOKUP(tbl_consolidacao[[#This Row],[Apto]],tbl_medset[[Apto]:[Total]],6,FALSE)</f>
        <v>0</v>
      </c>
      <c r="O19" s="26">
        <f>VLOOKUP(tbl_consolidacao[[#This Row],[Apto]],tbl_medout[[Apto]:[Total]],6,FALSE)</f>
        <v>0</v>
      </c>
      <c r="P19" s="26">
        <f>VLOOKUP(tbl_consolidacao[[#This Row],[Apto]],tbl_mednov[[Apto]:[Total]],6,FALSE)</f>
        <v>0</v>
      </c>
      <c r="Q19" s="26">
        <f>VLOOKUP(tbl_consolidacao[[#This Row],[Apto]],tbl_meddez[[Apto]:[Total]],6,FALSE)</f>
        <v>0</v>
      </c>
    </row>
    <row r="20" spans="1:17" x14ac:dyDescent="0.25">
      <c r="A20" s="2">
        <v>2</v>
      </c>
      <c r="B20" s="2" t="s">
        <v>28</v>
      </c>
      <c r="C20" s="2">
        <v>203</v>
      </c>
      <c r="D20" s="2" t="str">
        <f>tbl_consolidacao[[#This Row],[Unid]]&amp;"-"&amp;tbl_consolidacao[[#This Row],[Junta]]&amp;tbl_consolidacao[[#This Row],[Torre]]</f>
        <v>203-A2</v>
      </c>
      <c r="E20" s="26">
        <f>VLOOKUP(tbl_consolidacao[[#This Row],[Apto]],tbl_meddez_anterior[[Apto]:[Total]],6,FALSE)</f>
        <v>1.02</v>
      </c>
      <c r="F20" s="26">
        <f>VLOOKUP(tbl_consolidacao[[#This Row],[Apto]],tbl_medjan[[Apto]:[Total]],6,FALSE)</f>
        <v>36.308</v>
      </c>
      <c r="G20" s="26">
        <f>VLOOKUP(tbl_consolidacao[[#This Row],[Apto]],tbl_medfev[[Apto]:[Total]],6,FALSE)</f>
        <v>47.595999999999997</v>
      </c>
      <c r="H20" s="26">
        <f>VLOOKUP(tbl_consolidacao[[#This Row],[Apto]],tbl_medmar[[Apto]:[Total]],6,FALSE)</f>
        <v>54.648000000000003</v>
      </c>
      <c r="I20" s="26">
        <f>VLOOKUP(tbl_consolidacao[[#This Row],[Apto]],tbl_medabr[[Apto]:[Total]],6,FALSE)</f>
        <v>0</v>
      </c>
      <c r="J20" s="26">
        <f>VLOOKUP(tbl_consolidacao[[#This Row],[Apto]],tbl_medmai[[Apto]:[Total]],6,FALSE)</f>
        <v>0</v>
      </c>
      <c r="K20" s="26">
        <f>VLOOKUP(tbl_consolidacao[[#This Row],[Apto]],tbl_medjun[[Apto]:[Total]],6,FALSE)</f>
        <v>0</v>
      </c>
      <c r="L20" s="26">
        <f>VLOOKUP(tbl_consolidacao[[#This Row],[Apto]],tbl_medjul[[Apto]:[Total]],6,FALSE)</f>
        <v>0</v>
      </c>
      <c r="M20" s="26">
        <f>VLOOKUP(tbl_consolidacao[[#This Row],[Apto]],tbl_medago[[Apto]:[Total]],6,FALSE)</f>
        <v>0</v>
      </c>
      <c r="N20" s="26">
        <f>VLOOKUP(tbl_consolidacao[[#This Row],[Apto]],tbl_medset[[Apto]:[Total]],6,FALSE)</f>
        <v>0</v>
      </c>
      <c r="O20" s="26">
        <f>VLOOKUP(tbl_consolidacao[[#This Row],[Apto]],tbl_medout[[Apto]:[Total]],6,FALSE)</f>
        <v>0</v>
      </c>
      <c r="P20" s="26">
        <f>VLOOKUP(tbl_consolidacao[[#This Row],[Apto]],tbl_mednov[[Apto]:[Total]],6,FALSE)</f>
        <v>0</v>
      </c>
      <c r="Q20" s="26">
        <f>VLOOKUP(tbl_consolidacao[[#This Row],[Apto]],tbl_meddez[[Apto]:[Total]],6,FALSE)</f>
        <v>0</v>
      </c>
    </row>
    <row r="21" spans="1:17" x14ac:dyDescent="0.25">
      <c r="A21" s="2">
        <v>1</v>
      </c>
      <c r="B21" s="2" t="s">
        <v>28</v>
      </c>
      <c r="C21" s="2">
        <v>204</v>
      </c>
      <c r="D21" s="2" t="str">
        <f>tbl_consolidacao[[#This Row],[Unid]]&amp;"-"&amp;tbl_consolidacao[[#This Row],[Junta]]&amp;tbl_consolidacao[[#This Row],[Torre]]</f>
        <v>204-A1</v>
      </c>
      <c r="E21" s="26">
        <f>VLOOKUP(tbl_consolidacao[[#This Row],[Apto]],tbl_meddez_anterior[[Apto]:[Total]],6,FALSE)</f>
        <v>1.02</v>
      </c>
      <c r="F21" s="26">
        <f>VLOOKUP(tbl_consolidacao[[#This Row],[Apto]],tbl_medjan[[Apto]:[Total]],6,FALSE)</f>
        <v>36.308</v>
      </c>
      <c r="G21" s="26">
        <f>VLOOKUP(tbl_consolidacao[[#This Row],[Apto]],tbl_medfev[[Apto]:[Total]],6,FALSE)</f>
        <v>47.595999999999997</v>
      </c>
      <c r="H21" s="26">
        <f>VLOOKUP(tbl_consolidacao[[#This Row],[Apto]],tbl_medmar[[Apto]:[Total]],6,FALSE)</f>
        <v>54.648000000000003</v>
      </c>
      <c r="I21" s="26">
        <f>VLOOKUP(tbl_consolidacao[[#This Row],[Apto]],tbl_medabr[[Apto]:[Total]],6,FALSE)</f>
        <v>0</v>
      </c>
      <c r="J21" s="26">
        <f>VLOOKUP(tbl_consolidacao[[#This Row],[Apto]],tbl_medmai[[Apto]:[Total]],6,FALSE)</f>
        <v>0</v>
      </c>
      <c r="K21" s="26">
        <f>VLOOKUP(tbl_consolidacao[[#This Row],[Apto]],tbl_medjun[[Apto]:[Total]],6,FALSE)</f>
        <v>0</v>
      </c>
      <c r="L21" s="26">
        <f>VLOOKUP(tbl_consolidacao[[#This Row],[Apto]],tbl_medjul[[Apto]:[Total]],6,FALSE)</f>
        <v>0</v>
      </c>
      <c r="M21" s="26">
        <f>VLOOKUP(tbl_consolidacao[[#This Row],[Apto]],tbl_medago[[Apto]:[Total]],6,FALSE)</f>
        <v>0</v>
      </c>
      <c r="N21" s="26">
        <f>VLOOKUP(tbl_consolidacao[[#This Row],[Apto]],tbl_medset[[Apto]:[Total]],6,FALSE)</f>
        <v>0</v>
      </c>
      <c r="O21" s="26">
        <f>VLOOKUP(tbl_consolidacao[[#This Row],[Apto]],tbl_medout[[Apto]:[Total]],6,FALSE)</f>
        <v>0</v>
      </c>
      <c r="P21" s="26">
        <f>VLOOKUP(tbl_consolidacao[[#This Row],[Apto]],tbl_mednov[[Apto]:[Total]],6,FALSE)</f>
        <v>0</v>
      </c>
      <c r="Q21" s="26">
        <f>VLOOKUP(tbl_consolidacao[[#This Row],[Apto]],tbl_meddez[[Apto]:[Total]],6,FALSE)</f>
        <v>0</v>
      </c>
    </row>
    <row r="22" spans="1:17" x14ac:dyDescent="0.25">
      <c r="A22" s="2">
        <v>2</v>
      </c>
      <c r="B22" s="2" t="s">
        <v>28</v>
      </c>
      <c r="C22" s="2">
        <v>204</v>
      </c>
      <c r="D22" s="2" t="str">
        <f>tbl_consolidacao[[#This Row],[Unid]]&amp;"-"&amp;tbl_consolidacao[[#This Row],[Junta]]&amp;tbl_consolidacao[[#This Row],[Torre]]</f>
        <v>204-A2</v>
      </c>
      <c r="E22" s="26">
        <f>VLOOKUP(tbl_consolidacao[[#This Row],[Apto]],tbl_meddez_anterior[[Apto]:[Total]],6,FALSE)</f>
        <v>1.02</v>
      </c>
      <c r="F22" s="26">
        <f>VLOOKUP(tbl_consolidacao[[#This Row],[Apto]],tbl_medjan[[Apto]:[Total]],6,FALSE)</f>
        <v>36.308</v>
      </c>
      <c r="G22" s="26">
        <f>VLOOKUP(tbl_consolidacao[[#This Row],[Apto]],tbl_medfev[[Apto]:[Total]],6,FALSE)</f>
        <v>47.595999999999997</v>
      </c>
      <c r="H22" s="26">
        <f>VLOOKUP(tbl_consolidacao[[#This Row],[Apto]],tbl_medmar[[Apto]:[Total]],6,FALSE)</f>
        <v>54.648000000000003</v>
      </c>
      <c r="I22" s="26">
        <f>VLOOKUP(tbl_consolidacao[[#This Row],[Apto]],tbl_medabr[[Apto]:[Total]],6,FALSE)</f>
        <v>0</v>
      </c>
      <c r="J22" s="26">
        <f>VLOOKUP(tbl_consolidacao[[#This Row],[Apto]],tbl_medmai[[Apto]:[Total]],6,FALSE)</f>
        <v>0</v>
      </c>
      <c r="K22" s="26">
        <f>VLOOKUP(tbl_consolidacao[[#This Row],[Apto]],tbl_medjun[[Apto]:[Total]],6,FALSE)</f>
        <v>0</v>
      </c>
      <c r="L22" s="26">
        <f>VLOOKUP(tbl_consolidacao[[#This Row],[Apto]],tbl_medjul[[Apto]:[Total]],6,FALSE)</f>
        <v>0</v>
      </c>
      <c r="M22" s="26">
        <f>VLOOKUP(tbl_consolidacao[[#This Row],[Apto]],tbl_medago[[Apto]:[Total]],6,FALSE)</f>
        <v>0</v>
      </c>
      <c r="N22" s="26">
        <f>VLOOKUP(tbl_consolidacao[[#This Row],[Apto]],tbl_medset[[Apto]:[Total]],6,FALSE)</f>
        <v>0</v>
      </c>
      <c r="O22" s="26">
        <f>VLOOKUP(tbl_consolidacao[[#This Row],[Apto]],tbl_medout[[Apto]:[Total]],6,FALSE)</f>
        <v>0</v>
      </c>
      <c r="P22" s="26">
        <f>VLOOKUP(tbl_consolidacao[[#This Row],[Apto]],tbl_mednov[[Apto]:[Total]],6,FALSE)</f>
        <v>0</v>
      </c>
      <c r="Q22" s="26">
        <f>VLOOKUP(tbl_consolidacao[[#This Row],[Apto]],tbl_meddez[[Apto]:[Total]],6,FALSE)</f>
        <v>0</v>
      </c>
    </row>
    <row r="23" spans="1:17" x14ac:dyDescent="0.25">
      <c r="A23" s="2">
        <v>1</v>
      </c>
      <c r="B23" s="2" t="s">
        <v>29</v>
      </c>
      <c r="C23" s="2">
        <v>205</v>
      </c>
      <c r="D23" s="2" t="str">
        <f>tbl_consolidacao[[#This Row],[Unid]]&amp;"-"&amp;tbl_consolidacao[[#This Row],[Junta]]&amp;tbl_consolidacao[[#This Row],[Torre]]</f>
        <v>205-B1</v>
      </c>
      <c r="E23" s="26">
        <f>VLOOKUP(tbl_consolidacao[[#This Row],[Apto]],tbl_meddez_anterior[[Apto]:[Total]],6,FALSE)</f>
        <v>1.02</v>
      </c>
      <c r="F23" s="26">
        <f>VLOOKUP(tbl_consolidacao[[#This Row],[Apto]],tbl_medjan[[Apto]:[Total]],6,FALSE)</f>
        <v>36.308</v>
      </c>
      <c r="G23" s="26">
        <f>VLOOKUP(tbl_consolidacao[[#This Row],[Apto]],tbl_medfev[[Apto]:[Total]],6,FALSE)</f>
        <v>47.595999999999997</v>
      </c>
      <c r="H23" s="26">
        <f>VLOOKUP(tbl_consolidacao[[#This Row],[Apto]],tbl_medmar[[Apto]:[Total]],6,FALSE)</f>
        <v>54.648000000000003</v>
      </c>
      <c r="I23" s="26">
        <f>VLOOKUP(tbl_consolidacao[[#This Row],[Apto]],tbl_medabr[[Apto]:[Total]],6,FALSE)</f>
        <v>0</v>
      </c>
      <c r="J23" s="26">
        <f>VLOOKUP(tbl_consolidacao[[#This Row],[Apto]],tbl_medmai[[Apto]:[Total]],6,FALSE)</f>
        <v>0</v>
      </c>
      <c r="K23" s="26">
        <f>VLOOKUP(tbl_consolidacao[[#This Row],[Apto]],tbl_medjun[[Apto]:[Total]],6,FALSE)</f>
        <v>0</v>
      </c>
      <c r="L23" s="26">
        <f>VLOOKUP(tbl_consolidacao[[#This Row],[Apto]],tbl_medjul[[Apto]:[Total]],6,FALSE)</f>
        <v>0</v>
      </c>
      <c r="M23" s="26">
        <f>VLOOKUP(tbl_consolidacao[[#This Row],[Apto]],tbl_medago[[Apto]:[Total]],6,FALSE)</f>
        <v>0</v>
      </c>
      <c r="N23" s="26">
        <f>VLOOKUP(tbl_consolidacao[[#This Row],[Apto]],tbl_medset[[Apto]:[Total]],6,FALSE)</f>
        <v>0</v>
      </c>
      <c r="O23" s="26">
        <f>VLOOKUP(tbl_consolidacao[[#This Row],[Apto]],tbl_medout[[Apto]:[Total]],6,FALSE)</f>
        <v>0</v>
      </c>
      <c r="P23" s="26">
        <f>VLOOKUP(tbl_consolidacao[[#This Row],[Apto]],tbl_mednov[[Apto]:[Total]],6,FALSE)</f>
        <v>0</v>
      </c>
      <c r="Q23" s="26">
        <f>VLOOKUP(tbl_consolidacao[[#This Row],[Apto]],tbl_meddez[[Apto]:[Total]],6,FALSE)</f>
        <v>0</v>
      </c>
    </row>
    <row r="24" spans="1:17" x14ac:dyDescent="0.25">
      <c r="A24" s="2">
        <v>2</v>
      </c>
      <c r="B24" s="2" t="s">
        <v>29</v>
      </c>
      <c r="C24" s="2">
        <v>205</v>
      </c>
      <c r="D24" s="2" t="str">
        <f>tbl_consolidacao[[#This Row],[Unid]]&amp;"-"&amp;tbl_consolidacao[[#This Row],[Junta]]&amp;tbl_consolidacao[[#This Row],[Torre]]</f>
        <v>205-B2</v>
      </c>
      <c r="E24" s="26">
        <f>VLOOKUP(tbl_consolidacao[[#This Row],[Apto]],tbl_meddez_anterior[[Apto]:[Total]],6,FALSE)</f>
        <v>1.02</v>
      </c>
      <c r="F24" s="26">
        <f>VLOOKUP(tbl_consolidacao[[#This Row],[Apto]],tbl_medjan[[Apto]:[Total]],6,FALSE)</f>
        <v>36.308</v>
      </c>
      <c r="G24" s="26">
        <f>VLOOKUP(tbl_consolidacao[[#This Row],[Apto]],tbl_medfev[[Apto]:[Total]],6,FALSE)</f>
        <v>47.595999999999997</v>
      </c>
      <c r="H24" s="26">
        <f>VLOOKUP(tbl_consolidacao[[#This Row],[Apto]],tbl_medmar[[Apto]:[Total]],6,FALSE)</f>
        <v>54.648000000000003</v>
      </c>
      <c r="I24" s="26">
        <f>VLOOKUP(tbl_consolidacao[[#This Row],[Apto]],tbl_medabr[[Apto]:[Total]],6,FALSE)</f>
        <v>0</v>
      </c>
      <c r="J24" s="26">
        <f>VLOOKUP(tbl_consolidacao[[#This Row],[Apto]],tbl_medmai[[Apto]:[Total]],6,FALSE)</f>
        <v>0</v>
      </c>
      <c r="K24" s="26">
        <f>VLOOKUP(tbl_consolidacao[[#This Row],[Apto]],tbl_medjun[[Apto]:[Total]],6,FALSE)</f>
        <v>0</v>
      </c>
      <c r="L24" s="26">
        <f>VLOOKUP(tbl_consolidacao[[#This Row],[Apto]],tbl_medjul[[Apto]:[Total]],6,FALSE)</f>
        <v>0</v>
      </c>
      <c r="M24" s="26">
        <f>VLOOKUP(tbl_consolidacao[[#This Row],[Apto]],tbl_medago[[Apto]:[Total]],6,FALSE)</f>
        <v>0</v>
      </c>
      <c r="N24" s="26">
        <f>VLOOKUP(tbl_consolidacao[[#This Row],[Apto]],tbl_medset[[Apto]:[Total]],6,FALSE)</f>
        <v>0</v>
      </c>
      <c r="O24" s="26">
        <f>VLOOKUP(tbl_consolidacao[[#This Row],[Apto]],tbl_medout[[Apto]:[Total]],6,FALSE)</f>
        <v>0</v>
      </c>
      <c r="P24" s="26">
        <f>VLOOKUP(tbl_consolidacao[[#This Row],[Apto]],tbl_mednov[[Apto]:[Total]],6,FALSE)</f>
        <v>0</v>
      </c>
      <c r="Q24" s="26">
        <f>VLOOKUP(tbl_consolidacao[[#This Row],[Apto]],tbl_meddez[[Apto]:[Total]],6,FALSE)</f>
        <v>0</v>
      </c>
    </row>
    <row r="25" spans="1:17" x14ac:dyDescent="0.25">
      <c r="A25" s="2">
        <v>1</v>
      </c>
      <c r="B25" s="2" t="s">
        <v>29</v>
      </c>
      <c r="C25" s="2">
        <v>206</v>
      </c>
      <c r="D25" s="2" t="str">
        <f>tbl_consolidacao[[#This Row],[Unid]]&amp;"-"&amp;tbl_consolidacao[[#This Row],[Junta]]&amp;tbl_consolidacao[[#This Row],[Torre]]</f>
        <v>206-B1</v>
      </c>
      <c r="E25" s="26">
        <f>VLOOKUP(tbl_consolidacao[[#This Row],[Apto]],tbl_meddez_anterior[[Apto]:[Total]],6,FALSE)</f>
        <v>1.02</v>
      </c>
      <c r="F25" s="26">
        <f>VLOOKUP(tbl_consolidacao[[#This Row],[Apto]],tbl_medjan[[Apto]:[Total]],6,FALSE)</f>
        <v>36.308</v>
      </c>
      <c r="G25" s="26">
        <f>VLOOKUP(tbl_consolidacao[[#This Row],[Apto]],tbl_medfev[[Apto]:[Total]],6,FALSE)</f>
        <v>47.595999999999997</v>
      </c>
      <c r="H25" s="26">
        <f>VLOOKUP(tbl_consolidacao[[#This Row],[Apto]],tbl_medmar[[Apto]:[Total]],6,FALSE)</f>
        <v>54.648000000000003</v>
      </c>
      <c r="I25" s="26">
        <f>VLOOKUP(tbl_consolidacao[[#This Row],[Apto]],tbl_medabr[[Apto]:[Total]],6,FALSE)</f>
        <v>0</v>
      </c>
      <c r="J25" s="26">
        <f>VLOOKUP(tbl_consolidacao[[#This Row],[Apto]],tbl_medmai[[Apto]:[Total]],6,FALSE)</f>
        <v>0</v>
      </c>
      <c r="K25" s="26">
        <f>VLOOKUP(tbl_consolidacao[[#This Row],[Apto]],tbl_medjun[[Apto]:[Total]],6,FALSE)</f>
        <v>0</v>
      </c>
      <c r="L25" s="26">
        <f>VLOOKUP(tbl_consolidacao[[#This Row],[Apto]],tbl_medjul[[Apto]:[Total]],6,FALSE)</f>
        <v>0</v>
      </c>
      <c r="M25" s="26">
        <f>VLOOKUP(tbl_consolidacao[[#This Row],[Apto]],tbl_medago[[Apto]:[Total]],6,FALSE)</f>
        <v>0</v>
      </c>
      <c r="N25" s="26">
        <f>VLOOKUP(tbl_consolidacao[[#This Row],[Apto]],tbl_medset[[Apto]:[Total]],6,FALSE)</f>
        <v>0</v>
      </c>
      <c r="O25" s="26">
        <f>VLOOKUP(tbl_consolidacao[[#This Row],[Apto]],tbl_medout[[Apto]:[Total]],6,FALSE)</f>
        <v>0</v>
      </c>
      <c r="P25" s="26">
        <f>VLOOKUP(tbl_consolidacao[[#This Row],[Apto]],tbl_mednov[[Apto]:[Total]],6,FALSE)</f>
        <v>0</v>
      </c>
      <c r="Q25" s="26">
        <f>VLOOKUP(tbl_consolidacao[[#This Row],[Apto]],tbl_meddez[[Apto]:[Total]],6,FALSE)</f>
        <v>0</v>
      </c>
    </row>
    <row r="26" spans="1:17" x14ac:dyDescent="0.25">
      <c r="A26" s="2">
        <v>2</v>
      </c>
      <c r="B26" s="2" t="s">
        <v>29</v>
      </c>
      <c r="C26" s="2">
        <v>206</v>
      </c>
      <c r="D26" s="2" t="str">
        <f>tbl_consolidacao[[#This Row],[Unid]]&amp;"-"&amp;tbl_consolidacao[[#This Row],[Junta]]&amp;tbl_consolidacao[[#This Row],[Torre]]</f>
        <v>206-B2</v>
      </c>
      <c r="E26" s="26">
        <f>VLOOKUP(tbl_consolidacao[[#This Row],[Apto]],tbl_meddez_anterior[[Apto]:[Total]],6,FALSE)</f>
        <v>1.02</v>
      </c>
      <c r="F26" s="26">
        <f>VLOOKUP(tbl_consolidacao[[#This Row],[Apto]],tbl_medjan[[Apto]:[Total]],6,FALSE)</f>
        <v>36.308</v>
      </c>
      <c r="G26" s="26">
        <f>VLOOKUP(tbl_consolidacao[[#This Row],[Apto]],tbl_medfev[[Apto]:[Total]],6,FALSE)</f>
        <v>47.595999999999997</v>
      </c>
      <c r="H26" s="26">
        <f>VLOOKUP(tbl_consolidacao[[#This Row],[Apto]],tbl_medmar[[Apto]:[Total]],6,FALSE)</f>
        <v>54.648000000000003</v>
      </c>
      <c r="I26" s="26">
        <f>VLOOKUP(tbl_consolidacao[[#This Row],[Apto]],tbl_medabr[[Apto]:[Total]],6,FALSE)</f>
        <v>0</v>
      </c>
      <c r="J26" s="26">
        <f>VLOOKUP(tbl_consolidacao[[#This Row],[Apto]],tbl_medmai[[Apto]:[Total]],6,FALSE)</f>
        <v>0</v>
      </c>
      <c r="K26" s="26">
        <f>VLOOKUP(tbl_consolidacao[[#This Row],[Apto]],tbl_medjun[[Apto]:[Total]],6,FALSE)</f>
        <v>0</v>
      </c>
      <c r="L26" s="26">
        <f>VLOOKUP(tbl_consolidacao[[#This Row],[Apto]],tbl_medjul[[Apto]:[Total]],6,FALSE)</f>
        <v>0</v>
      </c>
      <c r="M26" s="26">
        <f>VLOOKUP(tbl_consolidacao[[#This Row],[Apto]],tbl_medago[[Apto]:[Total]],6,FALSE)</f>
        <v>0</v>
      </c>
      <c r="N26" s="26">
        <f>VLOOKUP(tbl_consolidacao[[#This Row],[Apto]],tbl_medset[[Apto]:[Total]],6,FALSE)</f>
        <v>0</v>
      </c>
      <c r="O26" s="26">
        <f>VLOOKUP(tbl_consolidacao[[#This Row],[Apto]],tbl_medout[[Apto]:[Total]],6,FALSE)</f>
        <v>0</v>
      </c>
      <c r="P26" s="26">
        <f>VLOOKUP(tbl_consolidacao[[#This Row],[Apto]],tbl_mednov[[Apto]:[Total]],6,FALSE)</f>
        <v>0</v>
      </c>
      <c r="Q26" s="26">
        <f>VLOOKUP(tbl_consolidacao[[#This Row],[Apto]],tbl_meddez[[Apto]:[Total]],6,FALSE)</f>
        <v>0</v>
      </c>
    </row>
    <row r="27" spans="1:17" x14ac:dyDescent="0.25">
      <c r="A27" s="2">
        <v>1</v>
      </c>
      <c r="B27" s="2" t="s">
        <v>29</v>
      </c>
      <c r="C27" s="2">
        <v>207</v>
      </c>
      <c r="D27" s="2" t="str">
        <f>tbl_consolidacao[[#This Row],[Unid]]&amp;"-"&amp;tbl_consolidacao[[#This Row],[Junta]]&amp;tbl_consolidacao[[#This Row],[Torre]]</f>
        <v>207-B1</v>
      </c>
      <c r="E27" s="26">
        <f>VLOOKUP(tbl_consolidacao[[#This Row],[Apto]],tbl_meddez_anterior[[Apto]:[Total]],6,FALSE)</f>
        <v>1.02</v>
      </c>
      <c r="F27" s="26">
        <f>VLOOKUP(tbl_consolidacao[[#This Row],[Apto]],tbl_medjan[[Apto]:[Total]],6,FALSE)</f>
        <v>36.308</v>
      </c>
      <c r="G27" s="26">
        <f>VLOOKUP(tbl_consolidacao[[#This Row],[Apto]],tbl_medfev[[Apto]:[Total]],6,FALSE)</f>
        <v>47.595999999999997</v>
      </c>
      <c r="H27" s="26">
        <f>VLOOKUP(tbl_consolidacao[[#This Row],[Apto]],tbl_medmar[[Apto]:[Total]],6,FALSE)</f>
        <v>54.648000000000003</v>
      </c>
      <c r="I27" s="26">
        <f>VLOOKUP(tbl_consolidacao[[#This Row],[Apto]],tbl_medabr[[Apto]:[Total]],6,FALSE)</f>
        <v>0</v>
      </c>
      <c r="J27" s="26">
        <f>VLOOKUP(tbl_consolidacao[[#This Row],[Apto]],tbl_medmai[[Apto]:[Total]],6,FALSE)</f>
        <v>0</v>
      </c>
      <c r="K27" s="26">
        <f>VLOOKUP(tbl_consolidacao[[#This Row],[Apto]],tbl_medjun[[Apto]:[Total]],6,FALSE)</f>
        <v>0</v>
      </c>
      <c r="L27" s="26">
        <f>VLOOKUP(tbl_consolidacao[[#This Row],[Apto]],tbl_medjul[[Apto]:[Total]],6,FALSE)</f>
        <v>0</v>
      </c>
      <c r="M27" s="26">
        <f>VLOOKUP(tbl_consolidacao[[#This Row],[Apto]],tbl_medago[[Apto]:[Total]],6,FALSE)</f>
        <v>0</v>
      </c>
      <c r="N27" s="26">
        <f>VLOOKUP(tbl_consolidacao[[#This Row],[Apto]],tbl_medset[[Apto]:[Total]],6,FALSE)</f>
        <v>0</v>
      </c>
      <c r="O27" s="26">
        <f>VLOOKUP(tbl_consolidacao[[#This Row],[Apto]],tbl_medout[[Apto]:[Total]],6,FALSE)</f>
        <v>0</v>
      </c>
      <c r="P27" s="26">
        <f>VLOOKUP(tbl_consolidacao[[#This Row],[Apto]],tbl_mednov[[Apto]:[Total]],6,FALSE)</f>
        <v>0</v>
      </c>
      <c r="Q27" s="26">
        <f>VLOOKUP(tbl_consolidacao[[#This Row],[Apto]],tbl_meddez[[Apto]:[Total]],6,FALSE)</f>
        <v>0</v>
      </c>
    </row>
    <row r="28" spans="1:17" x14ac:dyDescent="0.25">
      <c r="A28" s="2">
        <v>2</v>
      </c>
      <c r="B28" s="2" t="s">
        <v>29</v>
      </c>
      <c r="C28" s="2">
        <v>207</v>
      </c>
      <c r="D28" s="2" t="str">
        <f>tbl_consolidacao[[#This Row],[Unid]]&amp;"-"&amp;tbl_consolidacao[[#This Row],[Junta]]&amp;tbl_consolidacao[[#This Row],[Torre]]</f>
        <v>207-B2</v>
      </c>
      <c r="E28" s="26">
        <f>VLOOKUP(tbl_consolidacao[[#This Row],[Apto]],tbl_meddez_anterior[[Apto]:[Total]],6,FALSE)</f>
        <v>1.02</v>
      </c>
      <c r="F28" s="26">
        <f>VLOOKUP(tbl_consolidacao[[#This Row],[Apto]],tbl_medjan[[Apto]:[Total]],6,FALSE)</f>
        <v>36.308</v>
      </c>
      <c r="G28" s="26">
        <f>VLOOKUP(tbl_consolidacao[[#This Row],[Apto]],tbl_medfev[[Apto]:[Total]],6,FALSE)</f>
        <v>47.595999999999997</v>
      </c>
      <c r="H28" s="26">
        <f>VLOOKUP(tbl_consolidacao[[#This Row],[Apto]],tbl_medmar[[Apto]:[Total]],6,FALSE)</f>
        <v>54.648000000000003</v>
      </c>
      <c r="I28" s="26">
        <f>VLOOKUP(tbl_consolidacao[[#This Row],[Apto]],tbl_medabr[[Apto]:[Total]],6,FALSE)</f>
        <v>0</v>
      </c>
      <c r="J28" s="26">
        <f>VLOOKUP(tbl_consolidacao[[#This Row],[Apto]],tbl_medmai[[Apto]:[Total]],6,FALSE)</f>
        <v>0</v>
      </c>
      <c r="K28" s="26">
        <f>VLOOKUP(tbl_consolidacao[[#This Row],[Apto]],tbl_medjun[[Apto]:[Total]],6,FALSE)</f>
        <v>0</v>
      </c>
      <c r="L28" s="26">
        <f>VLOOKUP(tbl_consolidacao[[#This Row],[Apto]],tbl_medjul[[Apto]:[Total]],6,FALSE)</f>
        <v>0</v>
      </c>
      <c r="M28" s="26">
        <f>VLOOKUP(tbl_consolidacao[[#This Row],[Apto]],tbl_medago[[Apto]:[Total]],6,FALSE)</f>
        <v>0</v>
      </c>
      <c r="N28" s="26">
        <f>VLOOKUP(tbl_consolidacao[[#This Row],[Apto]],tbl_medset[[Apto]:[Total]],6,FALSE)</f>
        <v>0</v>
      </c>
      <c r="O28" s="26">
        <f>VLOOKUP(tbl_consolidacao[[#This Row],[Apto]],tbl_medout[[Apto]:[Total]],6,FALSE)</f>
        <v>0</v>
      </c>
      <c r="P28" s="26">
        <f>VLOOKUP(tbl_consolidacao[[#This Row],[Apto]],tbl_mednov[[Apto]:[Total]],6,FALSE)</f>
        <v>0</v>
      </c>
      <c r="Q28" s="26">
        <f>VLOOKUP(tbl_consolidacao[[#This Row],[Apto]],tbl_meddez[[Apto]:[Total]],6,FALSE)</f>
        <v>0</v>
      </c>
    </row>
    <row r="29" spans="1:17" x14ac:dyDescent="0.25">
      <c r="A29" s="2">
        <v>1</v>
      </c>
      <c r="B29" s="2" t="s">
        <v>29</v>
      </c>
      <c r="C29" s="2">
        <v>208</v>
      </c>
      <c r="D29" s="2" t="str">
        <f>tbl_consolidacao[[#This Row],[Unid]]&amp;"-"&amp;tbl_consolidacao[[#This Row],[Junta]]&amp;tbl_consolidacao[[#This Row],[Torre]]</f>
        <v>208-B1</v>
      </c>
      <c r="E29" s="26">
        <f>VLOOKUP(tbl_consolidacao[[#This Row],[Apto]],tbl_meddez_anterior[[Apto]:[Total]],6,FALSE)</f>
        <v>1.02</v>
      </c>
      <c r="F29" s="26">
        <f>VLOOKUP(tbl_consolidacao[[#This Row],[Apto]],tbl_medjan[[Apto]:[Total]],6,FALSE)</f>
        <v>36.308</v>
      </c>
      <c r="G29" s="26">
        <f>VLOOKUP(tbl_consolidacao[[#This Row],[Apto]],tbl_medfev[[Apto]:[Total]],6,FALSE)</f>
        <v>47.595999999999997</v>
      </c>
      <c r="H29" s="26">
        <f>VLOOKUP(tbl_consolidacao[[#This Row],[Apto]],tbl_medmar[[Apto]:[Total]],6,FALSE)</f>
        <v>54.648000000000003</v>
      </c>
      <c r="I29" s="26">
        <f>VLOOKUP(tbl_consolidacao[[#This Row],[Apto]],tbl_medabr[[Apto]:[Total]],6,FALSE)</f>
        <v>0</v>
      </c>
      <c r="J29" s="26">
        <f>VLOOKUP(tbl_consolidacao[[#This Row],[Apto]],tbl_medmai[[Apto]:[Total]],6,FALSE)</f>
        <v>0</v>
      </c>
      <c r="K29" s="26">
        <f>VLOOKUP(tbl_consolidacao[[#This Row],[Apto]],tbl_medjun[[Apto]:[Total]],6,FALSE)</f>
        <v>0</v>
      </c>
      <c r="L29" s="26">
        <f>VLOOKUP(tbl_consolidacao[[#This Row],[Apto]],tbl_medjul[[Apto]:[Total]],6,FALSE)</f>
        <v>0</v>
      </c>
      <c r="M29" s="26">
        <f>VLOOKUP(tbl_consolidacao[[#This Row],[Apto]],tbl_medago[[Apto]:[Total]],6,FALSE)</f>
        <v>0</v>
      </c>
      <c r="N29" s="26">
        <f>VLOOKUP(tbl_consolidacao[[#This Row],[Apto]],tbl_medset[[Apto]:[Total]],6,FALSE)</f>
        <v>0</v>
      </c>
      <c r="O29" s="26">
        <f>VLOOKUP(tbl_consolidacao[[#This Row],[Apto]],tbl_medout[[Apto]:[Total]],6,FALSE)</f>
        <v>0</v>
      </c>
      <c r="P29" s="26">
        <f>VLOOKUP(tbl_consolidacao[[#This Row],[Apto]],tbl_mednov[[Apto]:[Total]],6,FALSE)</f>
        <v>0</v>
      </c>
      <c r="Q29" s="26">
        <f>VLOOKUP(tbl_consolidacao[[#This Row],[Apto]],tbl_meddez[[Apto]:[Total]],6,FALSE)</f>
        <v>0</v>
      </c>
    </row>
    <row r="30" spans="1:17" x14ac:dyDescent="0.25">
      <c r="A30" s="2">
        <v>2</v>
      </c>
      <c r="B30" s="2" t="s">
        <v>29</v>
      </c>
      <c r="C30" s="2">
        <v>208</v>
      </c>
      <c r="D30" s="2" t="str">
        <f>tbl_consolidacao[[#This Row],[Unid]]&amp;"-"&amp;tbl_consolidacao[[#This Row],[Junta]]&amp;tbl_consolidacao[[#This Row],[Torre]]</f>
        <v>208-B2</v>
      </c>
      <c r="E30" s="26">
        <f>VLOOKUP(tbl_consolidacao[[#This Row],[Apto]],tbl_meddez_anterior[[Apto]:[Total]],6,FALSE)</f>
        <v>1.02</v>
      </c>
      <c r="F30" s="26">
        <f>VLOOKUP(tbl_consolidacao[[#This Row],[Apto]],tbl_medjan[[Apto]:[Total]],6,FALSE)</f>
        <v>36.308</v>
      </c>
      <c r="G30" s="26">
        <f>VLOOKUP(tbl_consolidacao[[#This Row],[Apto]],tbl_medfev[[Apto]:[Total]],6,FALSE)</f>
        <v>47.595999999999997</v>
      </c>
      <c r="H30" s="26">
        <f>VLOOKUP(tbl_consolidacao[[#This Row],[Apto]],tbl_medmar[[Apto]:[Total]],6,FALSE)</f>
        <v>54.648000000000003</v>
      </c>
      <c r="I30" s="26">
        <f>VLOOKUP(tbl_consolidacao[[#This Row],[Apto]],tbl_medabr[[Apto]:[Total]],6,FALSE)</f>
        <v>0</v>
      </c>
      <c r="J30" s="26">
        <f>VLOOKUP(tbl_consolidacao[[#This Row],[Apto]],tbl_medmai[[Apto]:[Total]],6,FALSE)</f>
        <v>0</v>
      </c>
      <c r="K30" s="26">
        <f>VLOOKUP(tbl_consolidacao[[#This Row],[Apto]],tbl_medjun[[Apto]:[Total]],6,FALSE)</f>
        <v>0</v>
      </c>
      <c r="L30" s="26">
        <f>VLOOKUP(tbl_consolidacao[[#This Row],[Apto]],tbl_medjul[[Apto]:[Total]],6,FALSE)</f>
        <v>0</v>
      </c>
      <c r="M30" s="26">
        <f>VLOOKUP(tbl_consolidacao[[#This Row],[Apto]],tbl_medago[[Apto]:[Total]],6,FALSE)</f>
        <v>0</v>
      </c>
      <c r="N30" s="26">
        <f>VLOOKUP(tbl_consolidacao[[#This Row],[Apto]],tbl_medset[[Apto]:[Total]],6,FALSE)</f>
        <v>0</v>
      </c>
      <c r="O30" s="26">
        <f>VLOOKUP(tbl_consolidacao[[#This Row],[Apto]],tbl_medout[[Apto]:[Total]],6,FALSE)</f>
        <v>0</v>
      </c>
      <c r="P30" s="26">
        <f>VLOOKUP(tbl_consolidacao[[#This Row],[Apto]],tbl_mednov[[Apto]:[Total]],6,FALSE)</f>
        <v>0</v>
      </c>
      <c r="Q30" s="26">
        <f>VLOOKUP(tbl_consolidacao[[#This Row],[Apto]],tbl_meddez[[Apto]:[Total]],6,FALSE)</f>
        <v>0</v>
      </c>
    </row>
    <row r="31" spans="1:17" x14ac:dyDescent="0.25">
      <c r="A31" s="2">
        <v>1</v>
      </c>
      <c r="B31" s="2" t="s">
        <v>28</v>
      </c>
      <c r="C31" s="2">
        <v>301</v>
      </c>
      <c r="D31" s="2" t="str">
        <f>tbl_consolidacao[[#This Row],[Unid]]&amp;"-"&amp;tbl_consolidacao[[#This Row],[Junta]]&amp;tbl_consolidacao[[#This Row],[Torre]]</f>
        <v>301-A1</v>
      </c>
      <c r="E31" s="26">
        <f>VLOOKUP(tbl_consolidacao[[#This Row],[Apto]],tbl_meddez_anterior[[Apto]:[Total]],6,FALSE)</f>
        <v>1.02</v>
      </c>
      <c r="F31" s="26">
        <f>VLOOKUP(tbl_consolidacao[[#This Row],[Apto]],tbl_medjan[[Apto]:[Total]],6,FALSE)</f>
        <v>36.308</v>
      </c>
      <c r="G31" s="26">
        <f>VLOOKUP(tbl_consolidacao[[#This Row],[Apto]],tbl_medfev[[Apto]:[Total]],6,FALSE)</f>
        <v>47.595999999999997</v>
      </c>
      <c r="H31" s="26">
        <f>VLOOKUP(tbl_consolidacao[[#This Row],[Apto]],tbl_medmar[[Apto]:[Total]],6,FALSE)</f>
        <v>54.648000000000003</v>
      </c>
      <c r="I31" s="26">
        <f>VLOOKUP(tbl_consolidacao[[#This Row],[Apto]],tbl_medabr[[Apto]:[Total]],6,FALSE)</f>
        <v>0</v>
      </c>
      <c r="J31" s="26">
        <f>VLOOKUP(tbl_consolidacao[[#This Row],[Apto]],tbl_medmai[[Apto]:[Total]],6,FALSE)</f>
        <v>0</v>
      </c>
      <c r="K31" s="26">
        <f>VLOOKUP(tbl_consolidacao[[#This Row],[Apto]],tbl_medjun[[Apto]:[Total]],6,FALSE)</f>
        <v>0</v>
      </c>
      <c r="L31" s="26">
        <f>VLOOKUP(tbl_consolidacao[[#This Row],[Apto]],tbl_medjul[[Apto]:[Total]],6,FALSE)</f>
        <v>0</v>
      </c>
      <c r="M31" s="26">
        <f>VLOOKUP(tbl_consolidacao[[#This Row],[Apto]],tbl_medago[[Apto]:[Total]],6,FALSE)</f>
        <v>0</v>
      </c>
      <c r="N31" s="26">
        <f>VLOOKUP(tbl_consolidacao[[#This Row],[Apto]],tbl_medset[[Apto]:[Total]],6,FALSE)</f>
        <v>0</v>
      </c>
      <c r="O31" s="26">
        <f>VLOOKUP(tbl_consolidacao[[#This Row],[Apto]],tbl_medout[[Apto]:[Total]],6,FALSE)</f>
        <v>0</v>
      </c>
      <c r="P31" s="26">
        <f>VLOOKUP(tbl_consolidacao[[#This Row],[Apto]],tbl_mednov[[Apto]:[Total]],6,FALSE)</f>
        <v>0</v>
      </c>
      <c r="Q31" s="26">
        <f>VLOOKUP(tbl_consolidacao[[#This Row],[Apto]],tbl_meddez[[Apto]:[Total]],6,FALSE)</f>
        <v>0</v>
      </c>
    </row>
    <row r="32" spans="1:17" x14ac:dyDescent="0.25">
      <c r="A32" s="2">
        <v>2</v>
      </c>
      <c r="B32" s="2" t="s">
        <v>28</v>
      </c>
      <c r="C32" s="2">
        <v>301</v>
      </c>
      <c r="D32" s="2" t="str">
        <f>tbl_consolidacao[[#This Row],[Unid]]&amp;"-"&amp;tbl_consolidacao[[#This Row],[Junta]]&amp;tbl_consolidacao[[#This Row],[Torre]]</f>
        <v>301-A2</v>
      </c>
      <c r="E32" s="26">
        <f>VLOOKUP(tbl_consolidacao[[#This Row],[Apto]],tbl_meddez_anterior[[Apto]:[Total]],6,FALSE)</f>
        <v>1.02</v>
      </c>
      <c r="F32" s="26">
        <f>VLOOKUP(tbl_consolidacao[[#This Row],[Apto]],tbl_medjan[[Apto]:[Total]],6,FALSE)</f>
        <v>36.308</v>
      </c>
      <c r="G32" s="26">
        <f>VLOOKUP(tbl_consolidacao[[#This Row],[Apto]],tbl_medfev[[Apto]:[Total]],6,FALSE)</f>
        <v>47.595999999999997</v>
      </c>
      <c r="H32" s="26">
        <f>VLOOKUP(tbl_consolidacao[[#This Row],[Apto]],tbl_medmar[[Apto]:[Total]],6,FALSE)</f>
        <v>54.648000000000003</v>
      </c>
      <c r="I32" s="26">
        <f>VLOOKUP(tbl_consolidacao[[#This Row],[Apto]],tbl_medabr[[Apto]:[Total]],6,FALSE)</f>
        <v>0</v>
      </c>
      <c r="J32" s="26">
        <f>VLOOKUP(tbl_consolidacao[[#This Row],[Apto]],tbl_medmai[[Apto]:[Total]],6,FALSE)</f>
        <v>0</v>
      </c>
      <c r="K32" s="26">
        <f>VLOOKUP(tbl_consolidacao[[#This Row],[Apto]],tbl_medjun[[Apto]:[Total]],6,FALSE)</f>
        <v>0</v>
      </c>
      <c r="L32" s="26">
        <f>VLOOKUP(tbl_consolidacao[[#This Row],[Apto]],tbl_medjul[[Apto]:[Total]],6,FALSE)</f>
        <v>0</v>
      </c>
      <c r="M32" s="26">
        <f>VLOOKUP(tbl_consolidacao[[#This Row],[Apto]],tbl_medago[[Apto]:[Total]],6,FALSE)</f>
        <v>0</v>
      </c>
      <c r="N32" s="26">
        <f>VLOOKUP(tbl_consolidacao[[#This Row],[Apto]],tbl_medset[[Apto]:[Total]],6,FALSE)</f>
        <v>0</v>
      </c>
      <c r="O32" s="26">
        <f>VLOOKUP(tbl_consolidacao[[#This Row],[Apto]],tbl_medout[[Apto]:[Total]],6,FALSE)</f>
        <v>0</v>
      </c>
      <c r="P32" s="26">
        <f>VLOOKUP(tbl_consolidacao[[#This Row],[Apto]],tbl_mednov[[Apto]:[Total]],6,FALSE)</f>
        <v>0</v>
      </c>
      <c r="Q32" s="26">
        <f>VLOOKUP(tbl_consolidacao[[#This Row],[Apto]],tbl_meddez[[Apto]:[Total]],6,FALSE)</f>
        <v>0</v>
      </c>
    </row>
    <row r="33" spans="1:17" x14ac:dyDescent="0.25">
      <c r="A33" s="2">
        <v>1</v>
      </c>
      <c r="B33" s="2" t="s">
        <v>28</v>
      </c>
      <c r="C33" s="2">
        <v>302</v>
      </c>
      <c r="D33" s="2" t="str">
        <f>tbl_consolidacao[[#This Row],[Unid]]&amp;"-"&amp;tbl_consolidacao[[#This Row],[Junta]]&amp;tbl_consolidacao[[#This Row],[Torre]]</f>
        <v>302-A1</v>
      </c>
      <c r="E33" s="26">
        <f>VLOOKUP(tbl_consolidacao[[#This Row],[Apto]],tbl_meddez_anterior[[Apto]:[Total]],6,FALSE)</f>
        <v>1.02</v>
      </c>
      <c r="F33" s="26">
        <f>VLOOKUP(tbl_consolidacao[[#This Row],[Apto]],tbl_medjan[[Apto]:[Total]],6,FALSE)</f>
        <v>36.308</v>
      </c>
      <c r="G33" s="26">
        <f>VLOOKUP(tbl_consolidacao[[#This Row],[Apto]],tbl_medfev[[Apto]:[Total]],6,FALSE)</f>
        <v>47.595999999999997</v>
      </c>
      <c r="H33" s="26">
        <f>VLOOKUP(tbl_consolidacao[[#This Row],[Apto]],tbl_medmar[[Apto]:[Total]],6,FALSE)</f>
        <v>54.648000000000003</v>
      </c>
      <c r="I33" s="26">
        <f>VLOOKUP(tbl_consolidacao[[#This Row],[Apto]],tbl_medabr[[Apto]:[Total]],6,FALSE)</f>
        <v>0</v>
      </c>
      <c r="J33" s="26">
        <f>VLOOKUP(tbl_consolidacao[[#This Row],[Apto]],tbl_medmai[[Apto]:[Total]],6,FALSE)</f>
        <v>0</v>
      </c>
      <c r="K33" s="26">
        <f>VLOOKUP(tbl_consolidacao[[#This Row],[Apto]],tbl_medjun[[Apto]:[Total]],6,FALSE)</f>
        <v>0</v>
      </c>
      <c r="L33" s="26">
        <f>VLOOKUP(tbl_consolidacao[[#This Row],[Apto]],tbl_medjul[[Apto]:[Total]],6,FALSE)</f>
        <v>0</v>
      </c>
      <c r="M33" s="26">
        <f>VLOOKUP(tbl_consolidacao[[#This Row],[Apto]],tbl_medago[[Apto]:[Total]],6,FALSE)</f>
        <v>0</v>
      </c>
      <c r="N33" s="26">
        <f>VLOOKUP(tbl_consolidacao[[#This Row],[Apto]],tbl_medset[[Apto]:[Total]],6,FALSE)</f>
        <v>0</v>
      </c>
      <c r="O33" s="26">
        <f>VLOOKUP(tbl_consolidacao[[#This Row],[Apto]],tbl_medout[[Apto]:[Total]],6,FALSE)</f>
        <v>0</v>
      </c>
      <c r="P33" s="26">
        <f>VLOOKUP(tbl_consolidacao[[#This Row],[Apto]],tbl_mednov[[Apto]:[Total]],6,FALSE)</f>
        <v>0</v>
      </c>
      <c r="Q33" s="26">
        <f>VLOOKUP(tbl_consolidacao[[#This Row],[Apto]],tbl_meddez[[Apto]:[Total]],6,FALSE)</f>
        <v>0</v>
      </c>
    </row>
    <row r="34" spans="1:17" x14ac:dyDescent="0.25">
      <c r="A34" s="2">
        <v>2</v>
      </c>
      <c r="B34" s="2" t="s">
        <v>28</v>
      </c>
      <c r="C34" s="2">
        <v>302</v>
      </c>
      <c r="D34" s="2" t="str">
        <f>tbl_consolidacao[[#This Row],[Unid]]&amp;"-"&amp;tbl_consolidacao[[#This Row],[Junta]]&amp;tbl_consolidacao[[#This Row],[Torre]]</f>
        <v>302-A2</v>
      </c>
      <c r="E34" s="26">
        <f>VLOOKUP(tbl_consolidacao[[#This Row],[Apto]],tbl_meddez_anterior[[Apto]:[Total]],6,FALSE)</f>
        <v>1.02</v>
      </c>
      <c r="F34" s="26">
        <f>VLOOKUP(tbl_consolidacao[[#This Row],[Apto]],tbl_medjan[[Apto]:[Total]],6,FALSE)</f>
        <v>36.308</v>
      </c>
      <c r="G34" s="26">
        <f>VLOOKUP(tbl_consolidacao[[#This Row],[Apto]],tbl_medfev[[Apto]:[Total]],6,FALSE)</f>
        <v>47.595999999999997</v>
      </c>
      <c r="H34" s="26">
        <f>VLOOKUP(tbl_consolidacao[[#This Row],[Apto]],tbl_medmar[[Apto]:[Total]],6,FALSE)</f>
        <v>54.648000000000003</v>
      </c>
      <c r="I34" s="26">
        <f>VLOOKUP(tbl_consolidacao[[#This Row],[Apto]],tbl_medabr[[Apto]:[Total]],6,FALSE)</f>
        <v>0</v>
      </c>
      <c r="J34" s="26">
        <f>VLOOKUP(tbl_consolidacao[[#This Row],[Apto]],tbl_medmai[[Apto]:[Total]],6,FALSE)</f>
        <v>0</v>
      </c>
      <c r="K34" s="26">
        <f>VLOOKUP(tbl_consolidacao[[#This Row],[Apto]],tbl_medjun[[Apto]:[Total]],6,FALSE)</f>
        <v>0</v>
      </c>
      <c r="L34" s="26">
        <f>VLOOKUP(tbl_consolidacao[[#This Row],[Apto]],tbl_medjul[[Apto]:[Total]],6,FALSE)</f>
        <v>0</v>
      </c>
      <c r="M34" s="26">
        <f>VLOOKUP(tbl_consolidacao[[#This Row],[Apto]],tbl_medago[[Apto]:[Total]],6,FALSE)</f>
        <v>0</v>
      </c>
      <c r="N34" s="26">
        <f>VLOOKUP(tbl_consolidacao[[#This Row],[Apto]],tbl_medset[[Apto]:[Total]],6,FALSE)</f>
        <v>0</v>
      </c>
      <c r="O34" s="26">
        <f>VLOOKUP(tbl_consolidacao[[#This Row],[Apto]],tbl_medout[[Apto]:[Total]],6,FALSE)</f>
        <v>0</v>
      </c>
      <c r="P34" s="26">
        <f>VLOOKUP(tbl_consolidacao[[#This Row],[Apto]],tbl_mednov[[Apto]:[Total]],6,FALSE)</f>
        <v>0</v>
      </c>
      <c r="Q34" s="26">
        <f>VLOOKUP(tbl_consolidacao[[#This Row],[Apto]],tbl_meddez[[Apto]:[Total]],6,FALSE)</f>
        <v>0</v>
      </c>
    </row>
    <row r="35" spans="1:17" x14ac:dyDescent="0.25">
      <c r="A35" s="2">
        <v>1</v>
      </c>
      <c r="B35" s="2" t="s">
        <v>28</v>
      </c>
      <c r="C35" s="2">
        <v>303</v>
      </c>
      <c r="D35" s="2" t="str">
        <f>tbl_consolidacao[[#This Row],[Unid]]&amp;"-"&amp;tbl_consolidacao[[#This Row],[Junta]]&amp;tbl_consolidacao[[#This Row],[Torre]]</f>
        <v>303-A1</v>
      </c>
      <c r="E35" s="26">
        <f>VLOOKUP(tbl_consolidacao[[#This Row],[Apto]],tbl_meddez_anterior[[Apto]:[Total]],6,FALSE)</f>
        <v>1.02</v>
      </c>
      <c r="F35" s="26">
        <f>VLOOKUP(tbl_consolidacao[[#This Row],[Apto]],tbl_medjan[[Apto]:[Total]],6,FALSE)</f>
        <v>36.308</v>
      </c>
      <c r="G35" s="26">
        <f>VLOOKUP(tbl_consolidacao[[#This Row],[Apto]],tbl_medfev[[Apto]:[Total]],6,FALSE)</f>
        <v>47.595999999999997</v>
      </c>
      <c r="H35" s="26">
        <f>VLOOKUP(tbl_consolidacao[[#This Row],[Apto]],tbl_medmar[[Apto]:[Total]],6,FALSE)</f>
        <v>54.648000000000003</v>
      </c>
      <c r="I35" s="26">
        <f>VLOOKUP(tbl_consolidacao[[#This Row],[Apto]],tbl_medabr[[Apto]:[Total]],6,FALSE)</f>
        <v>0</v>
      </c>
      <c r="J35" s="26">
        <f>VLOOKUP(tbl_consolidacao[[#This Row],[Apto]],tbl_medmai[[Apto]:[Total]],6,FALSE)</f>
        <v>0</v>
      </c>
      <c r="K35" s="26">
        <f>VLOOKUP(tbl_consolidacao[[#This Row],[Apto]],tbl_medjun[[Apto]:[Total]],6,FALSE)</f>
        <v>0</v>
      </c>
      <c r="L35" s="26">
        <f>VLOOKUP(tbl_consolidacao[[#This Row],[Apto]],tbl_medjul[[Apto]:[Total]],6,FALSE)</f>
        <v>0</v>
      </c>
      <c r="M35" s="26">
        <f>VLOOKUP(tbl_consolidacao[[#This Row],[Apto]],tbl_medago[[Apto]:[Total]],6,FALSE)</f>
        <v>0</v>
      </c>
      <c r="N35" s="26">
        <f>VLOOKUP(tbl_consolidacao[[#This Row],[Apto]],tbl_medset[[Apto]:[Total]],6,FALSE)</f>
        <v>0</v>
      </c>
      <c r="O35" s="26">
        <f>VLOOKUP(tbl_consolidacao[[#This Row],[Apto]],tbl_medout[[Apto]:[Total]],6,FALSE)</f>
        <v>0</v>
      </c>
      <c r="P35" s="26">
        <f>VLOOKUP(tbl_consolidacao[[#This Row],[Apto]],tbl_mednov[[Apto]:[Total]],6,FALSE)</f>
        <v>0</v>
      </c>
      <c r="Q35" s="26">
        <f>VLOOKUP(tbl_consolidacao[[#This Row],[Apto]],tbl_meddez[[Apto]:[Total]],6,FALSE)</f>
        <v>0</v>
      </c>
    </row>
    <row r="36" spans="1:17" x14ac:dyDescent="0.25">
      <c r="A36" s="2">
        <v>2</v>
      </c>
      <c r="B36" s="2" t="s">
        <v>28</v>
      </c>
      <c r="C36" s="2">
        <v>303</v>
      </c>
      <c r="D36" s="2" t="str">
        <f>tbl_consolidacao[[#This Row],[Unid]]&amp;"-"&amp;tbl_consolidacao[[#This Row],[Junta]]&amp;tbl_consolidacao[[#This Row],[Torre]]</f>
        <v>303-A2</v>
      </c>
      <c r="E36" s="26">
        <f>VLOOKUP(tbl_consolidacao[[#This Row],[Apto]],tbl_meddez_anterior[[Apto]:[Total]],6,FALSE)</f>
        <v>1.02</v>
      </c>
      <c r="F36" s="26">
        <f>VLOOKUP(tbl_consolidacao[[#This Row],[Apto]],tbl_medjan[[Apto]:[Total]],6,FALSE)</f>
        <v>36.308</v>
      </c>
      <c r="G36" s="26">
        <f>VLOOKUP(tbl_consolidacao[[#This Row],[Apto]],tbl_medfev[[Apto]:[Total]],6,FALSE)</f>
        <v>47.595999999999997</v>
      </c>
      <c r="H36" s="26">
        <f>VLOOKUP(tbl_consolidacao[[#This Row],[Apto]],tbl_medmar[[Apto]:[Total]],6,FALSE)</f>
        <v>54.648000000000003</v>
      </c>
      <c r="I36" s="26">
        <f>VLOOKUP(tbl_consolidacao[[#This Row],[Apto]],tbl_medabr[[Apto]:[Total]],6,FALSE)</f>
        <v>0</v>
      </c>
      <c r="J36" s="26">
        <f>VLOOKUP(tbl_consolidacao[[#This Row],[Apto]],tbl_medmai[[Apto]:[Total]],6,FALSE)</f>
        <v>0</v>
      </c>
      <c r="K36" s="26">
        <f>VLOOKUP(tbl_consolidacao[[#This Row],[Apto]],tbl_medjun[[Apto]:[Total]],6,FALSE)</f>
        <v>0</v>
      </c>
      <c r="L36" s="26">
        <f>VLOOKUP(tbl_consolidacao[[#This Row],[Apto]],tbl_medjul[[Apto]:[Total]],6,FALSE)</f>
        <v>0</v>
      </c>
      <c r="M36" s="26">
        <f>VLOOKUP(tbl_consolidacao[[#This Row],[Apto]],tbl_medago[[Apto]:[Total]],6,FALSE)</f>
        <v>0</v>
      </c>
      <c r="N36" s="26">
        <f>VLOOKUP(tbl_consolidacao[[#This Row],[Apto]],tbl_medset[[Apto]:[Total]],6,FALSE)</f>
        <v>0</v>
      </c>
      <c r="O36" s="26">
        <f>VLOOKUP(tbl_consolidacao[[#This Row],[Apto]],tbl_medout[[Apto]:[Total]],6,FALSE)</f>
        <v>0</v>
      </c>
      <c r="P36" s="26">
        <f>VLOOKUP(tbl_consolidacao[[#This Row],[Apto]],tbl_mednov[[Apto]:[Total]],6,FALSE)</f>
        <v>0</v>
      </c>
      <c r="Q36" s="26">
        <f>VLOOKUP(tbl_consolidacao[[#This Row],[Apto]],tbl_meddez[[Apto]:[Total]],6,FALSE)</f>
        <v>0</v>
      </c>
    </row>
    <row r="37" spans="1:17" x14ac:dyDescent="0.25">
      <c r="A37" s="2">
        <v>1</v>
      </c>
      <c r="B37" s="2" t="s">
        <v>28</v>
      </c>
      <c r="C37" s="2">
        <v>304</v>
      </c>
      <c r="D37" s="2" t="str">
        <f>tbl_consolidacao[[#This Row],[Unid]]&amp;"-"&amp;tbl_consolidacao[[#This Row],[Junta]]&amp;tbl_consolidacao[[#This Row],[Torre]]</f>
        <v>304-A1</v>
      </c>
      <c r="E37" s="26">
        <f>VLOOKUP(tbl_consolidacao[[#This Row],[Apto]],tbl_meddez_anterior[[Apto]:[Total]],6,FALSE)</f>
        <v>1.02</v>
      </c>
      <c r="F37" s="26">
        <f>VLOOKUP(tbl_consolidacao[[#This Row],[Apto]],tbl_medjan[[Apto]:[Total]],6,FALSE)</f>
        <v>36.308</v>
      </c>
      <c r="G37" s="26">
        <f>VLOOKUP(tbl_consolidacao[[#This Row],[Apto]],tbl_medfev[[Apto]:[Total]],6,FALSE)</f>
        <v>47.595999999999997</v>
      </c>
      <c r="H37" s="26">
        <f>VLOOKUP(tbl_consolidacao[[#This Row],[Apto]],tbl_medmar[[Apto]:[Total]],6,FALSE)</f>
        <v>54.648000000000003</v>
      </c>
      <c r="I37" s="26">
        <f>VLOOKUP(tbl_consolidacao[[#This Row],[Apto]],tbl_medabr[[Apto]:[Total]],6,FALSE)</f>
        <v>0</v>
      </c>
      <c r="J37" s="26">
        <f>VLOOKUP(tbl_consolidacao[[#This Row],[Apto]],tbl_medmai[[Apto]:[Total]],6,FALSE)</f>
        <v>0</v>
      </c>
      <c r="K37" s="26">
        <f>VLOOKUP(tbl_consolidacao[[#This Row],[Apto]],tbl_medjun[[Apto]:[Total]],6,FALSE)</f>
        <v>0</v>
      </c>
      <c r="L37" s="26">
        <f>VLOOKUP(tbl_consolidacao[[#This Row],[Apto]],tbl_medjul[[Apto]:[Total]],6,FALSE)</f>
        <v>0</v>
      </c>
      <c r="M37" s="26">
        <f>VLOOKUP(tbl_consolidacao[[#This Row],[Apto]],tbl_medago[[Apto]:[Total]],6,FALSE)</f>
        <v>0</v>
      </c>
      <c r="N37" s="26">
        <f>VLOOKUP(tbl_consolidacao[[#This Row],[Apto]],tbl_medset[[Apto]:[Total]],6,FALSE)</f>
        <v>0</v>
      </c>
      <c r="O37" s="26">
        <f>VLOOKUP(tbl_consolidacao[[#This Row],[Apto]],tbl_medout[[Apto]:[Total]],6,FALSE)</f>
        <v>0</v>
      </c>
      <c r="P37" s="26">
        <f>VLOOKUP(tbl_consolidacao[[#This Row],[Apto]],tbl_mednov[[Apto]:[Total]],6,FALSE)</f>
        <v>0</v>
      </c>
      <c r="Q37" s="26">
        <f>VLOOKUP(tbl_consolidacao[[#This Row],[Apto]],tbl_meddez[[Apto]:[Total]],6,FALSE)</f>
        <v>0</v>
      </c>
    </row>
    <row r="38" spans="1:17" x14ac:dyDescent="0.25">
      <c r="A38" s="2">
        <v>2</v>
      </c>
      <c r="B38" s="2" t="s">
        <v>28</v>
      </c>
      <c r="C38" s="2">
        <v>304</v>
      </c>
      <c r="D38" s="2" t="str">
        <f>tbl_consolidacao[[#This Row],[Unid]]&amp;"-"&amp;tbl_consolidacao[[#This Row],[Junta]]&amp;tbl_consolidacao[[#This Row],[Torre]]</f>
        <v>304-A2</v>
      </c>
      <c r="E38" s="26">
        <f>VLOOKUP(tbl_consolidacao[[#This Row],[Apto]],tbl_meddez_anterior[[Apto]:[Total]],6,FALSE)</f>
        <v>1.02</v>
      </c>
      <c r="F38" s="26">
        <f>VLOOKUP(tbl_consolidacao[[#This Row],[Apto]],tbl_medjan[[Apto]:[Total]],6,FALSE)</f>
        <v>36.308</v>
      </c>
      <c r="G38" s="26">
        <f>VLOOKUP(tbl_consolidacao[[#This Row],[Apto]],tbl_medfev[[Apto]:[Total]],6,FALSE)</f>
        <v>47.595999999999997</v>
      </c>
      <c r="H38" s="26">
        <f>VLOOKUP(tbl_consolidacao[[#This Row],[Apto]],tbl_medmar[[Apto]:[Total]],6,FALSE)</f>
        <v>54.648000000000003</v>
      </c>
      <c r="I38" s="26">
        <f>VLOOKUP(tbl_consolidacao[[#This Row],[Apto]],tbl_medabr[[Apto]:[Total]],6,FALSE)</f>
        <v>0</v>
      </c>
      <c r="J38" s="26">
        <f>VLOOKUP(tbl_consolidacao[[#This Row],[Apto]],tbl_medmai[[Apto]:[Total]],6,FALSE)</f>
        <v>0</v>
      </c>
      <c r="K38" s="26">
        <f>VLOOKUP(tbl_consolidacao[[#This Row],[Apto]],tbl_medjun[[Apto]:[Total]],6,FALSE)</f>
        <v>0</v>
      </c>
      <c r="L38" s="26">
        <f>VLOOKUP(tbl_consolidacao[[#This Row],[Apto]],tbl_medjul[[Apto]:[Total]],6,FALSE)</f>
        <v>0</v>
      </c>
      <c r="M38" s="26">
        <f>VLOOKUP(tbl_consolidacao[[#This Row],[Apto]],tbl_medago[[Apto]:[Total]],6,FALSE)</f>
        <v>0</v>
      </c>
      <c r="N38" s="26">
        <f>VLOOKUP(tbl_consolidacao[[#This Row],[Apto]],tbl_medset[[Apto]:[Total]],6,FALSE)</f>
        <v>0</v>
      </c>
      <c r="O38" s="26">
        <f>VLOOKUP(tbl_consolidacao[[#This Row],[Apto]],tbl_medout[[Apto]:[Total]],6,FALSE)</f>
        <v>0</v>
      </c>
      <c r="P38" s="26">
        <f>VLOOKUP(tbl_consolidacao[[#This Row],[Apto]],tbl_mednov[[Apto]:[Total]],6,FALSE)</f>
        <v>0</v>
      </c>
      <c r="Q38" s="26">
        <f>VLOOKUP(tbl_consolidacao[[#This Row],[Apto]],tbl_meddez[[Apto]:[Total]],6,FALSE)</f>
        <v>0</v>
      </c>
    </row>
    <row r="39" spans="1:17" x14ac:dyDescent="0.25">
      <c r="A39" s="2">
        <v>1</v>
      </c>
      <c r="B39" s="2" t="s">
        <v>29</v>
      </c>
      <c r="C39" s="2">
        <v>305</v>
      </c>
      <c r="D39" s="2" t="str">
        <f>tbl_consolidacao[[#This Row],[Unid]]&amp;"-"&amp;tbl_consolidacao[[#This Row],[Junta]]&amp;tbl_consolidacao[[#This Row],[Torre]]</f>
        <v>305-B1</v>
      </c>
      <c r="E39" s="26">
        <f>VLOOKUP(tbl_consolidacao[[#This Row],[Apto]],tbl_meddez_anterior[[Apto]:[Total]],6,FALSE)</f>
        <v>1.02</v>
      </c>
      <c r="F39" s="26">
        <f>VLOOKUP(tbl_consolidacao[[#This Row],[Apto]],tbl_medjan[[Apto]:[Total]],6,FALSE)</f>
        <v>36.308</v>
      </c>
      <c r="G39" s="26">
        <f>VLOOKUP(tbl_consolidacao[[#This Row],[Apto]],tbl_medfev[[Apto]:[Total]],6,FALSE)</f>
        <v>47.595999999999997</v>
      </c>
      <c r="H39" s="26">
        <f>VLOOKUP(tbl_consolidacao[[#This Row],[Apto]],tbl_medmar[[Apto]:[Total]],6,FALSE)</f>
        <v>54.648000000000003</v>
      </c>
      <c r="I39" s="26">
        <f>VLOOKUP(tbl_consolidacao[[#This Row],[Apto]],tbl_medabr[[Apto]:[Total]],6,FALSE)</f>
        <v>0</v>
      </c>
      <c r="J39" s="26">
        <f>VLOOKUP(tbl_consolidacao[[#This Row],[Apto]],tbl_medmai[[Apto]:[Total]],6,FALSE)</f>
        <v>0</v>
      </c>
      <c r="K39" s="26">
        <f>VLOOKUP(tbl_consolidacao[[#This Row],[Apto]],tbl_medjun[[Apto]:[Total]],6,FALSE)</f>
        <v>0</v>
      </c>
      <c r="L39" s="26">
        <f>VLOOKUP(tbl_consolidacao[[#This Row],[Apto]],tbl_medjul[[Apto]:[Total]],6,FALSE)</f>
        <v>0</v>
      </c>
      <c r="M39" s="26">
        <f>VLOOKUP(tbl_consolidacao[[#This Row],[Apto]],tbl_medago[[Apto]:[Total]],6,FALSE)</f>
        <v>0</v>
      </c>
      <c r="N39" s="26">
        <f>VLOOKUP(tbl_consolidacao[[#This Row],[Apto]],tbl_medset[[Apto]:[Total]],6,FALSE)</f>
        <v>0</v>
      </c>
      <c r="O39" s="26">
        <f>VLOOKUP(tbl_consolidacao[[#This Row],[Apto]],tbl_medout[[Apto]:[Total]],6,FALSE)</f>
        <v>0</v>
      </c>
      <c r="P39" s="26">
        <f>VLOOKUP(tbl_consolidacao[[#This Row],[Apto]],tbl_mednov[[Apto]:[Total]],6,FALSE)</f>
        <v>0</v>
      </c>
      <c r="Q39" s="26">
        <f>VLOOKUP(tbl_consolidacao[[#This Row],[Apto]],tbl_meddez[[Apto]:[Total]],6,FALSE)</f>
        <v>0</v>
      </c>
    </row>
    <row r="40" spans="1:17" x14ac:dyDescent="0.25">
      <c r="A40" s="2">
        <v>2</v>
      </c>
      <c r="B40" s="2" t="s">
        <v>29</v>
      </c>
      <c r="C40" s="2">
        <v>305</v>
      </c>
      <c r="D40" s="2" t="str">
        <f>tbl_consolidacao[[#This Row],[Unid]]&amp;"-"&amp;tbl_consolidacao[[#This Row],[Junta]]&amp;tbl_consolidacao[[#This Row],[Torre]]</f>
        <v>305-B2</v>
      </c>
      <c r="E40" s="26">
        <f>VLOOKUP(tbl_consolidacao[[#This Row],[Apto]],tbl_meddez_anterior[[Apto]:[Total]],6,FALSE)</f>
        <v>1.02</v>
      </c>
      <c r="F40" s="26">
        <f>VLOOKUP(tbl_consolidacao[[#This Row],[Apto]],tbl_medjan[[Apto]:[Total]],6,FALSE)</f>
        <v>36.308</v>
      </c>
      <c r="G40" s="26">
        <f>VLOOKUP(tbl_consolidacao[[#This Row],[Apto]],tbl_medfev[[Apto]:[Total]],6,FALSE)</f>
        <v>47.595999999999997</v>
      </c>
      <c r="H40" s="26">
        <f>VLOOKUP(tbl_consolidacao[[#This Row],[Apto]],tbl_medmar[[Apto]:[Total]],6,FALSE)</f>
        <v>54.648000000000003</v>
      </c>
      <c r="I40" s="26">
        <f>VLOOKUP(tbl_consolidacao[[#This Row],[Apto]],tbl_medabr[[Apto]:[Total]],6,FALSE)</f>
        <v>0</v>
      </c>
      <c r="J40" s="26">
        <f>VLOOKUP(tbl_consolidacao[[#This Row],[Apto]],tbl_medmai[[Apto]:[Total]],6,FALSE)</f>
        <v>0</v>
      </c>
      <c r="K40" s="26">
        <f>VLOOKUP(tbl_consolidacao[[#This Row],[Apto]],tbl_medjun[[Apto]:[Total]],6,FALSE)</f>
        <v>0</v>
      </c>
      <c r="L40" s="26">
        <f>VLOOKUP(tbl_consolidacao[[#This Row],[Apto]],tbl_medjul[[Apto]:[Total]],6,FALSE)</f>
        <v>0</v>
      </c>
      <c r="M40" s="26">
        <f>VLOOKUP(tbl_consolidacao[[#This Row],[Apto]],tbl_medago[[Apto]:[Total]],6,FALSE)</f>
        <v>0</v>
      </c>
      <c r="N40" s="26">
        <f>VLOOKUP(tbl_consolidacao[[#This Row],[Apto]],tbl_medset[[Apto]:[Total]],6,FALSE)</f>
        <v>0</v>
      </c>
      <c r="O40" s="26">
        <f>VLOOKUP(tbl_consolidacao[[#This Row],[Apto]],tbl_medout[[Apto]:[Total]],6,FALSE)</f>
        <v>0</v>
      </c>
      <c r="P40" s="26">
        <f>VLOOKUP(tbl_consolidacao[[#This Row],[Apto]],tbl_mednov[[Apto]:[Total]],6,FALSE)</f>
        <v>0</v>
      </c>
      <c r="Q40" s="26">
        <f>VLOOKUP(tbl_consolidacao[[#This Row],[Apto]],tbl_meddez[[Apto]:[Total]],6,FALSE)</f>
        <v>0</v>
      </c>
    </row>
    <row r="41" spans="1:17" x14ac:dyDescent="0.25">
      <c r="A41" s="2">
        <v>1</v>
      </c>
      <c r="B41" s="2" t="s">
        <v>29</v>
      </c>
      <c r="C41" s="2">
        <v>306</v>
      </c>
      <c r="D41" s="2" t="str">
        <f>tbl_consolidacao[[#This Row],[Unid]]&amp;"-"&amp;tbl_consolidacao[[#This Row],[Junta]]&amp;tbl_consolidacao[[#This Row],[Torre]]</f>
        <v>306-B1</v>
      </c>
      <c r="E41" s="26">
        <f>VLOOKUP(tbl_consolidacao[[#This Row],[Apto]],tbl_meddez_anterior[[Apto]:[Total]],6,FALSE)</f>
        <v>1.02</v>
      </c>
      <c r="F41" s="26">
        <f>VLOOKUP(tbl_consolidacao[[#This Row],[Apto]],tbl_medjan[[Apto]:[Total]],6,FALSE)</f>
        <v>36.308</v>
      </c>
      <c r="G41" s="26">
        <f>VLOOKUP(tbl_consolidacao[[#This Row],[Apto]],tbl_medfev[[Apto]:[Total]],6,FALSE)</f>
        <v>47.595999999999997</v>
      </c>
      <c r="H41" s="26">
        <f>VLOOKUP(tbl_consolidacao[[#This Row],[Apto]],tbl_medmar[[Apto]:[Total]],6,FALSE)</f>
        <v>54.648000000000003</v>
      </c>
      <c r="I41" s="26">
        <f>VLOOKUP(tbl_consolidacao[[#This Row],[Apto]],tbl_medabr[[Apto]:[Total]],6,FALSE)</f>
        <v>0</v>
      </c>
      <c r="J41" s="26">
        <f>VLOOKUP(tbl_consolidacao[[#This Row],[Apto]],tbl_medmai[[Apto]:[Total]],6,FALSE)</f>
        <v>0</v>
      </c>
      <c r="K41" s="26">
        <f>VLOOKUP(tbl_consolidacao[[#This Row],[Apto]],tbl_medjun[[Apto]:[Total]],6,FALSE)</f>
        <v>0</v>
      </c>
      <c r="L41" s="26">
        <f>VLOOKUP(tbl_consolidacao[[#This Row],[Apto]],tbl_medjul[[Apto]:[Total]],6,FALSE)</f>
        <v>0</v>
      </c>
      <c r="M41" s="26">
        <f>VLOOKUP(tbl_consolidacao[[#This Row],[Apto]],tbl_medago[[Apto]:[Total]],6,FALSE)</f>
        <v>0</v>
      </c>
      <c r="N41" s="26">
        <f>VLOOKUP(tbl_consolidacao[[#This Row],[Apto]],tbl_medset[[Apto]:[Total]],6,FALSE)</f>
        <v>0</v>
      </c>
      <c r="O41" s="26">
        <f>VLOOKUP(tbl_consolidacao[[#This Row],[Apto]],tbl_medout[[Apto]:[Total]],6,FALSE)</f>
        <v>0</v>
      </c>
      <c r="P41" s="26">
        <f>VLOOKUP(tbl_consolidacao[[#This Row],[Apto]],tbl_mednov[[Apto]:[Total]],6,FALSE)</f>
        <v>0</v>
      </c>
      <c r="Q41" s="26">
        <f>VLOOKUP(tbl_consolidacao[[#This Row],[Apto]],tbl_meddez[[Apto]:[Total]],6,FALSE)</f>
        <v>0</v>
      </c>
    </row>
    <row r="42" spans="1:17" x14ac:dyDescent="0.25">
      <c r="A42" s="2">
        <v>2</v>
      </c>
      <c r="B42" s="2" t="s">
        <v>29</v>
      </c>
      <c r="C42" s="2">
        <v>306</v>
      </c>
      <c r="D42" s="2" t="str">
        <f>tbl_consolidacao[[#This Row],[Unid]]&amp;"-"&amp;tbl_consolidacao[[#This Row],[Junta]]&amp;tbl_consolidacao[[#This Row],[Torre]]</f>
        <v>306-B2</v>
      </c>
      <c r="E42" s="26">
        <f>VLOOKUP(tbl_consolidacao[[#This Row],[Apto]],tbl_meddez_anterior[[Apto]:[Total]],6,FALSE)</f>
        <v>1.02</v>
      </c>
      <c r="F42" s="26">
        <f>VLOOKUP(tbl_consolidacao[[#This Row],[Apto]],tbl_medjan[[Apto]:[Total]],6,FALSE)</f>
        <v>36.308</v>
      </c>
      <c r="G42" s="26">
        <f>VLOOKUP(tbl_consolidacao[[#This Row],[Apto]],tbl_medfev[[Apto]:[Total]],6,FALSE)</f>
        <v>47.595999999999997</v>
      </c>
      <c r="H42" s="26">
        <f>VLOOKUP(tbl_consolidacao[[#This Row],[Apto]],tbl_medmar[[Apto]:[Total]],6,FALSE)</f>
        <v>54.648000000000003</v>
      </c>
      <c r="I42" s="26">
        <f>VLOOKUP(tbl_consolidacao[[#This Row],[Apto]],tbl_medabr[[Apto]:[Total]],6,FALSE)</f>
        <v>0</v>
      </c>
      <c r="J42" s="26">
        <f>VLOOKUP(tbl_consolidacao[[#This Row],[Apto]],tbl_medmai[[Apto]:[Total]],6,FALSE)</f>
        <v>0</v>
      </c>
      <c r="K42" s="26">
        <f>VLOOKUP(tbl_consolidacao[[#This Row],[Apto]],tbl_medjun[[Apto]:[Total]],6,FALSE)</f>
        <v>0</v>
      </c>
      <c r="L42" s="26">
        <f>VLOOKUP(tbl_consolidacao[[#This Row],[Apto]],tbl_medjul[[Apto]:[Total]],6,FALSE)</f>
        <v>0</v>
      </c>
      <c r="M42" s="26">
        <f>VLOOKUP(tbl_consolidacao[[#This Row],[Apto]],tbl_medago[[Apto]:[Total]],6,FALSE)</f>
        <v>0</v>
      </c>
      <c r="N42" s="26">
        <f>VLOOKUP(tbl_consolidacao[[#This Row],[Apto]],tbl_medset[[Apto]:[Total]],6,FALSE)</f>
        <v>0</v>
      </c>
      <c r="O42" s="26">
        <f>VLOOKUP(tbl_consolidacao[[#This Row],[Apto]],tbl_medout[[Apto]:[Total]],6,FALSE)</f>
        <v>0</v>
      </c>
      <c r="P42" s="26">
        <f>VLOOKUP(tbl_consolidacao[[#This Row],[Apto]],tbl_mednov[[Apto]:[Total]],6,FALSE)</f>
        <v>0</v>
      </c>
      <c r="Q42" s="26">
        <f>VLOOKUP(tbl_consolidacao[[#This Row],[Apto]],tbl_meddez[[Apto]:[Total]],6,FALSE)</f>
        <v>0</v>
      </c>
    </row>
    <row r="43" spans="1:17" x14ac:dyDescent="0.25">
      <c r="A43" s="2">
        <v>1</v>
      </c>
      <c r="B43" s="2" t="s">
        <v>29</v>
      </c>
      <c r="C43" s="2">
        <v>307</v>
      </c>
      <c r="D43" s="2" t="str">
        <f>tbl_consolidacao[[#This Row],[Unid]]&amp;"-"&amp;tbl_consolidacao[[#This Row],[Junta]]&amp;tbl_consolidacao[[#This Row],[Torre]]</f>
        <v>307-B1</v>
      </c>
      <c r="E43" s="26">
        <f>VLOOKUP(tbl_consolidacao[[#This Row],[Apto]],tbl_meddez_anterior[[Apto]:[Total]],6,FALSE)</f>
        <v>1.02</v>
      </c>
      <c r="F43" s="26">
        <f>VLOOKUP(tbl_consolidacao[[#This Row],[Apto]],tbl_medjan[[Apto]:[Total]],6,FALSE)</f>
        <v>36.308</v>
      </c>
      <c r="G43" s="26">
        <f>VLOOKUP(tbl_consolidacao[[#This Row],[Apto]],tbl_medfev[[Apto]:[Total]],6,FALSE)</f>
        <v>47.595999999999997</v>
      </c>
      <c r="H43" s="26">
        <f>VLOOKUP(tbl_consolidacao[[#This Row],[Apto]],tbl_medmar[[Apto]:[Total]],6,FALSE)</f>
        <v>54.648000000000003</v>
      </c>
      <c r="I43" s="26">
        <f>VLOOKUP(tbl_consolidacao[[#This Row],[Apto]],tbl_medabr[[Apto]:[Total]],6,FALSE)</f>
        <v>0</v>
      </c>
      <c r="J43" s="26">
        <f>VLOOKUP(tbl_consolidacao[[#This Row],[Apto]],tbl_medmai[[Apto]:[Total]],6,FALSE)</f>
        <v>0</v>
      </c>
      <c r="K43" s="26">
        <f>VLOOKUP(tbl_consolidacao[[#This Row],[Apto]],tbl_medjun[[Apto]:[Total]],6,FALSE)</f>
        <v>0</v>
      </c>
      <c r="L43" s="26">
        <f>VLOOKUP(tbl_consolidacao[[#This Row],[Apto]],tbl_medjul[[Apto]:[Total]],6,FALSE)</f>
        <v>0</v>
      </c>
      <c r="M43" s="26">
        <f>VLOOKUP(tbl_consolidacao[[#This Row],[Apto]],tbl_medago[[Apto]:[Total]],6,FALSE)</f>
        <v>0</v>
      </c>
      <c r="N43" s="26">
        <f>VLOOKUP(tbl_consolidacao[[#This Row],[Apto]],tbl_medset[[Apto]:[Total]],6,FALSE)</f>
        <v>0</v>
      </c>
      <c r="O43" s="26">
        <f>VLOOKUP(tbl_consolidacao[[#This Row],[Apto]],tbl_medout[[Apto]:[Total]],6,FALSE)</f>
        <v>0</v>
      </c>
      <c r="P43" s="26">
        <f>VLOOKUP(tbl_consolidacao[[#This Row],[Apto]],tbl_mednov[[Apto]:[Total]],6,FALSE)</f>
        <v>0</v>
      </c>
      <c r="Q43" s="26">
        <f>VLOOKUP(tbl_consolidacao[[#This Row],[Apto]],tbl_meddez[[Apto]:[Total]],6,FALSE)</f>
        <v>0</v>
      </c>
    </row>
    <row r="44" spans="1:17" x14ac:dyDescent="0.25">
      <c r="A44" s="2">
        <v>2</v>
      </c>
      <c r="B44" s="2" t="s">
        <v>29</v>
      </c>
      <c r="C44" s="2">
        <v>307</v>
      </c>
      <c r="D44" s="2" t="str">
        <f>tbl_consolidacao[[#This Row],[Unid]]&amp;"-"&amp;tbl_consolidacao[[#This Row],[Junta]]&amp;tbl_consolidacao[[#This Row],[Torre]]</f>
        <v>307-B2</v>
      </c>
      <c r="E44" s="26">
        <f>VLOOKUP(tbl_consolidacao[[#This Row],[Apto]],tbl_meddez_anterior[[Apto]:[Total]],6,FALSE)</f>
        <v>1.02</v>
      </c>
      <c r="F44" s="26">
        <f>VLOOKUP(tbl_consolidacao[[#This Row],[Apto]],tbl_medjan[[Apto]:[Total]],6,FALSE)</f>
        <v>36.308</v>
      </c>
      <c r="G44" s="26">
        <f>VLOOKUP(tbl_consolidacao[[#This Row],[Apto]],tbl_medfev[[Apto]:[Total]],6,FALSE)</f>
        <v>47.595999999999997</v>
      </c>
      <c r="H44" s="26">
        <f>VLOOKUP(tbl_consolidacao[[#This Row],[Apto]],tbl_medmar[[Apto]:[Total]],6,FALSE)</f>
        <v>54.648000000000003</v>
      </c>
      <c r="I44" s="26">
        <f>VLOOKUP(tbl_consolidacao[[#This Row],[Apto]],tbl_medabr[[Apto]:[Total]],6,FALSE)</f>
        <v>0</v>
      </c>
      <c r="J44" s="26">
        <f>VLOOKUP(tbl_consolidacao[[#This Row],[Apto]],tbl_medmai[[Apto]:[Total]],6,FALSE)</f>
        <v>0</v>
      </c>
      <c r="K44" s="26">
        <f>VLOOKUP(tbl_consolidacao[[#This Row],[Apto]],tbl_medjun[[Apto]:[Total]],6,FALSE)</f>
        <v>0</v>
      </c>
      <c r="L44" s="26">
        <f>VLOOKUP(tbl_consolidacao[[#This Row],[Apto]],tbl_medjul[[Apto]:[Total]],6,FALSE)</f>
        <v>0</v>
      </c>
      <c r="M44" s="26">
        <f>VLOOKUP(tbl_consolidacao[[#This Row],[Apto]],tbl_medago[[Apto]:[Total]],6,FALSE)</f>
        <v>0</v>
      </c>
      <c r="N44" s="26">
        <f>VLOOKUP(tbl_consolidacao[[#This Row],[Apto]],tbl_medset[[Apto]:[Total]],6,FALSE)</f>
        <v>0</v>
      </c>
      <c r="O44" s="26">
        <f>VLOOKUP(tbl_consolidacao[[#This Row],[Apto]],tbl_medout[[Apto]:[Total]],6,FALSE)</f>
        <v>0</v>
      </c>
      <c r="P44" s="26">
        <f>VLOOKUP(tbl_consolidacao[[#This Row],[Apto]],tbl_mednov[[Apto]:[Total]],6,FALSE)</f>
        <v>0</v>
      </c>
      <c r="Q44" s="26">
        <f>VLOOKUP(tbl_consolidacao[[#This Row],[Apto]],tbl_meddez[[Apto]:[Total]],6,FALSE)</f>
        <v>0</v>
      </c>
    </row>
    <row r="45" spans="1:17" x14ac:dyDescent="0.25">
      <c r="A45" s="2">
        <v>1</v>
      </c>
      <c r="B45" s="2" t="s">
        <v>29</v>
      </c>
      <c r="C45" s="2">
        <v>308</v>
      </c>
      <c r="D45" s="2" t="str">
        <f>tbl_consolidacao[[#This Row],[Unid]]&amp;"-"&amp;tbl_consolidacao[[#This Row],[Junta]]&amp;tbl_consolidacao[[#This Row],[Torre]]</f>
        <v>308-B1</v>
      </c>
      <c r="E45" s="26">
        <f>VLOOKUP(tbl_consolidacao[[#This Row],[Apto]],tbl_meddez_anterior[[Apto]:[Total]],6,FALSE)</f>
        <v>1.02</v>
      </c>
      <c r="F45" s="26">
        <f>VLOOKUP(tbl_consolidacao[[#This Row],[Apto]],tbl_medjan[[Apto]:[Total]],6,FALSE)</f>
        <v>36.308</v>
      </c>
      <c r="G45" s="26">
        <f>VLOOKUP(tbl_consolidacao[[#This Row],[Apto]],tbl_medfev[[Apto]:[Total]],6,FALSE)</f>
        <v>47.595999999999997</v>
      </c>
      <c r="H45" s="26">
        <f>VLOOKUP(tbl_consolidacao[[#This Row],[Apto]],tbl_medmar[[Apto]:[Total]],6,FALSE)</f>
        <v>54.648000000000003</v>
      </c>
      <c r="I45" s="26">
        <f>VLOOKUP(tbl_consolidacao[[#This Row],[Apto]],tbl_medabr[[Apto]:[Total]],6,FALSE)</f>
        <v>0</v>
      </c>
      <c r="J45" s="26">
        <f>VLOOKUP(tbl_consolidacao[[#This Row],[Apto]],tbl_medmai[[Apto]:[Total]],6,FALSE)</f>
        <v>0</v>
      </c>
      <c r="K45" s="26">
        <f>VLOOKUP(tbl_consolidacao[[#This Row],[Apto]],tbl_medjun[[Apto]:[Total]],6,FALSE)</f>
        <v>0</v>
      </c>
      <c r="L45" s="26">
        <f>VLOOKUP(tbl_consolidacao[[#This Row],[Apto]],tbl_medjul[[Apto]:[Total]],6,FALSE)</f>
        <v>0</v>
      </c>
      <c r="M45" s="26">
        <f>VLOOKUP(tbl_consolidacao[[#This Row],[Apto]],tbl_medago[[Apto]:[Total]],6,FALSE)</f>
        <v>0</v>
      </c>
      <c r="N45" s="26">
        <f>VLOOKUP(tbl_consolidacao[[#This Row],[Apto]],tbl_medset[[Apto]:[Total]],6,FALSE)</f>
        <v>0</v>
      </c>
      <c r="O45" s="26">
        <f>VLOOKUP(tbl_consolidacao[[#This Row],[Apto]],tbl_medout[[Apto]:[Total]],6,FALSE)</f>
        <v>0</v>
      </c>
      <c r="P45" s="26">
        <f>VLOOKUP(tbl_consolidacao[[#This Row],[Apto]],tbl_mednov[[Apto]:[Total]],6,FALSE)</f>
        <v>0</v>
      </c>
      <c r="Q45" s="26">
        <f>VLOOKUP(tbl_consolidacao[[#This Row],[Apto]],tbl_meddez[[Apto]:[Total]],6,FALSE)</f>
        <v>0</v>
      </c>
    </row>
    <row r="46" spans="1:17" x14ac:dyDescent="0.25">
      <c r="A46" s="2">
        <v>2</v>
      </c>
      <c r="B46" s="2" t="s">
        <v>29</v>
      </c>
      <c r="C46" s="2">
        <v>308</v>
      </c>
      <c r="D46" s="2" t="str">
        <f>tbl_consolidacao[[#This Row],[Unid]]&amp;"-"&amp;tbl_consolidacao[[#This Row],[Junta]]&amp;tbl_consolidacao[[#This Row],[Torre]]</f>
        <v>308-B2</v>
      </c>
      <c r="E46" s="26">
        <f>VLOOKUP(tbl_consolidacao[[#This Row],[Apto]],tbl_meddez_anterior[[Apto]:[Total]],6,FALSE)</f>
        <v>1.02</v>
      </c>
      <c r="F46" s="26">
        <f>VLOOKUP(tbl_consolidacao[[#This Row],[Apto]],tbl_medjan[[Apto]:[Total]],6,FALSE)</f>
        <v>36.308</v>
      </c>
      <c r="G46" s="26">
        <f>VLOOKUP(tbl_consolidacao[[#This Row],[Apto]],tbl_medfev[[Apto]:[Total]],6,FALSE)</f>
        <v>47.595999999999997</v>
      </c>
      <c r="H46" s="26">
        <f>VLOOKUP(tbl_consolidacao[[#This Row],[Apto]],tbl_medmar[[Apto]:[Total]],6,FALSE)</f>
        <v>54.648000000000003</v>
      </c>
      <c r="I46" s="26">
        <f>VLOOKUP(tbl_consolidacao[[#This Row],[Apto]],tbl_medabr[[Apto]:[Total]],6,FALSE)</f>
        <v>0</v>
      </c>
      <c r="J46" s="26">
        <f>VLOOKUP(tbl_consolidacao[[#This Row],[Apto]],tbl_medmai[[Apto]:[Total]],6,FALSE)</f>
        <v>0</v>
      </c>
      <c r="K46" s="26">
        <f>VLOOKUP(tbl_consolidacao[[#This Row],[Apto]],tbl_medjun[[Apto]:[Total]],6,FALSE)</f>
        <v>0</v>
      </c>
      <c r="L46" s="26">
        <f>VLOOKUP(tbl_consolidacao[[#This Row],[Apto]],tbl_medjul[[Apto]:[Total]],6,FALSE)</f>
        <v>0</v>
      </c>
      <c r="M46" s="26">
        <f>VLOOKUP(tbl_consolidacao[[#This Row],[Apto]],tbl_medago[[Apto]:[Total]],6,FALSE)</f>
        <v>0</v>
      </c>
      <c r="N46" s="26">
        <f>VLOOKUP(tbl_consolidacao[[#This Row],[Apto]],tbl_medset[[Apto]:[Total]],6,FALSE)</f>
        <v>0</v>
      </c>
      <c r="O46" s="26">
        <f>VLOOKUP(tbl_consolidacao[[#This Row],[Apto]],tbl_medout[[Apto]:[Total]],6,FALSE)</f>
        <v>0</v>
      </c>
      <c r="P46" s="26">
        <f>VLOOKUP(tbl_consolidacao[[#This Row],[Apto]],tbl_mednov[[Apto]:[Total]],6,FALSE)</f>
        <v>0</v>
      </c>
      <c r="Q46" s="26">
        <f>VLOOKUP(tbl_consolidacao[[#This Row],[Apto]],tbl_meddez[[Apto]:[Total]],6,FALSE)</f>
        <v>0</v>
      </c>
    </row>
  </sheetData>
  <sheetProtection algorithmName="SHA-512" hashValue="jhmhMJmNHQIMnISh5zBlbhPf+8PAN8sA7FyQvjd2hdjDxZhG51e9XuCg3o/wdEB8y+RNAiojML6xMjQQcH19UA==" saltValue="NWHLaCX/bkYpd2bzE672sw==" spinCount="100000" sheet="1" objects="1" scenarios="1" selectLockedCells="1" selectUnlockedCells="1"/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tabColor theme="5" tint="0.59999389629810485"/>
  </sheetPr>
  <dimension ref="A1:K46"/>
  <sheetViews>
    <sheetView showGridLines="0" workbookViewId="0">
      <selection activeCell="G1" sqref="G1:H1"/>
    </sheetView>
  </sheetViews>
  <sheetFormatPr defaultRowHeight="15" x14ac:dyDescent="0.25"/>
  <cols>
    <col min="1" max="3" width="7.7109375" customWidth="1"/>
    <col min="4" max="4" width="10.7109375" customWidth="1"/>
    <col min="5" max="9" width="12.7109375" customWidth="1"/>
    <col min="10" max="10" width="10.7109375" customWidth="1"/>
    <col min="11" max="11" width="3.7109375" customWidth="1"/>
  </cols>
  <sheetData>
    <row r="1" spans="1:11" ht="23.25" x14ac:dyDescent="0.35">
      <c r="E1" s="53" t="s">
        <v>48</v>
      </c>
      <c r="F1" s="53"/>
      <c r="G1" s="54">
        <v>42353</v>
      </c>
      <c r="H1" s="54"/>
      <c r="I1" s="55" t="str">
        <f>IF(G1&lt;&gt;"",TEXT(G1,"mmmm-aa"),"")</f>
        <v>dezembro-15</v>
      </c>
      <c r="J1" s="55"/>
    </row>
    <row r="2" spans="1:11" ht="65.099999999999994" customHeight="1" x14ac:dyDescent="0.25">
      <c r="A2" s="3" t="s">
        <v>24</v>
      </c>
      <c r="B2" s="3" t="s">
        <v>25</v>
      </c>
      <c r="C2" s="3" t="s">
        <v>26</v>
      </c>
      <c r="D2" s="3" t="s">
        <v>49</v>
      </c>
      <c r="E2" s="3" t="s">
        <v>27</v>
      </c>
      <c r="F2" s="12" t="s">
        <v>43</v>
      </c>
      <c r="G2" s="10" t="s">
        <v>30</v>
      </c>
      <c r="H2" s="11" t="s">
        <v>44</v>
      </c>
      <c r="I2" s="3" t="s">
        <v>45</v>
      </c>
      <c r="J2" s="3" t="s">
        <v>46</v>
      </c>
      <c r="K2" s="3" t="s">
        <v>19</v>
      </c>
    </row>
    <row r="3" spans="1:11" x14ac:dyDescent="0.25">
      <c r="A3" s="2">
        <f>tbl_consolidacao[[#This Row],[Torre]]</f>
        <v>1</v>
      </c>
      <c r="B3" s="2" t="str">
        <f>tbl_consolidacao[[#This Row],[Junta]]</f>
        <v>A</v>
      </c>
      <c r="C3" s="2">
        <f>tbl_consolidacao[[#This Row],[Unid]]</f>
        <v>101</v>
      </c>
      <c r="D3" s="2" t="str">
        <f>tbl_consolidacao[[#This Row],[Apto]]</f>
        <v>101-A1</v>
      </c>
      <c r="E3" s="2">
        <v>1234</v>
      </c>
      <c r="F3" s="13">
        <v>100</v>
      </c>
      <c r="G3" s="2">
        <v>1234</v>
      </c>
      <c r="H3" s="14">
        <v>20</v>
      </c>
      <c r="I3" s="2">
        <f>tbl_meddez_anterior[[#This Row],[Medição 
Água Fria]]/100+tbl_meddez_anterior[[#This Row],[Medição 
Água Quente]]/1000</f>
        <v>1.02</v>
      </c>
      <c r="J3" s="15"/>
      <c r="K3" s="15" t="str">
        <f>IF(tbl_meddez_anterior[[#This Row],[Utilização (%)]]&lt;&gt;"",ALERTA_INDIVIDUAL-tbl_meddez_anterior[[#This Row],[Utilização (%)]],"")</f>
        <v/>
      </c>
    </row>
    <row r="4" spans="1:11" x14ac:dyDescent="0.25">
      <c r="A4" s="2">
        <f>tbl_consolidacao[[#This Row],[Torre]]</f>
        <v>2</v>
      </c>
      <c r="B4" s="2" t="str">
        <f>tbl_consolidacao[[#This Row],[Junta]]</f>
        <v>A</v>
      </c>
      <c r="C4" s="2">
        <f>tbl_consolidacao[[#This Row],[Unid]]</f>
        <v>101</v>
      </c>
      <c r="D4" s="2" t="str">
        <f>tbl_consolidacao[[#This Row],[Apto]]</f>
        <v>101-A2</v>
      </c>
      <c r="E4" s="2">
        <v>1235</v>
      </c>
      <c r="F4" s="13">
        <v>100</v>
      </c>
      <c r="G4" s="2">
        <v>1235</v>
      </c>
      <c r="H4" s="14">
        <v>20</v>
      </c>
      <c r="I4" s="2">
        <f>tbl_meddez_anterior[[#This Row],[Medição 
Água Fria]]/100+tbl_meddez_anterior[[#This Row],[Medição 
Água Quente]]/1000</f>
        <v>1.02</v>
      </c>
      <c r="J4" s="15"/>
      <c r="K4" s="15" t="str">
        <f>IF(tbl_meddez_anterior[[#This Row],[Utilização (%)]]&lt;&gt;"",ALERTA_INDIVIDUAL-tbl_meddez_anterior[[#This Row],[Utilização (%)]],"")</f>
        <v/>
      </c>
    </row>
    <row r="5" spans="1:11" x14ac:dyDescent="0.25">
      <c r="A5" s="2">
        <f>tbl_consolidacao[[#This Row],[Torre]]</f>
        <v>1</v>
      </c>
      <c r="B5" s="2" t="str">
        <f>tbl_consolidacao[[#This Row],[Junta]]</f>
        <v>A</v>
      </c>
      <c r="C5" s="2">
        <f>tbl_consolidacao[[#This Row],[Unid]]</f>
        <v>102</v>
      </c>
      <c r="D5" s="2" t="str">
        <f>tbl_consolidacao[[#This Row],[Apto]]</f>
        <v>102-A1</v>
      </c>
      <c r="E5" s="2">
        <v>1236</v>
      </c>
      <c r="F5" s="13">
        <v>100</v>
      </c>
      <c r="G5" s="2">
        <v>1236</v>
      </c>
      <c r="H5" s="14">
        <v>20</v>
      </c>
      <c r="I5" s="2">
        <f>tbl_meddez_anterior[[#This Row],[Medição 
Água Fria]]/100+tbl_meddez_anterior[[#This Row],[Medição 
Água Quente]]/1000</f>
        <v>1.02</v>
      </c>
      <c r="J5" s="15"/>
      <c r="K5" s="15" t="str">
        <f>IF(tbl_meddez_anterior[[#This Row],[Utilização (%)]]&lt;&gt;"",ALERTA_INDIVIDUAL-tbl_meddez_anterior[[#This Row],[Utilização (%)]],"")</f>
        <v/>
      </c>
    </row>
    <row r="6" spans="1:11" x14ac:dyDescent="0.25">
      <c r="A6" s="2">
        <f>tbl_consolidacao[[#This Row],[Torre]]</f>
        <v>2</v>
      </c>
      <c r="B6" s="2" t="str">
        <f>tbl_consolidacao[[#This Row],[Junta]]</f>
        <v>A</v>
      </c>
      <c r="C6" s="2">
        <f>tbl_consolidacao[[#This Row],[Unid]]</f>
        <v>102</v>
      </c>
      <c r="D6" s="2" t="str">
        <f>tbl_consolidacao[[#This Row],[Apto]]</f>
        <v>102-A2</v>
      </c>
      <c r="E6" s="2">
        <v>1237</v>
      </c>
      <c r="F6" s="13">
        <v>100</v>
      </c>
      <c r="G6" s="2">
        <v>1237</v>
      </c>
      <c r="H6" s="14">
        <v>20</v>
      </c>
      <c r="I6" s="2">
        <f>tbl_meddez_anterior[[#This Row],[Medição 
Água Fria]]/100+tbl_meddez_anterior[[#This Row],[Medição 
Água Quente]]/1000</f>
        <v>1.02</v>
      </c>
      <c r="J6" s="15"/>
      <c r="K6" s="15" t="str">
        <f>IF(tbl_meddez_anterior[[#This Row],[Utilização (%)]]&lt;&gt;"",ALERTA_INDIVIDUAL-tbl_meddez_anterior[[#This Row],[Utilização (%)]],"")</f>
        <v/>
      </c>
    </row>
    <row r="7" spans="1:11" x14ac:dyDescent="0.25">
      <c r="A7" s="2">
        <f>tbl_consolidacao[[#This Row],[Torre]]</f>
        <v>1</v>
      </c>
      <c r="B7" s="2" t="str">
        <f>tbl_consolidacao[[#This Row],[Junta]]</f>
        <v>A</v>
      </c>
      <c r="C7" s="2">
        <f>tbl_consolidacao[[#This Row],[Unid]]</f>
        <v>103</v>
      </c>
      <c r="D7" s="2" t="str">
        <f>tbl_consolidacao[[#This Row],[Apto]]</f>
        <v>103-A1</v>
      </c>
      <c r="E7" s="2">
        <v>1238</v>
      </c>
      <c r="F7" s="13">
        <v>100</v>
      </c>
      <c r="G7" s="2">
        <v>1238</v>
      </c>
      <c r="H7" s="14">
        <v>20</v>
      </c>
      <c r="I7" s="2">
        <f>tbl_meddez_anterior[[#This Row],[Medição 
Água Fria]]/100+tbl_meddez_anterior[[#This Row],[Medição 
Água Quente]]/1000</f>
        <v>1.02</v>
      </c>
      <c r="J7" s="15"/>
      <c r="K7" s="15" t="str">
        <f>IF(tbl_meddez_anterior[[#This Row],[Utilização (%)]]&lt;&gt;"",ALERTA_INDIVIDUAL-tbl_meddez_anterior[[#This Row],[Utilização (%)]],"")</f>
        <v/>
      </c>
    </row>
    <row r="8" spans="1:11" x14ac:dyDescent="0.25">
      <c r="A8" s="2">
        <f>tbl_consolidacao[[#This Row],[Torre]]</f>
        <v>2</v>
      </c>
      <c r="B8" s="2" t="str">
        <f>tbl_consolidacao[[#This Row],[Junta]]</f>
        <v>A</v>
      </c>
      <c r="C8" s="2">
        <f>tbl_consolidacao[[#This Row],[Unid]]</f>
        <v>103</v>
      </c>
      <c r="D8" s="2" t="str">
        <f>tbl_consolidacao[[#This Row],[Apto]]</f>
        <v>103-A2</v>
      </c>
      <c r="E8" s="2">
        <v>1239</v>
      </c>
      <c r="F8" s="13">
        <v>100</v>
      </c>
      <c r="G8" s="2">
        <v>1239</v>
      </c>
      <c r="H8" s="14">
        <v>20</v>
      </c>
      <c r="I8" s="2">
        <f>tbl_meddez_anterior[[#This Row],[Medição 
Água Fria]]/100+tbl_meddez_anterior[[#This Row],[Medição 
Água Quente]]/1000</f>
        <v>1.02</v>
      </c>
      <c r="J8" s="15"/>
      <c r="K8" s="15" t="str">
        <f>IF(tbl_meddez_anterior[[#This Row],[Utilização (%)]]&lt;&gt;"",ALERTA_INDIVIDUAL-tbl_meddez_anterior[[#This Row],[Utilização (%)]],"")</f>
        <v/>
      </c>
    </row>
    <row r="9" spans="1:11" x14ac:dyDescent="0.25">
      <c r="A9" s="2">
        <f>tbl_consolidacao[[#This Row],[Torre]]</f>
        <v>1</v>
      </c>
      <c r="B9" s="2" t="str">
        <f>tbl_consolidacao[[#This Row],[Junta]]</f>
        <v>A</v>
      </c>
      <c r="C9" s="2">
        <f>tbl_consolidacao[[#This Row],[Unid]]</f>
        <v>104</v>
      </c>
      <c r="D9" s="2" t="str">
        <f>tbl_consolidacao[[#This Row],[Apto]]</f>
        <v>104-A1</v>
      </c>
      <c r="E9" s="2">
        <v>1240</v>
      </c>
      <c r="F9" s="13">
        <v>100</v>
      </c>
      <c r="G9" s="2">
        <v>1240</v>
      </c>
      <c r="H9" s="14">
        <v>20</v>
      </c>
      <c r="I9" s="2">
        <f>tbl_meddez_anterior[[#This Row],[Medição 
Água Fria]]/100+tbl_meddez_anterior[[#This Row],[Medição 
Água Quente]]/1000</f>
        <v>1.02</v>
      </c>
      <c r="J9" s="15"/>
      <c r="K9" s="15" t="str">
        <f>IF(tbl_meddez_anterior[[#This Row],[Utilização (%)]]&lt;&gt;"",ALERTA_INDIVIDUAL-tbl_meddez_anterior[[#This Row],[Utilização (%)]],"")</f>
        <v/>
      </c>
    </row>
    <row r="10" spans="1:11" x14ac:dyDescent="0.25">
      <c r="A10" s="2">
        <f>tbl_consolidacao[[#This Row],[Torre]]</f>
        <v>2</v>
      </c>
      <c r="B10" s="2" t="str">
        <f>tbl_consolidacao[[#This Row],[Junta]]</f>
        <v>A</v>
      </c>
      <c r="C10" s="2">
        <f>tbl_consolidacao[[#This Row],[Unid]]</f>
        <v>104</v>
      </c>
      <c r="D10" s="2" t="str">
        <f>tbl_consolidacao[[#This Row],[Apto]]</f>
        <v>104-A2</v>
      </c>
      <c r="E10" s="2">
        <v>1241</v>
      </c>
      <c r="F10" s="13">
        <v>100</v>
      </c>
      <c r="G10" s="2">
        <v>1241</v>
      </c>
      <c r="H10" s="14">
        <v>20</v>
      </c>
      <c r="I10" s="2">
        <f>tbl_meddez_anterior[[#This Row],[Medição 
Água Fria]]/100+tbl_meddez_anterior[[#This Row],[Medição 
Água Quente]]/1000</f>
        <v>1.02</v>
      </c>
      <c r="J10" s="15"/>
      <c r="K10" s="15" t="str">
        <f>IF(tbl_meddez_anterior[[#This Row],[Utilização (%)]]&lt;&gt;"",ALERTA_INDIVIDUAL-tbl_meddez_anterior[[#This Row],[Utilização (%)]],"")</f>
        <v/>
      </c>
    </row>
    <row r="11" spans="1:11" x14ac:dyDescent="0.25">
      <c r="A11" s="2">
        <f>tbl_consolidacao[[#This Row],[Torre]]</f>
        <v>2</v>
      </c>
      <c r="B11" s="2" t="str">
        <f>tbl_consolidacao[[#This Row],[Junta]]</f>
        <v>B</v>
      </c>
      <c r="C11" s="2">
        <f>tbl_consolidacao[[#This Row],[Unid]]</f>
        <v>105</v>
      </c>
      <c r="D11" s="2" t="str">
        <f>tbl_consolidacao[[#This Row],[Apto]]</f>
        <v>105-B2</v>
      </c>
      <c r="E11" s="2">
        <v>1242</v>
      </c>
      <c r="F11" s="13">
        <v>100</v>
      </c>
      <c r="G11" s="2">
        <v>1242</v>
      </c>
      <c r="H11" s="14">
        <v>20</v>
      </c>
      <c r="I11" s="2">
        <f>tbl_meddez_anterior[[#This Row],[Medição 
Água Fria]]/100+tbl_meddez_anterior[[#This Row],[Medição 
Água Quente]]/1000</f>
        <v>1.02</v>
      </c>
      <c r="J11" s="15"/>
      <c r="K11" s="15" t="str">
        <f>IF(tbl_meddez_anterior[[#This Row],[Utilização (%)]]&lt;&gt;"",ALERTA_INDIVIDUAL-tbl_meddez_anterior[[#This Row],[Utilização (%)]],"")</f>
        <v/>
      </c>
    </row>
    <row r="12" spans="1:11" x14ac:dyDescent="0.25">
      <c r="A12" s="2">
        <f>tbl_consolidacao[[#This Row],[Torre]]</f>
        <v>2</v>
      </c>
      <c r="B12" s="2" t="str">
        <f>tbl_consolidacao[[#This Row],[Junta]]</f>
        <v>B</v>
      </c>
      <c r="C12" s="2">
        <f>tbl_consolidacao[[#This Row],[Unid]]</f>
        <v>106</v>
      </c>
      <c r="D12" s="2" t="str">
        <f>tbl_consolidacao[[#This Row],[Apto]]</f>
        <v>106-B2</v>
      </c>
      <c r="E12" s="2">
        <v>1243</v>
      </c>
      <c r="F12" s="13">
        <v>100</v>
      </c>
      <c r="G12" s="2">
        <v>1243</v>
      </c>
      <c r="H12" s="14">
        <v>20</v>
      </c>
      <c r="I12" s="2">
        <f>tbl_meddez_anterior[[#This Row],[Medição 
Água Fria]]/100+tbl_meddez_anterior[[#This Row],[Medição 
Água Quente]]/1000</f>
        <v>1.02</v>
      </c>
      <c r="J12" s="15"/>
      <c r="K12" s="15" t="str">
        <f>IF(tbl_meddez_anterior[[#This Row],[Utilização (%)]]&lt;&gt;"",ALERTA_INDIVIDUAL-tbl_meddez_anterior[[#This Row],[Utilização (%)]],"")</f>
        <v/>
      </c>
    </row>
    <row r="13" spans="1:11" x14ac:dyDescent="0.25">
      <c r="A13" s="2">
        <f>tbl_consolidacao[[#This Row],[Torre]]</f>
        <v>2</v>
      </c>
      <c r="B13" s="2" t="str">
        <f>tbl_consolidacao[[#This Row],[Junta]]</f>
        <v>B</v>
      </c>
      <c r="C13" s="2">
        <f>tbl_consolidacao[[#This Row],[Unid]]</f>
        <v>107</v>
      </c>
      <c r="D13" s="2" t="str">
        <f>tbl_consolidacao[[#This Row],[Apto]]</f>
        <v>107-B2</v>
      </c>
      <c r="E13" s="2">
        <v>1244</v>
      </c>
      <c r="F13" s="13">
        <v>100</v>
      </c>
      <c r="G13" s="2">
        <v>1244</v>
      </c>
      <c r="H13" s="14">
        <v>20</v>
      </c>
      <c r="I13" s="2">
        <f>tbl_meddez_anterior[[#This Row],[Medição 
Água Fria]]/100+tbl_meddez_anterior[[#This Row],[Medição 
Água Quente]]/1000</f>
        <v>1.02</v>
      </c>
      <c r="J13" s="15"/>
      <c r="K13" s="15" t="str">
        <f>IF(tbl_meddez_anterior[[#This Row],[Utilização (%)]]&lt;&gt;"",ALERTA_INDIVIDUAL-tbl_meddez_anterior[[#This Row],[Utilização (%)]],"")</f>
        <v/>
      </c>
    </row>
    <row r="14" spans="1:11" x14ac:dyDescent="0.25">
      <c r="A14" s="2">
        <f>tbl_consolidacao[[#This Row],[Torre]]</f>
        <v>2</v>
      </c>
      <c r="B14" s="2" t="str">
        <f>tbl_consolidacao[[#This Row],[Junta]]</f>
        <v>B</v>
      </c>
      <c r="C14" s="2">
        <f>tbl_consolidacao[[#This Row],[Unid]]</f>
        <v>108</v>
      </c>
      <c r="D14" s="2" t="str">
        <f>tbl_consolidacao[[#This Row],[Apto]]</f>
        <v>108-B2</v>
      </c>
      <c r="E14" s="2">
        <v>1245</v>
      </c>
      <c r="F14" s="13">
        <v>100</v>
      </c>
      <c r="G14" s="2">
        <v>1245</v>
      </c>
      <c r="H14" s="14">
        <v>20</v>
      </c>
      <c r="I14" s="2">
        <f>tbl_meddez_anterior[[#This Row],[Medição 
Água Fria]]/100+tbl_meddez_anterior[[#This Row],[Medição 
Água Quente]]/1000</f>
        <v>1.02</v>
      </c>
      <c r="J14" s="15"/>
      <c r="K14" s="15" t="str">
        <f>IF(tbl_meddez_anterior[[#This Row],[Utilização (%)]]&lt;&gt;"",ALERTA_INDIVIDUAL-tbl_meddez_anterior[[#This Row],[Utilização (%)]],"")</f>
        <v/>
      </c>
    </row>
    <row r="15" spans="1:11" x14ac:dyDescent="0.25">
      <c r="A15" s="2">
        <f>tbl_consolidacao[[#This Row],[Torre]]</f>
        <v>1</v>
      </c>
      <c r="B15" s="2" t="str">
        <f>tbl_consolidacao[[#This Row],[Junta]]</f>
        <v>A</v>
      </c>
      <c r="C15" s="2">
        <f>tbl_consolidacao[[#This Row],[Unid]]</f>
        <v>201</v>
      </c>
      <c r="D15" s="2" t="str">
        <f>tbl_consolidacao[[#This Row],[Apto]]</f>
        <v>201-A1</v>
      </c>
      <c r="E15" s="2">
        <v>1246</v>
      </c>
      <c r="F15" s="13">
        <v>100</v>
      </c>
      <c r="G15" s="2">
        <v>1246</v>
      </c>
      <c r="H15" s="14">
        <v>20</v>
      </c>
      <c r="I15" s="2">
        <f>tbl_meddez_anterior[[#This Row],[Medição 
Água Fria]]/100+tbl_meddez_anterior[[#This Row],[Medição 
Água Quente]]/1000</f>
        <v>1.02</v>
      </c>
      <c r="J15" s="15"/>
      <c r="K15" s="15" t="str">
        <f>IF(tbl_meddez_anterior[[#This Row],[Utilização (%)]]&lt;&gt;"",ALERTA_INDIVIDUAL-tbl_meddez_anterior[[#This Row],[Utilização (%)]],"")</f>
        <v/>
      </c>
    </row>
    <row r="16" spans="1:11" x14ac:dyDescent="0.25">
      <c r="A16" s="2">
        <f>tbl_consolidacao[[#This Row],[Torre]]</f>
        <v>2</v>
      </c>
      <c r="B16" s="2" t="str">
        <f>tbl_consolidacao[[#This Row],[Junta]]</f>
        <v>A</v>
      </c>
      <c r="C16" s="2">
        <f>tbl_consolidacao[[#This Row],[Unid]]</f>
        <v>201</v>
      </c>
      <c r="D16" s="2" t="str">
        <f>tbl_consolidacao[[#This Row],[Apto]]</f>
        <v>201-A2</v>
      </c>
      <c r="E16" s="2">
        <v>1247</v>
      </c>
      <c r="F16" s="13">
        <v>100</v>
      </c>
      <c r="G16" s="2">
        <v>1247</v>
      </c>
      <c r="H16" s="14">
        <v>20</v>
      </c>
      <c r="I16" s="2">
        <f>tbl_meddez_anterior[[#This Row],[Medição 
Água Fria]]/100+tbl_meddez_anterior[[#This Row],[Medição 
Água Quente]]/1000</f>
        <v>1.02</v>
      </c>
      <c r="J16" s="15"/>
      <c r="K16" s="15" t="str">
        <f>IF(tbl_meddez_anterior[[#This Row],[Utilização (%)]]&lt;&gt;"",ALERTA_INDIVIDUAL-tbl_meddez_anterior[[#This Row],[Utilização (%)]],"")</f>
        <v/>
      </c>
    </row>
    <row r="17" spans="1:11" x14ac:dyDescent="0.25">
      <c r="A17" s="2">
        <f>tbl_consolidacao[[#This Row],[Torre]]</f>
        <v>1</v>
      </c>
      <c r="B17" s="2" t="str">
        <f>tbl_consolidacao[[#This Row],[Junta]]</f>
        <v>A</v>
      </c>
      <c r="C17" s="2">
        <f>tbl_consolidacao[[#This Row],[Unid]]</f>
        <v>202</v>
      </c>
      <c r="D17" s="2" t="str">
        <f>tbl_consolidacao[[#This Row],[Apto]]</f>
        <v>202-A1</v>
      </c>
      <c r="E17" s="2">
        <v>1248</v>
      </c>
      <c r="F17" s="13">
        <v>100</v>
      </c>
      <c r="G17" s="2">
        <v>1248</v>
      </c>
      <c r="H17" s="14">
        <v>20</v>
      </c>
      <c r="I17" s="2">
        <f>tbl_meddez_anterior[[#This Row],[Medição 
Água Fria]]/100+tbl_meddez_anterior[[#This Row],[Medição 
Água Quente]]/1000</f>
        <v>1.02</v>
      </c>
      <c r="J17" s="15"/>
      <c r="K17" s="15" t="str">
        <f>IF(tbl_meddez_anterior[[#This Row],[Utilização (%)]]&lt;&gt;"",ALERTA_INDIVIDUAL-tbl_meddez_anterior[[#This Row],[Utilização (%)]],"")</f>
        <v/>
      </c>
    </row>
    <row r="18" spans="1:11" x14ac:dyDescent="0.25">
      <c r="A18" s="2">
        <f>tbl_consolidacao[[#This Row],[Torre]]</f>
        <v>2</v>
      </c>
      <c r="B18" s="2" t="str">
        <f>tbl_consolidacao[[#This Row],[Junta]]</f>
        <v>A</v>
      </c>
      <c r="C18" s="2">
        <f>tbl_consolidacao[[#This Row],[Unid]]</f>
        <v>202</v>
      </c>
      <c r="D18" s="2" t="str">
        <f>tbl_consolidacao[[#This Row],[Apto]]</f>
        <v>202-A2</v>
      </c>
      <c r="E18" s="2">
        <v>1249</v>
      </c>
      <c r="F18" s="13">
        <v>100</v>
      </c>
      <c r="G18" s="2">
        <v>1249</v>
      </c>
      <c r="H18" s="14">
        <v>20</v>
      </c>
      <c r="I18" s="2">
        <f>tbl_meddez_anterior[[#This Row],[Medição 
Água Fria]]/100+tbl_meddez_anterior[[#This Row],[Medição 
Água Quente]]/1000</f>
        <v>1.02</v>
      </c>
      <c r="J18" s="15"/>
      <c r="K18" s="15" t="str">
        <f>IF(tbl_meddez_anterior[[#This Row],[Utilização (%)]]&lt;&gt;"",ALERTA_INDIVIDUAL-tbl_meddez_anterior[[#This Row],[Utilização (%)]],"")</f>
        <v/>
      </c>
    </row>
    <row r="19" spans="1:11" x14ac:dyDescent="0.25">
      <c r="A19" s="2">
        <f>tbl_consolidacao[[#This Row],[Torre]]</f>
        <v>1</v>
      </c>
      <c r="B19" s="2" t="str">
        <f>tbl_consolidacao[[#This Row],[Junta]]</f>
        <v>A</v>
      </c>
      <c r="C19" s="2">
        <f>tbl_consolidacao[[#This Row],[Unid]]</f>
        <v>203</v>
      </c>
      <c r="D19" s="2" t="str">
        <f>tbl_consolidacao[[#This Row],[Apto]]</f>
        <v>203-A1</v>
      </c>
      <c r="E19" s="2">
        <v>1250</v>
      </c>
      <c r="F19" s="13">
        <v>100</v>
      </c>
      <c r="G19" s="2">
        <v>1250</v>
      </c>
      <c r="H19" s="14">
        <v>20</v>
      </c>
      <c r="I19" s="2">
        <f>tbl_meddez_anterior[[#This Row],[Medição 
Água Fria]]/100+tbl_meddez_anterior[[#This Row],[Medição 
Água Quente]]/1000</f>
        <v>1.02</v>
      </c>
      <c r="J19" s="15"/>
      <c r="K19" s="15" t="str">
        <f>IF(tbl_meddez_anterior[[#This Row],[Utilização (%)]]&lt;&gt;"",ALERTA_INDIVIDUAL-tbl_meddez_anterior[[#This Row],[Utilização (%)]],"")</f>
        <v/>
      </c>
    </row>
    <row r="20" spans="1:11" x14ac:dyDescent="0.25">
      <c r="A20" s="2">
        <f>tbl_consolidacao[[#This Row],[Torre]]</f>
        <v>2</v>
      </c>
      <c r="B20" s="2" t="str">
        <f>tbl_consolidacao[[#This Row],[Junta]]</f>
        <v>A</v>
      </c>
      <c r="C20" s="2">
        <f>tbl_consolidacao[[#This Row],[Unid]]</f>
        <v>203</v>
      </c>
      <c r="D20" s="2" t="str">
        <f>tbl_consolidacao[[#This Row],[Apto]]</f>
        <v>203-A2</v>
      </c>
      <c r="E20" s="2">
        <v>1251</v>
      </c>
      <c r="F20" s="13">
        <v>100</v>
      </c>
      <c r="G20" s="2">
        <v>1251</v>
      </c>
      <c r="H20" s="14">
        <v>20</v>
      </c>
      <c r="I20" s="2">
        <f>tbl_meddez_anterior[[#This Row],[Medição 
Água Fria]]/100+tbl_meddez_anterior[[#This Row],[Medição 
Água Quente]]/1000</f>
        <v>1.02</v>
      </c>
      <c r="J20" s="15"/>
      <c r="K20" s="15" t="str">
        <f>IF(tbl_meddez_anterior[[#This Row],[Utilização (%)]]&lt;&gt;"",ALERTA_INDIVIDUAL-tbl_meddez_anterior[[#This Row],[Utilização (%)]],"")</f>
        <v/>
      </c>
    </row>
    <row r="21" spans="1:11" x14ac:dyDescent="0.25">
      <c r="A21" s="2">
        <f>tbl_consolidacao[[#This Row],[Torre]]</f>
        <v>1</v>
      </c>
      <c r="B21" s="2" t="str">
        <f>tbl_consolidacao[[#This Row],[Junta]]</f>
        <v>A</v>
      </c>
      <c r="C21" s="2">
        <f>tbl_consolidacao[[#This Row],[Unid]]</f>
        <v>204</v>
      </c>
      <c r="D21" s="2" t="str">
        <f>tbl_consolidacao[[#This Row],[Apto]]</f>
        <v>204-A1</v>
      </c>
      <c r="E21" s="2">
        <v>1252</v>
      </c>
      <c r="F21" s="13">
        <v>100</v>
      </c>
      <c r="G21" s="2">
        <v>1252</v>
      </c>
      <c r="H21" s="14">
        <v>20</v>
      </c>
      <c r="I21" s="2">
        <f>tbl_meddez_anterior[[#This Row],[Medição 
Água Fria]]/100+tbl_meddez_anterior[[#This Row],[Medição 
Água Quente]]/1000</f>
        <v>1.02</v>
      </c>
      <c r="J21" s="15"/>
      <c r="K21" s="15" t="str">
        <f>IF(tbl_meddez_anterior[[#This Row],[Utilização (%)]]&lt;&gt;"",ALERTA_INDIVIDUAL-tbl_meddez_anterior[[#This Row],[Utilização (%)]],"")</f>
        <v/>
      </c>
    </row>
    <row r="22" spans="1:11" x14ac:dyDescent="0.25">
      <c r="A22" s="2">
        <f>tbl_consolidacao[[#This Row],[Torre]]</f>
        <v>2</v>
      </c>
      <c r="B22" s="2" t="str">
        <f>tbl_consolidacao[[#This Row],[Junta]]</f>
        <v>A</v>
      </c>
      <c r="C22" s="2">
        <f>tbl_consolidacao[[#This Row],[Unid]]</f>
        <v>204</v>
      </c>
      <c r="D22" s="2" t="str">
        <f>tbl_consolidacao[[#This Row],[Apto]]</f>
        <v>204-A2</v>
      </c>
      <c r="E22" s="2">
        <v>1253</v>
      </c>
      <c r="F22" s="13">
        <v>100</v>
      </c>
      <c r="G22" s="2">
        <v>1253</v>
      </c>
      <c r="H22" s="14">
        <v>20</v>
      </c>
      <c r="I22" s="2">
        <f>tbl_meddez_anterior[[#This Row],[Medição 
Água Fria]]/100+tbl_meddez_anterior[[#This Row],[Medição 
Água Quente]]/1000</f>
        <v>1.02</v>
      </c>
      <c r="J22" s="15"/>
      <c r="K22" s="15" t="str">
        <f>IF(tbl_meddez_anterior[[#This Row],[Utilização (%)]]&lt;&gt;"",ALERTA_INDIVIDUAL-tbl_meddez_anterior[[#This Row],[Utilização (%)]],"")</f>
        <v/>
      </c>
    </row>
    <row r="23" spans="1:11" x14ac:dyDescent="0.25">
      <c r="A23" s="2">
        <f>tbl_consolidacao[[#This Row],[Torre]]</f>
        <v>1</v>
      </c>
      <c r="B23" s="2" t="str">
        <f>tbl_consolidacao[[#This Row],[Junta]]</f>
        <v>B</v>
      </c>
      <c r="C23" s="2">
        <f>tbl_consolidacao[[#This Row],[Unid]]</f>
        <v>205</v>
      </c>
      <c r="D23" s="2" t="str">
        <f>tbl_consolidacao[[#This Row],[Apto]]</f>
        <v>205-B1</v>
      </c>
      <c r="E23" s="2">
        <v>1254</v>
      </c>
      <c r="F23" s="13">
        <v>100</v>
      </c>
      <c r="G23" s="2">
        <v>1254</v>
      </c>
      <c r="H23" s="14">
        <v>20</v>
      </c>
      <c r="I23" s="2">
        <f>tbl_meddez_anterior[[#This Row],[Medição 
Água Fria]]/100+tbl_meddez_anterior[[#This Row],[Medição 
Água Quente]]/1000</f>
        <v>1.02</v>
      </c>
      <c r="J23" s="15"/>
      <c r="K23" s="15" t="str">
        <f>IF(tbl_meddez_anterior[[#This Row],[Utilização (%)]]&lt;&gt;"",ALERTA_INDIVIDUAL-tbl_meddez_anterior[[#This Row],[Utilização (%)]],"")</f>
        <v/>
      </c>
    </row>
    <row r="24" spans="1:11" x14ac:dyDescent="0.25">
      <c r="A24" s="2">
        <f>tbl_consolidacao[[#This Row],[Torre]]</f>
        <v>2</v>
      </c>
      <c r="B24" s="2" t="str">
        <f>tbl_consolidacao[[#This Row],[Junta]]</f>
        <v>B</v>
      </c>
      <c r="C24" s="2">
        <f>tbl_consolidacao[[#This Row],[Unid]]</f>
        <v>205</v>
      </c>
      <c r="D24" s="2" t="str">
        <f>tbl_consolidacao[[#This Row],[Apto]]</f>
        <v>205-B2</v>
      </c>
      <c r="E24" s="2">
        <v>1255</v>
      </c>
      <c r="F24" s="13">
        <v>100</v>
      </c>
      <c r="G24" s="2">
        <v>1255</v>
      </c>
      <c r="H24" s="14">
        <v>20</v>
      </c>
      <c r="I24" s="2">
        <f>tbl_meddez_anterior[[#This Row],[Medição 
Água Fria]]/100+tbl_meddez_anterior[[#This Row],[Medição 
Água Quente]]/1000</f>
        <v>1.02</v>
      </c>
      <c r="J24" s="15"/>
      <c r="K24" s="15" t="str">
        <f>IF(tbl_meddez_anterior[[#This Row],[Utilização (%)]]&lt;&gt;"",ALERTA_INDIVIDUAL-tbl_meddez_anterior[[#This Row],[Utilização (%)]],"")</f>
        <v/>
      </c>
    </row>
    <row r="25" spans="1:11" x14ac:dyDescent="0.25">
      <c r="A25" s="2">
        <f>tbl_consolidacao[[#This Row],[Torre]]</f>
        <v>1</v>
      </c>
      <c r="B25" s="2" t="str">
        <f>tbl_consolidacao[[#This Row],[Junta]]</f>
        <v>B</v>
      </c>
      <c r="C25" s="2">
        <f>tbl_consolidacao[[#This Row],[Unid]]</f>
        <v>206</v>
      </c>
      <c r="D25" s="2" t="str">
        <f>tbl_consolidacao[[#This Row],[Apto]]</f>
        <v>206-B1</v>
      </c>
      <c r="E25" s="2">
        <v>1256</v>
      </c>
      <c r="F25" s="13">
        <v>100</v>
      </c>
      <c r="G25" s="2">
        <v>1256</v>
      </c>
      <c r="H25" s="14">
        <v>20</v>
      </c>
      <c r="I25" s="2">
        <f>tbl_meddez_anterior[[#This Row],[Medição 
Água Fria]]/100+tbl_meddez_anterior[[#This Row],[Medição 
Água Quente]]/1000</f>
        <v>1.02</v>
      </c>
      <c r="J25" s="15"/>
      <c r="K25" s="15" t="str">
        <f>IF(tbl_meddez_anterior[[#This Row],[Utilização (%)]]&lt;&gt;"",ALERTA_INDIVIDUAL-tbl_meddez_anterior[[#This Row],[Utilização (%)]],"")</f>
        <v/>
      </c>
    </row>
    <row r="26" spans="1:11" x14ac:dyDescent="0.25">
      <c r="A26" s="2">
        <f>tbl_consolidacao[[#This Row],[Torre]]</f>
        <v>2</v>
      </c>
      <c r="B26" s="2" t="str">
        <f>tbl_consolidacao[[#This Row],[Junta]]</f>
        <v>B</v>
      </c>
      <c r="C26" s="2">
        <f>tbl_consolidacao[[#This Row],[Unid]]</f>
        <v>206</v>
      </c>
      <c r="D26" s="2" t="str">
        <f>tbl_consolidacao[[#This Row],[Apto]]</f>
        <v>206-B2</v>
      </c>
      <c r="E26" s="2">
        <v>1257</v>
      </c>
      <c r="F26" s="13">
        <v>100</v>
      </c>
      <c r="G26" s="2">
        <v>1257</v>
      </c>
      <c r="H26" s="14">
        <v>20</v>
      </c>
      <c r="I26" s="2">
        <f>tbl_meddez_anterior[[#This Row],[Medição 
Água Fria]]/100+tbl_meddez_anterior[[#This Row],[Medição 
Água Quente]]/1000</f>
        <v>1.02</v>
      </c>
      <c r="J26" s="15"/>
      <c r="K26" s="15" t="str">
        <f>IF(tbl_meddez_anterior[[#This Row],[Utilização (%)]]&lt;&gt;"",ALERTA_INDIVIDUAL-tbl_meddez_anterior[[#This Row],[Utilização (%)]],"")</f>
        <v/>
      </c>
    </row>
    <row r="27" spans="1:11" x14ac:dyDescent="0.25">
      <c r="A27" s="2">
        <f>tbl_consolidacao[[#This Row],[Torre]]</f>
        <v>1</v>
      </c>
      <c r="B27" s="2" t="str">
        <f>tbl_consolidacao[[#This Row],[Junta]]</f>
        <v>B</v>
      </c>
      <c r="C27" s="2">
        <f>tbl_consolidacao[[#This Row],[Unid]]</f>
        <v>207</v>
      </c>
      <c r="D27" s="2" t="str">
        <f>tbl_consolidacao[[#This Row],[Apto]]</f>
        <v>207-B1</v>
      </c>
      <c r="E27" s="2">
        <v>1258</v>
      </c>
      <c r="F27" s="13">
        <v>100</v>
      </c>
      <c r="G27" s="2">
        <v>1258</v>
      </c>
      <c r="H27" s="14">
        <v>20</v>
      </c>
      <c r="I27" s="2">
        <f>tbl_meddez_anterior[[#This Row],[Medição 
Água Fria]]/100+tbl_meddez_anterior[[#This Row],[Medição 
Água Quente]]/1000</f>
        <v>1.02</v>
      </c>
      <c r="J27" s="15"/>
      <c r="K27" s="15" t="str">
        <f>IF(tbl_meddez_anterior[[#This Row],[Utilização (%)]]&lt;&gt;"",ALERTA_INDIVIDUAL-tbl_meddez_anterior[[#This Row],[Utilização (%)]],"")</f>
        <v/>
      </c>
    </row>
    <row r="28" spans="1:11" x14ac:dyDescent="0.25">
      <c r="A28" s="2">
        <f>tbl_consolidacao[[#This Row],[Torre]]</f>
        <v>2</v>
      </c>
      <c r="B28" s="2" t="str">
        <f>tbl_consolidacao[[#This Row],[Junta]]</f>
        <v>B</v>
      </c>
      <c r="C28" s="2">
        <f>tbl_consolidacao[[#This Row],[Unid]]</f>
        <v>207</v>
      </c>
      <c r="D28" s="2" t="str">
        <f>tbl_consolidacao[[#This Row],[Apto]]</f>
        <v>207-B2</v>
      </c>
      <c r="E28" s="2">
        <v>1259</v>
      </c>
      <c r="F28" s="13">
        <v>100</v>
      </c>
      <c r="G28" s="2">
        <v>1259</v>
      </c>
      <c r="H28" s="14">
        <v>20</v>
      </c>
      <c r="I28" s="2">
        <f>tbl_meddez_anterior[[#This Row],[Medição 
Água Fria]]/100+tbl_meddez_anterior[[#This Row],[Medição 
Água Quente]]/1000</f>
        <v>1.02</v>
      </c>
      <c r="J28" s="15"/>
      <c r="K28" s="15" t="str">
        <f>IF(tbl_meddez_anterior[[#This Row],[Utilização (%)]]&lt;&gt;"",ALERTA_INDIVIDUAL-tbl_meddez_anterior[[#This Row],[Utilização (%)]],"")</f>
        <v/>
      </c>
    </row>
    <row r="29" spans="1:11" x14ac:dyDescent="0.25">
      <c r="A29" s="2">
        <f>tbl_consolidacao[[#This Row],[Torre]]</f>
        <v>1</v>
      </c>
      <c r="B29" s="2" t="str">
        <f>tbl_consolidacao[[#This Row],[Junta]]</f>
        <v>B</v>
      </c>
      <c r="C29" s="2">
        <f>tbl_consolidacao[[#This Row],[Unid]]</f>
        <v>208</v>
      </c>
      <c r="D29" s="2" t="str">
        <f>tbl_consolidacao[[#This Row],[Apto]]</f>
        <v>208-B1</v>
      </c>
      <c r="E29" s="2">
        <v>1260</v>
      </c>
      <c r="F29" s="13">
        <v>100</v>
      </c>
      <c r="G29" s="2">
        <v>1260</v>
      </c>
      <c r="H29" s="14">
        <v>20</v>
      </c>
      <c r="I29" s="2">
        <f>tbl_meddez_anterior[[#This Row],[Medição 
Água Fria]]/100+tbl_meddez_anterior[[#This Row],[Medição 
Água Quente]]/1000</f>
        <v>1.02</v>
      </c>
      <c r="J29" s="15"/>
      <c r="K29" s="15" t="str">
        <f>IF(tbl_meddez_anterior[[#This Row],[Utilização (%)]]&lt;&gt;"",ALERTA_INDIVIDUAL-tbl_meddez_anterior[[#This Row],[Utilização (%)]],"")</f>
        <v/>
      </c>
    </row>
    <row r="30" spans="1:11" x14ac:dyDescent="0.25">
      <c r="A30" s="2">
        <f>tbl_consolidacao[[#This Row],[Torre]]</f>
        <v>2</v>
      </c>
      <c r="B30" s="2" t="str">
        <f>tbl_consolidacao[[#This Row],[Junta]]</f>
        <v>B</v>
      </c>
      <c r="C30" s="2">
        <f>tbl_consolidacao[[#This Row],[Unid]]</f>
        <v>208</v>
      </c>
      <c r="D30" s="2" t="str">
        <f>tbl_consolidacao[[#This Row],[Apto]]</f>
        <v>208-B2</v>
      </c>
      <c r="E30" s="2">
        <v>1261</v>
      </c>
      <c r="F30" s="13">
        <v>100</v>
      </c>
      <c r="G30" s="2">
        <v>1261</v>
      </c>
      <c r="H30" s="14">
        <v>20</v>
      </c>
      <c r="I30" s="2">
        <f>tbl_meddez_anterior[[#This Row],[Medição 
Água Fria]]/100+tbl_meddez_anterior[[#This Row],[Medição 
Água Quente]]/1000</f>
        <v>1.02</v>
      </c>
      <c r="J30" s="15"/>
      <c r="K30" s="15" t="str">
        <f>IF(tbl_meddez_anterior[[#This Row],[Utilização (%)]]&lt;&gt;"",ALERTA_INDIVIDUAL-tbl_meddez_anterior[[#This Row],[Utilização (%)]],"")</f>
        <v/>
      </c>
    </row>
    <row r="31" spans="1:11" x14ac:dyDescent="0.25">
      <c r="A31" s="2">
        <f>tbl_consolidacao[[#This Row],[Torre]]</f>
        <v>1</v>
      </c>
      <c r="B31" s="2" t="str">
        <f>tbl_consolidacao[[#This Row],[Junta]]</f>
        <v>A</v>
      </c>
      <c r="C31" s="2">
        <f>tbl_consolidacao[[#This Row],[Unid]]</f>
        <v>301</v>
      </c>
      <c r="D31" s="2" t="str">
        <f>tbl_consolidacao[[#This Row],[Apto]]</f>
        <v>301-A1</v>
      </c>
      <c r="E31" s="2">
        <v>1262</v>
      </c>
      <c r="F31" s="13">
        <v>100</v>
      </c>
      <c r="G31" s="2">
        <v>1262</v>
      </c>
      <c r="H31" s="14">
        <v>20</v>
      </c>
      <c r="I31" s="2">
        <f>tbl_meddez_anterior[[#This Row],[Medição 
Água Fria]]/100+tbl_meddez_anterior[[#This Row],[Medição 
Água Quente]]/1000</f>
        <v>1.02</v>
      </c>
      <c r="J31" s="15"/>
      <c r="K31" s="15" t="str">
        <f>IF(tbl_meddez_anterior[[#This Row],[Utilização (%)]]&lt;&gt;"",ALERTA_INDIVIDUAL-tbl_meddez_anterior[[#This Row],[Utilização (%)]],"")</f>
        <v/>
      </c>
    </row>
    <row r="32" spans="1:11" x14ac:dyDescent="0.25">
      <c r="A32" s="2">
        <f>tbl_consolidacao[[#This Row],[Torre]]</f>
        <v>2</v>
      </c>
      <c r="B32" s="2" t="str">
        <f>tbl_consolidacao[[#This Row],[Junta]]</f>
        <v>A</v>
      </c>
      <c r="C32" s="2">
        <f>tbl_consolidacao[[#This Row],[Unid]]</f>
        <v>301</v>
      </c>
      <c r="D32" s="2" t="str">
        <f>tbl_consolidacao[[#This Row],[Apto]]</f>
        <v>301-A2</v>
      </c>
      <c r="E32" s="2">
        <v>1263</v>
      </c>
      <c r="F32" s="13">
        <v>100</v>
      </c>
      <c r="G32" s="2">
        <v>1263</v>
      </c>
      <c r="H32" s="14">
        <v>20</v>
      </c>
      <c r="I32" s="2">
        <f>tbl_meddez_anterior[[#This Row],[Medição 
Água Fria]]/100+tbl_meddez_anterior[[#This Row],[Medição 
Água Quente]]/1000</f>
        <v>1.02</v>
      </c>
      <c r="J32" s="15"/>
      <c r="K32" s="15" t="str">
        <f>IF(tbl_meddez_anterior[[#This Row],[Utilização (%)]]&lt;&gt;"",ALERTA_INDIVIDUAL-tbl_meddez_anterior[[#This Row],[Utilização (%)]],"")</f>
        <v/>
      </c>
    </row>
    <row r="33" spans="1:11" x14ac:dyDescent="0.25">
      <c r="A33" s="2">
        <f>tbl_consolidacao[[#This Row],[Torre]]</f>
        <v>1</v>
      </c>
      <c r="B33" s="2" t="str">
        <f>tbl_consolidacao[[#This Row],[Junta]]</f>
        <v>A</v>
      </c>
      <c r="C33" s="2">
        <f>tbl_consolidacao[[#This Row],[Unid]]</f>
        <v>302</v>
      </c>
      <c r="D33" s="2" t="str">
        <f>tbl_consolidacao[[#This Row],[Apto]]</f>
        <v>302-A1</v>
      </c>
      <c r="E33" s="2">
        <v>1264</v>
      </c>
      <c r="F33" s="13">
        <v>100</v>
      </c>
      <c r="G33" s="2">
        <v>1264</v>
      </c>
      <c r="H33" s="14">
        <v>20</v>
      </c>
      <c r="I33" s="2">
        <f>tbl_meddez_anterior[[#This Row],[Medição 
Água Fria]]/100+tbl_meddez_anterior[[#This Row],[Medição 
Água Quente]]/1000</f>
        <v>1.02</v>
      </c>
      <c r="J33" s="15"/>
      <c r="K33" s="15" t="str">
        <f>IF(tbl_meddez_anterior[[#This Row],[Utilização (%)]]&lt;&gt;"",ALERTA_INDIVIDUAL-tbl_meddez_anterior[[#This Row],[Utilização (%)]],"")</f>
        <v/>
      </c>
    </row>
    <row r="34" spans="1:11" x14ac:dyDescent="0.25">
      <c r="A34" s="2">
        <f>tbl_consolidacao[[#This Row],[Torre]]</f>
        <v>2</v>
      </c>
      <c r="B34" s="2" t="str">
        <f>tbl_consolidacao[[#This Row],[Junta]]</f>
        <v>A</v>
      </c>
      <c r="C34" s="2">
        <f>tbl_consolidacao[[#This Row],[Unid]]</f>
        <v>302</v>
      </c>
      <c r="D34" s="2" t="str">
        <f>tbl_consolidacao[[#This Row],[Apto]]</f>
        <v>302-A2</v>
      </c>
      <c r="E34" s="2">
        <v>1265</v>
      </c>
      <c r="F34" s="13">
        <v>100</v>
      </c>
      <c r="G34" s="2">
        <v>1265</v>
      </c>
      <c r="H34" s="14">
        <v>20</v>
      </c>
      <c r="I34" s="2">
        <f>tbl_meddez_anterior[[#This Row],[Medição 
Água Fria]]/100+tbl_meddez_anterior[[#This Row],[Medição 
Água Quente]]/1000</f>
        <v>1.02</v>
      </c>
      <c r="J34" s="15"/>
      <c r="K34" s="15" t="str">
        <f>IF(tbl_meddez_anterior[[#This Row],[Utilização (%)]]&lt;&gt;"",ALERTA_INDIVIDUAL-tbl_meddez_anterior[[#This Row],[Utilização (%)]],"")</f>
        <v/>
      </c>
    </row>
    <row r="35" spans="1:11" x14ac:dyDescent="0.25">
      <c r="A35" s="2">
        <f>tbl_consolidacao[[#This Row],[Torre]]</f>
        <v>1</v>
      </c>
      <c r="B35" s="2" t="str">
        <f>tbl_consolidacao[[#This Row],[Junta]]</f>
        <v>A</v>
      </c>
      <c r="C35" s="2">
        <f>tbl_consolidacao[[#This Row],[Unid]]</f>
        <v>303</v>
      </c>
      <c r="D35" s="2" t="str">
        <f>tbl_consolidacao[[#This Row],[Apto]]</f>
        <v>303-A1</v>
      </c>
      <c r="E35" s="2">
        <v>1266</v>
      </c>
      <c r="F35" s="13">
        <v>100</v>
      </c>
      <c r="G35" s="2">
        <v>1266</v>
      </c>
      <c r="H35" s="14">
        <v>20</v>
      </c>
      <c r="I35" s="2">
        <f>tbl_meddez_anterior[[#This Row],[Medição 
Água Fria]]/100+tbl_meddez_anterior[[#This Row],[Medição 
Água Quente]]/1000</f>
        <v>1.02</v>
      </c>
      <c r="J35" s="15"/>
      <c r="K35" s="15" t="str">
        <f>IF(tbl_meddez_anterior[[#This Row],[Utilização (%)]]&lt;&gt;"",ALERTA_INDIVIDUAL-tbl_meddez_anterior[[#This Row],[Utilização (%)]],"")</f>
        <v/>
      </c>
    </row>
    <row r="36" spans="1:11" x14ac:dyDescent="0.25">
      <c r="A36" s="2">
        <f>tbl_consolidacao[[#This Row],[Torre]]</f>
        <v>2</v>
      </c>
      <c r="B36" s="2" t="str">
        <f>tbl_consolidacao[[#This Row],[Junta]]</f>
        <v>A</v>
      </c>
      <c r="C36" s="2">
        <f>tbl_consolidacao[[#This Row],[Unid]]</f>
        <v>303</v>
      </c>
      <c r="D36" s="2" t="str">
        <f>tbl_consolidacao[[#This Row],[Apto]]</f>
        <v>303-A2</v>
      </c>
      <c r="E36" s="2">
        <v>1267</v>
      </c>
      <c r="F36" s="13">
        <v>100</v>
      </c>
      <c r="G36" s="2">
        <v>1267</v>
      </c>
      <c r="H36" s="14">
        <v>20</v>
      </c>
      <c r="I36" s="2">
        <f>tbl_meddez_anterior[[#This Row],[Medição 
Água Fria]]/100+tbl_meddez_anterior[[#This Row],[Medição 
Água Quente]]/1000</f>
        <v>1.02</v>
      </c>
      <c r="J36" s="15"/>
      <c r="K36" s="15" t="str">
        <f>IF(tbl_meddez_anterior[[#This Row],[Utilização (%)]]&lt;&gt;"",ALERTA_INDIVIDUAL-tbl_meddez_anterior[[#This Row],[Utilização (%)]],"")</f>
        <v/>
      </c>
    </row>
    <row r="37" spans="1:11" x14ac:dyDescent="0.25">
      <c r="A37" s="2">
        <f>tbl_consolidacao[[#This Row],[Torre]]</f>
        <v>1</v>
      </c>
      <c r="B37" s="2" t="str">
        <f>tbl_consolidacao[[#This Row],[Junta]]</f>
        <v>A</v>
      </c>
      <c r="C37" s="2">
        <f>tbl_consolidacao[[#This Row],[Unid]]</f>
        <v>304</v>
      </c>
      <c r="D37" s="2" t="str">
        <f>tbl_consolidacao[[#This Row],[Apto]]</f>
        <v>304-A1</v>
      </c>
      <c r="E37" s="2">
        <v>1268</v>
      </c>
      <c r="F37" s="13">
        <v>100</v>
      </c>
      <c r="G37" s="2">
        <v>1268</v>
      </c>
      <c r="H37" s="14">
        <v>20</v>
      </c>
      <c r="I37" s="2">
        <f>tbl_meddez_anterior[[#This Row],[Medição 
Água Fria]]/100+tbl_meddez_anterior[[#This Row],[Medição 
Água Quente]]/1000</f>
        <v>1.02</v>
      </c>
      <c r="J37" s="15"/>
      <c r="K37" s="15" t="str">
        <f>IF(tbl_meddez_anterior[[#This Row],[Utilização (%)]]&lt;&gt;"",ALERTA_INDIVIDUAL-tbl_meddez_anterior[[#This Row],[Utilização (%)]],"")</f>
        <v/>
      </c>
    </row>
    <row r="38" spans="1:11" x14ac:dyDescent="0.25">
      <c r="A38" s="2">
        <f>tbl_consolidacao[[#This Row],[Torre]]</f>
        <v>2</v>
      </c>
      <c r="B38" s="2" t="str">
        <f>tbl_consolidacao[[#This Row],[Junta]]</f>
        <v>A</v>
      </c>
      <c r="C38" s="2">
        <f>tbl_consolidacao[[#This Row],[Unid]]</f>
        <v>304</v>
      </c>
      <c r="D38" s="2" t="str">
        <f>tbl_consolidacao[[#This Row],[Apto]]</f>
        <v>304-A2</v>
      </c>
      <c r="E38" s="2">
        <v>1269</v>
      </c>
      <c r="F38" s="13">
        <v>100</v>
      </c>
      <c r="G38" s="2">
        <v>1269</v>
      </c>
      <c r="H38" s="14">
        <v>20</v>
      </c>
      <c r="I38" s="2">
        <f>tbl_meddez_anterior[[#This Row],[Medição 
Água Fria]]/100+tbl_meddez_anterior[[#This Row],[Medição 
Água Quente]]/1000</f>
        <v>1.02</v>
      </c>
      <c r="J38" s="15"/>
      <c r="K38" s="15" t="str">
        <f>IF(tbl_meddez_anterior[[#This Row],[Utilização (%)]]&lt;&gt;"",ALERTA_INDIVIDUAL-tbl_meddez_anterior[[#This Row],[Utilização (%)]],"")</f>
        <v/>
      </c>
    </row>
    <row r="39" spans="1:11" x14ac:dyDescent="0.25">
      <c r="A39" s="2">
        <f>tbl_consolidacao[[#This Row],[Torre]]</f>
        <v>1</v>
      </c>
      <c r="B39" s="2" t="str">
        <f>tbl_consolidacao[[#This Row],[Junta]]</f>
        <v>B</v>
      </c>
      <c r="C39" s="2">
        <f>tbl_consolidacao[[#This Row],[Unid]]</f>
        <v>305</v>
      </c>
      <c r="D39" s="2" t="str">
        <f>tbl_consolidacao[[#This Row],[Apto]]</f>
        <v>305-B1</v>
      </c>
      <c r="E39" s="2">
        <v>1270</v>
      </c>
      <c r="F39" s="13">
        <v>100</v>
      </c>
      <c r="G39" s="2">
        <v>1270</v>
      </c>
      <c r="H39" s="14">
        <v>20</v>
      </c>
      <c r="I39" s="2">
        <f>tbl_meddez_anterior[[#This Row],[Medição 
Água Fria]]/100+tbl_meddez_anterior[[#This Row],[Medição 
Água Quente]]/1000</f>
        <v>1.02</v>
      </c>
      <c r="J39" s="15"/>
      <c r="K39" s="15" t="str">
        <f>IF(tbl_meddez_anterior[[#This Row],[Utilização (%)]]&lt;&gt;"",ALERTA_INDIVIDUAL-tbl_meddez_anterior[[#This Row],[Utilização (%)]],"")</f>
        <v/>
      </c>
    </row>
    <row r="40" spans="1:11" x14ac:dyDescent="0.25">
      <c r="A40" s="2">
        <f>tbl_consolidacao[[#This Row],[Torre]]</f>
        <v>2</v>
      </c>
      <c r="B40" s="2" t="str">
        <f>tbl_consolidacao[[#This Row],[Junta]]</f>
        <v>B</v>
      </c>
      <c r="C40" s="2">
        <f>tbl_consolidacao[[#This Row],[Unid]]</f>
        <v>305</v>
      </c>
      <c r="D40" s="2" t="str">
        <f>tbl_consolidacao[[#This Row],[Apto]]</f>
        <v>305-B2</v>
      </c>
      <c r="E40" s="2">
        <v>1271</v>
      </c>
      <c r="F40" s="13">
        <v>100</v>
      </c>
      <c r="G40" s="2">
        <v>1271</v>
      </c>
      <c r="H40" s="14">
        <v>20</v>
      </c>
      <c r="I40" s="2">
        <f>tbl_meddez_anterior[[#This Row],[Medição 
Água Fria]]/100+tbl_meddez_anterior[[#This Row],[Medição 
Água Quente]]/1000</f>
        <v>1.02</v>
      </c>
      <c r="J40" s="15"/>
      <c r="K40" s="15" t="str">
        <f>IF(tbl_meddez_anterior[[#This Row],[Utilização (%)]]&lt;&gt;"",ALERTA_INDIVIDUAL-tbl_meddez_anterior[[#This Row],[Utilização (%)]],"")</f>
        <v/>
      </c>
    </row>
    <row r="41" spans="1:11" x14ac:dyDescent="0.25">
      <c r="A41" s="2">
        <f>tbl_consolidacao[[#This Row],[Torre]]</f>
        <v>1</v>
      </c>
      <c r="B41" s="2" t="str">
        <f>tbl_consolidacao[[#This Row],[Junta]]</f>
        <v>B</v>
      </c>
      <c r="C41" s="2">
        <f>tbl_consolidacao[[#This Row],[Unid]]</f>
        <v>306</v>
      </c>
      <c r="D41" s="2" t="str">
        <f>tbl_consolidacao[[#This Row],[Apto]]</f>
        <v>306-B1</v>
      </c>
      <c r="E41" s="2">
        <v>1272</v>
      </c>
      <c r="F41" s="13">
        <v>100</v>
      </c>
      <c r="G41" s="2">
        <v>1272</v>
      </c>
      <c r="H41" s="14">
        <v>20</v>
      </c>
      <c r="I41" s="2">
        <f>tbl_meddez_anterior[[#This Row],[Medição 
Água Fria]]/100+tbl_meddez_anterior[[#This Row],[Medição 
Água Quente]]/1000</f>
        <v>1.02</v>
      </c>
      <c r="J41" s="15"/>
      <c r="K41" s="15" t="str">
        <f>IF(tbl_meddez_anterior[[#This Row],[Utilização (%)]]&lt;&gt;"",ALERTA_INDIVIDUAL-tbl_meddez_anterior[[#This Row],[Utilização (%)]],"")</f>
        <v/>
      </c>
    </row>
    <row r="42" spans="1:11" x14ac:dyDescent="0.25">
      <c r="A42" s="2">
        <f>tbl_consolidacao[[#This Row],[Torre]]</f>
        <v>2</v>
      </c>
      <c r="B42" s="2" t="str">
        <f>tbl_consolidacao[[#This Row],[Junta]]</f>
        <v>B</v>
      </c>
      <c r="C42" s="2">
        <f>tbl_consolidacao[[#This Row],[Unid]]</f>
        <v>306</v>
      </c>
      <c r="D42" s="2" t="str">
        <f>tbl_consolidacao[[#This Row],[Apto]]</f>
        <v>306-B2</v>
      </c>
      <c r="E42" s="2">
        <v>1273</v>
      </c>
      <c r="F42" s="13">
        <v>100</v>
      </c>
      <c r="G42" s="2">
        <v>1273</v>
      </c>
      <c r="H42" s="14">
        <v>20</v>
      </c>
      <c r="I42" s="2">
        <f>tbl_meddez_anterior[[#This Row],[Medição 
Água Fria]]/100+tbl_meddez_anterior[[#This Row],[Medição 
Água Quente]]/1000</f>
        <v>1.02</v>
      </c>
      <c r="J42" s="15"/>
      <c r="K42" s="15" t="str">
        <f>IF(tbl_meddez_anterior[[#This Row],[Utilização (%)]]&lt;&gt;"",ALERTA_INDIVIDUAL-tbl_meddez_anterior[[#This Row],[Utilização (%)]],"")</f>
        <v/>
      </c>
    </row>
    <row r="43" spans="1:11" x14ac:dyDescent="0.25">
      <c r="A43" s="2">
        <f>tbl_consolidacao[[#This Row],[Torre]]</f>
        <v>1</v>
      </c>
      <c r="B43" s="2" t="str">
        <f>tbl_consolidacao[[#This Row],[Junta]]</f>
        <v>B</v>
      </c>
      <c r="C43" s="2">
        <f>tbl_consolidacao[[#This Row],[Unid]]</f>
        <v>307</v>
      </c>
      <c r="D43" s="2" t="str">
        <f>tbl_consolidacao[[#This Row],[Apto]]</f>
        <v>307-B1</v>
      </c>
      <c r="E43" s="2">
        <v>1274</v>
      </c>
      <c r="F43" s="13">
        <v>100</v>
      </c>
      <c r="G43" s="2">
        <v>1274</v>
      </c>
      <c r="H43" s="14">
        <v>20</v>
      </c>
      <c r="I43" s="2">
        <f>tbl_meddez_anterior[[#This Row],[Medição 
Água Fria]]/100+tbl_meddez_anterior[[#This Row],[Medição 
Água Quente]]/1000</f>
        <v>1.02</v>
      </c>
      <c r="J43" s="15"/>
      <c r="K43" s="15" t="str">
        <f>IF(tbl_meddez_anterior[[#This Row],[Utilização (%)]]&lt;&gt;"",ALERTA_INDIVIDUAL-tbl_meddez_anterior[[#This Row],[Utilização (%)]],"")</f>
        <v/>
      </c>
    </row>
    <row r="44" spans="1:11" x14ac:dyDescent="0.25">
      <c r="A44" s="2">
        <f>tbl_consolidacao[[#This Row],[Torre]]</f>
        <v>2</v>
      </c>
      <c r="B44" s="2" t="str">
        <f>tbl_consolidacao[[#This Row],[Junta]]</f>
        <v>B</v>
      </c>
      <c r="C44" s="2">
        <f>tbl_consolidacao[[#This Row],[Unid]]</f>
        <v>307</v>
      </c>
      <c r="D44" s="2" t="str">
        <f>tbl_consolidacao[[#This Row],[Apto]]</f>
        <v>307-B2</v>
      </c>
      <c r="E44" s="2">
        <v>1275</v>
      </c>
      <c r="F44" s="13">
        <v>100</v>
      </c>
      <c r="G44" s="2">
        <v>1275</v>
      </c>
      <c r="H44" s="14">
        <v>20</v>
      </c>
      <c r="I44" s="2">
        <f>tbl_meddez_anterior[[#This Row],[Medição 
Água Fria]]/100+tbl_meddez_anterior[[#This Row],[Medição 
Água Quente]]/1000</f>
        <v>1.02</v>
      </c>
      <c r="J44" s="15"/>
      <c r="K44" s="15" t="str">
        <f>IF(tbl_meddez_anterior[[#This Row],[Utilização (%)]]&lt;&gt;"",ALERTA_INDIVIDUAL-tbl_meddez_anterior[[#This Row],[Utilização (%)]],"")</f>
        <v/>
      </c>
    </row>
    <row r="45" spans="1:11" x14ac:dyDescent="0.25">
      <c r="A45" s="2">
        <f>tbl_consolidacao[[#This Row],[Torre]]</f>
        <v>1</v>
      </c>
      <c r="B45" s="2" t="str">
        <f>tbl_consolidacao[[#This Row],[Junta]]</f>
        <v>B</v>
      </c>
      <c r="C45" s="2">
        <f>tbl_consolidacao[[#This Row],[Unid]]</f>
        <v>308</v>
      </c>
      <c r="D45" s="2" t="str">
        <f>tbl_consolidacao[[#This Row],[Apto]]</f>
        <v>308-B1</v>
      </c>
      <c r="E45" s="2">
        <v>1276</v>
      </c>
      <c r="F45" s="13">
        <v>100</v>
      </c>
      <c r="G45" s="2">
        <v>1276</v>
      </c>
      <c r="H45" s="14">
        <v>20</v>
      </c>
      <c r="I45" s="2">
        <f>tbl_meddez_anterior[[#This Row],[Medição 
Água Fria]]/100+tbl_meddez_anterior[[#This Row],[Medição 
Água Quente]]/1000</f>
        <v>1.02</v>
      </c>
      <c r="J45" s="15"/>
      <c r="K45" s="15" t="str">
        <f>IF(tbl_meddez_anterior[[#This Row],[Utilização (%)]]&lt;&gt;"",ALERTA_INDIVIDUAL-tbl_meddez_anterior[[#This Row],[Utilização (%)]],"")</f>
        <v/>
      </c>
    </row>
    <row r="46" spans="1:11" x14ac:dyDescent="0.25">
      <c r="A46" s="2">
        <f>tbl_consolidacao[[#This Row],[Torre]]</f>
        <v>2</v>
      </c>
      <c r="B46" s="2" t="str">
        <f>tbl_consolidacao[[#This Row],[Junta]]</f>
        <v>B</v>
      </c>
      <c r="C46" s="2">
        <f>tbl_consolidacao[[#This Row],[Unid]]</f>
        <v>308</v>
      </c>
      <c r="D46" s="2" t="str">
        <f>tbl_consolidacao[[#This Row],[Apto]]</f>
        <v>308-B2</v>
      </c>
      <c r="E46" s="2">
        <v>1277</v>
      </c>
      <c r="F46" s="13">
        <v>100</v>
      </c>
      <c r="G46" s="2">
        <v>1277</v>
      </c>
      <c r="H46" s="14">
        <v>20</v>
      </c>
      <c r="I46" s="2">
        <f>tbl_meddez_anterior[[#This Row],[Medição 
Água Fria]]/100+tbl_meddez_anterior[[#This Row],[Medição 
Água Quente]]/1000</f>
        <v>1.02</v>
      </c>
      <c r="J46" s="15"/>
      <c r="K46" s="15" t="str">
        <f>IF(tbl_meddez_anterior[[#This Row],[Utilização (%)]]&lt;&gt;"",ALERTA_INDIVIDUAL-tbl_meddez_anterior[[#This Row],[Utilização (%)]],"")</f>
        <v/>
      </c>
    </row>
  </sheetData>
  <sheetProtection algorithmName="SHA-512" hashValue="AM27dq7G2CE8Hdrf1osvlZo5a+Paow7Qj1srK/kO0LlPF/ktMQHnS6AXH5t5UQEBYcRQ5QZNn/e7W8ewJi2oNA==" saltValue="EobwV2LY9Q/hTJZdECIrIA==" spinCount="100000" sheet="1" objects="1" scenarios="1" selectLockedCells="1"/>
  <mergeCells count="3">
    <mergeCell ref="E1:F1"/>
    <mergeCell ref="G1:H1"/>
    <mergeCell ref="I1:J1"/>
  </mergeCells>
  <conditionalFormatting sqref="K3:K46">
    <cfRule type="iconSet" priority="15">
      <iconSet iconSet="3Flags" showValue="0">
        <cfvo type="percent" val="0"/>
        <cfvo type="percent" val="5"/>
        <cfvo type="percent" val="1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>
    <tabColor theme="7" tint="0.59999389629810485"/>
  </sheetPr>
  <dimension ref="A1:K46"/>
  <sheetViews>
    <sheetView showGridLines="0" workbookViewId="0">
      <selection activeCell="G1" sqref="G1:H1"/>
    </sheetView>
  </sheetViews>
  <sheetFormatPr defaultRowHeight="15" x14ac:dyDescent="0.25"/>
  <cols>
    <col min="1" max="3" width="7.7109375" customWidth="1"/>
    <col min="4" max="4" width="10.7109375" customWidth="1"/>
    <col min="5" max="9" width="12.7109375" customWidth="1"/>
    <col min="10" max="10" width="10.7109375" customWidth="1"/>
    <col min="11" max="11" width="3.7109375" customWidth="1"/>
  </cols>
  <sheetData>
    <row r="1" spans="1:11" ht="23.25" x14ac:dyDescent="0.35">
      <c r="E1" s="53" t="s">
        <v>48</v>
      </c>
      <c r="F1" s="53"/>
      <c r="G1" s="54">
        <v>42383</v>
      </c>
      <c r="H1" s="54"/>
      <c r="I1" s="55" t="str">
        <f>IF(G1&lt;&gt;"",TEXT(G1,"mmmm-aa"),"")</f>
        <v>janeiro-16</v>
      </c>
      <c r="J1" s="55"/>
    </row>
    <row r="2" spans="1:11" ht="65.099999999999994" customHeight="1" x14ac:dyDescent="0.25">
      <c r="A2" s="3" t="s">
        <v>24</v>
      </c>
      <c r="B2" s="3" t="s">
        <v>25</v>
      </c>
      <c r="C2" s="3" t="s">
        <v>26</v>
      </c>
      <c r="D2" s="3" t="s">
        <v>49</v>
      </c>
      <c r="E2" s="3" t="s">
        <v>27</v>
      </c>
      <c r="F2" s="12" t="s">
        <v>43</v>
      </c>
      <c r="G2" s="10" t="s">
        <v>30</v>
      </c>
      <c r="H2" s="11" t="s">
        <v>44</v>
      </c>
      <c r="I2" s="3" t="s">
        <v>45</v>
      </c>
      <c r="J2" s="3" t="s">
        <v>46</v>
      </c>
      <c r="K2" s="3" t="s">
        <v>19</v>
      </c>
    </row>
    <row r="3" spans="1:11" x14ac:dyDescent="0.25">
      <c r="A3" s="2">
        <f>tbl_consolidacao[[#This Row],[Torre]]</f>
        <v>1</v>
      </c>
      <c r="B3" s="2" t="str">
        <f>tbl_consolidacao[[#This Row],[Junta]]</f>
        <v>A</v>
      </c>
      <c r="C3" s="2">
        <f>tbl_consolidacao[[#This Row],[Unid]]</f>
        <v>101</v>
      </c>
      <c r="D3" s="2" t="str">
        <f>tbl_consolidacao[[#This Row],[Apto]]</f>
        <v>101-A1</v>
      </c>
      <c r="E3" s="2">
        <f>tbl_meddez_anterior[[#This Row],[Hidrometro]]</f>
        <v>1234</v>
      </c>
      <c r="F3" s="13">
        <v>3625</v>
      </c>
      <c r="G3" s="2">
        <f>tbl_meddez_anterior[[#This Row],[Hidrometro]]</f>
        <v>1234</v>
      </c>
      <c r="H3" s="14">
        <v>58</v>
      </c>
      <c r="I3" s="2">
        <f>tbl_medjan[[#This Row],[Medição 
Água Fria]]/100+tbl_medjan[[#This Row],[Medição 
Água Quente]]/1000</f>
        <v>36.308</v>
      </c>
      <c r="J3" s="15">
        <f>IF(tbl_medjan[[#This Row],[Total]]&gt;0,tbl_medjan[[#This Row],[Total]]/VLOOKUP(tbl_medjan[[#This Row],[Apto]],tbl_meddez_anterior[[Apto]:[Total]],6,FALSE)-1,"")</f>
        <v>34.596078431372547</v>
      </c>
      <c r="K3" s="15">
        <f>IF(tbl_medjan[[#This Row],[Utilização (%)]]&lt;&gt;"",ALERTA_INDIVIDUAL-tbl_medjan[[#This Row],[Utilização (%)]],"")</f>
        <v>-34.346078431372547</v>
      </c>
    </row>
    <row r="4" spans="1:11" x14ac:dyDescent="0.25">
      <c r="A4" s="2">
        <f>tbl_consolidacao[[#This Row],[Torre]]</f>
        <v>2</v>
      </c>
      <c r="B4" s="2" t="str">
        <f>tbl_consolidacao[[#This Row],[Junta]]</f>
        <v>A</v>
      </c>
      <c r="C4" s="2">
        <f>tbl_consolidacao[[#This Row],[Unid]]</f>
        <v>101</v>
      </c>
      <c r="D4" s="2" t="str">
        <f>tbl_consolidacao[[#This Row],[Apto]]</f>
        <v>101-A2</v>
      </c>
      <c r="E4" s="2">
        <f>tbl_meddez_anterior[[#This Row],[Hidrometro]]</f>
        <v>1235</v>
      </c>
      <c r="F4" s="13">
        <v>3625</v>
      </c>
      <c r="G4" s="2">
        <f>tbl_meddez_anterior[[#This Row],[Hidrometro]]</f>
        <v>1235</v>
      </c>
      <c r="H4" s="14">
        <v>58</v>
      </c>
      <c r="I4" s="2">
        <f>tbl_medjan[[#This Row],[Medição 
Água Fria]]/100+tbl_medjan[[#This Row],[Medição 
Água Quente]]/1000</f>
        <v>36.308</v>
      </c>
      <c r="J4" s="15">
        <f>IF(tbl_medjan[[#This Row],[Total]]&gt;0,tbl_medjan[[#This Row],[Total]]/VLOOKUP(tbl_medjan[[#This Row],[Apto]],tbl_meddez_anterior[[Apto]:[Total]],6,FALSE)-1,"")</f>
        <v>34.596078431372547</v>
      </c>
      <c r="K4" s="15">
        <f>IF(tbl_medjan[[#This Row],[Utilização (%)]]&lt;&gt;"",ALERTA_INDIVIDUAL-tbl_medjan[[#This Row],[Utilização (%)]],"")</f>
        <v>-34.346078431372547</v>
      </c>
    </row>
    <row r="5" spans="1:11" x14ac:dyDescent="0.25">
      <c r="A5" s="2">
        <f>tbl_consolidacao[[#This Row],[Torre]]</f>
        <v>1</v>
      </c>
      <c r="B5" s="2" t="str">
        <f>tbl_consolidacao[[#This Row],[Junta]]</f>
        <v>A</v>
      </c>
      <c r="C5" s="2">
        <f>tbl_consolidacao[[#This Row],[Unid]]</f>
        <v>102</v>
      </c>
      <c r="D5" s="2" t="str">
        <f>tbl_consolidacao[[#This Row],[Apto]]</f>
        <v>102-A1</v>
      </c>
      <c r="E5" s="2">
        <f>tbl_meddez_anterior[[#This Row],[Hidrometro]]</f>
        <v>1236</v>
      </c>
      <c r="F5" s="13">
        <v>3625</v>
      </c>
      <c r="G5" s="2">
        <f>tbl_meddez_anterior[[#This Row],[Hidrometro]]</f>
        <v>1236</v>
      </c>
      <c r="H5" s="14">
        <v>58</v>
      </c>
      <c r="I5" s="2">
        <f>tbl_medjan[[#This Row],[Medição 
Água Fria]]/100+tbl_medjan[[#This Row],[Medição 
Água Quente]]/1000</f>
        <v>36.308</v>
      </c>
      <c r="J5" s="15">
        <f>IF(tbl_medjan[[#This Row],[Total]]&gt;0,tbl_medjan[[#This Row],[Total]]/VLOOKUP(tbl_medjan[[#This Row],[Apto]],tbl_meddez_anterior[[Apto]:[Total]],6,FALSE)-1,"")</f>
        <v>34.596078431372547</v>
      </c>
      <c r="K5" s="15">
        <f>IF(tbl_medjan[[#This Row],[Utilização (%)]]&lt;&gt;"",ALERTA_INDIVIDUAL-tbl_medjan[[#This Row],[Utilização (%)]],"")</f>
        <v>-34.346078431372547</v>
      </c>
    </row>
    <row r="6" spans="1:11" x14ac:dyDescent="0.25">
      <c r="A6" s="2">
        <f>tbl_consolidacao[[#This Row],[Torre]]</f>
        <v>2</v>
      </c>
      <c r="B6" s="2" t="str">
        <f>tbl_consolidacao[[#This Row],[Junta]]</f>
        <v>A</v>
      </c>
      <c r="C6" s="2">
        <f>tbl_consolidacao[[#This Row],[Unid]]</f>
        <v>102</v>
      </c>
      <c r="D6" s="2" t="str">
        <f>tbl_consolidacao[[#This Row],[Apto]]</f>
        <v>102-A2</v>
      </c>
      <c r="E6" s="2">
        <f>tbl_meddez_anterior[[#This Row],[Hidrometro]]</f>
        <v>1237</v>
      </c>
      <c r="F6" s="13">
        <v>3625</v>
      </c>
      <c r="G6" s="2">
        <f>tbl_meddez_anterior[[#This Row],[Hidrometro]]</f>
        <v>1237</v>
      </c>
      <c r="H6" s="14">
        <v>58</v>
      </c>
      <c r="I6" s="2">
        <f>tbl_medjan[[#This Row],[Medição 
Água Fria]]/100+tbl_medjan[[#This Row],[Medição 
Água Quente]]/1000</f>
        <v>36.308</v>
      </c>
      <c r="J6" s="15">
        <f>IF(tbl_medjan[[#This Row],[Total]]&gt;0,tbl_medjan[[#This Row],[Total]]/VLOOKUP(tbl_medjan[[#This Row],[Apto]],tbl_meddez_anterior[[Apto]:[Total]],6,FALSE)-1,"")</f>
        <v>34.596078431372547</v>
      </c>
      <c r="K6" s="15">
        <f>IF(tbl_medjan[[#This Row],[Utilização (%)]]&lt;&gt;"",ALERTA_INDIVIDUAL-tbl_medjan[[#This Row],[Utilização (%)]],"")</f>
        <v>-34.346078431372547</v>
      </c>
    </row>
    <row r="7" spans="1:11" x14ac:dyDescent="0.25">
      <c r="A7" s="2">
        <f>tbl_consolidacao[[#This Row],[Torre]]</f>
        <v>1</v>
      </c>
      <c r="B7" s="2" t="str">
        <f>tbl_consolidacao[[#This Row],[Junta]]</f>
        <v>A</v>
      </c>
      <c r="C7" s="2">
        <f>tbl_consolidacao[[#This Row],[Unid]]</f>
        <v>103</v>
      </c>
      <c r="D7" s="2" t="str">
        <f>tbl_consolidacao[[#This Row],[Apto]]</f>
        <v>103-A1</v>
      </c>
      <c r="E7" s="2">
        <f>tbl_meddez_anterior[[#This Row],[Hidrometro]]</f>
        <v>1238</v>
      </c>
      <c r="F7" s="13">
        <v>3625</v>
      </c>
      <c r="G7" s="2">
        <f>tbl_meddez_anterior[[#This Row],[Hidrometro]]</f>
        <v>1238</v>
      </c>
      <c r="H7" s="14">
        <v>58</v>
      </c>
      <c r="I7" s="2">
        <f>tbl_medjan[[#This Row],[Medição 
Água Fria]]/100+tbl_medjan[[#This Row],[Medição 
Água Quente]]/1000</f>
        <v>36.308</v>
      </c>
      <c r="J7" s="15">
        <f>IF(tbl_medjan[[#This Row],[Total]]&gt;0,tbl_medjan[[#This Row],[Total]]/VLOOKUP(tbl_medjan[[#This Row],[Apto]],tbl_meddez_anterior[[Apto]:[Total]],6,FALSE)-1,"")</f>
        <v>34.596078431372547</v>
      </c>
      <c r="K7" s="15">
        <f>IF(tbl_medjan[[#This Row],[Utilização (%)]]&lt;&gt;"",ALERTA_INDIVIDUAL-tbl_medjan[[#This Row],[Utilização (%)]],"")</f>
        <v>-34.346078431372547</v>
      </c>
    </row>
    <row r="8" spans="1:11" x14ac:dyDescent="0.25">
      <c r="A8" s="2">
        <f>tbl_consolidacao[[#This Row],[Torre]]</f>
        <v>2</v>
      </c>
      <c r="B8" s="2" t="str">
        <f>tbl_consolidacao[[#This Row],[Junta]]</f>
        <v>A</v>
      </c>
      <c r="C8" s="2">
        <f>tbl_consolidacao[[#This Row],[Unid]]</f>
        <v>103</v>
      </c>
      <c r="D8" s="2" t="str">
        <f>tbl_consolidacao[[#This Row],[Apto]]</f>
        <v>103-A2</v>
      </c>
      <c r="E8" s="2">
        <f>tbl_meddez_anterior[[#This Row],[Hidrometro]]</f>
        <v>1239</v>
      </c>
      <c r="F8" s="13">
        <v>3625</v>
      </c>
      <c r="G8" s="2">
        <f>tbl_meddez_anterior[[#This Row],[Hidrometro]]</f>
        <v>1239</v>
      </c>
      <c r="H8" s="14">
        <v>58</v>
      </c>
      <c r="I8" s="2">
        <f>tbl_medjan[[#This Row],[Medição 
Água Fria]]/100+tbl_medjan[[#This Row],[Medição 
Água Quente]]/1000</f>
        <v>36.308</v>
      </c>
      <c r="J8" s="15">
        <f>IF(tbl_medjan[[#This Row],[Total]]&gt;0,tbl_medjan[[#This Row],[Total]]/VLOOKUP(tbl_medjan[[#This Row],[Apto]],tbl_meddez_anterior[[Apto]:[Total]],6,FALSE)-1,"")</f>
        <v>34.596078431372547</v>
      </c>
      <c r="K8" s="15">
        <f>IF(tbl_medjan[[#This Row],[Utilização (%)]]&lt;&gt;"",ALERTA_INDIVIDUAL-tbl_medjan[[#This Row],[Utilização (%)]],"")</f>
        <v>-34.346078431372547</v>
      </c>
    </row>
    <row r="9" spans="1:11" x14ac:dyDescent="0.25">
      <c r="A9" s="2">
        <f>tbl_consolidacao[[#This Row],[Torre]]</f>
        <v>1</v>
      </c>
      <c r="B9" s="2" t="str">
        <f>tbl_consolidacao[[#This Row],[Junta]]</f>
        <v>A</v>
      </c>
      <c r="C9" s="2">
        <f>tbl_consolidacao[[#This Row],[Unid]]</f>
        <v>104</v>
      </c>
      <c r="D9" s="2" t="str">
        <f>tbl_consolidacao[[#This Row],[Apto]]</f>
        <v>104-A1</v>
      </c>
      <c r="E9" s="2">
        <f>tbl_meddez_anterior[[#This Row],[Hidrometro]]</f>
        <v>1240</v>
      </c>
      <c r="F9" s="13">
        <v>3625</v>
      </c>
      <c r="G9" s="2">
        <f>tbl_meddez_anterior[[#This Row],[Hidrometro]]</f>
        <v>1240</v>
      </c>
      <c r="H9" s="14">
        <v>58</v>
      </c>
      <c r="I9" s="2">
        <f>tbl_medjan[[#This Row],[Medição 
Água Fria]]/100+tbl_medjan[[#This Row],[Medição 
Água Quente]]/1000</f>
        <v>36.308</v>
      </c>
      <c r="J9" s="15">
        <f>IF(tbl_medjan[[#This Row],[Total]]&gt;0,tbl_medjan[[#This Row],[Total]]/VLOOKUP(tbl_medjan[[#This Row],[Apto]],tbl_meddez_anterior[[Apto]:[Total]],6,FALSE)-1,"")</f>
        <v>34.596078431372547</v>
      </c>
      <c r="K9" s="15">
        <f>IF(tbl_medjan[[#This Row],[Utilização (%)]]&lt;&gt;"",ALERTA_INDIVIDUAL-tbl_medjan[[#This Row],[Utilização (%)]],"")</f>
        <v>-34.346078431372547</v>
      </c>
    </row>
    <row r="10" spans="1:11" x14ac:dyDescent="0.25">
      <c r="A10" s="2">
        <f>tbl_consolidacao[[#This Row],[Torre]]</f>
        <v>2</v>
      </c>
      <c r="B10" s="2" t="str">
        <f>tbl_consolidacao[[#This Row],[Junta]]</f>
        <v>A</v>
      </c>
      <c r="C10" s="2">
        <f>tbl_consolidacao[[#This Row],[Unid]]</f>
        <v>104</v>
      </c>
      <c r="D10" s="2" t="str">
        <f>tbl_consolidacao[[#This Row],[Apto]]</f>
        <v>104-A2</v>
      </c>
      <c r="E10" s="2">
        <f>tbl_meddez_anterior[[#This Row],[Hidrometro]]</f>
        <v>1241</v>
      </c>
      <c r="F10" s="13">
        <v>3625</v>
      </c>
      <c r="G10" s="2">
        <f>tbl_meddez_anterior[[#This Row],[Hidrometro]]</f>
        <v>1241</v>
      </c>
      <c r="H10" s="14">
        <v>58</v>
      </c>
      <c r="I10" s="2">
        <f>tbl_medjan[[#This Row],[Medição 
Água Fria]]/100+tbl_medjan[[#This Row],[Medição 
Água Quente]]/1000</f>
        <v>36.308</v>
      </c>
      <c r="J10" s="15">
        <f>IF(tbl_medjan[[#This Row],[Total]]&gt;0,tbl_medjan[[#This Row],[Total]]/VLOOKUP(tbl_medjan[[#This Row],[Apto]],tbl_meddez_anterior[[Apto]:[Total]],6,FALSE)-1,"")</f>
        <v>34.596078431372547</v>
      </c>
      <c r="K10" s="15">
        <f>IF(tbl_medjan[[#This Row],[Utilização (%)]]&lt;&gt;"",ALERTA_INDIVIDUAL-tbl_medjan[[#This Row],[Utilização (%)]],"")</f>
        <v>-34.346078431372547</v>
      </c>
    </row>
    <row r="11" spans="1:11" x14ac:dyDescent="0.25">
      <c r="A11" s="2">
        <f>tbl_consolidacao[[#This Row],[Torre]]</f>
        <v>2</v>
      </c>
      <c r="B11" s="2" t="str">
        <f>tbl_consolidacao[[#This Row],[Junta]]</f>
        <v>B</v>
      </c>
      <c r="C11" s="2">
        <f>tbl_consolidacao[[#This Row],[Unid]]</f>
        <v>105</v>
      </c>
      <c r="D11" s="2" t="str">
        <f>tbl_consolidacao[[#This Row],[Apto]]</f>
        <v>105-B2</v>
      </c>
      <c r="E11" s="2">
        <f>tbl_meddez_anterior[[#This Row],[Hidrometro]]</f>
        <v>1242</v>
      </c>
      <c r="F11" s="13">
        <v>3625</v>
      </c>
      <c r="G11" s="2">
        <f>tbl_meddez_anterior[[#This Row],[Hidrometro]]</f>
        <v>1242</v>
      </c>
      <c r="H11" s="14">
        <v>58</v>
      </c>
      <c r="I11" s="2">
        <f>tbl_medjan[[#This Row],[Medição 
Água Fria]]/100+tbl_medjan[[#This Row],[Medição 
Água Quente]]/1000</f>
        <v>36.308</v>
      </c>
      <c r="J11" s="15">
        <f>IF(tbl_medjan[[#This Row],[Total]]&gt;0,tbl_medjan[[#This Row],[Total]]/VLOOKUP(tbl_medjan[[#This Row],[Apto]],tbl_meddez_anterior[[Apto]:[Total]],6,FALSE)-1,"")</f>
        <v>34.596078431372547</v>
      </c>
      <c r="K11" s="15">
        <f>IF(tbl_medjan[[#This Row],[Utilização (%)]]&lt;&gt;"",ALERTA_INDIVIDUAL-tbl_medjan[[#This Row],[Utilização (%)]],"")</f>
        <v>-34.346078431372547</v>
      </c>
    </row>
    <row r="12" spans="1:11" x14ac:dyDescent="0.25">
      <c r="A12" s="2">
        <f>tbl_consolidacao[[#This Row],[Torre]]</f>
        <v>2</v>
      </c>
      <c r="B12" s="2" t="str">
        <f>tbl_consolidacao[[#This Row],[Junta]]</f>
        <v>B</v>
      </c>
      <c r="C12" s="2">
        <f>tbl_consolidacao[[#This Row],[Unid]]</f>
        <v>106</v>
      </c>
      <c r="D12" s="2" t="str">
        <f>tbl_consolidacao[[#This Row],[Apto]]</f>
        <v>106-B2</v>
      </c>
      <c r="E12" s="2">
        <f>tbl_meddez_anterior[[#This Row],[Hidrometro]]</f>
        <v>1243</v>
      </c>
      <c r="F12" s="13">
        <v>3625</v>
      </c>
      <c r="G12" s="2">
        <f>tbl_meddez_anterior[[#This Row],[Hidrometro]]</f>
        <v>1243</v>
      </c>
      <c r="H12" s="14">
        <v>58</v>
      </c>
      <c r="I12" s="2">
        <f>tbl_medjan[[#This Row],[Medição 
Água Fria]]/100+tbl_medjan[[#This Row],[Medição 
Água Quente]]/1000</f>
        <v>36.308</v>
      </c>
      <c r="J12" s="15">
        <f>IF(tbl_medjan[[#This Row],[Total]]&gt;0,tbl_medjan[[#This Row],[Total]]/VLOOKUP(tbl_medjan[[#This Row],[Apto]],tbl_meddez_anterior[[Apto]:[Total]],6,FALSE)-1,"")</f>
        <v>34.596078431372547</v>
      </c>
      <c r="K12" s="15">
        <f>IF(tbl_medjan[[#This Row],[Utilização (%)]]&lt;&gt;"",ALERTA_INDIVIDUAL-tbl_medjan[[#This Row],[Utilização (%)]],"")</f>
        <v>-34.346078431372547</v>
      </c>
    </row>
    <row r="13" spans="1:11" x14ac:dyDescent="0.25">
      <c r="A13" s="2">
        <f>tbl_consolidacao[[#This Row],[Torre]]</f>
        <v>2</v>
      </c>
      <c r="B13" s="2" t="str">
        <f>tbl_consolidacao[[#This Row],[Junta]]</f>
        <v>B</v>
      </c>
      <c r="C13" s="2">
        <f>tbl_consolidacao[[#This Row],[Unid]]</f>
        <v>107</v>
      </c>
      <c r="D13" s="2" t="str">
        <f>tbl_consolidacao[[#This Row],[Apto]]</f>
        <v>107-B2</v>
      </c>
      <c r="E13" s="2">
        <f>tbl_meddez_anterior[[#This Row],[Hidrometro]]</f>
        <v>1244</v>
      </c>
      <c r="F13" s="13">
        <v>3625</v>
      </c>
      <c r="G13" s="2">
        <f>tbl_meddez_anterior[[#This Row],[Hidrometro]]</f>
        <v>1244</v>
      </c>
      <c r="H13" s="14">
        <v>58</v>
      </c>
      <c r="I13" s="2">
        <f>tbl_medjan[[#This Row],[Medição 
Água Fria]]/100+tbl_medjan[[#This Row],[Medição 
Água Quente]]/1000</f>
        <v>36.308</v>
      </c>
      <c r="J13" s="15">
        <f>IF(tbl_medjan[[#This Row],[Total]]&gt;0,tbl_medjan[[#This Row],[Total]]/VLOOKUP(tbl_medjan[[#This Row],[Apto]],tbl_meddez_anterior[[Apto]:[Total]],6,FALSE)-1,"")</f>
        <v>34.596078431372547</v>
      </c>
      <c r="K13" s="15">
        <f>IF(tbl_medjan[[#This Row],[Utilização (%)]]&lt;&gt;"",ALERTA_INDIVIDUAL-tbl_medjan[[#This Row],[Utilização (%)]],"")</f>
        <v>-34.346078431372547</v>
      </c>
    </row>
    <row r="14" spans="1:11" x14ac:dyDescent="0.25">
      <c r="A14" s="2">
        <f>tbl_consolidacao[[#This Row],[Torre]]</f>
        <v>2</v>
      </c>
      <c r="B14" s="2" t="str">
        <f>tbl_consolidacao[[#This Row],[Junta]]</f>
        <v>B</v>
      </c>
      <c r="C14" s="2">
        <f>tbl_consolidacao[[#This Row],[Unid]]</f>
        <v>108</v>
      </c>
      <c r="D14" s="2" t="str">
        <f>tbl_consolidacao[[#This Row],[Apto]]</f>
        <v>108-B2</v>
      </c>
      <c r="E14" s="2">
        <f>tbl_meddez_anterior[[#This Row],[Hidrometro]]</f>
        <v>1245</v>
      </c>
      <c r="F14" s="13">
        <v>3625</v>
      </c>
      <c r="G14" s="2">
        <f>tbl_meddez_anterior[[#This Row],[Hidrometro]]</f>
        <v>1245</v>
      </c>
      <c r="H14" s="14">
        <v>58</v>
      </c>
      <c r="I14" s="2">
        <f>tbl_medjan[[#This Row],[Medição 
Água Fria]]/100+tbl_medjan[[#This Row],[Medição 
Água Quente]]/1000</f>
        <v>36.308</v>
      </c>
      <c r="J14" s="15">
        <f>IF(tbl_medjan[[#This Row],[Total]]&gt;0,tbl_medjan[[#This Row],[Total]]/VLOOKUP(tbl_medjan[[#This Row],[Apto]],tbl_meddez_anterior[[Apto]:[Total]],6,FALSE)-1,"")</f>
        <v>34.596078431372547</v>
      </c>
      <c r="K14" s="15">
        <f>IF(tbl_medjan[[#This Row],[Utilização (%)]]&lt;&gt;"",ALERTA_INDIVIDUAL-tbl_medjan[[#This Row],[Utilização (%)]],"")</f>
        <v>-34.346078431372547</v>
      </c>
    </row>
    <row r="15" spans="1:11" x14ac:dyDescent="0.25">
      <c r="A15" s="2">
        <f>tbl_consolidacao[[#This Row],[Torre]]</f>
        <v>1</v>
      </c>
      <c r="B15" s="2" t="str">
        <f>tbl_consolidacao[[#This Row],[Junta]]</f>
        <v>A</v>
      </c>
      <c r="C15" s="2">
        <f>tbl_consolidacao[[#This Row],[Unid]]</f>
        <v>201</v>
      </c>
      <c r="D15" s="2" t="str">
        <f>tbl_consolidacao[[#This Row],[Apto]]</f>
        <v>201-A1</v>
      </c>
      <c r="E15" s="2">
        <f>tbl_meddez_anterior[[#This Row],[Hidrometro]]</f>
        <v>1246</v>
      </c>
      <c r="F15" s="13">
        <v>3625</v>
      </c>
      <c r="G15" s="2">
        <f>tbl_meddez_anterior[[#This Row],[Hidrometro]]</f>
        <v>1246</v>
      </c>
      <c r="H15" s="14">
        <v>58</v>
      </c>
      <c r="I15" s="2">
        <f>tbl_medjan[[#This Row],[Medição 
Água Fria]]/100+tbl_medjan[[#This Row],[Medição 
Água Quente]]/1000</f>
        <v>36.308</v>
      </c>
      <c r="J15" s="15">
        <f>IF(tbl_medjan[[#This Row],[Total]]&gt;0,tbl_medjan[[#This Row],[Total]]/VLOOKUP(tbl_medjan[[#This Row],[Apto]],tbl_meddez_anterior[[Apto]:[Total]],6,FALSE)-1,"")</f>
        <v>34.596078431372547</v>
      </c>
      <c r="K15" s="15">
        <f>IF(tbl_medjan[[#This Row],[Utilização (%)]]&lt;&gt;"",ALERTA_INDIVIDUAL-tbl_medjan[[#This Row],[Utilização (%)]],"")</f>
        <v>-34.346078431372547</v>
      </c>
    </row>
    <row r="16" spans="1:11" x14ac:dyDescent="0.25">
      <c r="A16" s="2">
        <f>tbl_consolidacao[[#This Row],[Torre]]</f>
        <v>2</v>
      </c>
      <c r="B16" s="2" t="str">
        <f>tbl_consolidacao[[#This Row],[Junta]]</f>
        <v>A</v>
      </c>
      <c r="C16" s="2">
        <f>tbl_consolidacao[[#This Row],[Unid]]</f>
        <v>201</v>
      </c>
      <c r="D16" s="2" t="str">
        <f>tbl_consolidacao[[#This Row],[Apto]]</f>
        <v>201-A2</v>
      </c>
      <c r="E16" s="2">
        <f>tbl_meddez_anterior[[#This Row],[Hidrometro]]</f>
        <v>1247</v>
      </c>
      <c r="F16" s="13">
        <v>3625</v>
      </c>
      <c r="G16" s="2">
        <f>tbl_meddez_anterior[[#This Row],[Hidrometro]]</f>
        <v>1247</v>
      </c>
      <c r="H16" s="14">
        <v>58</v>
      </c>
      <c r="I16" s="2">
        <f>tbl_medjan[[#This Row],[Medição 
Água Fria]]/100+tbl_medjan[[#This Row],[Medição 
Água Quente]]/1000</f>
        <v>36.308</v>
      </c>
      <c r="J16" s="15">
        <f>IF(tbl_medjan[[#This Row],[Total]]&gt;0,tbl_medjan[[#This Row],[Total]]/VLOOKUP(tbl_medjan[[#This Row],[Apto]],tbl_meddez_anterior[[Apto]:[Total]],6,FALSE)-1,"")</f>
        <v>34.596078431372547</v>
      </c>
      <c r="K16" s="15">
        <f>IF(tbl_medjan[[#This Row],[Utilização (%)]]&lt;&gt;"",ALERTA_INDIVIDUAL-tbl_medjan[[#This Row],[Utilização (%)]],"")</f>
        <v>-34.346078431372547</v>
      </c>
    </row>
    <row r="17" spans="1:11" x14ac:dyDescent="0.25">
      <c r="A17" s="2">
        <f>tbl_consolidacao[[#This Row],[Torre]]</f>
        <v>1</v>
      </c>
      <c r="B17" s="2" t="str">
        <f>tbl_consolidacao[[#This Row],[Junta]]</f>
        <v>A</v>
      </c>
      <c r="C17" s="2">
        <f>tbl_consolidacao[[#This Row],[Unid]]</f>
        <v>202</v>
      </c>
      <c r="D17" s="2" t="str">
        <f>tbl_consolidacao[[#This Row],[Apto]]</f>
        <v>202-A1</v>
      </c>
      <c r="E17" s="2">
        <f>tbl_meddez_anterior[[#This Row],[Hidrometro]]</f>
        <v>1248</v>
      </c>
      <c r="F17" s="13">
        <v>3625</v>
      </c>
      <c r="G17" s="2">
        <f>tbl_meddez_anterior[[#This Row],[Hidrometro]]</f>
        <v>1248</v>
      </c>
      <c r="H17" s="14">
        <v>58</v>
      </c>
      <c r="I17" s="2">
        <f>tbl_medjan[[#This Row],[Medição 
Água Fria]]/100+tbl_medjan[[#This Row],[Medição 
Água Quente]]/1000</f>
        <v>36.308</v>
      </c>
      <c r="J17" s="15">
        <f>IF(tbl_medjan[[#This Row],[Total]]&gt;0,tbl_medjan[[#This Row],[Total]]/VLOOKUP(tbl_medjan[[#This Row],[Apto]],tbl_meddez_anterior[[Apto]:[Total]],6,FALSE)-1,"")</f>
        <v>34.596078431372547</v>
      </c>
      <c r="K17" s="15">
        <f>IF(tbl_medjan[[#This Row],[Utilização (%)]]&lt;&gt;"",ALERTA_INDIVIDUAL-tbl_medjan[[#This Row],[Utilização (%)]],"")</f>
        <v>-34.346078431372547</v>
      </c>
    </row>
    <row r="18" spans="1:11" x14ac:dyDescent="0.25">
      <c r="A18" s="2">
        <f>tbl_consolidacao[[#This Row],[Torre]]</f>
        <v>2</v>
      </c>
      <c r="B18" s="2" t="str">
        <f>tbl_consolidacao[[#This Row],[Junta]]</f>
        <v>A</v>
      </c>
      <c r="C18" s="2">
        <f>tbl_consolidacao[[#This Row],[Unid]]</f>
        <v>202</v>
      </c>
      <c r="D18" s="2" t="str">
        <f>tbl_consolidacao[[#This Row],[Apto]]</f>
        <v>202-A2</v>
      </c>
      <c r="E18" s="2">
        <f>tbl_meddez_anterior[[#This Row],[Hidrometro]]</f>
        <v>1249</v>
      </c>
      <c r="F18" s="13">
        <v>3625</v>
      </c>
      <c r="G18" s="2">
        <f>tbl_meddez_anterior[[#This Row],[Hidrometro]]</f>
        <v>1249</v>
      </c>
      <c r="H18" s="14">
        <v>58</v>
      </c>
      <c r="I18" s="2">
        <f>tbl_medjan[[#This Row],[Medição 
Água Fria]]/100+tbl_medjan[[#This Row],[Medição 
Água Quente]]/1000</f>
        <v>36.308</v>
      </c>
      <c r="J18" s="15">
        <f>IF(tbl_medjan[[#This Row],[Total]]&gt;0,tbl_medjan[[#This Row],[Total]]/VLOOKUP(tbl_medjan[[#This Row],[Apto]],tbl_meddez_anterior[[Apto]:[Total]],6,FALSE)-1,"")</f>
        <v>34.596078431372547</v>
      </c>
      <c r="K18" s="15">
        <f>IF(tbl_medjan[[#This Row],[Utilização (%)]]&lt;&gt;"",ALERTA_INDIVIDUAL-tbl_medjan[[#This Row],[Utilização (%)]],"")</f>
        <v>-34.346078431372547</v>
      </c>
    </row>
    <row r="19" spans="1:11" x14ac:dyDescent="0.25">
      <c r="A19" s="2">
        <f>tbl_consolidacao[[#This Row],[Torre]]</f>
        <v>1</v>
      </c>
      <c r="B19" s="2" t="str">
        <f>tbl_consolidacao[[#This Row],[Junta]]</f>
        <v>A</v>
      </c>
      <c r="C19" s="2">
        <f>tbl_consolidacao[[#This Row],[Unid]]</f>
        <v>203</v>
      </c>
      <c r="D19" s="2" t="str">
        <f>tbl_consolidacao[[#This Row],[Apto]]</f>
        <v>203-A1</v>
      </c>
      <c r="E19" s="2">
        <f>tbl_meddez_anterior[[#This Row],[Hidrometro]]</f>
        <v>1250</v>
      </c>
      <c r="F19" s="13">
        <v>3625</v>
      </c>
      <c r="G19" s="2">
        <f>tbl_meddez_anterior[[#This Row],[Hidrometro]]</f>
        <v>1250</v>
      </c>
      <c r="H19" s="14">
        <v>58</v>
      </c>
      <c r="I19" s="2">
        <f>tbl_medjan[[#This Row],[Medição 
Água Fria]]/100+tbl_medjan[[#This Row],[Medição 
Água Quente]]/1000</f>
        <v>36.308</v>
      </c>
      <c r="J19" s="15">
        <f>IF(tbl_medjan[[#This Row],[Total]]&gt;0,tbl_medjan[[#This Row],[Total]]/VLOOKUP(tbl_medjan[[#This Row],[Apto]],tbl_meddez_anterior[[Apto]:[Total]],6,FALSE)-1,"")</f>
        <v>34.596078431372547</v>
      </c>
      <c r="K19" s="15">
        <f>IF(tbl_medjan[[#This Row],[Utilização (%)]]&lt;&gt;"",ALERTA_INDIVIDUAL-tbl_medjan[[#This Row],[Utilização (%)]],"")</f>
        <v>-34.346078431372547</v>
      </c>
    </row>
    <row r="20" spans="1:11" x14ac:dyDescent="0.25">
      <c r="A20" s="2">
        <f>tbl_consolidacao[[#This Row],[Torre]]</f>
        <v>2</v>
      </c>
      <c r="B20" s="2" t="str">
        <f>tbl_consolidacao[[#This Row],[Junta]]</f>
        <v>A</v>
      </c>
      <c r="C20" s="2">
        <f>tbl_consolidacao[[#This Row],[Unid]]</f>
        <v>203</v>
      </c>
      <c r="D20" s="2" t="str">
        <f>tbl_consolidacao[[#This Row],[Apto]]</f>
        <v>203-A2</v>
      </c>
      <c r="E20" s="2">
        <f>tbl_meddez_anterior[[#This Row],[Hidrometro]]</f>
        <v>1251</v>
      </c>
      <c r="F20" s="13">
        <v>3625</v>
      </c>
      <c r="G20" s="2">
        <f>tbl_meddez_anterior[[#This Row],[Hidrometro]]</f>
        <v>1251</v>
      </c>
      <c r="H20" s="14">
        <v>58</v>
      </c>
      <c r="I20" s="2">
        <f>tbl_medjan[[#This Row],[Medição 
Água Fria]]/100+tbl_medjan[[#This Row],[Medição 
Água Quente]]/1000</f>
        <v>36.308</v>
      </c>
      <c r="J20" s="15">
        <f>IF(tbl_medjan[[#This Row],[Total]]&gt;0,tbl_medjan[[#This Row],[Total]]/VLOOKUP(tbl_medjan[[#This Row],[Apto]],tbl_meddez_anterior[[Apto]:[Total]],6,FALSE)-1,"")</f>
        <v>34.596078431372547</v>
      </c>
      <c r="K20" s="15">
        <f>IF(tbl_medjan[[#This Row],[Utilização (%)]]&lt;&gt;"",ALERTA_INDIVIDUAL-tbl_medjan[[#This Row],[Utilização (%)]],"")</f>
        <v>-34.346078431372547</v>
      </c>
    </row>
    <row r="21" spans="1:11" x14ac:dyDescent="0.25">
      <c r="A21" s="2">
        <f>tbl_consolidacao[[#This Row],[Torre]]</f>
        <v>1</v>
      </c>
      <c r="B21" s="2" t="str">
        <f>tbl_consolidacao[[#This Row],[Junta]]</f>
        <v>A</v>
      </c>
      <c r="C21" s="2">
        <f>tbl_consolidacao[[#This Row],[Unid]]</f>
        <v>204</v>
      </c>
      <c r="D21" s="2" t="str">
        <f>tbl_consolidacao[[#This Row],[Apto]]</f>
        <v>204-A1</v>
      </c>
      <c r="E21" s="2">
        <f>tbl_meddez_anterior[[#This Row],[Hidrometro]]</f>
        <v>1252</v>
      </c>
      <c r="F21" s="13">
        <v>3625</v>
      </c>
      <c r="G21" s="2">
        <f>tbl_meddez_anterior[[#This Row],[Hidrometro]]</f>
        <v>1252</v>
      </c>
      <c r="H21" s="14">
        <v>58</v>
      </c>
      <c r="I21" s="2">
        <f>tbl_medjan[[#This Row],[Medição 
Água Fria]]/100+tbl_medjan[[#This Row],[Medição 
Água Quente]]/1000</f>
        <v>36.308</v>
      </c>
      <c r="J21" s="15">
        <f>IF(tbl_medjan[[#This Row],[Total]]&gt;0,tbl_medjan[[#This Row],[Total]]/VLOOKUP(tbl_medjan[[#This Row],[Apto]],tbl_meddez_anterior[[Apto]:[Total]],6,FALSE)-1,"")</f>
        <v>34.596078431372547</v>
      </c>
      <c r="K21" s="15">
        <f>IF(tbl_medjan[[#This Row],[Utilização (%)]]&lt;&gt;"",ALERTA_INDIVIDUAL-tbl_medjan[[#This Row],[Utilização (%)]],"")</f>
        <v>-34.346078431372547</v>
      </c>
    </row>
    <row r="22" spans="1:11" x14ac:dyDescent="0.25">
      <c r="A22" s="2">
        <f>tbl_consolidacao[[#This Row],[Torre]]</f>
        <v>2</v>
      </c>
      <c r="B22" s="2" t="str">
        <f>tbl_consolidacao[[#This Row],[Junta]]</f>
        <v>A</v>
      </c>
      <c r="C22" s="2">
        <f>tbl_consolidacao[[#This Row],[Unid]]</f>
        <v>204</v>
      </c>
      <c r="D22" s="2" t="str">
        <f>tbl_consolidacao[[#This Row],[Apto]]</f>
        <v>204-A2</v>
      </c>
      <c r="E22" s="2">
        <f>tbl_meddez_anterior[[#This Row],[Hidrometro]]</f>
        <v>1253</v>
      </c>
      <c r="F22" s="13">
        <v>3625</v>
      </c>
      <c r="G22" s="2">
        <f>tbl_meddez_anterior[[#This Row],[Hidrometro]]</f>
        <v>1253</v>
      </c>
      <c r="H22" s="14">
        <v>58</v>
      </c>
      <c r="I22" s="2">
        <f>tbl_medjan[[#This Row],[Medição 
Água Fria]]/100+tbl_medjan[[#This Row],[Medição 
Água Quente]]/1000</f>
        <v>36.308</v>
      </c>
      <c r="J22" s="15">
        <f>IF(tbl_medjan[[#This Row],[Total]]&gt;0,tbl_medjan[[#This Row],[Total]]/VLOOKUP(tbl_medjan[[#This Row],[Apto]],tbl_meddez_anterior[[Apto]:[Total]],6,FALSE)-1,"")</f>
        <v>34.596078431372547</v>
      </c>
      <c r="K22" s="15">
        <f>IF(tbl_medjan[[#This Row],[Utilização (%)]]&lt;&gt;"",ALERTA_INDIVIDUAL-tbl_medjan[[#This Row],[Utilização (%)]],"")</f>
        <v>-34.346078431372547</v>
      </c>
    </row>
    <row r="23" spans="1:11" x14ac:dyDescent="0.25">
      <c r="A23" s="2">
        <f>tbl_consolidacao[[#This Row],[Torre]]</f>
        <v>1</v>
      </c>
      <c r="B23" s="2" t="str">
        <f>tbl_consolidacao[[#This Row],[Junta]]</f>
        <v>B</v>
      </c>
      <c r="C23" s="2">
        <f>tbl_consolidacao[[#This Row],[Unid]]</f>
        <v>205</v>
      </c>
      <c r="D23" s="2" t="str">
        <f>tbl_consolidacao[[#This Row],[Apto]]</f>
        <v>205-B1</v>
      </c>
      <c r="E23" s="2">
        <f>tbl_meddez_anterior[[#This Row],[Hidrometro]]</f>
        <v>1254</v>
      </c>
      <c r="F23" s="13">
        <v>3625</v>
      </c>
      <c r="G23" s="2">
        <f>tbl_meddez_anterior[[#This Row],[Hidrometro]]</f>
        <v>1254</v>
      </c>
      <c r="H23" s="14">
        <v>58</v>
      </c>
      <c r="I23" s="2">
        <f>tbl_medjan[[#This Row],[Medição 
Água Fria]]/100+tbl_medjan[[#This Row],[Medição 
Água Quente]]/1000</f>
        <v>36.308</v>
      </c>
      <c r="J23" s="15">
        <f>IF(tbl_medjan[[#This Row],[Total]]&gt;0,tbl_medjan[[#This Row],[Total]]/VLOOKUP(tbl_medjan[[#This Row],[Apto]],tbl_meddez_anterior[[Apto]:[Total]],6,FALSE)-1,"")</f>
        <v>34.596078431372547</v>
      </c>
      <c r="K23" s="15">
        <f>IF(tbl_medjan[[#This Row],[Utilização (%)]]&lt;&gt;"",ALERTA_INDIVIDUAL-tbl_medjan[[#This Row],[Utilização (%)]],"")</f>
        <v>-34.346078431372547</v>
      </c>
    </row>
    <row r="24" spans="1:11" x14ac:dyDescent="0.25">
      <c r="A24" s="2">
        <f>tbl_consolidacao[[#This Row],[Torre]]</f>
        <v>2</v>
      </c>
      <c r="B24" s="2" t="str">
        <f>tbl_consolidacao[[#This Row],[Junta]]</f>
        <v>B</v>
      </c>
      <c r="C24" s="2">
        <f>tbl_consolidacao[[#This Row],[Unid]]</f>
        <v>205</v>
      </c>
      <c r="D24" s="2" t="str">
        <f>tbl_consolidacao[[#This Row],[Apto]]</f>
        <v>205-B2</v>
      </c>
      <c r="E24" s="2">
        <f>tbl_meddez_anterior[[#This Row],[Hidrometro]]</f>
        <v>1255</v>
      </c>
      <c r="F24" s="13">
        <v>3625</v>
      </c>
      <c r="G24" s="2">
        <f>tbl_meddez_anterior[[#This Row],[Hidrometro]]</f>
        <v>1255</v>
      </c>
      <c r="H24" s="14">
        <v>58</v>
      </c>
      <c r="I24" s="2">
        <f>tbl_medjan[[#This Row],[Medição 
Água Fria]]/100+tbl_medjan[[#This Row],[Medição 
Água Quente]]/1000</f>
        <v>36.308</v>
      </c>
      <c r="J24" s="15">
        <f>IF(tbl_medjan[[#This Row],[Total]]&gt;0,tbl_medjan[[#This Row],[Total]]/VLOOKUP(tbl_medjan[[#This Row],[Apto]],tbl_meddez_anterior[[Apto]:[Total]],6,FALSE)-1,"")</f>
        <v>34.596078431372547</v>
      </c>
      <c r="K24" s="15">
        <f>IF(tbl_medjan[[#This Row],[Utilização (%)]]&lt;&gt;"",ALERTA_INDIVIDUAL-tbl_medjan[[#This Row],[Utilização (%)]],"")</f>
        <v>-34.346078431372547</v>
      </c>
    </row>
    <row r="25" spans="1:11" x14ac:dyDescent="0.25">
      <c r="A25" s="2">
        <f>tbl_consolidacao[[#This Row],[Torre]]</f>
        <v>1</v>
      </c>
      <c r="B25" s="2" t="str">
        <f>tbl_consolidacao[[#This Row],[Junta]]</f>
        <v>B</v>
      </c>
      <c r="C25" s="2">
        <f>tbl_consolidacao[[#This Row],[Unid]]</f>
        <v>206</v>
      </c>
      <c r="D25" s="2" t="str">
        <f>tbl_consolidacao[[#This Row],[Apto]]</f>
        <v>206-B1</v>
      </c>
      <c r="E25" s="2">
        <f>tbl_meddez_anterior[[#This Row],[Hidrometro]]</f>
        <v>1256</v>
      </c>
      <c r="F25" s="13">
        <v>3625</v>
      </c>
      <c r="G25" s="2">
        <f>tbl_meddez_anterior[[#This Row],[Hidrometro]]</f>
        <v>1256</v>
      </c>
      <c r="H25" s="14">
        <v>58</v>
      </c>
      <c r="I25" s="2">
        <f>tbl_medjan[[#This Row],[Medição 
Água Fria]]/100+tbl_medjan[[#This Row],[Medição 
Água Quente]]/1000</f>
        <v>36.308</v>
      </c>
      <c r="J25" s="15">
        <f>IF(tbl_medjan[[#This Row],[Total]]&gt;0,tbl_medjan[[#This Row],[Total]]/VLOOKUP(tbl_medjan[[#This Row],[Apto]],tbl_meddez_anterior[[Apto]:[Total]],6,FALSE)-1,"")</f>
        <v>34.596078431372547</v>
      </c>
      <c r="K25" s="15">
        <f>IF(tbl_medjan[[#This Row],[Utilização (%)]]&lt;&gt;"",ALERTA_INDIVIDUAL-tbl_medjan[[#This Row],[Utilização (%)]],"")</f>
        <v>-34.346078431372547</v>
      </c>
    </row>
    <row r="26" spans="1:11" x14ac:dyDescent="0.25">
      <c r="A26" s="2">
        <f>tbl_consolidacao[[#This Row],[Torre]]</f>
        <v>2</v>
      </c>
      <c r="B26" s="2" t="str">
        <f>tbl_consolidacao[[#This Row],[Junta]]</f>
        <v>B</v>
      </c>
      <c r="C26" s="2">
        <f>tbl_consolidacao[[#This Row],[Unid]]</f>
        <v>206</v>
      </c>
      <c r="D26" s="2" t="str">
        <f>tbl_consolidacao[[#This Row],[Apto]]</f>
        <v>206-B2</v>
      </c>
      <c r="E26" s="2">
        <f>tbl_meddez_anterior[[#This Row],[Hidrometro]]</f>
        <v>1257</v>
      </c>
      <c r="F26" s="13">
        <v>3625</v>
      </c>
      <c r="G26" s="2">
        <f>tbl_meddez_anterior[[#This Row],[Hidrometro]]</f>
        <v>1257</v>
      </c>
      <c r="H26" s="14">
        <v>58</v>
      </c>
      <c r="I26" s="2">
        <f>tbl_medjan[[#This Row],[Medição 
Água Fria]]/100+tbl_medjan[[#This Row],[Medição 
Água Quente]]/1000</f>
        <v>36.308</v>
      </c>
      <c r="J26" s="15">
        <f>IF(tbl_medjan[[#This Row],[Total]]&gt;0,tbl_medjan[[#This Row],[Total]]/VLOOKUP(tbl_medjan[[#This Row],[Apto]],tbl_meddez_anterior[[Apto]:[Total]],6,FALSE)-1,"")</f>
        <v>34.596078431372547</v>
      </c>
      <c r="K26" s="15">
        <f>IF(tbl_medjan[[#This Row],[Utilização (%)]]&lt;&gt;"",ALERTA_INDIVIDUAL-tbl_medjan[[#This Row],[Utilização (%)]],"")</f>
        <v>-34.346078431372547</v>
      </c>
    </row>
    <row r="27" spans="1:11" x14ac:dyDescent="0.25">
      <c r="A27" s="2">
        <f>tbl_consolidacao[[#This Row],[Torre]]</f>
        <v>1</v>
      </c>
      <c r="B27" s="2" t="str">
        <f>tbl_consolidacao[[#This Row],[Junta]]</f>
        <v>B</v>
      </c>
      <c r="C27" s="2">
        <f>tbl_consolidacao[[#This Row],[Unid]]</f>
        <v>207</v>
      </c>
      <c r="D27" s="2" t="str">
        <f>tbl_consolidacao[[#This Row],[Apto]]</f>
        <v>207-B1</v>
      </c>
      <c r="E27" s="2">
        <f>tbl_meddez_anterior[[#This Row],[Hidrometro]]</f>
        <v>1258</v>
      </c>
      <c r="F27" s="13">
        <v>3625</v>
      </c>
      <c r="G27" s="2">
        <f>tbl_meddez_anterior[[#This Row],[Hidrometro]]</f>
        <v>1258</v>
      </c>
      <c r="H27" s="14">
        <v>58</v>
      </c>
      <c r="I27" s="2">
        <f>tbl_medjan[[#This Row],[Medição 
Água Fria]]/100+tbl_medjan[[#This Row],[Medição 
Água Quente]]/1000</f>
        <v>36.308</v>
      </c>
      <c r="J27" s="15">
        <f>IF(tbl_medjan[[#This Row],[Total]]&gt;0,tbl_medjan[[#This Row],[Total]]/VLOOKUP(tbl_medjan[[#This Row],[Apto]],tbl_meddez_anterior[[Apto]:[Total]],6,FALSE)-1,"")</f>
        <v>34.596078431372547</v>
      </c>
      <c r="K27" s="15">
        <f>IF(tbl_medjan[[#This Row],[Utilização (%)]]&lt;&gt;"",ALERTA_INDIVIDUAL-tbl_medjan[[#This Row],[Utilização (%)]],"")</f>
        <v>-34.346078431372547</v>
      </c>
    </row>
    <row r="28" spans="1:11" x14ac:dyDescent="0.25">
      <c r="A28" s="2">
        <f>tbl_consolidacao[[#This Row],[Torre]]</f>
        <v>2</v>
      </c>
      <c r="B28" s="2" t="str">
        <f>tbl_consolidacao[[#This Row],[Junta]]</f>
        <v>B</v>
      </c>
      <c r="C28" s="2">
        <f>tbl_consolidacao[[#This Row],[Unid]]</f>
        <v>207</v>
      </c>
      <c r="D28" s="2" t="str">
        <f>tbl_consolidacao[[#This Row],[Apto]]</f>
        <v>207-B2</v>
      </c>
      <c r="E28" s="2">
        <f>tbl_meddez_anterior[[#This Row],[Hidrometro]]</f>
        <v>1259</v>
      </c>
      <c r="F28" s="13">
        <v>3625</v>
      </c>
      <c r="G28" s="2">
        <f>tbl_meddez_anterior[[#This Row],[Hidrometro]]</f>
        <v>1259</v>
      </c>
      <c r="H28" s="14">
        <v>58</v>
      </c>
      <c r="I28" s="2">
        <f>tbl_medjan[[#This Row],[Medição 
Água Fria]]/100+tbl_medjan[[#This Row],[Medição 
Água Quente]]/1000</f>
        <v>36.308</v>
      </c>
      <c r="J28" s="15">
        <f>IF(tbl_medjan[[#This Row],[Total]]&gt;0,tbl_medjan[[#This Row],[Total]]/VLOOKUP(tbl_medjan[[#This Row],[Apto]],tbl_meddez_anterior[[Apto]:[Total]],6,FALSE)-1,"")</f>
        <v>34.596078431372547</v>
      </c>
      <c r="K28" s="15">
        <f>IF(tbl_medjan[[#This Row],[Utilização (%)]]&lt;&gt;"",ALERTA_INDIVIDUAL-tbl_medjan[[#This Row],[Utilização (%)]],"")</f>
        <v>-34.346078431372547</v>
      </c>
    </row>
    <row r="29" spans="1:11" x14ac:dyDescent="0.25">
      <c r="A29" s="2">
        <f>tbl_consolidacao[[#This Row],[Torre]]</f>
        <v>1</v>
      </c>
      <c r="B29" s="2" t="str">
        <f>tbl_consolidacao[[#This Row],[Junta]]</f>
        <v>B</v>
      </c>
      <c r="C29" s="2">
        <f>tbl_consolidacao[[#This Row],[Unid]]</f>
        <v>208</v>
      </c>
      <c r="D29" s="2" t="str">
        <f>tbl_consolidacao[[#This Row],[Apto]]</f>
        <v>208-B1</v>
      </c>
      <c r="E29" s="2">
        <f>tbl_meddez_anterior[[#This Row],[Hidrometro]]</f>
        <v>1260</v>
      </c>
      <c r="F29" s="13">
        <v>3625</v>
      </c>
      <c r="G29" s="2">
        <f>tbl_meddez_anterior[[#This Row],[Hidrometro]]</f>
        <v>1260</v>
      </c>
      <c r="H29" s="14">
        <v>58</v>
      </c>
      <c r="I29" s="2">
        <f>tbl_medjan[[#This Row],[Medição 
Água Fria]]/100+tbl_medjan[[#This Row],[Medição 
Água Quente]]/1000</f>
        <v>36.308</v>
      </c>
      <c r="J29" s="15">
        <f>IF(tbl_medjan[[#This Row],[Total]]&gt;0,tbl_medjan[[#This Row],[Total]]/VLOOKUP(tbl_medjan[[#This Row],[Apto]],tbl_meddez_anterior[[Apto]:[Total]],6,FALSE)-1,"")</f>
        <v>34.596078431372547</v>
      </c>
      <c r="K29" s="15">
        <f>IF(tbl_medjan[[#This Row],[Utilização (%)]]&lt;&gt;"",ALERTA_INDIVIDUAL-tbl_medjan[[#This Row],[Utilização (%)]],"")</f>
        <v>-34.346078431372547</v>
      </c>
    </row>
    <row r="30" spans="1:11" x14ac:dyDescent="0.25">
      <c r="A30" s="2">
        <f>tbl_consolidacao[[#This Row],[Torre]]</f>
        <v>2</v>
      </c>
      <c r="B30" s="2" t="str">
        <f>tbl_consolidacao[[#This Row],[Junta]]</f>
        <v>B</v>
      </c>
      <c r="C30" s="2">
        <f>tbl_consolidacao[[#This Row],[Unid]]</f>
        <v>208</v>
      </c>
      <c r="D30" s="2" t="str">
        <f>tbl_consolidacao[[#This Row],[Apto]]</f>
        <v>208-B2</v>
      </c>
      <c r="E30" s="2">
        <f>tbl_meddez_anterior[[#This Row],[Hidrometro]]</f>
        <v>1261</v>
      </c>
      <c r="F30" s="13">
        <v>3625</v>
      </c>
      <c r="G30" s="2">
        <f>tbl_meddez_anterior[[#This Row],[Hidrometro]]</f>
        <v>1261</v>
      </c>
      <c r="H30" s="14">
        <v>58</v>
      </c>
      <c r="I30" s="2">
        <f>tbl_medjan[[#This Row],[Medição 
Água Fria]]/100+tbl_medjan[[#This Row],[Medição 
Água Quente]]/1000</f>
        <v>36.308</v>
      </c>
      <c r="J30" s="15">
        <f>IF(tbl_medjan[[#This Row],[Total]]&gt;0,tbl_medjan[[#This Row],[Total]]/VLOOKUP(tbl_medjan[[#This Row],[Apto]],tbl_meddez_anterior[[Apto]:[Total]],6,FALSE)-1,"")</f>
        <v>34.596078431372547</v>
      </c>
      <c r="K30" s="15">
        <f>IF(tbl_medjan[[#This Row],[Utilização (%)]]&lt;&gt;"",ALERTA_INDIVIDUAL-tbl_medjan[[#This Row],[Utilização (%)]],"")</f>
        <v>-34.346078431372547</v>
      </c>
    </row>
    <row r="31" spans="1:11" x14ac:dyDescent="0.25">
      <c r="A31" s="2">
        <f>tbl_consolidacao[[#This Row],[Torre]]</f>
        <v>1</v>
      </c>
      <c r="B31" s="2" t="str">
        <f>tbl_consolidacao[[#This Row],[Junta]]</f>
        <v>A</v>
      </c>
      <c r="C31" s="2">
        <f>tbl_consolidacao[[#This Row],[Unid]]</f>
        <v>301</v>
      </c>
      <c r="D31" s="2" t="str">
        <f>tbl_consolidacao[[#This Row],[Apto]]</f>
        <v>301-A1</v>
      </c>
      <c r="E31" s="2">
        <f>tbl_meddez_anterior[[#This Row],[Hidrometro]]</f>
        <v>1262</v>
      </c>
      <c r="F31" s="13">
        <v>3625</v>
      </c>
      <c r="G31" s="2">
        <f>tbl_meddez_anterior[[#This Row],[Hidrometro]]</f>
        <v>1262</v>
      </c>
      <c r="H31" s="14">
        <v>58</v>
      </c>
      <c r="I31" s="2">
        <f>tbl_medjan[[#This Row],[Medição 
Água Fria]]/100+tbl_medjan[[#This Row],[Medição 
Água Quente]]/1000</f>
        <v>36.308</v>
      </c>
      <c r="J31" s="15">
        <f>IF(tbl_medjan[[#This Row],[Total]]&gt;0,tbl_medjan[[#This Row],[Total]]/VLOOKUP(tbl_medjan[[#This Row],[Apto]],tbl_meddez_anterior[[Apto]:[Total]],6,FALSE)-1,"")</f>
        <v>34.596078431372547</v>
      </c>
      <c r="K31" s="15">
        <f>IF(tbl_medjan[[#This Row],[Utilização (%)]]&lt;&gt;"",ALERTA_INDIVIDUAL-tbl_medjan[[#This Row],[Utilização (%)]],"")</f>
        <v>-34.346078431372547</v>
      </c>
    </row>
    <row r="32" spans="1:11" x14ac:dyDescent="0.25">
      <c r="A32" s="2">
        <f>tbl_consolidacao[[#This Row],[Torre]]</f>
        <v>2</v>
      </c>
      <c r="B32" s="2" t="str">
        <f>tbl_consolidacao[[#This Row],[Junta]]</f>
        <v>A</v>
      </c>
      <c r="C32" s="2">
        <f>tbl_consolidacao[[#This Row],[Unid]]</f>
        <v>301</v>
      </c>
      <c r="D32" s="2" t="str">
        <f>tbl_consolidacao[[#This Row],[Apto]]</f>
        <v>301-A2</v>
      </c>
      <c r="E32" s="2">
        <f>tbl_meddez_anterior[[#This Row],[Hidrometro]]</f>
        <v>1263</v>
      </c>
      <c r="F32" s="13">
        <v>3625</v>
      </c>
      <c r="G32" s="2">
        <f>tbl_meddez_anterior[[#This Row],[Hidrometro]]</f>
        <v>1263</v>
      </c>
      <c r="H32" s="14">
        <v>58</v>
      </c>
      <c r="I32" s="2">
        <f>tbl_medjan[[#This Row],[Medição 
Água Fria]]/100+tbl_medjan[[#This Row],[Medição 
Água Quente]]/1000</f>
        <v>36.308</v>
      </c>
      <c r="J32" s="15">
        <f>IF(tbl_medjan[[#This Row],[Total]]&gt;0,tbl_medjan[[#This Row],[Total]]/VLOOKUP(tbl_medjan[[#This Row],[Apto]],tbl_meddez_anterior[[Apto]:[Total]],6,FALSE)-1,"")</f>
        <v>34.596078431372547</v>
      </c>
      <c r="K32" s="15">
        <f>IF(tbl_medjan[[#This Row],[Utilização (%)]]&lt;&gt;"",ALERTA_INDIVIDUAL-tbl_medjan[[#This Row],[Utilização (%)]],"")</f>
        <v>-34.346078431372547</v>
      </c>
    </row>
    <row r="33" spans="1:11" x14ac:dyDescent="0.25">
      <c r="A33" s="2">
        <f>tbl_consolidacao[[#This Row],[Torre]]</f>
        <v>1</v>
      </c>
      <c r="B33" s="2" t="str">
        <f>tbl_consolidacao[[#This Row],[Junta]]</f>
        <v>A</v>
      </c>
      <c r="C33" s="2">
        <f>tbl_consolidacao[[#This Row],[Unid]]</f>
        <v>302</v>
      </c>
      <c r="D33" s="2" t="str">
        <f>tbl_consolidacao[[#This Row],[Apto]]</f>
        <v>302-A1</v>
      </c>
      <c r="E33" s="2">
        <f>tbl_meddez_anterior[[#This Row],[Hidrometro]]</f>
        <v>1264</v>
      </c>
      <c r="F33" s="13">
        <v>3625</v>
      </c>
      <c r="G33" s="2">
        <f>tbl_meddez_anterior[[#This Row],[Hidrometro]]</f>
        <v>1264</v>
      </c>
      <c r="H33" s="14">
        <v>58</v>
      </c>
      <c r="I33" s="2">
        <f>tbl_medjan[[#This Row],[Medição 
Água Fria]]/100+tbl_medjan[[#This Row],[Medição 
Água Quente]]/1000</f>
        <v>36.308</v>
      </c>
      <c r="J33" s="15">
        <f>IF(tbl_medjan[[#This Row],[Total]]&gt;0,tbl_medjan[[#This Row],[Total]]/VLOOKUP(tbl_medjan[[#This Row],[Apto]],tbl_meddez_anterior[[Apto]:[Total]],6,FALSE)-1,"")</f>
        <v>34.596078431372547</v>
      </c>
      <c r="K33" s="15">
        <f>IF(tbl_medjan[[#This Row],[Utilização (%)]]&lt;&gt;"",ALERTA_INDIVIDUAL-tbl_medjan[[#This Row],[Utilização (%)]],"")</f>
        <v>-34.346078431372547</v>
      </c>
    </row>
    <row r="34" spans="1:11" x14ac:dyDescent="0.25">
      <c r="A34" s="2">
        <f>tbl_consolidacao[[#This Row],[Torre]]</f>
        <v>2</v>
      </c>
      <c r="B34" s="2" t="str">
        <f>tbl_consolidacao[[#This Row],[Junta]]</f>
        <v>A</v>
      </c>
      <c r="C34" s="2">
        <f>tbl_consolidacao[[#This Row],[Unid]]</f>
        <v>302</v>
      </c>
      <c r="D34" s="2" t="str">
        <f>tbl_consolidacao[[#This Row],[Apto]]</f>
        <v>302-A2</v>
      </c>
      <c r="E34" s="2">
        <f>tbl_meddez_anterior[[#This Row],[Hidrometro]]</f>
        <v>1265</v>
      </c>
      <c r="F34" s="13">
        <v>3625</v>
      </c>
      <c r="G34" s="2">
        <f>tbl_meddez_anterior[[#This Row],[Hidrometro]]</f>
        <v>1265</v>
      </c>
      <c r="H34" s="14">
        <v>58</v>
      </c>
      <c r="I34" s="2">
        <f>tbl_medjan[[#This Row],[Medição 
Água Fria]]/100+tbl_medjan[[#This Row],[Medição 
Água Quente]]/1000</f>
        <v>36.308</v>
      </c>
      <c r="J34" s="15">
        <f>IF(tbl_medjan[[#This Row],[Total]]&gt;0,tbl_medjan[[#This Row],[Total]]/VLOOKUP(tbl_medjan[[#This Row],[Apto]],tbl_meddez_anterior[[Apto]:[Total]],6,FALSE)-1,"")</f>
        <v>34.596078431372547</v>
      </c>
      <c r="K34" s="15">
        <f>IF(tbl_medjan[[#This Row],[Utilização (%)]]&lt;&gt;"",ALERTA_INDIVIDUAL-tbl_medjan[[#This Row],[Utilização (%)]],"")</f>
        <v>-34.346078431372547</v>
      </c>
    </row>
    <row r="35" spans="1:11" x14ac:dyDescent="0.25">
      <c r="A35" s="2">
        <f>tbl_consolidacao[[#This Row],[Torre]]</f>
        <v>1</v>
      </c>
      <c r="B35" s="2" t="str">
        <f>tbl_consolidacao[[#This Row],[Junta]]</f>
        <v>A</v>
      </c>
      <c r="C35" s="2">
        <f>tbl_consolidacao[[#This Row],[Unid]]</f>
        <v>303</v>
      </c>
      <c r="D35" s="2" t="str">
        <f>tbl_consolidacao[[#This Row],[Apto]]</f>
        <v>303-A1</v>
      </c>
      <c r="E35" s="2">
        <f>tbl_meddez_anterior[[#This Row],[Hidrometro]]</f>
        <v>1266</v>
      </c>
      <c r="F35" s="13">
        <v>3625</v>
      </c>
      <c r="G35" s="2">
        <f>tbl_meddez_anterior[[#This Row],[Hidrometro]]</f>
        <v>1266</v>
      </c>
      <c r="H35" s="14">
        <v>58</v>
      </c>
      <c r="I35" s="2">
        <f>tbl_medjan[[#This Row],[Medição 
Água Fria]]/100+tbl_medjan[[#This Row],[Medição 
Água Quente]]/1000</f>
        <v>36.308</v>
      </c>
      <c r="J35" s="15">
        <f>IF(tbl_medjan[[#This Row],[Total]]&gt;0,tbl_medjan[[#This Row],[Total]]/VLOOKUP(tbl_medjan[[#This Row],[Apto]],tbl_meddez_anterior[[Apto]:[Total]],6,FALSE)-1,"")</f>
        <v>34.596078431372547</v>
      </c>
      <c r="K35" s="15">
        <f>IF(tbl_medjan[[#This Row],[Utilização (%)]]&lt;&gt;"",ALERTA_INDIVIDUAL-tbl_medjan[[#This Row],[Utilização (%)]],"")</f>
        <v>-34.346078431372547</v>
      </c>
    </row>
    <row r="36" spans="1:11" x14ac:dyDescent="0.25">
      <c r="A36" s="2">
        <f>tbl_consolidacao[[#This Row],[Torre]]</f>
        <v>2</v>
      </c>
      <c r="B36" s="2" t="str">
        <f>tbl_consolidacao[[#This Row],[Junta]]</f>
        <v>A</v>
      </c>
      <c r="C36" s="2">
        <f>tbl_consolidacao[[#This Row],[Unid]]</f>
        <v>303</v>
      </c>
      <c r="D36" s="2" t="str">
        <f>tbl_consolidacao[[#This Row],[Apto]]</f>
        <v>303-A2</v>
      </c>
      <c r="E36" s="2">
        <f>tbl_meddez_anterior[[#This Row],[Hidrometro]]</f>
        <v>1267</v>
      </c>
      <c r="F36" s="13">
        <v>3625</v>
      </c>
      <c r="G36" s="2">
        <f>tbl_meddez_anterior[[#This Row],[Hidrometro]]</f>
        <v>1267</v>
      </c>
      <c r="H36" s="14">
        <v>58</v>
      </c>
      <c r="I36" s="2">
        <f>tbl_medjan[[#This Row],[Medição 
Água Fria]]/100+tbl_medjan[[#This Row],[Medição 
Água Quente]]/1000</f>
        <v>36.308</v>
      </c>
      <c r="J36" s="15">
        <f>IF(tbl_medjan[[#This Row],[Total]]&gt;0,tbl_medjan[[#This Row],[Total]]/VLOOKUP(tbl_medjan[[#This Row],[Apto]],tbl_meddez_anterior[[Apto]:[Total]],6,FALSE)-1,"")</f>
        <v>34.596078431372547</v>
      </c>
      <c r="K36" s="15">
        <f>IF(tbl_medjan[[#This Row],[Utilização (%)]]&lt;&gt;"",ALERTA_INDIVIDUAL-tbl_medjan[[#This Row],[Utilização (%)]],"")</f>
        <v>-34.346078431372547</v>
      </c>
    </row>
    <row r="37" spans="1:11" x14ac:dyDescent="0.25">
      <c r="A37" s="2">
        <f>tbl_consolidacao[[#This Row],[Torre]]</f>
        <v>1</v>
      </c>
      <c r="B37" s="2" t="str">
        <f>tbl_consolidacao[[#This Row],[Junta]]</f>
        <v>A</v>
      </c>
      <c r="C37" s="2">
        <f>tbl_consolidacao[[#This Row],[Unid]]</f>
        <v>304</v>
      </c>
      <c r="D37" s="2" t="str">
        <f>tbl_consolidacao[[#This Row],[Apto]]</f>
        <v>304-A1</v>
      </c>
      <c r="E37" s="2">
        <f>tbl_meddez_anterior[[#This Row],[Hidrometro]]</f>
        <v>1268</v>
      </c>
      <c r="F37" s="13">
        <v>3625</v>
      </c>
      <c r="G37" s="2">
        <f>tbl_meddez_anterior[[#This Row],[Hidrometro]]</f>
        <v>1268</v>
      </c>
      <c r="H37" s="14">
        <v>58</v>
      </c>
      <c r="I37" s="2">
        <f>tbl_medjan[[#This Row],[Medição 
Água Fria]]/100+tbl_medjan[[#This Row],[Medição 
Água Quente]]/1000</f>
        <v>36.308</v>
      </c>
      <c r="J37" s="15">
        <f>IF(tbl_medjan[[#This Row],[Total]]&gt;0,tbl_medjan[[#This Row],[Total]]/VLOOKUP(tbl_medjan[[#This Row],[Apto]],tbl_meddez_anterior[[Apto]:[Total]],6,FALSE)-1,"")</f>
        <v>34.596078431372547</v>
      </c>
      <c r="K37" s="15">
        <f>IF(tbl_medjan[[#This Row],[Utilização (%)]]&lt;&gt;"",ALERTA_INDIVIDUAL-tbl_medjan[[#This Row],[Utilização (%)]],"")</f>
        <v>-34.346078431372547</v>
      </c>
    </row>
    <row r="38" spans="1:11" x14ac:dyDescent="0.25">
      <c r="A38" s="2">
        <f>tbl_consolidacao[[#This Row],[Torre]]</f>
        <v>2</v>
      </c>
      <c r="B38" s="2" t="str">
        <f>tbl_consolidacao[[#This Row],[Junta]]</f>
        <v>A</v>
      </c>
      <c r="C38" s="2">
        <f>tbl_consolidacao[[#This Row],[Unid]]</f>
        <v>304</v>
      </c>
      <c r="D38" s="2" t="str">
        <f>tbl_consolidacao[[#This Row],[Apto]]</f>
        <v>304-A2</v>
      </c>
      <c r="E38" s="2">
        <f>tbl_meddez_anterior[[#This Row],[Hidrometro]]</f>
        <v>1269</v>
      </c>
      <c r="F38" s="13">
        <v>3625</v>
      </c>
      <c r="G38" s="2">
        <f>tbl_meddez_anterior[[#This Row],[Hidrometro]]</f>
        <v>1269</v>
      </c>
      <c r="H38" s="14">
        <v>58</v>
      </c>
      <c r="I38" s="2">
        <f>tbl_medjan[[#This Row],[Medição 
Água Fria]]/100+tbl_medjan[[#This Row],[Medição 
Água Quente]]/1000</f>
        <v>36.308</v>
      </c>
      <c r="J38" s="15">
        <f>IF(tbl_medjan[[#This Row],[Total]]&gt;0,tbl_medjan[[#This Row],[Total]]/VLOOKUP(tbl_medjan[[#This Row],[Apto]],tbl_meddez_anterior[[Apto]:[Total]],6,FALSE)-1,"")</f>
        <v>34.596078431372547</v>
      </c>
      <c r="K38" s="15">
        <f>IF(tbl_medjan[[#This Row],[Utilização (%)]]&lt;&gt;"",ALERTA_INDIVIDUAL-tbl_medjan[[#This Row],[Utilização (%)]],"")</f>
        <v>-34.346078431372547</v>
      </c>
    </row>
    <row r="39" spans="1:11" x14ac:dyDescent="0.25">
      <c r="A39" s="2">
        <f>tbl_consolidacao[[#This Row],[Torre]]</f>
        <v>1</v>
      </c>
      <c r="B39" s="2" t="str">
        <f>tbl_consolidacao[[#This Row],[Junta]]</f>
        <v>B</v>
      </c>
      <c r="C39" s="2">
        <f>tbl_consolidacao[[#This Row],[Unid]]</f>
        <v>305</v>
      </c>
      <c r="D39" s="2" t="str">
        <f>tbl_consolidacao[[#This Row],[Apto]]</f>
        <v>305-B1</v>
      </c>
      <c r="E39" s="2">
        <f>tbl_meddez_anterior[[#This Row],[Hidrometro]]</f>
        <v>1270</v>
      </c>
      <c r="F39" s="13">
        <v>3625</v>
      </c>
      <c r="G39" s="2">
        <f>tbl_meddez_anterior[[#This Row],[Hidrometro]]</f>
        <v>1270</v>
      </c>
      <c r="H39" s="14">
        <v>58</v>
      </c>
      <c r="I39" s="2">
        <f>tbl_medjan[[#This Row],[Medição 
Água Fria]]/100+tbl_medjan[[#This Row],[Medição 
Água Quente]]/1000</f>
        <v>36.308</v>
      </c>
      <c r="J39" s="15">
        <f>IF(tbl_medjan[[#This Row],[Total]]&gt;0,tbl_medjan[[#This Row],[Total]]/VLOOKUP(tbl_medjan[[#This Row],[Apto]],tbl_meddez_anterior[[Apto]:[Total]],6,FALSE)-1,"")</f>
        <v>34.596078431372547</v>
      </c>
      <c r="K39" s="15">
        <f>IF(tbl_medjan[[#This Row],[Utilização (%)]]&lt;&gt;"",ALERTA_INDIVIDUAL-tbl_medjan[[#This Row],[Utilização (%)]],"")</f>
        <v>-34.346078431372547</v>
      </c>
    </row>
    <row r="40" spans="1:11" x14ac:dyDescent="0.25">
      <c r="A40" s="2">
        <f>tbl_consolidacao[[#This Row],[Torre]]</f>
        <v>2</v>
      </c>
      <c r="B40" s="2" t="str">
        <f>tbl_consolidacao[[#This Row],[Junta]]</f>
        <v>B</v>
      </c>
      <c r="C40" s="2">
        <f>tbl_consolidacao[[#This Row],[Unid]]</f>
        <v>305</v>
      </c>
      <c r="D40" s="2" t="str">
        <f>tbl_consolidacao[[#This Row],[Apto]]</f>
        <v>305-B2</v>
      </c>
      <c r="E40" s="2">
        <f>tbl_meddez_anterior[[#This Row],[Hidrometro]]</f>
        <v>1271</v>
      </c>
      <c r="F40" s="13">
        <v>3625</v>
      </c>
      <c r="G40" s="2">
        <f>tbl_meddez_anterior[[#This Row],[Hidrometro]]</f>
        <v>1271</v>
      </c>
      <c r="H40" s="14">
        <v>58</v>
      </c>
      <c r="I40" s="2">
        <f>tbl_medjan[[#This Row],[Medição 
Água Fria]]/100+tbl_medjan[[#This Row],[Medição 
Água Quente]]/1000</f>
        <v>36.308</v>
      </c>
      <c r="J40" s="15">
        <f>IF(tbl_medjan[[#This Row],[Total]]&gt;0,tbl_medjan[[#This Row],[Total]]/VLOOKUP(tbl_medjan[[#This Row],[Apto]],tbl_meddez_anterior[[Apto]:[Total]],6,FALSE)-1,"")</f>
        <v>34.596078431372547</v>
      </c>
      <c r="K40" s="15">
        <f>IF(tbl_medjan[[#This Row],[Utilização (%)]]&lt;&gt;"",ALERTA_INDIVIDUAL-tbl_medjan[[#This Row],[Utilização (%)]],"")</f>
        <v>-34.346078431372547</v>
      </c>
    </row>
    <row r="41" spans="1:11" x14ac:dyDescent="0.25">
      <c r="A41" s="2">
        <f>tbl_consolidacao[[#This Row],[Torre]]</f>
        <v>1</v>
      </c>
      <c r="B41" s="2" t="str">
        <f>tbl_consolidacao[[#This Row],[Junta]]</f>
        <v>B</v>
      </c>
      <c r="C41" s="2">
        <f>tbl_consolidacao[[#This Row],[Unid]]</f>
        <v>306</v>
      </c>
      <c r="D41" s="2" t="str">
        <f>tbl_consolidacao[[#This Row],[Apto]]</f>
        <v>306-B1</v>
      </c>
      <c r="E41" s="2">
        <f>tbl_meddez_anterior[[#This Row],[Hidrometro]]</f>
        <v>1272</v>
      </c>
      <c r="F41" s="13">
        <v>3625</v>
      </c>
      <c r="G41" s="2">
        <f>tbl_meddez_anterior[[#This Row],[Hidrometro]]</f>
        <v>1272</v>
      </c>
      <c r="H41" s="14">
        <v>58</v>
      </c>
      <c r="I41" s="2">
        <f>tbl_medjan[[#This Row],[Medição 
Água Fria]]/100+tbl_medjan[[#This Row],[Medição 
Água Quente]]/1000</f>
        <v>36.308</v>
      </c>
      <c r="J41" s="15">
        <f>IF(tbl_medjan[[#This Row],[Total]]&gt;0,tbl_medjan[[#This Row],[Total]]/VLOOKUP(tbl_medjan[[#This Row],[Apto]],tbl_meddez_anterior[[Apto]:[Total]],6,FALSE)-1,"")</f>
        <v>34.596078431372547</v>
      </c>
      <c r="K41" s="15">
        <f>IF(tbl_medjan[[#This Row],[Utilização (%)]]&lt;&gt;"",ALERTA_INDIVIDUAL-tbl_medjan[[#This Row],[Utilização (%)]],"")</f>
        <v>-34.346078431372547</v>
      </c>
    </row>
    <row r="42" spans="1:11" x14ac:dyDescent="0.25">
      <c r="A42" s="2">
        <f>tbl_consolidacao[[#This Row],[Torre]]</f>
        <v>2</v>
      </c>
      <c r="B42" s="2" t="str">
        <f>tbl_consolidacao[[#This Row],[Junta]]</f>
        <v>B</v>
      </c>
      <c r="C42" s="2">
        <f>tbl_consolidacao[[#This Row],[Unid]]</f>
        <v>306</v>
      </c>
      <c r="D42" s="2" t="str">
        <f>tbl_consolidacao[[#This Row],[Apto]]</f>
        <v>306-B2</v>
      </c>
      <c r="E42" s="2">
        <f>tbl_meddez_anterior[[#This Row],[Hidrometro]]</f>
        <v>1273</v>
      </c>
      <c r="F42" s="13">
        <v>3625</v>
      </c>
      <c r="G42" s="2">
        <f>tbl_meddez_anterior[[#This Row],[Hidrometro]]</f>
        <v>1273</v>
      </c>
      <c r="H42" s="14">
        <v>58</v>
      </c>
      <c r="I42" s="2">
        <f>tbl_medjan[[#This Row],[Medição 
Água Fria]]/100+tbl_medjan[[#This Row],[Medição 
Água Quente]]/1000</f>
        <v>36.308</v>
      </c>
      <c r="J42" s="15">
        <f>IF(tbl_medjan[[#This Row],[Total]]&gt;0,tbl_medjan[[#This Row],[Total]]/VLOOKUP(tbl_medjan[[#This Row],[Apto]],tbl_meddez_anterior[[Apto]:[Total]],6,FALSE)-1,"")</f>
        <v>34.596078431372547</v>
      </c>
      <c r="K42" s="15">
        <f>IF(tbl_medjan[[#This Row],[Utilização (%)]]&lt;&gt;"",ALERTA_INDIVIDUAL-tbl_medjan[[#This Row],[Utilização (%)]],"")</f>
        <v>-34.346078431372547</v>
      </c>
    </row>
    <row r="43" spans="1:11" x14ac:dyDescent="0.25">
      <c r="A43" s="2">
        <f>tbl_consolidacao[[#This Row],[Torre]]</f>
        <v>1</v>
      </c>
      <c r="B43" s="2" t="str">
        <f>tbl_consolidacao[[#This Row],[Junta]]</f>
        <v>B</v>
      </c>
      <c r="C43" s="2">
        <f>tbl_consolidacao[[#This Row],[Unid]]</f>
        <v>307</v>
      </c>
      <c r="D43" s="2" t="str">
        <f>tbl_consolidacao[[#This Row],[Apto]]</f>
        <v>307-B1</v>
      </c>
      <c r="E43" s="2">
        <f>tbl_meddez_anterior[[#This Row],[Hidrometro]]</f>
        <v>1274</v>
      </c>
      <c r="F43" s="13">
        <v>3625</v>
      </c>
      <c r="G43" s="2">
        <f>tbl_meddez_anterior[[#This Row],[Hidrometro]]</f>
        <v>1274</v>
      </c>
      <c r="H43" s="14">
        <v>58</v>
      </c>
      <c r="I43" s="2">
        <f>tbl_medjan[[#This Row],[Medição 
Água Fria]]/100+tbl_medjan[[#This Row],[Medição 
Água Quente]]/1000</f>
        <v>36.308</v>
      </c>
      <c r="J43" s="15">
        <f>IF(tbl_medjan[[#This Row],[Total]]&gt;0,tbl_medjan[[#This Row],[Total]]/VLOOKUP(tbl_medjan[[#This Row],[Apto]],tbl_meddez_anterior[[Apto]:[Total]],6,FALSE)-1,"")</f>
        <v>34.596078431372547</v>
      </c>
      <c r="K43" s="15">
        <f>IF(tbl_medjan[[#This Row],[Utilização (%)]]&lt;&gt;"",ALERTA_INDIVIDUAL-tbl_medjan[[#This Row],[Utilização (%)]],"")</f>
        <v>-34.346078431372547</v>
      </c>
    </row>
    <row r="44" spans="1:11" x14ac:dyDescent="0.25">
      <c r="A44" s="2">
        <f>tbl_consolidacao[[#This Row],[Torre]]</f>
        <v>2</v>
      </c>
      <c r="B44" s="2" t="str">
        <f>tbl_consolidacao[[#This Row],[Junta]]</f>
        <v>B</v>
      </c>
      <c r="C44" s="2">
        <f>tbl_consolidacao[[#This Row],[Unid]]</f>
        <v>307</v>
      </c>
      <c r="D44" s="2" t="str">
        <f>tbl_consolidacao[[#This Row],[Apto]]</f>
        <v>307-B2</v>
      </c>
      <c r="E44" s="2">
        <f>tbl_meddez_anterior[[#This Row],[Hidrometro]]</f>
        <v>1275</v>
      </c>
      <c r="F44" s="13">
        <v>3625</v>
      </c>
      <c r="G44" s="2">
        <f>tbl_meddez_anterior[[#This Row],[Hidrometro]]</f>
        <v>1275</v>
      </c>
      <c r="H44" s="14">
        <v>58</v>
      </c>
      <c r="I44" s="2">
        <f>tbl_medjan[[#This Row],[Medição 
Água Fria]]/100+tbl_medjan[[#This Row],[Medição 
Água Quente]]/1000</f>
        <v>36.308</v>
      </c>
      <c r="J44" s="15">
        <f>IF(tbl_medjan[[#This Row],[Total]]&gt;0,tbl_medjan[[#This Row],[Total]]/VLOOKUP(tbl_medjan[[#This Row],[Apto]],tbl_meddez_anterior[[Apto]:[Total]],6,FALSE)-1,"")</f>
        <v>34.596078431372547</v>
      </c>
      <c r="K44" s="15">
        <f>IF(tbl_medjan[[#This Row],[Utilização (%)]]&lt;&gt;"",ALERTA_INDIVIDUAL-tbl_medjan[[#This Row],[Utilização (%)]],"")</f>
        <v>-34.346078431372547</v>
      </c>
    </row>
    <row r="45" spans="1:11" x14ac:dyDescent="0.25">
      <c r="A45" s="2">
        <f>tbl_consolidacao[[#This Row],[Torre]]</f>
        <v>1</v>
      </c>
      <c r="B45" s="2" t="str">
        <f>tbl_consolidacao[[#This Row],[Junta]]</f>
        <v>B</v>
      </c>
      <c r="C45" s="2">
        <f>tbl_consolidacao[[#This Row],[Unid]]</f>
        <v>308</v>
      </c>
      <c r="D45" s="2" t="str">
        <f>tbl_consolidacao[[#This Row],[Apto]]</f>
        <v>308-B1</v>
      </c>
      <c r="E45" s="2">
        <f>tbl_meddez_anterior[[#This Row],[Hidrometro]]</f>
        <v>1276</v>
      </c>
      <c r="F45" s="13">
        <v>3625</v>
      </c>
      <c r="G45" s="2">
        <f>tbl_meddez_anterior[[#This Row],[Hidrometro]]</f>
        <v>1276</v>
      </c>
      <c r="H45" s="14">
        <v>58</v>
      </c>
      <c r="I45" s="2">
        <f>tbl_medjan[[#This Row],[Medição 
Água Fria]]/100+tbl_medjan[[#This Row],[Medição 
Água Quente]]/1000</f>
        <v>36.308</v>
      </c>
      <c r="J45" s="15">
        <f>IF(tbl_medjan[[#This Row],[Total]]&gt;0,tbl_medjan[[#This Row],[Total]]/VLOOKUP(tbl_medjan[[#This Row],[Apto]],tbl_meddez_anterior[[Apto]:[Total]],6,FALSE)-1,"")</f>
        <v>34.596078431372547</v>
      </c>
      <c r="K45" s="15">
        <f>IF(tbl_medjan[[#This Row],[Utilização (%)]]&lt;&gt;"",ALERTA_INDIVIDUAL-tbl_medjan[[#This Row],[Utilização (%)]],"")</f>
        <v>-34.346078431372547</v>
      </c>
    </row>
    <row r="46" spans="1:11" x14ac:dyDescent="0.25">
      <c r="A46" s="2">
        <f>tbl_consolidacao[[#This Row],[Torre]]</f>
        <v>2</v>
      </c>
      <c r="B46" s="2" t="str">
        <f>tbl_consolidacao[[#This Row],[Junta]]</f>
        <v>B</v>
      </c>
      <c r="C46" s="2">
        <f>tbl_consolidacao[[#This Row],[Unid]]</f>
        <v>308</v>
      </c>
      <c r="D46" s="2" t="str">
        <f>tbl_consolidacao[[#This Row],[Apto]]</f>
        <v>308-B2</v>
      </c>
      <c r="E46" s="2">
        <f>tbl_meddez_anterior[[#This Row],[Hidrometro]]</f>
        <v>1277</v>
      </c>
      <c r="F46" s="13">
        <v>3625</v>
      </c>
      <c r="G46" s="2">
        <f>tbl_meddez_anterior[[#This Row],[Hidrometro]]</f>
        <v>1277</v>
      </c>
      <c r="H46" s="14">
        <v>58</v>
      </c>
      <c r="I46" s="2">
        <f>tbl_medjan[[#This Row],[Medição 
Água Fria]]/100+tbl_medjan[[#This Row],[Medição 
Água Quente]]/1000</f>
        <v>36.308</v>
      </c>
      <c r="J46" s="15">
        <f>IF(tbl_medjan[[#This Row],[Total]]&gt;0,tbl_medjan[[#This Row],[Total]]/VLOOKUP(tbl_medjan[[#This Row],[Apto]],tbl_meddez_anterior[[Apto]:[Total]],6,FALSE)-1,"")</f>
        <v>34.596078431372547</v>
      </c>
      <c r="K46" s="15">
        <f>IF(tbl_medjan[[#This Row],[Utilização (%)]]&lt;&gt;"",ALERTA_INDIVIDUAL-tbl_medjan[[#This Row],[Utilização (%)]],"")</f>
        <v>-34.346078431372547</v>
      </c>
    </row>
  </sheetData>
  <sheetProtection algorithmName="SHA-512" hashValue="JfwZ2eNTsaCN4kmdS1SUXZmv/b16tfDR2VtQmWmo3PnzJzOtQYQ0nXAurVcHlQaYK2hFemFp327HENyssGBI2w==" saltValue="xrxxTPDTurxlySK0aqBF0w==" spinCount="100000" sheet="1" objects="1" scenarios="1" selectLockedCells="1"/>
  <mergeCells count="3">
    <mergeCell ref="E1:F1"/>
    <mergeCell ref="G1:H1"/>
    <mergeCell ref="I1:J1"/>
  </mergeCells>
  <conditionalFormatting sqref="K3:K46">
    <cfRule type="iconSet" priority="27">
      <iconSet iconSet="3Flags" showValue="0">
        <cfvo type="percent" val="0"/>
        <cfvo type="percent" val="5"/>
        <cfvo type="percent" val="1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>
    <tabColor theme="7" tint="0.59999389629810485"/>
  </sheetPr>
  <dimension ref="A1:K46"/>
  <sheetViews>
    <sheetView showGridLines="0" workbookViewId="0">
      <selection activeCell="G1" sqref="G1:H1"/>
    </sheetView>
  </sheetViews>
  <sheetFormatPr defaultRowHeight="15" x14ac:dyDescent="0.25"/>
  <cols>
    <col min="1" max="3" width="7.7109375" customWidth="1"/>
    <col min="4" max="4" width="10.7109375" customWidth="1"/>
    <col min="5" max="9" width="12.7109375" customWidth="1"/>
    <col min="10" max="10" width="10.7109375" customWidth="1"/>
    <col min="11" max="11" width="3.7109375" customWidth="1"/>
  </cols>
  <sheetData>
    <row r="1" spans="1:11" ht="23.25" x14ac:dyDescent="0.35">
      <c r="E1" s="53" t="s">
        <v>48</v>
      </c>
      <c r="F1" s="53"/>
      <c r="G1" s="54">
        <v>42413</v>
      </c>
      <c r="H1" s="54"/>
      <c r="I1" s="55" t="str">
        <f>IF(G1&lt;&gt;"",TEXT(G1,"mmmm-aa"),"")</f>
        <v>fevereiro-16</v>
      </c>
      <c r="J1" s="55"/>
    </row>
    <row r="2" spans="1:11" ht="65.099999999999994" customHeight="1" x14ac:dyDescent="0.25">
      <c r="A2" s="3" t="s">
        <v>24</v>
      </c>
      <c r="B2" s="3" t="s">
        <v>25</v>
      </c>
      <c r="C2" s="3" t="s">
        <v>26</v>
      </c>
      <c r="D2" s="3" t="s">
        <v>49</v>
      </c>
      <c r="E2" s="3" t="s">
        <v>27</v>
      </c>
      <c r="F2" s="12" t="s">
        <v>43</v>
      </c>
      <c r="G2" s="10" t="s">
        <v>30</v>
      </c>
      <c r="H2" s="11" t="s">
        <v>44</v>
      </c>
      <c r="I2" s="3" t="s">
        <v>45</v>
      </c>
      <c r="J2" s="3" t="s">
        <v>46</v>
      </c>
      <c r="K2" s="3" t="s">
        <v>19</v>
      </c>
    </row>
    <row r="3" spans="1:11" x14ac:dyDescent="0.25">
      <c r="A3" s="2">
        <f>tbl_consolidacao[[#This Row],[Torre]]</f>
        <v>1</v>
      </c>
      <c r="B3" s="2" t="str">
        <f>tbl_consolidacao[[#This Row],[Junta]]</f>
        <v>A</v>
      </c>
      <c r="C3" s="2">
        <f>tbl_consolidacao[[#This Row],[Unid]]</f>
        <v>101</v>
      </c>
      <c r="D3" s="2" t="str">
        <f>tbl_consolidacao[[#This Row],[Apto]]</f>
        <v>101-A1</v>
      </c>
      <c r="E3" s="2">
        <f>tbl_meddez_anterior[[#This Row],[Hidrometro]]</f>
        <v>1234</v>
      </c>
      <c r="F3" s="13">
        <v>4750</v>
      </c>
      <c r="G3" s="2">
        <f>tbl_meddez_anterior[[#This Row],[Hidrometro]]</f>
        <v>1234</v>
      </c>
      <c r="H3" s="14">
        <v>96</v>
      </c>
      <c r="I3" s="2">
        <f>(tbl_medfev[[#This Row],[Medição 
Água Fria]]/100)+(tbl_medfev[[#This Row],[Medição 
Água Quente]]/1000)</f>
        <v>47.595999999999997</v>
      </c>
      <c r="J3" s="15">
        <f>IF(tbl_medfev[[#This Row],[Total]]&gt;0,tbl_medfev[[#This Row],[Total]]/VLOOKUP(tbl_medfev[[#This Row],[Apto]],tbl_medjan[[Apto]:[Total]],6,FALSE)-1,"")</f>
        <v>0.31089567037567467</v>
      </c>
      <c r="K3" s="15">
        <f>IF(tbl_medfev[[#This Row],[Utilização (%)]]&lt;&gt;"",ALERTA_INDIVIDUAL-tbl_medfev[[#This Row],[Utilização (%)]],"")</f>
        <v>-6.0895670375674671E-2</v>
      </c>
    </row>
    <row r="4" spans="1:11" x14ac:dyDescent="0.25">
      <c r="A4" s="2">
        <f>tbl_consolidacao[[#This Row],[Torre]]</f>
        <v>2</v>
      </c>
      <c r="B4" s="2" t="str">
        <f>tbl_consolidacao[[#This Row],[Junta]]</f>
        <v>A</v>
      </c>
      <c r="C4" s="2">
        <f>tbl_consolidacao[[#This Row],[Unid]]</f>
        <v>101</v>
      </c>
      <c r="D4" s="2" t="str">
        <f>tbl_consolidacao[[#This Row],[Apto]]</f>
        <v>101-A2</v>
      </c>
      <c r="E4" s="2">
        <f>tbl_meddez_anterior[[#This Row],[Hidrometro]]</f>
        <v>1235</v>
      </c>
      <c r="F4" s="13">
        <v>4750</v>
      </c>
      <c r="G4" s="2">
        <f>tbl_meddez_anterior[[#This Row],[Hidrometro]]</f>
        <v>1235</v>
      </c>
      <c r="H4" s="14">
        <v>96</v>
      </c>
      <c r="I4" s="2">
        <f>(tbl_medfev[[#This Row],[Medição 
Água Fria]]/100)+(tbl_medfev[[#This Row],[Medição 
Água Quente]]/1000)</f>
        <v>47.595999999999997</v>
      </c>
      <c r="J4" s="15">
        <f>IF(tbl_medfev[[#This Row],[Total]]&gt;0,tbl_medfev[[#This Row],[Total]]/VLOOKUP(tbl_medfev[[#This Row],[Apto]],tbl_medjan[[Apto]:[Total]],6,FALSE)-1,"")</f>
        <v>0.31089567037567467</v>
      </c>
      <c r="K4" s="15">
        <f>IF(tbl_medfev[[#This Row],[Utilização (%)]]&lt;&gt;"",ALERTA_INDIVIDUAL-tbl_medfev[[#This Row],[Utilização (%)]],"")</f>
        <v>-6.0895670375674671E-2</v>
      </c>
    </row>
    <row r="5" spans="1:11" x14ac:dyDescent="0.25">
      <c r="A5" s="2">
        <f>tbl_consolidacao[[#This Row],[Torre]]</f>
        <v>1</v>
      </c>
      <c r="B5" s="2" t="str">
        <f>tbl_consolidacao[[#This Row],[Junta]]</f>
        <v>A</v>
      </c>
      <c r="C5" s="2">
        <f>tbl_consolidacao[[#This Row],[Unid]]</f>
        <v>102</v>
      </c>
      <c r="D5" s="2" t="str">
        <f>tbl_consolidacao[[#This Row],[Apto]]</f>
        <v>102-A1</v>
      </c>
      <c r="E5" s="2">
        <f>tbl_meddez_anterior[[#This Row],[Hidrometro]]</f>
        <v>1236</v>
      </c>
      <c r="F5" s="13">
        <v>4750</v>
      </c>
      <c r="G5" s="2">
        <f>tbl_meddez_anterior[[#This Row],[Hidrometro]]</f>
        <v>1236</v>
      </c>
      <c r="H5" s="14">
        <v>96</v>
      </c>
      <c r="I5" s="2">
        <f>(tbl_medfev[[#This Row],[Medição 
Água Fria]]/100)+(tbl_medfev[[#This Row],[Medição 
Água Quente]]/1000)</f>
        <v>47.595999999999997</v>
      </c>
      <c r="J5" s="15">
        <f>IF(tbl_medfev[[#This Row],[Total]]&gt;0,tbl_medfev[[#This Row],[Total]]/VLOOKUP(tbl_medfev[[#This Row],[Apto]],tbl_medjan[[Apto]:[Total]],6,FALSE)-1,"")</f>
        <v>0.31089567037567467</v>
      </c>
      <c r="K5" s="15">
        <f>IF(tbl_medfev[[#This Row],[Utilização (%)]]&lt;&gt;"",ALERTA_INDIVIDUAL-tbl_medfev[[#This Row],[Utilização (%)]],"")</f>
        <v>-6.0895670375674671E-2</v>
      </c>
    </row>
    <row r="6" spans="1:11" x14ac:dyDescent="0.25">
      <c r="A6" s="2">
        <f>tbl_consolidacao[[#This Row],[Torre]]</f>
        <v>2</v>
      </c>
      <c r="B6" s="2" t="str">
        <f>tbl_consolidacao[[#This Row],[Junta]]</f>
        <v>A</v>
      </c>
      <c r="C6" s="2">
        <f>tbl_consolidacao[[#This Row],[Unid]]</f>
        <v>102</v>
      </c>
      <c r="D6" s="2" t="str">
        <f>tbl_consolidacao[[#This Row],[Apto]]</f>
        <v>102-A2</v>
      </c>
      <c r="E6" s="2">
        <f>tbl_meddez_anterior[[#This Row],[Hidrometro]]</f>
        <v>1237</v>
      </c>
      <c r="F6" s="13">
        <v>4750</v>
      </c>
      <c r="G6" s="2">
        <f>tbl_meddez_anterior[[#This Row],[Hidrometro]]</f>
        <v>1237</v>
      </c>
      <c r="H6" s="14">
        <v>96</v>
      </c>
      <c r="I6" s="2">
        <f>(tbl_medfev[[#This Row],[Medição 
Água Fria]]/100)+(tbl_medfev[[#This Row],[Medição 
Água Quente]]/1000)</f>
        <v>47.595999999999997</v>
      </c>
      <c r="J6" s="15">
        <f>IF(tbl_medfev[[#This Row],[Total]]&gt;0,tbl_medfev[[#This Row],[Total]]/VLOOKUP(tbl_medfev[[#This Row],[Apto]],tbl_medjan[[Apto]:[Total]],6,FALSE)-1,"")</f>
        <v>0.31089567037567467</v>
      </c>
      <c r="K6" s="15">
        <f>IF(tbl_medfev[[#This Row],[Utilização (%)]]&lt;&gt;"",ALERTA_INDIVIDUAL-tbl_medfev[[#This Row],[Utilização (%)]],"")</f>
        <v>-6.0895670375674671E-2</v>
      </c>
    </row>
    <row r="7" spans="1:11" x14ac:dyDescent="0.25">
      <c r="A7" s="2">
        <f>tbl_consolidacao[[#This Row],[Torre]]</f>
        <v>1</v>
      </c>
      <c r="B7" s="2" t="str">
        <f>tbl_consolidacao[[#This Row],[Junta]]</f>
        <v>A</v>
      </c>
      <c r="C7" s="2">
        <f>tbl_consolidacao[[#This Row],[Unid]]</f>
        <v>103</v>
      </c>
      <c r="D7" s="2" t="str">
        <f>tbl_consolidacao[[#This Row],[Apto]]</f>
        <v>103-A1</v>
      </c>
      <c r="E7" s="2">
        <f>tbl_meddez_anterior[[#This Row],[Hidrometro]]</f>
        <v>1238</v>
      </c>
      <c r="F7" s="13">
        <v>4750</v>
      </c>
      <c r="G7" s="2">
        <f>tbl_meddez_anterior[[#This Row],[Hidrometro]]</f>
        <v>1238</v>
      </c>
      <c r="H7" s="14">
        <v>96</v>
      </c>
      <c r="I7" s="2">
        <f>(tbl_medfev[[#This Row],[Medição 
Água Fria]]/100)+(tbl_medfev[[#This Row],[Medição 
Água Quente]]/1000)</f>
        <v>47.595999999999997</v>
      </c>
      <c r="J7" s="15">
        <f>IF(tbl_medfev[[#This Row],[Total]]&gt;0,tbl_medfev[[#This Row],[Total]]/VLOOKUP(tbl_medfev[[#This Row],[Apto]],tbl_medjan[[Apto]:[Total]],6,FALSE)-1,"")</f>
        <v>0.31089567037567467</v>
      </c>
      <c r="K7" s="15">
        <f>IF(tbl_medfev[[#This Row],[Utilização (%)]]&lt;&gt;"",ALERTA_INDIVIDUAL-tbl_medfev[[#This Row],[Utilização (%)]],"")</f>
        <v>-6.0895670375674671E-2</v>
      </c>
    </row>
    <row r="8" spans="1:11" x14ac:dyDescent="0.25">
      <c r="A8" s="2">
        <f>tbl_consolidacao[[#This Row],[Torre]]</f>
        <v>2</v>
      </c>
      <c r="B8" s="2" t="str">
        <f>tbl_consolidacao[[#This Row],[Junta]]</f>
        <v>A</v>
      </c>
      <c r="C8" s="2">
        <f>tbl_consolidacao[[#This Row],[Unid]]</f>
        <v>103</v>
      </c>
      <c r="D8" s="2" t="str">
        <f>tbl_consolidacao[[#This Row],[Apto]]</f>
        <v>103-A2</v>
      </c>
      <c r="E8" s="2">
        <f>tbl_meddez_anterior[[#This Row],[Hidrometro]]</f>
        <v>1239</v>
      </c>
      <c r="F8" s="13">
        <v>4750</v>
      </c>
      <c r="G8" s="2">
        <f>tbl_meddez_anterior[[#This Row],[Hidrometro]]</f>
        <v>1239</v>
      </c>
      <c r="H8" s="14">
        <v>96</v>
      </c>
      <c r="I8" s="2">
        <f>(tbl_medfev[[#This Row],[Medição 
Água Fria]]/100)+(tbl_medfev[[#This Row],[Medição 
Água Quente]]/1000)</f>
        <v>47.595999999999997</v>
      </c>
      <c r="J8" s="15">
        <f>IF(tbl_medfev[[#This Row],[Total]]&gt;0,tbl_medfev[[#This Row],[Total]]/VLOOKUP(tbl_medfev[[#This Row],[Apto]],tbl_medjan[[Apto]:[Total]],6,FALSE)-1,"")</f>
        <v>0.31089567037567467</v>
      </c>
      <c r="K8" s="15">
        <f>IF(tbl_medfev[[#This Row],[Utilização (%)]]&lt;&gt;"",ALERTA_INDIVIDUAL-tbl_medfev[[#This Row],[Utilização (%)]],"")</f>
        <v>-6.0895670375674671E-2</v>
      </c>
    </row>
    <row r="9" spans="1:11" x14ac:dyDescent="0.25">
      <c r="A9" s="2">
        <f>tbl_consolidacao[[#This Row],[Torre]]</f>
        <v>1</v>
      </c>
      <c r="B9" s="2" t="str">
        <f>tbl_consolidacao[[#This Row],[Junta]]</f>
        <v>A</v>
      </c>
      <c r="C9" s="2">
        <f>tbl_consolidacao[[#This Row],[Unid]]</f>
        <v>104</v>
      </c>
      <c r="D9" s="2" t="str">
        <f>tbl_consolidacao[[#This Row],[Apto]]</f>
        <v>104-A1</v>
      </c>
      <c r="E9" s="2">
        <f>tbl_meddez_anterior[[#This Row],[Hidrometro]]</f>
        <v>1240</v>
      </c>
      <c r="F9" s="13">
        <v>4750</v>
      </c>
      <c r="G9" s="2">
        <f>tbl_meddez_anterior[[#This Row],[Hidrometro]]</f>
        <v>1240</v>
      </c>
      <c r="H9" s="14">
        <v>96</v>
      </c>
      <c r="I9" s="2">
        <f>(tbl_medfev[[#This Row],[Medição 
Água Fria]]/100)+(tbl_medfev[[#This Row],[Medição 
Água Quente]]/1000)</f>
        <v>47.595999999999997</v>
      </c>
      <c r="J9" s="15">
        <f>IF(tbl_medfev[[#This Row],[Total]]&gt;0,tbl_medfev[[#This Row],[Total]]/VLOOKUP(tbl_medfev[[#This Row],[Apto]],tbl_medjan[[Apto]:[Total]],6,FALSE)-1,"")</f>
        <v>0.31089567037567467</v>
      </c>
      <c r="K9" s="15">
        <f>IF(tbl_medfev[[#This Row],[Utilização (%)]]&lt;&gt;"",ALERTA_INDIVIDUAL-tbl_medfev[[#This Row],[Utilização (%)]],"")</f>
        <v>-6.0895670375674671E-2</v>
      </c>
    </row>
    <row r="10" spans="1:11" x14ac:dyDescent="0.25">
      <c r="A10" s="2">
        <f>tbl_consolidacao[[#This Row],[Torre]]</f>
        <v>2</v>
      </c>
      <c r="B10" s="2" t="str">
        <f>tbl_consolidacao[[#This Row],[Junta]]</f>
        <v>A</v>
      </c>
      <c r="C10" s="2">
        <f>tbl_consolidacao[[#This Row],[Unid]]</f>
        <v>104</v>
      </c>
      <c r="D10" s="2" t="str">
        <f>tbl_consolidacao[[#This Row],[Apto]]</f>
        <v>104-A2</v>
      </c>
      <c r="E10" s="2">
        <f>tbl_meddez_anterior[[#This Row],[Hidrometro]]</f>
        <v>1241</v>
      </c>
      <c r="F10" s="13">
        <v>4750</v>
      </c>
      <c r="G10" s="2">
        <f>tbl_meddez_anterior[[#This Row],[Hidrometro]]</f>
        <v>1241</v>
      </c>
      <c r="H10" s="14">
        <v>96</v>
      </c>
      <c r="I10" s="2">
        <f>(tbl_medfev[[#This Row],[Medição 
Água Fria]]/100)+(tbl_medfev[[#This Row],[Medição 
Água Quente]]/1000)</f>
        <v>47.595999999999997</v>
      </c>
      <c r="J10" s="15">
        <f>IF(tbl_medfev[[#This Row],[Total]]&gt;0,tbl_medfev[[#This Row],[Total]]/VLOOKUP(tbl_medfev[[#This Row],[Apto]],tbl_medjan[[Apto]:[Total]],6,FALSE)-1,"")</f>
        <v>0.31089567037567467</v>
      </c>
      <c r="K10" s="15">
        <f>IF(tbl_medfev[[#This Row],[Utilização (%)]]&lt;&gt;"",ALERTA_INDIVIDUAL-tbl_medfev[[#This Row],[Utilização (%)]],"")</f>
        <v>-6.0895670375674671E-2</v>
      </c>
    </row>
    <row r="11" spans="1:11" x14ac:dyDescent="0.25">
      <c r="A11" s="2">
        <f>tbl_consolidacao[[#This Row],[Torre]]</f>
        <v>2</v>
      </c>
      <c r="B11" s="2" t="str">
        <f>tbl_consolidacao[[#This Row],[Junta]]</f>
        <v>B</v>
      </c>
      <c r="C11" s="2">
        <f>tbl_consolidacao[[#This Row],[Unid]]</f>
        <v>105</v>
      </c>
      <c r="D11" s="2" t="str">
        <f>tbl_consolidacao[[#This Row],[Apto]]</f>
        <v>105-B2</v>
      </c>
      <c r="E11" s="2">
        <f>tbl_meddez_anterior[[#This Row],[Hidrometro]]</f>
        <v>1242</v>
      </c>
      <c r="F11" s="13">
        <v>4750</v>
      </c>
      <c r="G11" s="2">
        <f>tbl_meddez_anterior[[#This Row],[Hidrometro]]</f>
        <v>1242</v>
      </c>
      <c r="H11" s="14">
        <v>96</v>
      </c>
      <c r="I11" s="2">
        <f>(tbl_medfev[[#This Row],[Medição 
Água Fria]]/100)+(tbl_medfev[[#This Row],[Medição 
Água Quente]]/1000)</f>
        <v>47.595999999999997</v>
      </c>
      <c r="J11" s="15">
        <f>IF(tbl_medfev[[#This Row],[Total]]&gt;0,tbl_medfev[[#This Row],[Total]]/VLOOKUP(tbl_medfev[[#This Row],[Apto]],tbl_medjan[[Apto]:[Total]],6,FALSE)-1,"")</f>
        <v>0.31089567037567467</v>
      </c>
      <c r="K11" s="15">
        <f>IF(tbl_medfev[[#This Row],[Utilização (%)]]&lt;&gt;"",ALERTA_INDIVIDUAL-tbl_medfev[[#This Row],[Utilização (%)]],"")</f>
        <v>-6.0895670375674671E-2</v>
      </c>
    </row>
    <row r="12" spans="1:11" x14ac:dyDescent="0.25">
      <c r="A12" s="2">
        <f>tbl_consolidacao[[#This Row],[Torre]]</f>
        <v>2</v>
      </c>
      <c r="B12" s="2" t="str">
        <f>tbl_consolidacao[[#This Row],[Junta]]</f>
        <v>B</v>
      </c>
      <c r="C12" s="2">
        <f>tbl_consolidacao[[#This Row],[Unid]]</f>
        <v>106</v>
      </c>
      <c r="D12" s="2" t="str">
        <f>tbl_consolidacao[[#This Row],[Apto]]</f>
        <v>106-B2</v>
      </c>
      <c r="E12" s="2">
        <f>tbl_meddez_anterior[[#This Row],[Hidrometro]]</f>
        <v>1243</v>
      </c>
      <c r="F12" s="13">
        <v>4750</v>
      </c>
      <c r="G12" s="2">
        <f>tbl_meddez_anterior[[#This Row],[Hidrometro]]</f>
        <v>1243</v>
      </c>
      <c r="H12" s="14">
        <v>96</v>
      </c>
      <c r="I12" s="2">
        <f>(tbl_medfev[[#This Row],[Medição 
Água Fria]]/100)+(tbl_medfev[[#This Row],[Medição 
Água Quente]]/1000)</f>
        <v>47.595999999999997</v>
      </c>
      <c r="J12" s="15">
        <f>IF(tbl_medfev[[#This Row],[Total]]&gt;0,tbl_medfev[[#This Row],[Total]]/VLOOKUP(tbl_medfev[[#This Row],[Apto]],tbl_medjan[[Apto]:[Total]],6,FALSE)-1,"")</f>
        <v>0.31089567037567467</v>
      </c>
      <c r="K12" s="15">
        <f>IF(tbl_medfev[[#This Row],[Utilização (%)]]&lt;&gt;"",ALERTA_INDIVIDUAL-tbl_medfev[[#This Row],[Utilização (%)]],"")</f>
        <v>-6.0895670375674671E-2</v>
      </c>
    </row>
    <row r="13" spans="1:11" x14ac:dyDescent="0.25">
      <c r="A13" s="2">
        <f>tbl_consolidacao[[#This Row],[Torre]]</f>
        <v>2</v>
      </c>
      <c r="B13" s="2" t="str">
        <f>tbl_consolidacao[[#This Row],[Junta]]</f>
        <v>B</v>
      </c>
      <c r="C13" s="2">
        <f>tbl_consolidacao[[#This Row],[Unid]]</f>
        <v>107</v>
      </c>
      <c r="D13" s="2" t="str">
        <f>tbl_consolidacao[[#This Row],[Apto]]</f>
        <v>107-B2</v>
      </c>
      <c r="E13" s="2">
        <f>tbl_meddez_anterior[[#This Row],[Hidrometro]]</f>
        <v>1244</v>
      </c>
      <c r="F13" s="13">
        <v>4750</v>
      </c>
      <c r="G13" s="2">
        <f>tbl_meddez_anterior[[#This Row],[Hidrometro]]</f>
        <v>1244</v>
      </c>
      <c r="H13" s="14">
        <v>96</v>
      </c>
      <c r="I13" s="2">
        <f>(tbl_medfev[[#This Row],[Medição 
Água Fria]]/100)+(tbl_medfev[[#This Row],[Medição 
Água Quente]]/1000)</f>
        <v>47.595999999999997</v>
      </c>
      <c r="J13" s="15">
        <f>IF(tbl_medfev[[#This Row],[Total]]&gt;0,tbl_medfev[[#This Row],[Total]]/VLOOKUP(tbl_medfev[[#This Row],[Apto]],tbl_medjan[[Apto]:[Total]],6,FALSE)-1,"")</f>
        <v>0.31089567037567467</v>
      </c>
      <c r="K13" s="15">
        <f>IF(tbl_medfev[[#This Row],[Utilização (%)]]&lt;&gt;"",ALERTA_INDIVIDUAL-tbl_medfev[[#This Row],[Utilização (%)]],"")</f>
        <v>-6.0895670375674671E-2</v>
      </c>
    </row>
    <row r="14" spans="1:11" x14ac:dyDescent="0.25">
      <c r="A14" s="2">
        <f>tbl_consolidacao[[#This Row],[Torre]]</f>
        <v>2</v>
      </c>
      <c r="B14" s="2" t="str">
        <f>tbl_consolidacao[[#This Row],[Junta]]</f>
        <v>B</v>
      </c>
      <c r="C14" s="2">
        <f>tbl_consolidacao[[#This Row],[Unid]]</f>
        <v>108</v>
      </c>
      <c r="D14" s="2" t="str">
        <f>tbl_consolidacao[[#This Row],[Apto]]</f>
        <v>108-B2</v>
      </c>
      <c r="E14" s="2">
        <f>tbl_meddez_anterior[[#This Row],[Hidrometro]]</f>
        <v>1245</v>
      </c>
      <c r="F14" s="13">
        <v>4750</v>
      </c>
      <c r="G14" s="2">
        <f>tbl_meddez_anterior[[#This Row],[Hidrometro]]</f>
        <v>1245</v>
      </c>
      <c r="H14" s="14">
        <v>96</v>
      </c>
      <c r="I14" s="2">
        <f>(tbl_medfev[[#This Row],[Medição 
Água Fria]]/100)+(tbl_medfev[[#This Row],[Medição 
Água Quente]]/1000)</f>
        <v>47.595999999999997</v>
      </c>
      <c r="J14" s="15">
        <f>IF(tbl_medfev[[#This Row],[Total]]&gt;0,tbl_medfev[[#This Row],[Total]]/VLOOKUP(tbl_medfev[[#This Row],[Apto]],tbl_medjan[[Apto]:[Total]],6,FALSE)-1,"")</f>
        <v>0.31089567037567467</v>
      </c>
      <c r="K14" s="15">
        <f>IF(tbl_medfev[[#This Row],[Utilização (%)]]&lt;&gt;"",ALERTA_INDIVIDUAL-tbl_medfev[[#This Row],[Utilização (%)]],"")</f>
        <v>-6.0895670375674671E-2</v>
      </c>
    </row>
    <row r="15" spans="1:11" x14ac:dyDescent="0.25">
      <c r="A15" s="2">
        <f>tbl_consolidacao[[#This Row],[Torre]]</f>
        <v>1</v>
      </c>
      <c r="B15" s="2" t="str">
        <f>tbl_consolidacao[[#This Row],[Junta]]</f>
        <v>A</v>
      </c>
      <c r="C15" s="2">
        <f>tbl_consolidacao[[#This Row],[Unid]]</f>
        <v>201</v>
      </c>
      <c r="D15" s="2" t="str">
        <f>tbl_consolidacao[[#This Row],[Apto]]</f>
        <v>201-A1</v>
      </c>
      <c r="E15" s="2">
        <f>tbl_meddez_anterior[[#This Row],[Hidrometro]]</f>
        <v>1246</v>
      </c>
      <c r="F15" s="13">
        <v>4750</v>
      </c>
      <c r="G15" s="2">
        <f>tbl_meddez_anterior[[#This Row],[Hidrometro]]</f>
        <v>1246</v>
      </c>
      <c r="H15" s="14">
        <v>96</v>
      </c>
      <c r="I15" s="2">
        <f>(tbl_medfev[[#This Row],[Medição 
Água Fria]]/100)+(tbl_medfev[[#This Row],[Medição 
Água Quente]]/1000)</f>
        <v>47.595999999999997</v>
      </c>
      <c r="J15" s="15">
        <f>IF(tbl_medfev[[#This Row],[Total]]&gt;0,tbl_medfev[[#This Row],[Total]]/VLOOKUP(tbl_medfev[[#This Row],[Apto]],tbl_medjan[[Apto]:[Total]],6,FALSE)-1,"")</f>
        <v>0.31089567037567467</v>
      </c>
      <c r="K15" s="15">
        <f>IF(tbl_medfev[[#This Row],[Utilização (%)]]&lt;&gt;"",ALERTA_INDIVIDUAL-tbl_medfev[[#This Row],[Utilização (%)]],"")</f>
        <v>-6.0895670375674671E-2</v>
      </c>
    </row>
    <row r="16" spans="1:11" x14ac:dyDescent="0.25">
      <c r="A16" s="2">
        <f>tbl_consolidacao[[#This Row],[Torre]]</f>
        <v>2</v>
      </c>
      <c r="B16" s="2" t="str">
        <f>tbl_consolidacao[[#This Row],[Junta]]</f>
        <v>A</v>
      </c>
      <c r="C16" s="2">
        <f>tbl_consolidacao[[#This Row],[Unid]]</f>
        <v>201</v>
      </c>
      <c r="D16" s="2" t="str">
        <f>tbl_consolidacao[[#This Row],[Apto]]</f>
        <v>201-A2</v>
      </c>
      <c r="E16" s="2">
        <f>tbl_meddez_anterior[[#This Row],[Hidrometro]]</f>
        <v>1247</v>
      </c>
      <c r="F16" s="13">
        <v>4750</v>
      </c>
      <c r="G16" s="2">
        <f>tbl_meddez_anterior[[#This Row],[Hidrometro]]</f>
        <v>1247</v>
      </c>
      <c r="H16" s="14">
        <v>96</v>
      </c>
      <c r="I16" s="2">
        <f>(tbl_medfev[[#This Row],[Medição 
Água Fria]]/100)+(tbl_medfev[[#This Row],[Medição 
Água Quente]]/1000)</f>
        <v>47.595999999999997</v>
      </c>
      <c r="J16" s="15">
        <f>IF(tbl_medfev[[#This Row],[Total]]&gt;0,tbl_medfev[[#This Row],[Total]]/VLOOKUP(tbl_medfev[[#This Row],[Apto]],tbl_medjan[[Apto]:[Total]],6,FALSE)-1,"")</f>
        <v>0.31089567037567467</v>
      </c>
      <c r="K16" s="15">
        <f>IF(tbl_medfev[[#This Row],[Utilização (%)]]&lt;&gt;"",ALERTA_INDIVIDUAL-tbl_medfev[[#This Row],[Utilização (%)]],"")</f>
        <v>-6.0895670375674671E-2</v>
      </c>
    </row>
    <row r="17" spans="1:11" x14ac:dyDescent="0.25">
      <c r="A17" s="2">
        <f>tbl_consolidacao[[#This Row],[Torre]]</f>
        <v>1</v>
      </c>
      <c r="B17" s="2" t="str">
        <f>tbl_consolidacao[[#This Row],[Junta]]</f>
        <v>A</v>
      </c>
      <c r="C17" s="2">
        <f>tbl_consolidacao[[#This Row],[Unid]]</f>
        <v>202</v>
      </c>
      <c r="D17" s="2" t="str">
        <f>tbl_consolidacao[[#This Row],[Apto]]</f>
        <v>202-A1</v>
      </c>
      <c r="E17" s="2">
        <f>tbl_meddez_anterior[[#This Row],[Hidrometro]]</f>
        <v>1248</v>
      </c>
      <c r="F17" s="13">
        <v>4750</v>
      </c>
      <c r="G17" s="2">
        <f>tbl_meddez_anterior[[#This Row],[Hidrometro]]</f>
        <v>1248</v>
      </c>
      <c r="H17" s="14">
        <v>96</v>
      </c>
      <c r="I17" s="2">
        <f>(tbl_medfev[[#This Row],[Medição 
Água Fria]]/100)+(tbl_medfev[[#This Row],[Medição 
Água Quente]]/1000)</f>
        <v>47.595999999999997</v>
      </c>
      <c r="J17" s="15">
        <f>IF(tbl_medfev[[#This Row],[Total]]&gt;0,tbl_medfev[[#This Row],[Total]]/VLOOKUP(tbl_medfev[[#This Row],[Apto]],tbl_medjan[[Apto]:[Total]],6,FALSE)-1,"")</f>
        <v>0.31089567037567467</v>
      </c>
      <c r="K17" s="15">
        <f>IF(tbl_medfev[[#This Row],[Utilização (%)]]&lt;&gt;"",ALERTA_INDIVIDUAL-tbl_medfev[[#This Row],[Utilização (%)]],"")</f>
        <v>-6.0895670375674671E-2</v>
      </c>
    </row>
    <row r="18" spans="1:11" x14ac:dyDescent="0.25">
      <c r="A18" s="2">
        <f>tbl_consolidacao[[#This Row],[Torre]]</f>
        <v>2</v>
      </c>
      <c r="B18" s="2" t="str">
        <f>tbl_consolidacao[[#This Row],[Junta]]</f>
        <v>A</v>
      </c>
      <c r="C18" s="2">
        <f>tbl_consolidacao[[#This Row],[Unid]]</f>
        <v>202</v>
      </c>
      <c r="D18" s="2" t="str">
        <f>tbl_consolidacao[[#This Row],[Apto]]</f>
        <v>202-A2</v>
      </c>
      <c r="E18" s="2">
        <f>tbl_meddez_anterior[[#This Row],[Hidrometro]]</f>
        <v>1249</v>
      </c>
      <c r="F18" s="13">
        <v>4750</v>
      </c>
      <c r="G18" s="2">
        <f>tbl_meddez_anterior[[#This Row],[Hidrometro]]</f>
        <v>1249</v>
      </c>
      <c r="H18" s="14">
        <v>96</v>
      </c>
      <c r="I18" s="2">
        <f>(tbl_medfev[[#This Row],[Medição 
Água Fria]]/100)+(tbl_medfev[[#This Row],[Medição 
Água Quente]]/1000)</f>
        <v>47.595999999999997</v>
      </c>
      <c r="J18" s="15">
        <f>IF(tbl_medfev[[#This Row],[Total]]&gt;0,tbl_medfev[[#This Row],[Total]]/VLOOKUP(tbl_medfev[[#This Row],[Apto]],tbl_medjan[[Apto]:[Total]],6,FALSE)-1,"")</f>
        <v>0.31089567037567467</v>
      </c>
      <c r="K18" s="15">
        <f>IF(tbl_medfev[[#This Row],[Utilização (%)]]&lt;&gt;"",ALERTA_INDIVIDUAL-tbl_medfev[[#This Row],[Utilização (%)]],"")</f>
        <v>-6.0895670375674671E-2</v>
      </c>
    </row>
    <row r="19" spans="1:11" x14ac:dyDescent="0.25">
      <c r="A19" s="2">
        <f>tbl_consolidacao[[#This Row],[Torre]]</f>
        <v>1</v>
      </c>
      <c r="B19" s="2" t="str">
        <f>tbl_consolidacao[[#This Row],[Junta]]</f>
        <v>A</v>
      </c>
      <c r="C19" s="2">
        <f>tbl_consolidacao[[#This Row],[Unid]]</f>
        <v>203</v>
      </c>
      <c r="D19" s="2" t="str">
        <f>tbl_consolidacao[[#This Row],[Apto]]</f>
        <v>203-A1</v>
      </c>
      <c r="E19" s="2">
        <f>tbl_meddez_anterior[[#This Row],[Hidrometro]]</f>
        <v>1250</v>
      </c>
      <c r="F19" s="13">
        <v>4750</v>
      </c>
      <c r="G19" s="2">
        <f>tbl_meddez_anterior[[#This Row],[Hidrometro]]</f>
        <v>1250</v>
      </c>
      <c r="H19" s="14">
        <v>96</v>
      </c>
      <c r="I19" s="2">
        <f>(tbl_medfev[[#This Row],[Medição 
Água Fria]]/100)+(tbl_medfev[[#This Row],[Medição 
Água Quente]]/1000)</f>
        <v>47.595999999999997</v>
      </c>
      <c r="J19" s="15">
        <f>IF(tbl_medfev[[#This Row],[Total]]&gt;0,tbl_medfev[[#This Row],[Total]]/VLOOKUP(tbl_medfev[[#This Row],[Apto]],tbl_medjan[[Apto]:[Total]],6,FALSE)-1,"")</f>
        <v>0.31089567037567467</v>
      </c>
      <c r="K19" s="15">
        <f>IF(tbl_medfev[[#This Row],[Utilização (%)]]&lt;&gt;"",ALERTA_INDIVIDUAL-tbl_medfev[[#This Row],[Utilização (%)]],"")</f>
        <v>-6.0895670375674671E-2</v>
      </c>
    </row>
    <row r="20" spans="1:11" x14ac:dyDescent="0.25">
      <c r="A20" s="2">
        <f>tbl_consolidacao[[#This Row],[Torre]]</f>
        <v>2</v>
      </c>
      <c r="B20" s="2" t="str">
        <f>tbl_consolidacao[[#This Row],[Junta]]</f>
        <v>A</v>
      </c>
      <c r="C20" s="2">
        <f>tbl_consolidacao[[#This Row],[Unid]]</f>
        <v>203</v>
      </c>
      <c r="D20" s="2" t="str">
        <f>tbl_consolidacao[[#This Row],[Apto]]</f>
        <v>203-A2</v>
      </c>
      <c r="E20" s="2">
        <f>tbl_meddez_anterior[[#This Row],[Hidrometro]]</f>
        <v>1251</v>
      </c>
      <c r="F20" s="13">
        <v>4750</v>
      </c>
      <c r="G20" s="2">
        <f>tbl_meddez_anterior[[#This Row],[Hidrometro]]</f>
        <v>1251</v>
      </c>
      <c r="H20" s="14">
        <v>96</v>
      </c>
      <c r="I20" s="2">
        <f>(tbl_medfev[[#This Row],[Medição 
Água Fria]]/100)+(tbl_medfev[[#This Row],[Medição 
Água Quente]]/1000)</f>
        <v>47.595999999999997</v>
      </c>
      <c r="J20" s="15">
        <f>IF(tbl_medfev[[#This Row],[Total]]&gt;0,tbl_medfev[[#This Row],[Total]]/VLOOKUP(tbl_medfev[[#This Row],[Apto]],tbl_medjan[[Apto]:[Total]],6,FALSE)-1,"")</f>
        <v>0.31089567037567467</v>
      </c>
      <c r="K20" s="15">
        <f>IF(tbl_medfev[[#This Row],[Utilização (%)]]&lt;&gt;"",ALERTA_INDIVIDUAL-tbl_medfev[[#This Row],[Utilização (%)]],"")</f>
        <v>-6.0895670375674671E-2</v>
      </c>
    </row>
    <row r="21" spans="1:11" x14ac:dyDescent="0.25">
      <c r="A21" s="2">
        <f>tbl_consolidacao[[#This Row],[Torre]]</f>
        <v>1</v>
      </c>
      <c r="B21" s="2" t="str">
        <f>tbl_consolidacao[[#This Row],[Junta]]</f>
        <v>A</v>
      </c>
      <c r="C21" s="2">
        <f>tbl_consolidacao[[#This Row],[Unid]]</f>
        <v>204</v>
      </c>
      <c r="D21" s="2" t="str">
        <f>tbl_consolidacao[[#This Row],[Apto]]</f>
        <v>204-A1</v>
      </c>
      <c r="E21" s="2">
        <f>tbl_meddez_anterior[[#This Row],[Hidrometro]]</f>
        <v>1252</v>
      </c>
      <c r="F21" s="13">
        <v>4750</v>
      </c>
      <c r="G21" s="2">
        <f>tbl_meddez_anterior[[#This Row],[Hidrometro]]</f>
        <v>1252</v>
      </c>
      <c r="H21" s="14">
        <v>96</v>
      </c>
      <c r="I21" s="2">
        <f>(tbl_medfev[[#This Row],[Medição 
Água Fria]]/100)+(tbl_medfev[[#This Row],[Medição 
Água Quente]]/1000)</f>
        <v>47.595999999999997</v>
      </c>
      <c r="J21" s="15">
        <f>IF(tbl_medfev[[#This Row],[Total]]&gt;0,tbl_medfev[[#This Row],[Total]]/VLOOKUP(tbl_medfev[[#This Row],[Apto]],tbl_medjan[[Apto]:[Total]],6,FALSE)-1,"")</f>
        <v>0.31089567037567467</v>
      </c>
      <c r="K21" s="15">
        <f>IF(tbl_medfev[[#This Row],[Utilização (%)]]&lt;&gt;"",ALERTA_INDIVIDUAL-tbl_medfev[[#This Row],[Utilização (%)]],"")</f>
        <v>-6.0895670375674671E-2</v>
      </c>
    </row>
    <row r="22" spans="1:11" x14ac:dyDescent="0.25">
      <c r="A22" s="2">
        <f>tbl_consolidacao[[#This Row],[Torre]]</f>
        <v>2</v>
      </c>
      <c r="B22" s="2" t="str">
        <f>tbl_consolidacao[[#This Row],[Junta]]</f>
        <v>A</v>
      </c>
      <c r="C22" s="2">
        <f>tbl_consolidacao[[#This Row],[Unid]]</f>
        <v>204</v>
      </c>
      <c r="D22" s="2" t="str">
        <f>tbl_consolidacao[[#This Row],[Apto]]</f>
        <v>204-A2</v>
      </c>
      <c r="E22" s="2">
        <f>tbl_meddez_anterior[[#This Row],[Hidrometro]]</f>
        <v>1253</v>
      </c>
      <c r="F22" s="13">
        <v>4750</v>
      </c>
      <c r="G22" s="2">
        <f>tbl_meddez_anterior[[#This Row],[Hidrometro]]</f>
        <v>1253</v>
      </c>
      <c r="H22" s="14">
        <v>96</v>
      </c>
      <c r="I22" s="2">
        <f>(tbl_medfev[[#This Row],[Medição 
Água Fria]]/100)+(tbl_medfev[[#This Row],[Medição 
Água Quente]]/1000)</f>
        <v>47.595999999999997</v>
      </c>
      <c r="J22" s="15">
        <f>IF(tbl_medfev[[#This Row],[Total]]&gt;0,tbl_medfev[[#This Row],[Total]]/VLOOKUP(tbl_medfev[[#This Row],[Apto]],tbl_medjan[[Apto]:[Total]],6,FALSE)-1,"")</f>
        <v>0.31089567037567467</v>
      </c>
      <c r="K22" s="15">
        <f>IF(tbl_medfev[[#This Row],[Utilização (%)]]&lt;&gt;"",ALERTA_INDIVIDUAL-tbl_medfev[[#This Row],[Utilização (%)]],"")</f>
        <v>-6.0895670375674671E-2</v>
      </c>
    </row>
    <row r="23" spans="1:11" x14ac:dyDescent="0.25">
      <c r="A23" s="2">
        <f>tbl_consolidacao[[#This Row],[Torre]]</f>
        <v>1</v>
      </c>
      <c r="B23" s="2" t="str">
        <f>tbl_consolidacao[[#This Row],[Junta]]</f>
        <v>B</v>
      </c>
      <c r="C23" s="2">
        <f>tbl_consolidacao[[#This Row],[Unid]]</f>
        <v>205</v>
      </c>
      <c r="D23" s="2" t="str">
        <f>tbl_consolidacao[[#This Row],[Apto]]</f>
        <v>205-B1</v>
      </c>
      <c r="E23" s="2">
        <f>tbl_meddez_anterior[[#This Row],[Hidrometro]]</f>
        <v>1254</v>
      </c>
      <c r="F23" s="13">
        <v>4750</v>
      </c>
      <c r="G23" s="2">
        <f>tbl_meddez_anterior[[#This Row],[Hidrometro]]</f>
        <v>1254</v>
      </c>
      <c r="H23" s="14">
        <v>96</v>
      </c>
      <c r="I23" s="2">
        <f>(tbl_medfev[[#This Row],[Medição 
Água Fria]]/100)+(tbl_medfev[[#This Row],[Medição 
Água Quente]]/1000)</f>
        <v>47.595999999999997</v>
      </c>
      <c r="J23" s="15">
        <f>IF(tbl_medfev[[#This Row],[Total]]&gt;0,tbl_medfev[[#This Row],[Total]]/VLOOKUP(tbl_medfev[[#This Row],[Apto]],tbl_medjan[[Apto]:[Total]],6,FALSE)-1,"")</f>
        <v>0.31089567037567467</v>
      </c>
      <c r="K23" s="15">
        <f>IF(tbl_medfev[[#This Row],[Utilização (%)]]&lt;&gt;"",ALERTA_INDIVIDUAL-tbl_medfev[[#This Row],[Utilização (%)]],"")</f>
        <v>-6.0895670375674671E-2</v>
      </c>
    </row>
    <row r="24" spans="1:11" x14ac:dyDescent="0.25">
      <c r="A24" s="2">
        <f>tbl_consolidacao[[#This Row],[Torre]]</f>
        <v>2</v>
      </c>
      <c r="B24" s="2" t="str">
        <f>tbl_consolidacao[[#This Row],[Junta]]</f>
        <v>B</v>
      </c>
      <c r="C24" s="2">
        <f>tbl_consolidacao[[#This Row],[Unid]]</f>
        <v>205</v>
      </c>
      <c r="D24" s="2" t="str">
        <f>tbl_consolidacao[[#This Row],[Apto]]</f>
        <v>205-B2</v>
      </c>
      <c r="E24" s="2">
        <f>tbl_meddez_anterior[[#This Row],[Hidrometro]]</f>
        <v>1255</v>
      </c>
      <c r="F24" s="13">
        <v>4750</v>
      </c>
      <c r="G24" s="2">
        <f>tbl_meddez_anterior[[#This Row],[Hidrometro]]</f>
        <v>1255</v>
      </c>
      <c r="H24" s="14">
        <v>96</v>
      </c>
      <c r="I24" s="2">
        <f>(tbl_medfev[[#This Row],[Medição 
Água Fria]]/100)+(tbl_medfev[[#This Row],[Medição 
Água Quente]]/1000)</f>
        <v>47.595999999999997</v>
      </c>
      <c r="J24" s="15">
        <f>IF(tbl_medfev[[#This Row],[Total]]&gt;0,tbl_medfev[[#This Row],[Total]]/VLOOKUP(tbl_medfev[[#This Row],[Apto]],tbl_medjan[[Apto]:[Total]],6,FALSE)-1,"")</f>
        <v>0.31089567037567467</v>
      </c>
      <c r="K24" s="15">
        <f>IF(tbl_medfev[[#This Row],[Utilização (%)]]&lt;&gt;"",ALERTA_INDIVIDUAL-tbl_medfev[[#This Row],[Utilização (%)]],"")</f>
        <v>-6.0895670375674671E-2</v>
      </c>
    </row>
    <row r="25" spans="1:11" x14ac:dyDescent="0.25">
      <c r="A25" s="2">
        <f>tbl_consolidacao[[#This Row],[Torre]]</f>
        <v>1</v>
      </c>
      <c r="B25" s="2" t="str">
        <f>tbl_consolidacao[[#This Row],[Junta]]</f>
        <v>B</v>
      </c>
      <c r="C25" s="2">
        <f>tbl_consolidacao[[#This Row],[Unid]]</f>
        <v>206</v>
      </c>
      <c r="D25" s="2" t="str">
        <f>tbl_consolidacao[[#This Row],[Apto]]</f>
        <v>206-B1</v>
      </c>
      <c r="E25" s="2">
        <f>tbl_meddez_anterior[[#This Row],[Hidrometro]]</f>
        <v>1256</v>
      </c>
      <c r="F25" s="13">
        <v>4750</v>
      </c>
      <c r="G25" s="2">
        <f>tbl_meddez_anterior[[#This Row],[Hidrometro]]</f>
        <v>1256</v>
      </c>
      <c r="H25" s="14">
        <v>96</v>
      </c>
      <c r="I25" s="2">
        <f>(tbl_medfev[[#This Row],[Medição 
Água Fria]]/100)+(tbl_medfev[[#This Row],[Medição 
Água Quente]]/1000)</f>
        <v>47.595999999999997</v>
      </c>
      <c r="J25" s="15">
        <f>IF(tbl_medfev[[#This Row],[Total]]&gt;0,tbl_medfev[[#This Row],[Total]]/VLOOKUP(tbl_medfev[[#This Row],[Apto]],tbl_medjan[[Apto]:[Total]],6,FALSE)-1,"")</f>
        <v>0.31089567037567467</v>
      </c>
      <c r="K25" s="15">
        <f>IF(tbl_medfev[[#This Row],[Utilização (%)]]&lt;&gt;"",ALERTA_INDIVIDUAL-tbl_medfev[[#This Row],[Utilização (%)]],"")</f>
        <v>-6.0895670375674671E-2</v>
      </c>
    </row>
    <row r="26" spans="1:11" x14ac:dyDescent="0.25">
      <c r="A26" s="2">
        <f>tbl_consolidacao[[#This Row],[Torre]]</f>
        <v>2</v>
      </c>
      <c r="B26" s="2" t="str">
        <f>tbl_consolidacao[[#This Row],[Junta]]</f>
        <v>B</v>
      </c>
      <c r="C26" s="2">
        <f>tbl_consolidacao[[#This Row],[Unid]]</f>
        <v>206</v>
      </c>
      <c r="D26" s="2" t="str">
        <f>tbl_consolidacao[[#This Row],[Apto]]</f>
        <v>206-B2</v>
      </c>
      <c r="E26" s="2">
        <f>tbl_meddez_anterior[[#This Row],[Hidrometro]]</f>
        <v>1257</v>
      </c>
      <c r="F26" s="13">
        <v>4750</v>
      </c>
      <c r="G26" s="2">
        <f>tbl_meddez_anterior[[#This Row],[Hidrometro]]</f>
        <v>1257</v>
      </c>
      <c r="H26" s="14">
        <v>96</v>
      </c>
      <c r="I26" s="2">
        <f>(tbl_medfev[[#This Row],[Medição 
Água Fria]]/100)+(tbl_medfev[[#This Row],[Medição 
Água Quente]]/1000)</f>
        <v>47.595999999999997</v>
      </c>
      <c r="J26" s="15">
        <f>IF(tbl_medfev[[#This Row],[Total]]&gt;0,tbl_medfev[[#This Row],[Total]]/VLOOKUP(tbl_medfev[[#This Row],[Apto]],tbl_medjan[[Apto]:[Total]],6,FALSE)-1,"")</f>
        <v>0.31089567037567467</v>
      </c>
      <c r="K26" s="15">
        <f>IF(tbl_medfev[[#This Row],[Utilização (%)]]&lt;&gt;"",ALERTA_INDIVIDUAL-tbl_medfev[[#This Row],[Utilização (%)]],"")</f>
        <v>-6.0895670375674671E-2</v>
      </c>
    </row>
    <row r="27" spans="1:11" x14ac:dyDescent="0.25">
      <c r="A27" s="2">
        <f>tbl_consolidacao[[#This Row],[Torre]]</f>
        <v>1</v>
      </c>
      <c r="B27" s="2" t="str">
        <f>tbl_consolidacao[[#This Row],[Junta]]</f>
        <v>B</v>
      </c>
      <c r="C27" s="2">
        <f>tbl_consolidacao[[#This Row],[Unid]]</f>
        <v>207</v>
      </c>
      <c r="D27" s="2" t="str">
        <f>tbl_consolidacao[[#This Row],[Apto]]</f>
        <v>207-B1</v>
      </c>
      <c r="E27" s="2">
        <f>tbl_meddez_anterior[[#This Row],[Hidrometro]]</f>
        <v>1258</v>
      </c>
      <c r="F27" s="13">
        <v>4750</v>
      </c>
      <c r="G27" s="2">
        <f>tbl_meddez_anterior[[#This Row],[Hidrometro]]</f>
        <v>1258</v>
      </c>
      <c r="H27" s="14">
        <v>96</v>
      </c>
      <c r="I27" s="2">
        <f>(tbl_medfev[[#This Row],[Medição 
Água Fria]]/100)+(tbl_medfev[[#This Row],[Medição 
Água Quente]]/1000)</f>
        <v>47.595999999999997</v>
      </c>
      <c r="J27" s="15">
        <f>IF(tbl_medfev[[#This Row],[Total]]&gt;0,tbl_medfev[[#This Row],[Total]]/VLOOKUP(tbl_medfev[[#This Row],[Apto]],tbl_medjan[[Apto]:[Total]],6,FALSE)-1,"")</f>
        <v>0.31089567037567467</v>
      </c>
      <c r="K27" s="15">
        <f>IF(tbl_medfev[[#This Row],[Utilização (%)]]&lt;&gt;"",ALERTA_INDIVIDUAL-tbl_medfev[[#This Row],[Utilização (%)]],"")</f>
        <v>-6.0895670375674671E-2</v>
      </c>
    </row>
    <row r="28" spans="1:11" x14ac:dyDescent="0.25">
      <c r="A28" s="2">
        <f>tbl_consolidacao[[#This Row],[Torre]]</f>
        <v>2</v>
      </c>
      <c r="B28" s="2" t="str">
        <f>tbl_consolidacao[[#This Row],[Junta]]</f>
        <v>B</v>
      </c>
      <c r="C28" s="2">
        <f>tbl_consolidacao[[#This Row],[Unid]]</f>
        <v>207</v>
      </c>
      <c r="D28" s="2" t="str">
        <f>tbl_consolidacao[[#This Row],[Apto]]</f>
        <v>207-B2</v>
      </c>
      <c r="E28" s="2">
        <f>tbl_meddez_anterior[[#This Row],[Hidrometro]]</f>
        <v>1259</v>
      </c>
      <c r="F28" s="13">
        <v>4750</v>
      </c>
      <c r="G28" s="2">
        <f>tbl_meddez_anterior[[#This Row],[Hidrometro]]</f>
        <v>1259</v>
      </c>
      <c r="H28" s="14">
        <v>96</v>
      </c>
      <c r="I28" s="2">
        <f>(tbl_medfev[[#This Row],[Medição 
Água Fria]]/100)+(tbl_medfev[[#This Row],[Medição 
Água Quente]]/1000)</f>
        <v>47.595999999999997</v>
      </c>
      <c r="J28" s="15">
        <f>IF(tbl_medfev[[#This Row],[Total]]&gt;0,tbl_medfev[[#This Row],[Total]]/VLOOKUP(tbl_medfev[[#This Row],[Apto]],tbl_medjan[[Apto]:[Total]],6,FALSE)-1,"")</f>
        <v>0.31089567037567467</v>
      </c>
      <c r="K28" s="15">
        <f>IF(tbl_medfev[[#This Row],[Utilização (%)]]&lt;&gt;"",ALERTA_INDIVIDUAL-tbl_medfev[[#This Row],[Utilização (%)]],"")</f>
        <v>-6.0895670375674671E-2</v>
      </c>
    </row>
    <row r="29" spans="1:11" x14ac:dyDescent="0.25">
      <c r="A29" s="2">
        <f>tbl_consolidacao[[#This Row],[Torre]]</f>
        <v>1</v>
      </c>
      <c r="B29" s="2" t="str">
        <f>tbl_consolidacao[[#This Row],[Junta]]</f>
        <v>B</v>
      </c>
      <c r="C29" s="2">
        <f>tbl_consolidacao[[#This Row],[Unid]]</f>
        <v>208</v>
      </c>
      <c r="D29" s="2" t="str">
        <f>tbl_consolidacao[[#This Row],[Apto]]</f>
        <v>208-B1</v>
      </c>
      <c r="E29" s="2">
        <f>tbl_meddez_anterior[[#This Row],[Hidrometro]]</f>
        <v>1260</v>
      </c>
      <c r="F29" s="13">
        <v>4750</v>
      </c>
      <c r="G29" s="2">
        <f>tbl_meddez_anterior[[#This Row],[Hidrometro]]</f>
        <v>1260</v>
      </c>
      <c r="H29" s="14">
        <v>96</v>
      </c>
      <c r="I29" s="2">
        <f>(tbl_medfev[[#This Row],[Medição 
Água Fria]]/100)+(tbl_medfev[[#This Row],[Medição 
Água Quente]]/1000)</f>
        <v>47.595999999999997</v>
      </c>
      <c r="J29" s="15">
        <f>IF(tbl_medfev[[#This Row],[Total]]&gt;0,tbl_medfev[[#This Row],[Total]]/VLOOKUP(tbl_medfev[[#This Row],[Apto]],tbl_medjan[[Apto]:[Total]],6,FALSE)-1,"")</f>
        <v>0.31089567037567467</v>
      </c>
      <c r="K29" s="15">
        <f>IF(tbl_medfev[[#This Row],[Utilização (%)]]&lt;&gt;"",ALERTA_INDIVIDUAL-tbl_medfev[[#This Row],[Utilização (%)]],"")</f>
        <v>-6.0895670375674671E-2</v>
      </c>
    </row>
    <row r="30" spans="1:11" x14ac:dyDescent="0.25">
      <c r="A30" s="2">
        <f>tbl_consolidacao[[#This Row],[Torre]]</f>
        <v>2</v>
      </c>
      <c r="B30" s="2" t="str">
        <f>tbl_consolidacao[[#This Row],[Junta]]</f>
        <v>B</v>
      </c>
      <c r="C30" s="2">
        <f>tbl_consolidacao[[#This Row],[Unid]]</f>
        <v>208</v>
      </c>
      <c r="D30" s="2" t="str">
        <f>tbl_consolidacao[[#This Row],[Apto]]</f>
        <v>208-B2</v>
      </c>
      <c r="E30" s="2">
        <f>tbl_meddez_anterior[[#This Row],[Hidrometro]]</f>
        <v>1261</v>
      </c>
      <c r="F30" s="13">
        <v>4750</v>
      </c>
      <c r="G30" s="2">
        <f>tbl_meddez_anterior[[#This Row],[Hidrometro]]</f>
        <v>1261</v>
      </c>
      <c r="H30" s="14">
        <v>96</v>
      </c>
      <c r="I30" s="2">
        <f>(tbl_medfev[[#This Row],[Medição 
Água Fria]]/100)+(tbl_medfev[[#This Row],[Medição 
Água Quente]]/1000)</f>
        <v>47.595999999999997</v>
      </c>
      <c r="J30" s="15">
        <f>IF(tbl_medfev[[#This Row],[Total]]&gt;0,tbl_medfev[[#This Row],[Total]]/VLOOKUP(tbl_medfev[[#This Row],[Apto]],tbl_medjan[[Apto]:[Total]],6,FALSE)-1,"")</f>
        <v>0.31089567037567467</v>
      </c>
      <c r="K30" s="15">
        <f>IF(tbl_medfev[[#This Row],[Utilização (%)]]&lt;&gt;"",ALERTA_INDIVIDUAL-tbl_medfev[[#This Row],[Utilização (%)]],"")</f>
        <v>-6.0895670375674671E-2</v>
      </c>
    </row>
    <row r="31" spans="1:11" x14ac:dyDescent="0.25">
      <c r="A31" s="2">
        <f>tbl_consolidacao[[#This Row],[Torre]]</f>
        <v>1</v>
      </c>
      <c r="B31" s="2" t="str">
        <f>tbl_consolidacao[[#This Row],[Junta]]</f>
        <v>A</v>
      </c>
      <c r="C31" s="2">
        <f>tbl_consolidacao[[#This Row],[Unid]]</f>
        <v>301</v>
      </c>
      <c r="D31" s="2" t="str">
        <f>tbl_consolidacao[[#This Row],[Apto]]</f>
        <v>301-A1</v>
      </c>
      <c r="E31" s="2">
        <f>tbl_meddez_anterior[[#This Row],[Hidrometro]]</f>
        <v>1262</v>
      </c>
      <c r="F31" s="13">
        <v>4750</v>
      </c>
      <c r="G31" s="2">
        <f>tbl_meddez_anterior[[#This Row],[Hidrometro]]</f>
        <v>1262</v>
      </c>
      <c r="H31" s="14">
        <v>96</v>
      </c>
      <c r="I31" s="2">
        <f>(tbl_medfev[[#This Row],[Medição 
Água Fria]]/100)+(tbl_medfev[[#This Row],[Medição 
Água Quente]]/1000)</f>
        <v>47.595999999999997</v>
      </c>
      <c r="J31" s="15">
        <f>IF(tbl_medfev[[#This Row],[Total]]&gt;0,tbl_medfev[[#This Row],[Total]]/VLOOKUP(tbl_medfev[[#This Row],[Apto]],tbl_medjan[[Apto]:[Total]],6,FALSE)-1,"")</f>
        <v>0.31089567037567467</v>
      </c>
      <c r="K31" s="15">
        <f>IF(tbl_medfev[[#This Row],[Utilização (%)]]&lt;&gt;"",ALERTA_INDIVIDUAL-tbl_medfev[[#This Row],[Utilização (%)]],"")</f>
        <v>-6.0895670375674671E-2</v>
      </c>
    </row>
    <row r="32" spans="1:11" x14ac:dyDescent="0.25">
      <c r="A32" s="2">
        <f>tbl_consolidacao[[#This Row],[Torre]]</f>
        <v>2</v>
      </c>
      <c r="B32" s="2" t="str">
        <f>tbl_consolidacao[[#This Row],[Junta]]</f>
        <v>A</v>
      </c>
      <c r="C32" s="2">
        <f>tbl_consolidacao[[#This Row],[Unid]]</f>
        <v>301</v>
      </c>
      <c r="D32" s="2" t="str">
        <f>tbl_consolidacao[[#This Row],[Apto]]</f>
        <v>301-A2</v>
      </c>
      <c r="E32" s="2">
        <f>tbl_meddez_anterior[[#This Row],[Hidrometro]]</f>
        <v>1263</v>
      </c>
      <c r="F32" s="13">
        <v>4750</v>
      </c>
      <c r="G32" s="2">
        <f>tbl_meddez_anterior[[#This Row],[Hidrometro]]</f>
        <v>1263</v>
      </c>
      <c r="H32" s="14">
        <v>96</v>
      </c>
      <c r="I32" s="2">
        <f>(tbl_medfev[[#This Row],[Medição 
Água Fria]]/100)+(tbl_medfev[[#This Row],[Medição 
Água Quente]]/1000)</f>
        <v>47.595999999999997</v>
      </c>
      <c r="J32" s="15">
        <f>IF(tbl_medfev[[#This Row],[Total]]&gt;0,tbl_medfev[[#This Row],[Total]]/VLOOKUP(tbl_medfev[[#This Row],[Apto]],tbl_medjan[[Apto]:[Total]],6,FALSE)-1,"")</f>
        <v>0.31089567037567467</v>
      </c>
      <c r="K32" s="15">
        <f>IF(tbl_medfev[[#This Row],[Utilização (%)]]&lt;&gt;"",ALERTA_INDIVIDUAL-tbl_medfev[[#This Row],[Utilização (%)]],"")</f>
        <v>-6.0895670375674671E-2</v>
      </c>
    </row>
    <row r="33" spans="1:11" x14ac:dyDescent="0.25">
      <c r="A33" s="2">
        <f>tbl_consolidacao[[#This Row],[Torre]]</f>
        <v>1</v>
      </c>
      <c r="B33" s="2" t="str">
        <f>tbl_consolidacao[[#This Row],[Junta]]</f>
        <v>A</v>
      </c>
      <c r="C33" s="2">
        <f>tbl_consolidacao[[#This Row],[Unid]]</f>
        <v>302</v>
      </c>
      <c r="D33" s="2" t="str">
        <f>tbl_consolidacao[[#This Row],[Apto]]</f>
        <v>302-A1</v>
      </c>
      <c r="E33" s="2">
        <f>tbl_meddez_anterior[[#This Row],[Hidrometro]]</f>
        <v>1264</v>
      </c>
      <c r="F33" s="13">
        <v>4750</v>
      </c>
      <c r="G33" s="2">
        <f>tbl_meddez_anterior[[#This Row],[Hidrometro]]</f>
        <v>1264</v>
      </c>
      <c r="H33" s="14">
        <v>96</v>
      </c>
      <c r="I33" s="2">
        <f>(tbl_medfev[[#This Row],[Medição 
Água Fria]]/100)+(tbl_medfev[[#This Row],[Medição 
Água Quente]]/1000)</f>
        <v>47.595999999999997</v>
      </c>
      <c r="J33" s="15">
        <f>IF(tbl_medfev[[#This Row],[Total]]&gt;0,tbl_medfev[[#This Row],[Total]]/VLOOKUP(tbl_medfev[[#This Row],[Apto]],tbl_medjan[[Apto]:[Total]],6,FALSE)-1,"")</f>
        <v>0.31089567037567467</v>
      </c>
      <c r="K33" s="15">
        <f>IF(tbl_medfev[[#This Row],[Utilização (%)]]&lt;&gt;"",ALERTA_INDIVIDUAL-tbl_medfev[[#This Row],[Utilização (%)]],"")</f>
        <v>-6.0895670375674671E-2</v>
      </c>
    </row>
    <row r="34" spans="1:11" x14ac:dyDescent="0.25">
      <c r="A34" s="2">
        <f>tbl_consolidacao[[#This Row],[Torre]]</f>
        <v>2</v>
      </c>
      <c r="B34" s="2" t="str">
        <f>tbl_consolidacao[[#This Row],[Junta]]</f>
        <v>A</v>
      </c>
      <c r="C34" s="2">
        <f>tbl_consolidacao[[#This Row],[Unid]]</f>
        <v>302</v>
      </c>
      <c r="D34" s="2" t="str">
        <f>tbl_consolidacao[[#This Row],[Apto]]</f>
        <v>302-A2</v>
      </c>
      <c r="E34" s="2">
        <f>tbl_meddez_anterior[[#This Row],[Hidrometro]]</f>
        <v>1265</v>
      </c>
      <c r="F34" s="13">
        <v>4750</v>
      </c>
      <c r="G34" s="2">
        <f>tbl_meddez_anterior[[#This Row],[Hidrometro]]</f>
        <v>1265</v>
      </c>
      <c r="H34" s="14">
        <v>96</v>
      </c>
      <c r="I34" s="2">
        <f>(tbl_medfev[[#This Row],[Medição 
Água Fria]]/100)+(tbl_medfev[[#This Row],[Medição 
Água Quente]]/1000)</f>
        <v>47.595999999999997</v>
      </c>
      <c r="J34" s="15">
        <f>IF(tbl_medfev[[#This Row],[Total]]&gt;0,tbl_medfev[[#This Row],[Total]]/VLOOKUP(tbl_medfev[[#This Row],[Apto]],tbl_medjan[[Apto]:[Total]],6,FALSE)-1,"")</f>
        <v>0.31089567037567467</v>
      </c>
      <c r="K34" s="15">
        <f>IF(tbl_medfev[[#This Row],[Utilização (%)]]&lt;&gt;"",ALERTA_INDIVIDUAL-tbl_medfev[[#This Row],[Utilização (%)]],"")</f>
        <v>-6.0895670375674671E-2</v>
      </c>
    </row>
    <row r="35" spans="1:11" x14ac:dyDescent="0.25">
      <c r="A35" s="2">
        <f>tbl_consolidacao[[#This Row],[Torre]]</f>
        <v>1</v>
      </c>
      <c r="B35" s="2" t="str">
        <f>tbl_consolidacao[[#This Row],[Junta]]</f>
        <v>A</v>
      </c>
      <c r="C35" s="2">
        <f>tbl_consolidacao[[#This Row],[Unid]]</f>
        <v>303</v>
      </c>
      <c r="D35" s="2" t="str">
        <f>tbl_consolidacao[[#This Row],[Apto]]</f>
        <v>303-A1</v>
      </c>
      <c r="E35" s="2">
        <f>tbl_meddez_anterior[[#This Row],[Hidrometro]]</f>
        <v>1266</v>
      </c>
      <c r="F35" s="13">
        <v>4750</v>
      </c>
      <c r="G35" s="2">
        <f>tbl_meddez_anterior[[#This Row],[Hidrometro]]</f>
        <v>1266</v>
      </c>
      <c r="H35" s="14">
        <v>96</v>
      </c>
      <c r="I35" s="2">
        <f>(tbl_medfev[[#This Row],[Medição 
Água Fria]]/100)+(tbl_medfev[[#This Row],[Medição 
Água Quente]]/1000)</f>
        <v>47.595999999999997</v>
      </c>
      <c r="J35" s="15">
        <f>IF(tbl_medfev[[#This Row],[Total]]&gt;0,tbl_medfev[[#This Row],[Total]]/VLOOKUP(tbl_medfev[[#This Row],[Apto]],tbl_medjan[[Apto]:[Total]],6,FALSE)-1,"")</f>
        <v>0.31089567037567467</v>
      </c>
      <c r="K35" s="15">
        <f>IF(tbl_medfev[[#This Row],[Utilização (%)]]&lt;&gt;"",ALERTA_INDIVIDUAL-tbl_medfev[[#This Row],[Utilização (%)]],"")</f>
        <v>-6.0895670375674671E-2</v>
      </c>
    </row>
    <row r="36" spans="1:11" x14ac:dyDescent="0.25">
      <c r="A36" s="2">
        <f>tbl_consolidacao[[#This Row],[Torre]]</f>
        <v>2</v>
      </c>
      <c r="B36" s="2" t="str">
        <f>tbl_consolidacao[[#This Row],[Junta]]</f>
        <v>A</v>
      </c>
      <c r="C36" s="2">
        <f>tbl_consolidacao[[#This Row],[Unid]]</f>
        <v>303</v>
      </c>
      <c r="D36" s="2" t="str">
        <f>tbl_consolidacao[[#This Row],[Apto]]</f>
        <v>303-A2</v>
      </c>
      <c r="E36" s="2">
        <f>tbl_meddez_anterior[[#This Row],[Hidrometro]]</f>
        <v>1267</v>
      </c>
      <c r="F36" s="13">
        <v>4750</v>
      </c>
      <c r="G36" s="2">
        <f>tbl_meddez_anterior[[#This Row],[Hidrometro]]</f>
        <v>1267</v>
      </c>
      <c r="H36" s="14">
        <v>96</v>
      </c>
      <c r="I36" s="2">
        <f>(tbl_medfev[[#This Row],[Medição 
Água Fria]]/100)+(tbl_medfev[[#This Row],[Medição 
Água Quente]]/1000)</f>
        <v>47.595999999999997</v>
      </c>
      <c r="J36" s="15">
        <f>IF(tbl_medfev[[#This Row],[Total]]&gt;0,tbl_medfev[[#This Row],[Total]]/VLOOKUP(tbl_medfev[[#This Row],[Apto]],tbl_medjan[[Apto]:[Total]],6,FALSE)-1,"")</f>
        <v>0.31089567037567467</v>
      </c>
      <c r="K36" s="15">
        <f>IF(tbl_medfev[[#This Row],[Utilização (%)]]&lt;&gt;"",ALERTA_INDIVIDUAL-tbl_medfev[[#This Row],[Utilização (%)]],"")</f>
        <v>-6.0895670375674671E-2</v>
      </c>
    </row>
    <row r="37" spans="1:11" x14ac:dyDescent="0.25">
      <c r="A37" s="2">
        <f>tbl_consolidacao[[#This Row],[Torre]]</f>
        <v>1</v>
      </c>
      <c r="B37" s="2" t="str">
        <f>tbl_consolidacao[[#This Row],[Junta]]</f>
        <v>A</v>
      </c>
      <c r="C37" s="2">
        <f>tbl_consolidacao[[#This Row],[Unid]]</f>
        <v>304</v>
      </c>
      <c r="D37" s="2" t="str">
        <f>tbl_consolidacao[[#This Row],[Apto]]</f>
        <v>304-A1</v>
      </c>
      <c r="E37" s="2">
        <f>tbl_meddez_anterior[[#This Row],[Hidrometro]]</f>
        <v>1268</v>
      </c>
      <c r="F37" s="13">
        <v>4750</v>
      </c>
      <c r="G37" s="2">
        <f>tbl_meddez_anterior[[#This Row],[Hidrometro]]</f>
        <v>1268</v>
      </c>
      <c r="H37" s="14">
        <v>96</v>
      </c>
      <c r="I37" s="2">
        <f>(tbl_medfev[[#This Row],[Medição 
Água Fria]]/100)+(tbl_medfev[[#This Row],[Medição 
Água Quente]]/1000)</f>
        <v>47.595999999999997</v>
      </c>
      <c r="J37" s="15">
        <f>IF(tbl_medfev[[#This Row],[Total]]&gt;0,tbl_medfev[[#This Row],[Total]]/VLOOKUP(tbl_medfev[[#This Row],[Apto]],tbl_medjan[[Apto]:[Total]],6,FALSE)-1,"")</f>
        <v>0.31089567037567467</v>
      </c>
      <c r="K37" s="15">
        <f>IF(tbl_medfev[[#This Row],[Utilização (%)]]&lt;&gt;"",ALERTA_INDIVIDUAL-tbl_medfev[[#This Row],[Utilização (%)]],"")</f>
        <v>-6.0895670375674671E-2</v>
      </c>
    </row>
    <row r="38" spans="1:11" x14ac:dyDescent="0.25">
      <c r="A38" s="2">
        <f>tbl_consolidacao[[#This Row],[Torre]]</f>
        <v>2</v>
      </c>
      <c r="B38" s="2" t="str">
        <f>tbl_consolidacao[[#This Row],[Junta]]</f>
        <v>A</v>
      </c>
      <c r="C38" s="2">
        <f>tbl_consolidacao[[#This Row],[Unid]]</f>
        <v>304</v>
      </c>
      <c r="D38" s="2" t="str">
        <f>tbl_consolidacao[[#This Row],[Apto]]</f>
        <v>304-A2</v>
      </c>
      <c r="E38" s="2">
        <f>tbl_meddez_anterior[[#This Row],[Hidrometro]]</f>
        <v>1269</v>
      </c>
      <c r="F38" s="13">
        <v>4750</v>
      </c>
      <c r="G38" s="2">
        <f>tbl_meddez_anterior[[#This Row],[Hidrometro]]</f>
        <v>1269</v>
      </c>
      <c r="H38" s="14">
        <v>96</v>
      </c>
      <c r="I38" s="2">
        <f>(tbl_medfev[[#This Row],[Medição 
Água Fria]]/100)+(tbl_medfev[[#This Row],[Medição 
Água Quente]]/1000)</f>
        <v>47.595999999999997</v>
      </c>
      <c r="J38" s="15">
        <f>IF(tbl_medfev[[#This Row],[Total]]&gt;0,tbl_medfev[[#This Row],[Total]]/VLOOKUP(tbl_medfev[[#This Row],[Apto]],tbl_medjan[[Apto]:[Total]],6,FALSE)-1,"")</f>
        <v>0.31089567037567467</v>
      </c>
      <c r="K38" s="15">
        <f>IF(tbl_medfev[[#This Row],[Utilização (%)]]&lt;&gt;"",ALERTA_INDIVIDUAL-tbl_medfev[[#This Row],[Utilização (%)]],"")</f>
        <v>-6.0895670375674671E-2</v>
      </c>
    </row>
    <row r="39" spans="1:11" x14ac:dyDescent="0.25">
      <c r="A39" s="2">
        <f>tbl_consolidacao[[#This Row],[Torre]]</f>
        <v>1</v>
      </c>
      <c r="B39" s="2" t="str">
        <f>tbl_consolidacao[[#This Row],[Junta]]</f>
        <v>B</v>
      </c>
      <c r="C39" s="2">
        <f>tbl_consolidacao[[#This Row],[Unid]]</f>
        <v>305</v>
      </c>
      <c r="D39" s="2" t="str">
        <f>tbl_consolidacao[[#This Row],[Apto]]</f>
        <v>305-B1</v>
      </c>
      <c r="E39" s="2">
        <f>tbl_meddez_anterior[[#This Row],[Hidrometro]]</f>
        <v>1270</v>
      </c>
      <c r="F39" s="13">
        <v>4750</v>
      </c>
      <c r="G39" s="2">
        <f>tbl_meddez_anterior[[#This Row],[Hidrometro]]</f>
        <v>1270</v>
      </c>
      <c r="H39" s="14">
        <v>96</v>
      </c>
      <c r="I39" s="2">
        <f>(tbl_medfev[[#This Row],[Medição 
Água Fria]]/100)+(tbl_medfev[[#This Row],[Medição 
Água Quente]]/1000)</f>
        <v>47.595999999999997</v>
      </c>
      <c r="J39" s="15">
        <f>IF(tbl_medfev[[#This Row],[Total]]&gt;0,tbl_medfev[[#This Row],[Total]]/VLOOKUP(tbl_medfev[[#This Row],[Apto]],tbl_medjan[[Apto]:[Total]],6,FALSE)-1,"")</f>
        <v>0.31089567037567467</v>
      </c>
      <c r="K39" s="15">
        <f>IF(tbl_medfev[[#This Row],[Utilização (%)]]&lt;&gt;"",ALERTA_INDIVIDUAL-tbl_medfev[[#This Row],[Utilização (%)]],"")</f>
        <v>-6.0895670375674671E-2</v>
      </c>
    </row>
    <row r="40" spans="1:11" x14ac:dyDescent="0.25">
      <c r="A40" s="2">
        <f>tbl_consolidacao[[#This Row],[Torre]]</f>
        <v>2</v>
      </c>
      <c r="B40" s="2" t="str">
        <f>tbl_consolidacao[[#This Row],[Junta]]</f>
        <v>B</v>
      </c>
      <c r="C40" s="2">
        <f>tbl_consolidacao[[#This Row],[Unid]]</f>
        <v>305</v>
      </c>
      <c r="D40" s="2" t="str">
        <f>tbl_consolidacao[[#This Row],[Apto]]</f>
        <v>305-B2</v>
      </c>
      <c r="E40" s="2">
        <f>tbl_meddez_anterior[[#This Row],[Hidrometro]]</f>
        <v>1271</v>
      </c>
      <c r="F40" s="13">
        <v>4750</v>
      </c>
      <c r="G40" s="2">
        <f>tbl_meddez_anterior[[#This Row],[Hidrometro]]</f>
        <v>1271</v>
      </c>
      <c r="H40" s="14">
        <v>96</v>
      </c>
      <c r="I40" s="2">
        <f>(tbl_medfev[[#This Row],[Medição 
Água Fria]]/100)+(tbl_medfev[[#This Row],[Medição 
Água Quente]]/1000)</f>
        <v>47.595999999999997</v>
      </c>
      <c r="J40" s="15">
        <f>IF(tbl_medfev[[#This Row],[Total]]&gt;0,tbl_medfev[[#This Row],[Total]]/VLOOKUP(tbl_medfev[[#This Row],[Apto]],tbl_medjan[[Apto]:[Total]],6,FALSE)-1,"")</f>
        <v>0.31089567037567467</v>
      </c>
      <c r="K40" s="15">
        <f>IF(tbl_medfev[[#This Row],[Utilização (%)]]&lt;&gt;"",ALERTA_INDIVIDUAL-tbl_medfev[[#This Row],[Utilização (%)]],"")</f>
        <v>-6.0895670375674671E-2</v>
      </c>
    </row>
    <row r="41" spans="1:11" x14ac:dyDescent="0.25">
      <c r="A41" s="2">
        <f>tbl_consolidacao[[#This Row],[Torre]]</f>
        <v>1</v>
      </c>
      <c r="B41" s="2" t="str">
        <f>tbl_consolidacao[[#This Row],[Junta]]</f>
        <v>B</v>
      </c>
      <c r="C41" s="2">
        <f>tbl_consolidacao[[#This Row],[Unid]]</f>
        <v>306</v>
      </c>
      <c r="D41" s="2" t="str">
        <f>tbl_consolidacao[[#This Row],[Apto]]</f>
        <v>306-B1</v>
      </c>
      <c r="E41" s="2">
        <f>tbl_meddez_anterior[[#This Row],[Hidrometro]]</f>
        <v>1272</v>
      </c>
      <c r="F41" s="13">
        <v>4750</v>
      </c>
      <c r="G41" s="2">
        <f>tbl_meddez_anterior[[#This Row],[Hidrometro]]</f>
        <v>1272</v>
      </c>
      <c r="H41" s="14">
        <v>96</v>
      </c>
      <c r="I41" s="2">
        <f>(tbl_medfev[[#This Row],[Medição 
Água Fria]]/100)+(tbl_medfev[[#This Row],[Medição 
Água Quente]]/1000)</f>
        <v>47.595999999999997</v>
      </c>
      <c r="J41" s="15">
        <f>IF(tbl_medfev[[#This Row],[Total]]&gt;0,tbl_medfev[[#This Row],[Total]]/VLOOKUP(tbl_medfev[[#This Row],[Apto]],tbl_medjan[[Apto]:[Total]],6,FALSE)-1,"")</f>
        <v>0.31089567037567467</v>
      </c>
      <c r="K41" s="15">
        <f>IF(tbl_medfev[[#This Row],[Utilização (%)]]&lt;&gt;"",ALERTA_INDIVIDUAL-tbl_medfev[[#This Row],[Utilização (%)]],"")</f>
        <v>-6.0895670375674671E-2</v>
      </c>
    </row>
    <row r="42" spans="1:11" x14ac:dyDescent="0.25">
      <c r="A42" s="2">
        <f>tbl_consolidacao[[#This Row],[Torre]]</f>
        <v>2</v>
      </c>
      <c r="B42" s="2" t="str">
        <f>tbl_consolidacao[[#This Row],[Junta]]</f>
        <v>B</v>
      </c>
      <c r="C42" s="2">
        <f>tbl_consolidacao[[#This Row],[Unid]]</f>
        <v>306</v>
      </c>
      <c r="D42" s="2" t="str">
        <f>tbl_consolidacao[[#This Row],[Apto]]</f>
        <v>306-B2</v>
      </c>
      <c r="E42" s="2">
        <f>tbl_meddez_anterior[[#This Row],[Hidrometro]]</f>
        <v>1273</v>
      </c>
      <c r="F42" s="13">
        <v>4750</v>
      </c>
      <c r="G42" s="2">
        <f>tbl_meddez_anterior[[#This Row],[Hidrometro]]</f>
        <v>1273</v>
      </c>
      <c r="H42" s="14">
        <v>96</v>
      </c>
      <c r="I42" s="2">
        <f>(tbl_medfev[[#This Row],[Medição 
Água Fria]]/100)+(tbl_medfev[[#This Row],[Medição 
Água Quente]]/1000)</f>
        <v>47.595999999999997</v>
      </c>
      <c r="J42" s="15">
        <f>IF(tbl_medfev[[#This Row],[Total]]&gt;0,tbl_medfev[[#This Row],[Total]]/VLOOKUP(tbl_medfev[[#This Row],[Apto]],tbl_medjan[[Apto]:[Total]],6,FALSE)-1,"")</f>
        <v>0.31089567037567467</v>
      </c>
      <c r="K42" s="15">
        <f>IF(tbl_medfev[[#This Row],[Utilização (%)]]&lt;&gt;"",ALERTA_INDIVIDUAL-tbl_medfev[[#This Row],[Utilização (%)]],"")</f>
        <v>-6.0895670375674671E-2</v>
      </c>
    </row>
    <row r="43" spans="1:11" x14ac:dyDescent="0.25">
      <c r="A43" s="2">
        <f>tbl_consolidacao[[#This Row],[Torre]]</f>
        <v>1</v>
      </c>
      <c r="B43" s="2" t="str">
        <f>tbl_consolidacao[[#This Row],[Junta]]</f>
        <v>B</v>
      </c>
      <c r="C43" s="2">
        <f>tbl_consolidacao[[#This Row],[Unid]]</f>
        <v>307</v>
      </c>
      <c r="D43" s="2" t="str">
        <f>tbl_consolidacao[[#This Row],[Apto]]</f>
        <v>307-B1</v>
      </c>
      <c r="E43" s="2">
        <f>tbl_meddez_anterior[[#This Row],[Hidrometro]]</f>
        <v>1274</v>
      </c>
      <c r="F43" s="13">
        <v>4750</v>
      </c>
      <c r="G43" s="2">
        <f>tbl_meddez_anterior[[#This Row],[Hidrometro]]</f>
        <v>1274</v>
      </c>
      <c r="H43" s="14">
        <v>96</v>
      </c>
      <c r="I43" s="2">
        <f>(tbl_medfev[[#This Row],[Medição 
Água Fria]]/100)+(tbl_medfev[[#This Row],[Medição 
Água Quente]]/1000)</f>
        <v>47.595999999999997</v>
      </c>
      <c r="J43" s="15">
        <f>IF(tbl_medfev[[#This Row],[Total]]&gt;0,tbl_medfev[[#This Row],[Total]]/VLOOKUP(tbl_medfev[[#This Row],[Apto]],tbl_medjan[[Apto]:[Total]],6,FALSE)-1,"")</f>
        <v>0.31089567037567467</v>
      </c>
      <c r="K43" s="15">
        <f>IF(tbl_medfev[[#This Row],[Utilização (%)]]&lt;&gt;"",ALERTA_INDIVIDUAL-tbl_medfev[[#This Row],[Utilização (%)]],"")</f>
        <v>-6.0895670375674671E-2</v>
      </c>
    </row>
    <row r="44" spans="1:11" x14ac:dyDescent="0.25">
      <c r="A44" s="2">
        <f>tbl_consolidacao[[#This Row],[Torre]]</f>
        <v>2</v>
      </c>
      <c r="B44" s="2" t="str">
        <f>tbl_consolidacao[[#This Row],[Junta]]</f>
        <v>B</v>
      </c>
      <c r="C44" s="2">
        <f>tbl_consolidacao[[#This Row],[Unid]]</f>
        <v>307</v>
      </c>
      <c r="D44" s="2" t="str">
        <f>tbl_consolidacao[[#This Row],[Apto]]</f>
        <v>307-B2</v>
      </c>
      <c r="E44" s="2">
        <f>tbl_meddez_anterior[[#This Row],[Hidrometro]]</f>
        <v>1275</v>
      </c>
      <c r="F44" s="13">
        <v>4750</v>
      </c>
      <c r="G44" s="2">
        <f>tbl_meddez_anterior[[#This Row],[Hidrometro]]</f>
        <v>1275</v>
      </c>
      <c r="H44" s="14">
        <v>96</v>
      </c>
      <c r="I44" s="2">
        <f>(tbl_medfev[[#This Row],[Medição 
Água Fria]]/100)+(tbl_medfev[[#This Row],[Medição 
Água Quente]]/1000)</f>
        <v>47.595999999999997</v>
      </c>
      <c r="J44" s="15">
        <f>IF(tbl_medfev[[#This Row],[Total]]&gt;0,tbl_medfev[[#This Row],[Total]]/VLOOKUP(tbl_medfev[[#This Row],[Apto]],tbl_medjan[[Apto]:[Total]],6,FALSE)-1,"")</f>
        <v>0.31089567037567467</v>
      </c>
      <c r="K44" s="15">
        <f>IF(tbl_medfev[[#This Row],[Utilização (%)]]&lt;&gt;"",ALERTA_INDIVIDUAL-tbl_medfev[[#This Row],[Utilização (%)]],"")</f>
        <v>-6.0895670375674671E-2</v>
      </c>
    </row>
    <row r="45" spans="1:11" x14ac:dyDescent="0.25">
      <c r="A45" s="2">
        <f>tbl_consolidacao[[#This Row],[Torre]]</f>
        <v>1</v>
      </c>
      <c r="B45" s="2" t="str">
        <f>tbl_consolidacao[[#This Row],[Junta]]</f>
        <v>B</v>
      </c>
      <c r="C45" s="2">
        <f>tbl_consolidacao[[#This Row],[Unid]]</f>
        <v>308</v>
      </c>
      <c r="D45" s="2" t="str">
        <f>tbl_consolidacao[[#This Row],[Apto]]</f>
        <v>308-B1</v>
      </c>
      <c r="E45" s="2">
        <f>tbl_meddez_anterior[[#This Row],[Hidrometro]]</f>
        <v>1276</v>
      </c>
      <c r="F45" s="13">
        <v>4750</v>
      </c>
      <c r="G45" s="2">
        <f>tbl_meddez_anterior[[#This Row],[Hidrometro]]</f>
        <v>1276</v>
      </c>
      <c r="H45" s="14">
        <v>96</v>
      </c>
      <c r="I45" s="2">
        <f>(tbl_medfev[[#This Row],[Medição 
Água Fria]]/100)+(tbl_medfev[[#This Row],[Medição 
Água Quente]]/1000)</f>
        <v>47.595999999999997</v>
      </c>
      <c r="J45" s="15">
        <f>IF(tbl_medfev[[#This Row],[Total]]&gt;0,tbl_medfev[[#This Row],[Total]]/VLOOKUP(tbl_medfev[[#This Row],[Apto]],tbl_medjan[[Apto]:[Total]],6,FALSE)-1,"")</f>
        <v>0.31089567037567467</v>
      </c>
      <c r="K45" s="15">
        <f>IF(tbl_medfev[[#This Row],[Utilização (%)]]&lt;&gt;"",ALERTA_INDIVIDUAL-tbl_medfev[[#This Row],[Utilização (%)]],"")</f>
        <v>-6.0895670375674671E-2</v>
      </c>
    </row>
    <row r="46" spans="1:11" x14ac:dyDescent="0.25">
      <c r="A46" s="2">
        <f>tbl_consolidacao[[#This Row],[Torre]]</f>
        <v>2</v>
      </c>
      <c r="B46" s="2" t="str">
        <f>tbl_consolidacao[[#This Row],[Junta]]</f>
        <v>B</v>
      </c>
      <c r="C46" s="2">
        <f>tbl_consolidacao[[#This Row],[Unid]]</f>
        <v>308</v>
      </c>
      <c r="D46" s="2" t="str">
        <f>tbl_consolidacao[[#This Row],[Apto]]</f>
        <v>308-B2</v>
      </c>
      <c r="E46" s="2">
        <f>tbl_meddez_anterior[[#This Row],[Hidrometro]]</f>
        <v>1277</v>
      </c>
      <c r="F46" s="13">
        <v>4750</v>
      </c>
      <c r="G46" s="2">
        <f>tbl_meddez_anterior[[#This Row],[Hidrometro]]</f>
        <v>1277</v>
      </c>
      <c r="H46" s="14">
        <v>96</v>
      </c>
      <c r="I46" s="2">
        <f>(tbl_medfev[[#This Row],[Medição 
Água Fria]]/100)+(tbl_medfev[[#This Row],[Medição 
Água Quente]]/1000)</f>
        <v>47.595999999999997</v>
      </c>
      <c r="J46" s="15">
        <f>IF(tbl_medfev[[#This Row],[Total]]&gt;0,tbl_medfev[[#This Row],[Total]]/VLOOKUP(tbl_medfev[[#This Row],[Apto]],tbl_medjan[[Apto]:[Total]],6,FALSE)-1,"")</f>
        <v>0.31089567037567467</v>
      </c>
      <c r="K46" s="15">
        <f>IF(tbl_medfev[[#This Row],[Utilização (%)]]&lt;&gt;"",ALERTA_INDIVIDUAL-tbl_medfev[[#This Row],[Utilização (%)]],"")</f>
        <v>-6.0895670375674671E-2</v>
      </c>
    </row>
  </sheetData>
  <sheetProtection algorithmName="SHA-512" hashValue="kIc31FaFGCATjt6I6OwDCjAxkqbeRStSU1lOFujIRpq4SgUYWx0TlRHXBv+xpWI5H5F/4eEOXQRc4EdzYSJ3EQ==" saltValue="YGoTP73LP94gTsxxSNImAw==" spinCount="100000" sheet="1" objects="1" scenarios="1" selectLockedCells="1"/>
  <mergeCells count="3">
    <mergeCell ref="E1:F1"/>
    <mergeCell ref="G1:H1"/>
    <mergeCell ref="I1:J1"/>
  </mergeCells>
  <conditionalFormatting sqref="K3:K46">
    <cfRule type="iconSet" priority="39">
      <iconSet iconSet="3Flags" showValue="0">
        <cfvo type="percent" val="0"/>
        <cfvo type="percent" val="5"/>
        <cfvo type="percent" val="1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5</vt:i4>
      </vt:variant>
    </vt:vector>
  </HeadingPairs>
  <TitlesOfParts>
    <vt:vector size="24" baseType="lpstr">
      <vt:lpstr>CONFIG</vt:lpstr>
      <vt:lpstr>CAESB</vt:lpstr>
      <vt:lpstr>Conta - CAESB</vt:lpstr>
      <vt:lpstr>ANÁLISE</vt:lpstr>
      <vt:lpstr>Distribuição</vt:lpstr>
      <vt:lpstr>Leitura de Hidrômetro</vt:lpstr>
      <vt:lpstr>Dezembro (Anterior)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ALERTA_GERAL</vt:lpstr>
      <vt:lpstr>ALERTA_INDIVIDUAL</vt:lpstr>
      <vt:lpstr>lst_mesreferencia</vt:lpstr>
      <vt:lpstr>MINIMO_CAESB</vt:lpstr>
      <vt:lpstr>QTD_APTO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Ramos</dc:creator>
  <cp:lastModifiedBy>Evert Leal Ramos</cp:lastModifiedBy>
  <dcterms:created xsi:type="dcterms:W3CDTF">2016-02-20T13:12:27Z</dcterms:created>
  <dcterms:modified xsi:type="dcterms:W3CDTF">2016-04-11T18:35:03Z</dcterms:modified>
</cp:coreProperties>
</file>