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이윤성\OneDrive\화학공학\4학년2학기\화공전산\chapter11.최소 제곱 곡선 맞춤\"/>
    </mc:Choice>
  </mc:AlternateContent>
  <xr:revisionPtr revIDLastSave="7022" documentId="11_AD4D066CA252ABDACC1048BB19E3713749B8DF51" xr6:coauthVersionLast="45" xr6:coauthVersionMax="45" xr10:uidLastSave="{85964917-B502-41DC-AF86-00E393B2EF20}"/>
  <bookViews>
    <workbookView xWindow="-110" yWindow="-110" windowWidth="19420" windowHeight="11020" firstSheet="1" activeTab="3" xr2:uid="{00000000-000D-0000-FFFF-FFFF00000000}"/>
  </bookViews>
  <sheets>
    <sheet name="p11.1" sheetId="1" r:id="rId1"/>
    <sheet name="p11.2" sheetId="2" r:id="rId2"/>
    <sheet name="p11.3" sheetId="3" r:id="rId3"/>
    <sheet name="p11.4" sheetId="4" r:id="rId4"/>
  </sheets>
  <definedNames>
    <definedName name="solver_adj" localSheetId="1" hidden="1">'p11.2'!$H$14:$H$15</definedName>
    <definedName name="solver_adj" localSheetId="2" hidden="1">'p11.3'!$E$11:$E$12</definedName>
    <definedName name="solver_adj" localSheetId="3" hidden="1">'p11.4'!$A$19:$C$19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'p11.2'!$I$25</definedName>
    <definedName name="solver_opt" localSheetId="2" hidden="1">'p11.3'!$E$20</definedName>
    <definedName name="solver_opt" localSheetId="3" hidden="1">'p11.4'!$E$31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4" l="1"/>
  <c r="E22" i="4" s="1"/>
  <c r="D23" i="4"/>
  <c r="E23" i="4" s="1"/>
  <c r="D24" i="4"/>
  <c r="E24" i="4" s="1"/>
  <c r="D25" i="4"/>
  <c r="D26" i="4"/>
  <c r="E26" i="4" s="1"/>
  <c r="D27" i="4"/>
  <c r="E27" i="4" s="1"/>
  <c r="D28" i="4"/>
  <c r="E28" i="4" s="1"/>
  <c r="D29" i="4"/>
  <c r="D30" i="4"/>
  <c r="E30" i="4" s="1"/>
  <c r="D21" i="4"/>
  <c r="B22" i="4"/>
  <c r="B23" i="4"/>
  <c r="B24" i="4"/>
  <c r="B25" i="4"/>
  <c r="B26" i="4"/>
  <c r="B27" i="4"/>
  <c r="B28" i="4"/>
  <c r="B29" i="4"/>
  <c r="B30" i="4"/>
  <c r="B21" i="4"/>
  <c r="A22" i="4"/>
  <c r="A23" i="4"/>
  <c r="A24" i="4"/>
  <c r="A25" i="4"/>
  <c r="A26" i="4"/>
  <c r="A27" i="4"/>
  <c r="A28" i="4"/>
  <c r="A29" i="4"/>
  <c r="A30" i="4"/>
  <c r="A21" i="4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14" i="4"/>
  <c r="G14" i="4" s="1"/>
  <c r="F15" i="4"/>
  <c r="G15" i="4" s="1"/>
  <c r="F16" i="4"/>
  <c r="G16" i="4" s="1"/>
  <c r="F7" i="4"/>
  <c r="G7" i="4" s="1"/>
  <c r="B8" i="4"/>
  <c r="B9" i="4"/>
  <c r="B10" i="4"/>
  <c r="B11" i="4"/>
  <c r="B12" i="4"/>
  <c r="B13" i="4"/>
  <c r="B14" i="4"/>
  <c r="B15" i="4"/>
  <c r="B16" i="4"/>
  <c r="B7" i="4"/>
  <c r="E29" i="4" l="1"/>
  <c r="E25" i="4"/>
  <c r="E21" i="4"/>
  <c r="D8" i="4"/>
  <c r="D9" i="4"/>
  <c r="D10" i="4"/>
  <c r="D11" i="4"/>
  <c r="D12" i="4"/>
  <c r="D13" i="4"/>
  <c r="D14" i="4"/>
  <c r="D15" i="4"/>
  <c r="D16" i="4"/>
  <c r="D7" i="4"/>
  <c r="A15" i="3"/>
  <c r="B15" i="3"/>
  <c r="A16" i="3"/>
  <c r="B16" i="3"/>
  <c r="A17" i="3"/>
  <c r="B17" i="3"/>
  <c r="A18" i="3"/>
  <c r="B18" i="3"/>
  <c r="A19" i="3"/>
  <c r="B19" i="3"/>
  <c r="B14" i="3"/>
  <c r="A14" i="3"/>
  <c r="D19" i="3" l="1"/>
  <c r="E19" i="3" s="1"/>
  <c r="D18" i="3"/>
  <c r="E18" i="3" s="1"/>
  <c r="D17" i="3"/>
  <c r="E17" i="3" s="1"/>
  <c r="D16" i="3"/>
  <c r="E16" i="3" s="1"/>
  <c r="D15" i="3"/>
  <c r="E15" i="3" s="1"/>
  <c r="H12" i="3"/>
  <c r="H13" i="3" s="1"/>
  <c r="E7" i="3"/>
  <c r="D14" i="3" s="1"/>
  <c r="E14" i="3" s="1"/>
  <c r="D7" i="3"/>
  <c r="E6" i="3"/>
  <c r="D6" i="3"/>
  <c r="E5" i="3"/>
  <c r="D5" i="3"/>
  <c r="E4" i="3"/>
  <c r="D4" i="3"/>
  <c r="E3" i="3"/>
  <c r="D3" i="3"/>
  <c r="E2" i="3"/>
  <c r="D2" i="3"/>
  <c r="E31" i="4" l="1"/>
  <c r="G17" i="4"/>
  <c r="E20" i="3"/>
  <c r="P5" i="2"/>
  <c r="P6" i="2"/>
  <c r="P7" i="2"/>
  <c r="P8" i="2"/>
  <c r="P9" i="2"/>
  <c r="P10" i="2"/>
  <c r="P11" i="2"/>
  <c r="P4" i="2"/>
  <c r="K5" i="2" l="1"/>
  <c r="M5" i="2"/>
  <c r="G18" i="2"/>
  <c r="I18" i="2" s="1"/>
  <c r="G19" i="2"/>
  <c r="I19" i="2" s="1"/>
  <c r="G20" i="2"/>
  <c r="I20" i="2" s="1"/>
  <c r="G21" i="2"/>
  <c r="I21" i="2" s="1"/>
  <c r="G22" i="2"/>
  <c r="I22" i="2" s="1"/>
  <c r="G23" i="2"/>
  <c r="I23" i="2" s="1"/>
  <c r="G24" i="2"/>
  <c r="I24" i="2" s="1"/>
  <c r="G17" i="2"/>
  <c r="I17" i="2" s="1"/>
  <c r="H17" i="2" a="1"/>
  <c r="H17" i="2" s="1"/>
  <c r="J8" i="2" a="1"/>
  <c r="J8" i="2" s="1"/>
  <c r="M8" i="2" s="1" a="1"/>
  <c r="M8" i="2" s="1"/>
  <c r="N10" i="2" s="1"/>
  <c r="M4" i="2"/>
  <c r="K4" i="2"/>
  <c r="J5" i="2"/>
  <c r="J4" i="2"/>
  <c r="H5" i="2"/>
  <c r="H6" i="2"/>
  <c r="H7" i="2"/>
  <c r="H8" i="2"/>
  <c r="H9" i="2"/>
  <c r="H10" i="2"/>
  <c r="H11" i="2"/>
  <c r="H4" i="2"/>
  <c r="G4" i="2" a="1"/>
  <c r="G4" i="2" s="1"/>
  <c r="E5" i="2"/>
  <c r="E6" i="2"/>
  <c r="E7" i="2"/>
  <c r="E8" i="2"/>
  <c r="E9" i="2"/>
  <c r="E10" i="2"/>
  <c r="E11" i="2"/>
  <c r="E4" i="2"/>
  <c r="D5" i="2"/>
  <c r="D6" i="2"/>
  <c r="D7" i="2"/>
  <c r="D8" i="2"/>
  <c r="D9" i="2"/>
  <c r="D10" i="2"/>
  <c r="D11" i="2"/>
  <c r="D4" i="2"/>
  <c r="N11" i="2" l="1"/>
  <c r="I2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<sst xmlns="http://schemas.openxmlformats.org/spreadsheetml/2006/main" count="88" uniqueCount="69">
  <si>
    <t>Compound</t>
    <phoneticPr fontId="1" type="noConversion"/>
  </si>
  <si>
    <t>Tb, C</t>
    <phoneticPr fontId="1" type="noConversion"/>
  </si>
  <si>
    <t>vap H(enthalpy)</t>
    <phoneticPr fontId="1" type="noConversion"/>
  </si>
  <si>
    <t>benzene</t>
    <phoneticPr fontId="1" type="noConversion"/>
  </si>
  <si>
    <t>carbon disulfide</t>
    <phoneticPr fontId="1" type="noConversion"/>
  </si>
  <si>
    <t>carbon tetrachloride</t>
    <phoneticPr fontId="1" type="noConversion"/>
  </si>
  <si>
    <t>chclohexane</t>
    <phoneticPr fontId="1" type="noConversion"/>
  </si>
  <si>
    <t>decane</t>
    <phoneticPr fontId="1" type="noConversion"/>
  </si>
  <si>
    <t>dimetyl ether</t>
    <phoneticPr fontId="1" type="noConversion"/>
  </si>
  <si>
    <t>ethanol</t>
    <phoneticPr fontId="1" type="noConversion"/>
  </si>
  <si>
    <t>hydrogen sulfide</t>
    <phoneticPr fontId="1" type="noConversion"/>
  </si>
  <si>
    <t>mercury</t>
    <phoneticPr fontId="1" type="noConversion"/>
  </si>
  <si>
    <t>methane</t>
    <phoneticPr fontId="1" type="noConversion"/>
  </si>
  <si>
    <t>methanol</t>
    <phoneticPr fontId="1" type="noConversion"/>
  </si>
  <si>
    <t>water</t>
    <phoneticPr fontId="1" type="noConversion"/>
  </si>
  <si>
    <t>T</t>
    <phoneticPr fontId="1" type="noConversion"/>
  </si>
  <si>
    <t>kr</t>
    <phoneticPr fontId="1" type="noConversion"/>
  </si>
  <si>
    <t>식</t>
    <phoneticPr fontId="1" type="noConversion"/>
  </si>
  <si>
    <t>kr = A*e^(-Ea/RT)</t>
    <phoneticPr fontId="1" type="noConversion"/>
  </si>
  <si>
    <t>i</t>
    <phoneticPr fontId="1" type="noConversion"/>
  </si>
  <si>
    <t>1/T</t>
    <phoneticPr fontId="1" type="noConversion"/>
  </si>
  <si>
    <t>1/T^2</t>
    <phoneticPr fontId="1" type="noConversion"/>
  </si>
  <si>
    <t>ln(kr)</t>
    <phoneticPr fontId="1" type="noConversion"/>
  </si>
  <si>
    <t>ln(kr)/Ti</t>
    <phoneticPr fontId="1" type="noConversion"/>
  </si>
  <si>
    <t>Matrix</t>
    <phoneticPr fontId="1" type="noConversion"/>
  </si>
  <si>
    <t>b</t>
    <phoneticPr fontId="1" type="noConversion"/>
  </si>
  <si>
    <t>inverse matrix</t>
    <phoneticPr fontId="1" type="noConversion"/>
  </si>
  <si>
    <t>a</t>
    <phoneticPr fontId="1" type="noConversion"/>
  </si>
  <si>
    <t>비선형 맞춤</t>
    <phoneticPr fontId="1" type="noConversion"/>
  </si>
  <si>
    <t>선형식 맞춤</t>
    <phoneticPr fontId="1" type="noConversion"/>
  </si>
  <si>
    <t>Ea/R</t>
    <phoneticPr fontId="1" type="noConversion"/>
  </si>
  <si>
    <t>ln(A)</t>
    <phoneticPr fontId="1" type="noConversion"/>
  </si>
  <si>
    <t>A</t>
    <phoneticPr fontId="1" type="noConversion"/>
  </si>
  <si>
    <t>Ea</t>
    <phoneticPr fontId="1" type="noConversion"/>
  </si>
  <si>
    <t>Ei</t>
    <phoneticPr fontId="1" type="noConversion"/>
  </si>
  <si>
    <t>kr(Ea,A)</t>
    <phoneticPr fontId="1" type="noConversion"/>
  </si>
  <si>
    <t>파이썬 11.2.py 푼것과 동일</t>
    <phoneticPr fontId="1" type="noConversion"/>
  </si>
  <si>
    <t>ln(kr(T))</t>
    <phoneticPr fontId="1" type="noConversion"/>
  </si>
  <si>
    <t>두 값의 차이가  있으나 선형식 맞춤에서 그래프를 그려보니 곡선맞춤을 잘 한것으로 보임</t>
    <phoneticPr fontId="1" type="noConversion"/>
  </si>
  <si>
    <t>S</t>
    <phoneticPr fontId="1" type="noConversion"/>
  </si>
  <si>
    <t>v</t>
    <phoneticPr fontId="1" type="noConversion"/>
  </si>
  <si>
    <t>1/S</t>
    <phoneticPr fontId="1" type="noConversion"/>
  </si>
  <si>
    <t>1/v</t>
    <phoneticPr fontId="1" type="noConversion"/>
  </si>
  <si>
    <t>해찾기 추가기능을 통해서 해를 찾겠다</t>
    <phoneticPr fontId="1" type="noConversion"/>
  </si>
  <si>
    <t>vmax</t>
    <phoneticPr fontId="1" type="noConversion"/>
  </si>
  <si>
    <t>1/S</t>
  </si>
  <si>
    <t>1/v</t>
  </si>
  <si>
    <t>1/v(1/S)</t>
    <phoneticPr fontId="1" type="noConversion"/>
  </si>
  <si>
    <t>KM</t>
    <phoneticPr fontId="1" type="noConversion"/>
  </si>
  <si>
    <t>V</t>
    <phoneticPr fontId="1" type="noConversion"/>
  </si>
  <si>
    <t>최소값</t>
    <phoneticPr fontId="1" type="noConversion"/>
  </si>
  <si>
    <t>T, C</t>
    <phoneticPr fontId="1" type="noConversion"/>
  </si>
  <si>
    <t>p, mmHg</t>
    <phoneticPr fontId="1" type="noConversion"/>
  </si>
  <si>
    <t>비선형식 맞춤</t>
    <phoneticPr fontId="1" type="noConversion"/>
  </si>
  <si>
    <t>3~80도사이에서</t>
    <phoneticPr fontId="1" type="noConversion"/>
  </si>
  <si>
    <t>B</t>
    <phoneticPr fontId="1" type="noConversion"/>
  </si>
  <si>
    <t>C</t>
    <phoneticPr fontId="1" type="noConversion"/>
  </si>
  <si>
    <t>p(T)</t>
    <phoneticPr fontId="1" type="noConversion"/>
  </si>
  <si>
    <t>p, bar</t>
    <phoneticPr fontId="1" type="noConversion"/>
  </si>
  <si>
    <t>mmHg_to_bar</t>
    <phoneticPr fontId="1" type="noConversion"/>
  </si>
  <si>
    <t>log(p), mmHg</t>
    <phoneticPr fontId="1" type="noConversion"/>
  </si>
  <si>
    <t>log(p(T))</t>
    <phoneticPr fontId="1" type="noConversion"/>
  </si>
  <si>
    <t>단위가 커서 그런지, 최적화가 잘안됨.</t>
    <phoneticPr fontId="1" type="noConversion"/>
  </si>
  <si>
    <t>log(p), bar</t>
    <phoneticPr fontId="1" type="noConversion"/>
  </si>
  <si>
    <t>K</t>
    <phoneticPr fontId="1" type="noConversion"/>
  </si>
  <si>
    <t>p = exp^(A-B/(T-C))</t>
    <phoneticPr fontId="1" type="noConversion"/>
  </si>
  <si>
    <t>화공전산 교과서에서는 이런 식이였는데, wiki에서는 다름, 화공전산교과서는 화공양론책에서 나오는 Antoine식을 기반하고 있다.</t>
    <phoneticPr fontId="1" type="noConversion"/>
  </si>
  <si>
    <t>mmHg</t>
    <phoneticPr fontId="1" type="noConversion"/>
  </si>
  <si>
    <t>K 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</si>
</sst>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'p11.1'!$C$1</c:f>
              <c:strCache>
                <c:ptCount val="1"/>
                <c:pt idx="0">
                  <c:v>vap H(enthalpy)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'p11.1'!$B$2:$B$13</c:f>
              <c:numCache>
                <c:formatCode>General</c:formatCode>
                <c:ptCount val="12"/>
                <c:pt idx="0">
                  <c:v>80.099999999999994</c:v>
                </c:pt>
                <c:pt idx="1">
                  <c:v>46.25</c:v>
                </c:pt>
                <c:pt idx="2">
                  <c:v>76.7</c:v>
                </c:pt>
                <c:pt idx="3">
                  <c:v>80.7</c:v>
                </c:pt>
                <c:pt idx="4">
                  <c:v>174</c:v>
                </c:pt>
                <c:pt idx="5">
                  <c:v>-23</c:v>
                </c:pt>
                <c:pt idx="6">
                  <c:v>78.3</c:v>
                </c:pt>
                <c:pt idx="7">
                  <c:v>-60.4</c:v>
                </c:pt>
                <c:pt idx="8">
                  <c:v>356.6</c:v>
                </c:pt>
                <c:pt idx="9">
                  <c:v>-161.5</c:v>
                </c:pt>
                <c:pt idx="10">
                  <c:v>65</c:v>
                </c:pt>
                <c:pt idx="11">
                  <c:v>100</c:v>
                </c:pt>
              </c:numCache>
            </c:numRef>
          </c:xVal>
          <c:yVal>
            <c:numRef>
              <c:f>'p11.1'!$C$2:$C$13</c:f>
              <c:numCache>
                <c:formatCode>General</c:formatCode>
                <c:ptCount val="12"/>
                <c:pt idx="0">
                  <c:v>30.8</c:v>
                </c:pt>
                <c:pt idx="1">
                  <c:v>26.74</c:v>
                </c:pt>
                <c:pt idx="2">
                  <c:v>30</c:v>
                </c:pt>
                <c:pt idx="3">
                  <c:v>30.1</c:v>
                </c:pt>
                <c:pt idx="4">
                  <c:v>38.75</c:v>
                </c:pt>
                <c:pt idx="5">
                  <c:v>21.51</c:v>
                </c:pt>
                <c:pt idx="6">
                  <c:v>38.6</c:v>
                </c:pt>
                <c:pt idx="7">
                  <c:v>18.7</c:v>
                </c:pt>
                <c:pt idx="8">
                  <c:v>59.3</c:v>
                </c:pt>
                <c:pt idx="9">
                  <c:v>8.18</c:v>
                </c:pt>
                <c:pt idx="10">
                  <c:v>35.21</c:v>
                </c:pt>
                <c:pt idx="11">
                  <c:v>40.700000000000003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70-40AB-BE81-E5F283DA8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541119"/>
        <c:axId val="1242286111"/>
      </c:scatterChart>
      <c:valAx>
        <c:axId val="85554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42286111"/>
        <c:crosses val="autoZero"/>
        <c:crossBetween val="midCat"/>
      </c:valAx>
      <c:valAx>
        <c:axId val="124228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554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선형 맞춤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5.7041557305336832E-2"/>
          <c:y val="0.17689814814814814"/>
          <c:w val="0.86925021872265962"/>
          <c:h val="0.744398148148148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'p11.2'!$D$3</c:f>
              <c:strCache>
                <c:ptCount val="1"/>
                <c:pt idx="0">
                  <c:v>1/T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'p11.2'!$D$4:$D$11</c:f>
              <c:numCache>
                <c:formatCode>General</c:formatCode>
                <c:ptCount val="8"/>
                <c:pt idx="0">
                  <c:v>1.4285714285714286E-3</c:v>
                </c:pt>
                <c:pt idx="1">
                  <c:v>1.3698630136986301E-3</c:v>
                </c:pt>
                <c:pt idx="2">
                  <c:v>1.3157894736842105E-3</c:v>
                </c:pt>
                <c:pt idx="3">
                  <c:v>1.2658227848101266E-3</c:v>
                </c:pt>
                <c:pt idx="4">
                  <c:v>1.2345679012345679E-3</c:v>
                </c:pt>
                <c:pt idx="5">
                  <c:v>1.1904761904761906E-3</c:v>
                </c:pt>
                <c:pt idx="6">
                  <c:v>1.0989010989010989E-3</c:v>
                </c:pt>
                <c:pt idx="7">
                  <c:v>1E-3</c:v>
                </c:pt>
              </c:numCache>
            </c:numRef>
          </c:xVal>
          <c:yVal>
            <c:numRef>
              <c:f>'p11.2'!$G$4:$G$11</c:f>
              <c:numCache>
                <c:formatCode>General</c:formatCode>
                <c:ptCount val="8"/>
                <c:pt idx="0">
                  <c:v>-4.5098600061837661</c:v>
                </c:pt>
                <c:pt idx="1">
                  <c:v>-3.3524072174927233</c:v>
                </c:pt>
                <c:pt idx="2">
                  <c:v>-2.2537949288246137</c:v>
                </c:pt>
                <c:pt idx="3">
                  <c:v>-1.0700248318161971</c:v>
                </c:pt>
                <c:pt idx="4">
                  <c:v>-0.23698895813626278</c:v>
                </c:pt>
                <c:pt idx="5">
                  <c:v>0.77472716755236815</c:v>
                </c:pt>
                <c:pt idx="6">
                  <c:v>2.9957322735539909</c:v>
                </c:pt>
                <c:pt idx="7">
                  <c:v>4.9767337424205742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2-4F7A-AE92-C325C0DE69C6}"/>
            </c:ext>
          </c:extLst>
        </c:ser>
        <c:ser>
          <c:idx val="1"/>
          <c:order val="1"/>
          <c:tx>
            <c:v>보정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'p11.2'!$D$4:$D$11</c:f>
              <c:numCache>
                <c:formatCode>General</c:formatCode>
                <c:ptCount val="8"/>
                <c:pt idx="0">
                  <c:v>1.4285714285714286E-3</c:v>
                </c:pt>
                <c:pt idx="1">
                  <c:v>1.3698630136986301E-3</c:v>
                </c:pt>
                <c:pt idx="2">
                  <c:v>1.3157894736842105E-3</c:v>
                </c:pt>
                <c:pt idx="3">
                  <c:v>1.2658227848101266E-3</c:v>
                </c:pt>
                <c:pt idx="4">
                  <c:v>1.2345679012345679E-3</c:v>
                </c:pt>
                <c:pt idx="5">
                  <c:v>1.1904761904761906E-3</c:v>
                </c:pt>
                <c:pt idx="6">
                  <c:v>1.0989010989010989E-3</c:v>
                </c:pt>
                <c:pt idx="7">
                  <c:v>1E-3</c:v>
                </c:pt>
              </c:numCache>
            </c:numRef>
          </c:xVal>
          <c:yVal>
            <c:numRef>
              <c:f>'p11.2'!$P$4:$P$11</c:f>
              <c:numCache>
                <c:formatCode>General</c:formatCode>
                <c:ptCount val="8"/>
                <c:pt idx="0">
                  <c:v>-4.6510931702933398</c:v>
                </c:pt>
                <c:pt idx="1">
                  <c:v>-3.3213038250967273</c:v>
                </c:pt>
                <c:pt idx="2">
                  <c:v>-2.0964978492577373</c:v>
                </c:pt>
                <c:pt idx="3">
                  <c:v>-0.96471511209006522</c:v>
                </c:pt>
                <c:pt idx="4">
                  <c:v>-0.25676870859423673</c:v>
                </c:pt>
                <c:pt idx="5">
                  <c:v>0.74194139633737421</c:v>
                </c:pt>
                <c:pt idx="6">
                  <c:v>2.8161854604261158</c:v>
                </c:pt>
                <c:pt idx="7">
                  <c:v>5.0563690496419547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C2-4F7A-AE92-C325C0DE6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66047"/>
        <c:axId val="270879935"/>
      </c:scatterChart>
      <c:valAx>
        <c:axId val="270266047"/>
        <c:scaling>
          <c:orientation val="minMax"/>
          <c:min val="8.0000000000000026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0879935"/>
        <c:crosses val="autoZero"/>
        <c:crossBetween val="midCat"/>
      </c:valAx>
      <c:valAx>
        <c:axId val="27087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026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F3.(a)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'p11.3'!$E$1</c:f>
              <c:strCache>
                <c:ptCount val="1"/>
                <c:pt idx="0">
                  <c:v>1/v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'p11.3'!$D$2:$D$7</c:f>
              <c:numCache>
                <c:formatCode>General</c:formatCode>
                <c:ptCount val="6"/>
                <c:pt idx="0">
                  <c:v>2.9940119760479038</c:v>
                </c:pt>
                <c:pt idx="1">
                  <c:v>2.2222222222222223</c:v>
                </c:pt>
                <c:pt idx="2">
                  <c:v>1.4992503748125936</c:v>
                </c:pt>
                <c:pt idx="3">
                  <c:v>1</c:v>
                </c:pt>
                <c:pt idx="4">
                  <c:v>0.75187969924812026</c:v>
                </c:pt>
                <c:pt idx="5">
                  <c:v>0.5988023952095809</c:v>
                </c:pt>
              </c:numCache>
            </c:numRef>
          </c:xVal>
          <c:yVal>
            <c:numRef>
              <c:f>'p11.3'!$E$2:$E$7</c:f>
              <c:numCache>
                <c:formatCode>General</c:formatCode>
                <c:ptCount val="6"/>
                <c:pt idx="0">
                  <c:v>6.5789473684210531</c:v>
                </c:pt>
                <c:pt idx="1">
                  <c:v>4.9751243781094523</c:v>
                </c:pt>
                <c:pt idx="2">
                  <c:v>3.7174721189591078</c:v>
                </c:pt>
                <c:pt idx="3">
                  <c:v>2.3980815347721824</c:v>
                </c:pt>
                <c:pt idx="4">
                  <c:v>1.9801980198019802</c:v>
                </c:pt>
                <c:pt idx="5">
                  <c:v>1.4992503748125936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1A-49CD-84C5-D83C8187C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417760"/>
        <c:axId val="852201008"/>
      </c:scatterChart>
      <c:valAx>
        <c:axId val="78841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2201008"/>
        <c:crosses val="autoZero"/>
        <c:crossBetween val="midCat"/>
      </c:valAx>
      <c:valAx>
        <c:axId val="8522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8841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'p11.4'!$A$7</c:f>
              <c:strCache>
                <c:ptCount val="1"/>
                <c:pt idx="0">
                  <c:v>-73.8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'p11.4'!$A$7:$A$16</c:f>
              <c:numCache>
                <c:formatCode>General</c:formatCode>
                <c:ptCount val="10"/>
                <c:pt idx="0">
                  <c:v>-73.8</c:v>
                </c:pt>
                <c:pt idx="1">
                  <c:v>-54.3</c:v>
                </c:pt>
                <c:pt idx="2">
                  <c:v>-44.7</c:v>
                </c:pt>
                <c:pt idx="3">
                  <c:v>-34.299999999999997</c:v>
                </c:pt>
                <c:pt idx="4">
                  <c:v>-22.5</c:v>
                </c:pt>
                <c:pt idx="5">
                  <c:v>-15.3</c:v>
                </c:pt>
                <c:pt idx="6">
                  <c:v>-5.0999999999999996</c:v>
                </c:pt>
                <c:pt idx="7">
                  <c:v>10.4</c:v>
                </c:pt>
                <c:pt idx="8">
                  <c:v>28</c:v>
                </c:pt>
                <c:pt idx="9">
                  <c:v>46.5</c:v>
                </c:pt>
              </c:numCache>
            </c:numRef>
          </c:xVal>
          <c:yVal>
            <c:numRef>
              <c:f>'p11.4'!$C$7:$C$16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100</c:v>
                </c:pt>
                <c:pt idx="7">
                  <c:v>200</c:v>
                </c:pt>
                <c:pt idx="8">
                  <c:v>400</c:v>
                </c:pt>
                <c:pt idx="9">
                  <c:v>760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D2-4B77-949A-44D00B7EA2FC}"/>
            </c:ext>
          </c:extLst>
        </c:ser>
        <c:ser>
          <c:idx val="1"/>
          <c:order val="1"/>
          <c:tx>
            <c:strRef>
              <c:f>'p11.4'!$A$7:$A$16</c:f>
              <c:strCache>
                <c:ptCount val="10"/>
                <c:pt idx="0">
                  <c:v>-73.8</c:v>
                </c:pt>
                <c:pt idx="1">
                  <c:v>-54.3</c:v>
                </c:pt>
                <c:pt idx="2">
                  <c:v>-44.7</c:v>
                </c:pt>
                <c:pt idx="3">
                  <c:v>-34.3</c:v>
                </c:pt>
                <c:pt idx="4">
                  <c:v>-22.5</c:v>
                </c:pt>
                <c:pt idx="5">
                  <c:v>-15.3</c:v>
                </c:pt>
                <c:pt idx="6">
                  <c:v>-5.1</c:v>
                </c:pt>
                <c:pt idx="7">
                  <c:v>10.4</c:v>
                </c:pt>
                <c:pt idx="8">
                  <c:v>28</c:v>
                </c:pt>
                <c:pt idx="9">
                  <c:v>46.5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'p11.4'!$A$7:$A$16</c:f>
              <c:numCache>
                <c:formatCode>General</c:formatCode>
                <c:ptCount val="10"/>
                <c:pt idx="0">
                  <c:v>-73.8</c:v>
                </c:pt>
                <c:pt idx="1">
                  <c:v>-54.3</c:v>
                </c:pt>
                <c:pt idx="2">
                  <c:v>-44.7</c:v>
                </c:pt>
                <c:pt idx="3">
                  <c:v>-34.299999999999997</c:v>
                </c:pt>
                <c:pt idx="4">
                  <c:v>-22.5</c:v>
                </c:pt>
                <c:pt idx="5">
                  <c:v>-15.3</c:v>
                </c:pt>
                <c:pt idx="6">
                  <c:v>-5.0999999999999996</c:v>
                </c:pt>
                <c:pt idx="7">
                  <c:v>10.4</c:v>
                </c:pt>
                <c:pt idx="8">
                  <c:v>28</c:v>
                </c:pt>
                <c:pt idx="9">
                  <c:v>46.5</c:v>
                </c:pt>
              </c:numCache>
            </c:numRef>
          </c:xVal>
          <c:yVal>
            <c:numRef>
              <c:f>'p11.4'!$F$7:$F$16</c:f>
              <c:numCache>
                <c:formatCode>General</c:formatCode>
                <c:ptCount val="10"/>
                <c:pt idx="0">
                  <c:v>0.55196699796240378</c:v>
                </c:pt>
                <c:pt idx="1">
                  <c:v>3.8626367781592292</c:v>
                </c:pt>
                <c:pt idx="2">
                  <c:v>8.4752940545670992</c:v>
                </c:pt>
                <c:pt idx="3">
                  <c:v>17.987871346079956</c:v>
                </c:pt>
                <c:pt idx="4">
                  <c:v>38.116520205803056</c:v>
                </c:pt>
                <c:pt idx="5">
                  <c:v>57.591416570418069</c:v>
                </c:pt>
                <c:pt idx="6">
                  <c:v>98.259143323754174</c:v>
                </c:pt>
                <c:pt idx="7">
                  <c:v>201.00724229237679</c:v>
                </c:pt>
                <c:pt idx="8">
                  <c:v>404.00876082833395</c:v>
                </c:pt>
                <c:pt idx="9">
                  <c:v>757.94993392229674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D2-4B77-949A-44D00B7EA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382927"/>
        <c:axId val="399428303"/>
      </c:scatterChart>
      <c:valAx>
        <c:axId val="61938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9428303"/>
        <c:crosses val="autoZero"/>
        <c:crossBetween val="midCat"/>
      </c:valAx>
      <c:valAx>
        <c:axId val="39942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938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'p11.4'!$A$7:$A$16</c:f>
              <c:numCache>
                <c:formatCode>General</c:formatCode>
                <c:ptCount val="10"/>
                <c:pt idx="0">
                  <c:v>-73.8</c:v>
                </c:pt>
                <c:pt idx="1">
                  <c:v>-54.3</c:v>
                </c:pt>
                <c:pt idx="2">
                  <c:v>-44.7</c:v>
                </c:pt>
                <c:pt idx="3">
                  <c:v>-34.299999999999997</c:v>
                </c:pt>
                <c:pt idx="4">
                  <c:v>-22.5</c:v>
                </c:pt>
                <c:pt idx="5">
                  <c:v>-15.3</c:v>
                </c:pt>
                <c:pt idx="6">
                  <c:v>-5.0999999999999996</c:v>
                </c:pt>
                <c:pt idx="7">
                  <c:v>10.4</c:v>
                </c:pt>
                <c:pt idx="8">
                  <c:v>28</c:v>
                </c:pt>
                <c:pt idx="9">
                  <c:v>46.5</c:v>
                </c:pt>
              </c:numCache>
            </c:numRef>
          </c:xVal>
          <c:yVal>
            <c:numRef>
              <c:f>'p11.4'!$B$21:$B$30</c:f>
              <c:numCache>
                <c:formatCode>General</c:formatCode>
                <c:ptCount val="10"/>
                <c:pt idx="0">
                  <c:v>-6.6201582101430612</c:v>
                </c:pt>
                <c:pt idx="1">
                  <c:v>-5.0107202977089607</c:v>
                </c:pt>
                <c:pt idx="2">
                  <c:v>-4.3175731171490153</c:v>
                </c:pt>
                <c:pt idx="3">
                  <c:v>-3.6244259365890699</c:v>
                </c:pt>
                <c:pt idx="4">
                  <c:v>-2.9312787560291245</c:v>
                </c:pt>
                <c:pt idx="5">
                  <c:v>-2.5258136479209603</c:v>
                </c:pt>
                <c:pt idx="6">
                  <c:v>-2.0149880241549694</c:v>
                </c:pt>
                <c:pt idx="7">
                  <c:v>-1.3218408435950242</c:v>
                </c:pt>
                <c:pt idx="8">
                  <c:v>-0.6286936630350789</c:v>
                </c:pt>
                <c:pt idx="9">
                  <c:v>1.3160223137315822E-2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35-4B2E-A166-B8477B2F61D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'p11.4'!$A$7:$A$16</c:f>
              <c:numCache>
                <c:formatCode>General</c:formatCode>
                <c:ptCount val="10"/>
                <c:pt idx="0">
                  <c:v>-73.8</c:v>
                </c:pt>
                <c:pt idx="1">
                  <c:v>-54.3</c:v>
                </c:pt>
                <c:pt idx="2">
                  <c:v>-44.7</c:v>
                </c:pt>
                <c:pt idx="3">
                  <c:v>-34.299999999999997</c:v>
                </c:pt>
                <c:pt idx="4">
                  <c:v>-22.5</c:v>
                </c:pt>
                <c:pt idx="5">
                  <c:v>-15.3</c:v>
                </c:pt>
                <c:pt idx="6">
                  <c:v>-5.0999999999999996</c:v>
                </c:pt>
                <c:pt idx="7">
                  <c:v>10.4</c:v>
                </c:pt>
                <c:pt idx="8">
                  <c:v>28</c:v>
                </c:pt>
                <c:pt idx="9">
                  <c:v>46.5</c:v>
                </c:pt>
              </c:numCache>
            </c:numRef>
          </c:xVal>
          <c:yVal>
            <c:numRef>
              <c:f>'p11.4'!$D$21:$D$30</c:f>
              <c:numCache>
                <c:formatCode>General</c:formatCode>
                <c:ptCount val="10"/>
                <c:pt idx="0">
                  <c:v>-6.6310840958899941</c:v>
                </c:pt>
                <c:pt idx="1">
                  <c:v>-4.9933455137110343</c:v>
                </c:pt>
                <c:pt idx="2">
                  <c:v>-4.302149716511078</c:v>
                </c:pt>
                <c:pt idx="3">
                  <c:v>-3.623241154779107</c:v>
                </c:pt>
                <c:pt idx="4">
                  <c:v>-2.9285783082008603</c:v>
                </c:pt>
                <c:pt idx="5">
                  <c:v>-2.5392374478654691</c:v>
                </c:pt>
                <c:pt idx="6">
                  <c:v>-2.0270869658991746</c:v>
                </c:pt>
                <c:pt idx="7">
                  <c:v>-1.3260485155706494</c:v>
                </c:pt>
                <c:pt idx="8">
                  <c:v>-0.6252922325599215</c:v>
                </c:pt>
                <c:pt idx="9">
                  <c:v>2.1186316281136541E-2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35-4B2E-A166-B8477B2F6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247135"/>
        <c:axId val="411010607"/>
      </c:scatterChart>
      <c:valAx>
        <c:axId val="66324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1010607"/>
        <c:crosses val="autoZero"/>
        <c:crossBetween val="midCat"/>
      </c:valAx>
      <c:valAx>
        <c:axId val="41101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324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</xdr:row>
      <xdr:rowOff>193675</xdr:rowOff>
    </xdr:from>
    <xdr:to>
      <xdr:col>12</xdr:col>
      <xdr:colOff>6350</xdr:colOff>
      <xdr:row>14</xdr:row>
      <xdr:rowOff>130175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36B873B-C44E-4BD9-AEE0-51A1947C4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177800</xdr:colOff>
      <xdr:row>14</xdr:row>
      <xdr:rowOff>168275</xdr:rowOff>
    </xdr:from>
    <xdr:to>
      <xdr:col>18</xdr:col>
      <xdr:colOff>495300</xdr:colOff>
      <xdr:row>27</xdr:row>
      <xdr:rowOff>104775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AFF17CF-F1D8-4DFF-A0C2-ECC7471DC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418353</xdr:colOff>
      <xdr:row>0</xdr:row>
      <xdr:rowOff>53789</xdr:rowOff>
    </xdr:from>
    <xdr:to>
      <xdr:col>11</xdr:col>
      <xdr:colOff>186766</xdr:colOff>
      <xdr:row>10</xdr:row>
      <xdr:rowOff>82176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1623A35-404D-4F45-A35C-B14F15AAC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130175</xdr:rowOff>
    </xdr:from>
    <xdr:to>
      <xdr:col>14</xdr:col>
      <xdr:colOff>44450</xdr:colOff>
      <xdr:row>17</xdr:row>
      <xdr:rowOff>66675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DB3C49-0BCD-47D6-BB55-CFADF77E1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19</xdr:row>
      <xdr:rowOff>155575</xdr:rowOff>
    </xdr:from>
    <xdr:to>
      <xdr:col>12</xdr:col>
      <xdr:colOff>203200</xdr:colOff>
      <xdr:row>32</xdr:row>
      <xdr:rowOff>92075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853FABE-4316-4F1F-AF4B-1462C6D26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D4" sqref="D4"/>
    </sheetView>
  </sheetViews>
  <sheetFormatPr defaultRowHeight="17" x14ac:dyDescent="0.45"/>
  <cols>
    <col min="1" max="1" width="17.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80.099999999999994</v>
      </c>
      <c r="C2">
        <v>30.8</v>
      </c>
    </row>
    <row r="3" spans="1:3" x14ac:dyDescent="0.45">
      <c r="A3" t="s">
        <v>4</v>
      </c>
      <c r="B3">
        <v>46.25</v>
      </c>
      <c r="C3">
        <v>26.74</v>
      </c>
    </row>
    <row r="4" spans="1:3" x14ac:dyDescent="0.45">
      <c r="A4" t="s">
        <v>5</v>
      </c>
      <c r="B4">
        <v>76.7</v>
      </c>
      <c r="C4">
        <v>30</v>
      </c>
    </row>
    <row r="5" spans="1:3" x14ac:dyDescent="0.45">
      <c r="A5" t="s">
        <v>6</v>
      </c>
      <c r="B5">
        <v>80.7</v>
      </c>
      <c r="C5">
        <v>30.1</v>
      </c>
    </row>
    <row r="6" spans="1:3" x14ac:dyDescent="0.45">
      <c r="A6" t="s">
        <v>7</v>
      </c>
      <c r="B6">
        <v>174</v>
      </c>
      <c r="C6">
        <v>38.75</v>
      </c>
    </row>
    <row r="7" spans="1:3" x14ac:dyDescent="0.45">
      <c r="A7" t="s">
        <v>8</v>
      </c>
      <c r="B7">
        <v>-23</v>
      </c>
      <c r="C7">
        <v>21.51</v>
      </c>
    </row>
    <row r="8" spans="1:3" x14ac:dyDescent="0.45">
      <c r="A8" t="s">
        <v>9</v>
      </c>
      <c r="B8">
        <v>78.3</v>
      </c>
      <c r="C8">
        <v>38.6</v>
      </c>
    </row>
    <row r="9" spans="1:3" x14ac:dyDescent="0.45">
      <c r="A9" t="s">
        <v>10</v>
      </c>
      <c r="B9">
        <v>-60.4</v>
      </c>
      <c r="C9">
        <v>18.7</v>
      </c>
    </row>
    <row r="10" spans="1:3" x14ac:dyDescent="0.45">
      <c r="A10" t="s">
        <v>11</v>
      </c>
      <c r="B10">
        <v>356.6</v>
      </c>
      <c r="C10">
        <v>59.3</v>
      </c>
    </row>
    <row r="11" spans="1:3" x14ac:dyDescent="0.45">
      <c r="A11" t="s">
        <v>12</v>
      </c>
      <c r="B11">
        <v>-161.5</v>
      </c>
      <c r="C11">
        <v>8.18</v>
      </c>
    </row>
    <row r="12" spans="1:3" x14ac:dyDescent="0.45">
      <c r="A12" t="s">
        <v>13</v>
      </c>
      <c r="B12">
        <v>65</v>
      </c>
      <c r="C12">
        <v>35.21</v>
      </c>
    </row>
    <row r="13" spans="1:3" x14ac:dyDescent="0.45">
      <c r="A13" t="s">
        <v>14</v>
      </c>
      <c r="B13">
        <v>100</v>
      </c>
      <c r="C13">
        <v>40.700000000000003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6267-492E-44B5-800C-4C0C1C8E4999}">
  <dimension ref="A1:P25"/>
  <sheetViews>
    <sheetView workbookViewId="0">
      <selection activeCell="P4" sqref="P4"/>
    </sheetView>
  </sheetViews>
  <sheetFormatPr defaultRowHeight="17" x14ac:dyDescent="0.45"/>
  <cols>
    <col min="5" max="5" width="12.5" bestFit="1" customWidth="1"/>
    <col min="11" max="11" width="12.5" bestFit="1" customWidth="1"/>
    <col min="16" max="16" width="12.5" bestFit="1" customWidth="1"/>
  </cols>
  <sheetData>
    <row r="1" spans="1:16" x14ac:dyDescent="0.45">
      <c r="B1" t="s">
        <v>17</v>
      </c>
    </row>
    <row r="2" spans="1:16" x14ac:dyDescent="0.45">
      <c r="B2" t="s">
        <v>18</v>
      </c>
      <c r="G2" s="1" t="s">
        <v>29</v>
      </c>
      <c r="H2" s="2"/>
    </row>
    <row r="3" spans="1:16" x14ac:dyDescent="0.45">
      <c r="A3" t="s">
        <v>19</v>
      </c>
      <c r="B3" t="s">
        <v>15</v>
      </c>
      <c r="C3" t="s">
        <v>16</v>
      </c>
      <c r="D3" t="s">
        <v>20</v>
      </c>
      <c r="E3" t="s">
        <v>21</v>
      </c>
      <c r="G3" t="s">
        <v>22</v>
      </c>
      <c r="H3" t="s">
        <v>23</v>
      </c>
      <c r="J3" t="s">
        <v>24</v>
      </c>
      <c r="M3" t="s">
        <v>25</v>
      </c>
      <c r="P3" t="s">
        <v>37</v>
      </c>
    </row>
    <row r="4" spans="1:16" x14ac:dyDescent="0.45">
      <c r="A4">
        <v>1</v>
      </c>
      <c r="B4">
        <v>700</v>
      </c>
      <c r="C4">
        <v>1.0999999999999999E-2</v>
      </c>
      <c r="D4">
        <f>1/B4</f>
        <v>1.4285714285714286E-3</v>
      </c>
      <c r="E4">
        <f>1/B4^2</f>
        <v>2.0408163265306121E-6</v>
      </c>
      <c r="G4" cm="1">
        <f t="array" ref="G4:G11">LN(C4:C11)</f>
        <v>-4.5098600061837661</v>
      </c>
      <c r="H4">
        <f>G4*D4</f>
        <v>-6.4426571516910947E-3</v>
      </c>
      <c r="J4">
        <f>A11</f>
        <v>8</v>
      </c>
      <c r="K4">
        <f>J5</f>
        <v>-9.9039918913762515E-3</v>
      </c>
      <c r="M4">
        <f>SUM(_xlfn.ANCHORARRAY(G4))</f>
        <v>-2.6758827589266296</v>
      </c>
      <c r="P4">
        <f>$M$8-$M$9*D4</f>
        <v>-4.6510931702933398</v>
      </c>
    </row>
    <row r="5" spans="1:16" x14ac:dyDescent="0.45">
      <c r="A5">
        <v>2</v>
      </c>
      <c r="B5">
        <v>730</v>
      </c>
      <c r="C5">
        <v>3.5000000000000003E-2</v>
      </c>
      <c r="D5">
        <f t="shared" ref="D5:D11" si="0">1/B5</f>
        <v>1.3698630136986301E-3</v>
      </c>
      <c r="E5">
        <f t="shared" ref="E5:E11" si="1">1/B5^2</f>
        <v>1.8765246762994934E-6</v>
      </c>
      <c r="G5">
        <v>-3.3524072174927233</v>
      </c>
      <c r="H5">
        <f t="shared" ref="H5:H11" si="2">G5*D5</f>
        <v>-4.5923386540996213E-3</v>
      </c>
      <c r="J5">
        <f>-SUM(D4:D11)</f>
        <v>-9.9039918913762515E-3</v>
      </c>
      <c r="K5">
        <f>SUM(E4:E11)</f>
        <v>1.2399925352448215E-5</v>
      </c>
      <c r="M5">
        <f>-SUM(H4:H11)</f>
        <v>6.4565147451399177E-3</v>
      </c>
      <c r="P5">
        <f t="shared" ref="P5:P11" si="3">$M$8-$M$9*D5</f>
        <v>-3.3213038250967273</v>
      </c>
    </row>
    <row r="6" spans="1:16" x14ac:dyDescent="0.45">
      <c r="A6">
        <v>3</v>
      </c>
      <c r="B6">
        <v>760</v>
      </c>
      <c r="C6">
        <v>0.105</v>
      </c>
      <c r="D6">
        <f t="shared" si="0"/>
        <v>1.3157894736842105E-3</v>
      </c>
      <c r="E6">
        <f t="shared" si="1"/>
        <v>1.7313019390581717E-6</v>
      </c>
      <c r="G6">
        <v>-2.2537949288246137</v>
      </c>
      <c r="H6">
        <f t="shared" si="2"/>
        <v>-2.9655196431902812E-3</v>
      </c>
      <c r="P6">
        <f t="shared" si="3"/>
        <v>-2.0964978492577373</v>
      </c>
    </row>
    <row r="7" spans="1:16" x14ac:dyDescent="0.45">
      <c r="A7">
        <v>4</v>
      </c>
      <c r="B7">
        <v>790</v>
      </c>
      <c r="C7">
        <v>0.34300000000000003</v>
      </c>
      <c r="D7">
        <f t="shared" si="0"/>
        <v>1.2658227848101266E-3</v>
      </c>
      <c r="E7">
        <f t="shared" si="1"/>
        <v>1.6023073225444641E-6</v>
      </c>
      <c r="G7">
        <v>-1.0700248318161971</v>
      </c>
      <c r="H7">
        <f t="shared" si="2"/>
        <v>-1.354461812425566E-3</v>
      </c>
      <c r="J7" t="s">
        <v>26</v>
      </c>
      <c r="M7" t="s">
        <v>27</v>
      </c>
      <c r="P7">
        <f t="shared" si="3"/>
        <v>-0.96471511209006522</v>
      </c>
    </row>
    <row r="8" spans="1:16" x14ac:dyDescent="0.45">
      <c r="A8">
        <v>5</v>
      </c>
      <c r="B8">
        <v>810</v>
      </c>
      <c r="C8">
        <v>0.78900000000000003</v>
      </c>
      <c r="D8">
        <f t="shared" si="0"/>
        <v>1.2345679012345679E-3</v>
      </c>
      <c r="E8">
        <f t="shared" si="1"/>
        <v>1.5241579027587259E-6</v>
      </c>
      <c r="G8">
        <v>-0.23698895813626278</v>
      </c>
      <c r="H8">
        <f t="shared" si="2"/>
        <v>-2.9257896066205283E-4</v>
      </c>
      <c r="J8" cm="1">
        <f t="array" ref="J8:K9">MINVERSE(J4:K5)</f>
        <v>11.167608407988009</v>
      </c>
      <c r="K8">
        <v>8919.7233027649709</v>
      </c>
      <c r="M8" cm="1">
        <f t="array" ref="M8:M9">MMULT(J8:K9,M4:M5)</f>
        <v>27.70711422949098</v>
      </c>
      <c r="N8" t="s">
        <v>31</v>
      </c>
      <c r="P8">
        <f t="shared" si="3"/>
        <v>-0.25676870859423673</v>
      </c>
    </row>
    <row r="9" spans="1:16" x14ac:dyDescent="0.45">
      <c r="A9">
        <v>6</v>
      </c>
      <c r="B9">
        <v>840</v>
      </c>
      <c r="C9">
        <v>2.17</v>
      </c>
      <c r="D9">
        <f t="shared" si="0"/>
        <v>1.1904761904761906E-3</v>
      </c>
      <c r="E9">
        <f t="shared" si="1"/>
        <v>1.417233560090703E-6</v>
      </c>
      <c r="G9">
        <v>0.77472716755236815</v>
      </c>
      <c r="H9">
        <f t="shared" si="2"/>
        <v>9.2229424708615269E-4</v>
      </c>
      <c r="J9">
        <v>8919.7233027649709</v>
      </c>
      <c r="K9">
        <v>7204952.0238655955</v>
      </c>
      <c r="M9">
        <v>22650.745179849026</v>
      </c>
      <c r="N9" t="s">
        <v>30</v>
      </c>
      <c r="P9">
        <f t="shared" si="3"/>
        <v>0.74194139633737421</v>
      </c>
    </row>
    <row r="10" spans="1:16" x14ac:dyDescent="0.45">
      <c r="A10">
        <v>7</v>
      </c>
      <c r="B10">
        <v>910</v>
      </c>
      <c r="C10">
        <v>20</v>
      </c>
      <c r="D10">
        <f t="shared" si="0"/>
        <v>1.0989010989010989E-3</v>
      </c>
      <c r="E10">
        <f t="shared" si="1"/>
        <v>1.2075836251660427E-6</v>
      </c>
      <c r="G10">
        <v>2.9957322735539909</v>
      </c>
      <c r="H10">
        <f t="shared" si="2"/>
        <v>3.2920134874219681E-3</v>
      </c>
      <c r="M10" t="s">
        <v>32</v>
      </c>
      <c r="N10" s="3">
        <f>EXP(M8)</f>
        <v>1079063044883.8151</v>
      </c>
      <c r="P10">
        <f t="shared" si="3"/>
        <v>2.8161854604261158</v>
      </c>
    </row>
    <row r="11" spans="1:16" x14ac:dyDescent="0.45">
      <c r="A11">
        <v>8</v>
      </c>
      <c r="B11">
        <v>1000</v>
      </c>
      <c r="C11">
        <v>145</v>
      </c>
      <c r="D11">
        <f t="shared" si="0"/>
        <v>1E-3</v>
      </c>
      <c r="E11">
        <f t="shared" si="1"/>
        <v>9.9999999999999995E-7</v>
      </c>
      <c r="G11">
        <v>4.9767337424205742</v>
      </c>
      <c r="H11">
        <f t="shared" si="2"/>
        <v>4.9767337424205743E-3</v>
      </c>
      <c r="M11" t="s">
        <v>30</v>
      </c>
      <c r="N11" s="3">
        <f>M9*8.314</f>
        <v>188318.29542526481</v>
      </c>
      <c r="P11">
        <f t="shared" si="3"/>
        <v>5.0563690496419547</v>
      </c>
    </row>
    <row r="13" spans="1:16" x14ac:dyDescent="0.45">
      <c r="G13" s="1" t="s">
        <v>28</v>
      </c>
      <c r="H13" s="2"/>
      <c r="I13" s="4" t="s">
        <v>36</v>
      </c>
    </row>
    <row r="14" spans="1:16" x14ac:dyDescent="0.45">
      <c r="G14" t="s">
        <v>32</v>
      </c>
      <c r="H14" s="3">
        <v>80593792709.23497</v>
      </c>
      <c r="L14" t="s">
        <v>38</v>
      </c>
    </row>
    <row r="15" spans="1:16" x14ac:dyDescent="0.45">
      <c r="G15" t="s">
        <v>33</v>
      </c>
      <c r="H15" s="3">
        <v>167410.39637516811</v>
      </c>
    </row>
    <row r="16" spans="1:16" x14ac:dyDescent="0.45">
      <c r="F16" t="s">
        <v>15</v>
      </c>
      <c r="G16" t="s">
        <v>35</v>
      </c>
      <c r="H16" t="s">
        <v>16</v>
      </c>
      <c r="I16" t="s">
        <v>34</v>
      </c>
    </row>
    <row r="17" spans="6:9" x14ac:dyDescent="0.45">
      <c r="F17">
        <v>700</v>
      </c>
      <c r="G17">
        <f>$H$14*EXP(-$H$15/8.314/F17)</f>
        <v>2.5913947092430833E-2</v>
      </c>
      <c r="H17" cm="1">
        <f t="array" ref="H17:H24">C4:C11</f>
        <v>1.0999999999999999E-2</v>
      </c>
      <c r="I17">
        <f>G17-H17</f>
        <v>1.4913947092430834E-2</v>
      </c>
    </row>
    <row r="18" spans="6:9" x14ac:dyDescent="0.45">
      <c r="F18">
        <v>730</v>
      </c>
      <c r="G18">
        <f>$H$14*EXP(-$H$15/8.314/F18)</f>
        <v>8.4515233072558496E-2</v>
      </c>
      <c r="H18">
        <v>3.5000000000000003E-2</v>
      </c>
      <c r="I18">
        <f t="shared" ref="I18:I24" si="4">G18-H18</f>
        <v>4.9515233072558493E-2</v>
      </c>
    </row>
    <row r="19" spans="6:9" x14ac:dyDescent="0.45">
      <c r="F19">
        <v>760</v>
      </c>
      <c r="G19">
        <f t="shared" ref="G19:G24" si="5">$H$14*EXP(-$H$15/8.314/F19)</f>
        <v>0.2510757263232285</v>
      </c>
      <c r="H19">
        <v>0.105</v>
      </c>
      <c r="I19">
        <f t="shared" si="4"/>
        <v>0.14607572632322852</v>
      </c>
    </row>
    <row r="20" spans="6:9" x14ac:dyDescent="0.45">
      <c r="F20">
        <v>790</v>
      </c>
      <c r="G20">
        <f t="shared" si="5"/>
        <v>0.68668933897065632</v>
      </c>
      <c r="H20">
        <v>0.34300000000000003</v>
      </c>
      <c r="I20">
        <f t="shared" si="4"/>
        <v>0.34368933897065629</v>
      </c>
    </row>
    <row r="21" spans="6:9" x14ac:dyDescent="0.45">
      <c r="F21">
        <v>810</v>
      </c>
      <c r="G21">
        <f t="shared" si="5"/>
        <v>1.288493737412399</v>
      </c>
      <c r="H21">
        <v>0.78900000000000003</v>
      </c>
      <c r="I21">
        <f t="shared" si="4"/>
        <v>0.499493737412399</v>
      </c>
    </row>
    <row r="22" spans="6:9" x14ac:dyDescent="0.45">
      <c r="F22">
        <v>840</v>
      </c>
      <c r="G22">
        <f t="shared" si="5"/>
        <v>3.130845034315938</v>
      </c>
      <c r="H22">
        <v>2.17</v>
      </c>
      <c r="I22">
        <f t="shared" si="4"/>
        <v>0.96084503431593804</v>
      </c>
    </row>
    <row r="23" spans="6:9" x14ac:dyDescent="0.45">
      <c r="F23">
        <v>910</v>
      </c>
      <c r="G23">
        <f t="shared" si="5"/>
        <v>19.791560366794652</v>
      </c>
      <c r="H23">
        <v>20</v>
      </c>
      <c r="I23">
        <f t="shared" si="4"/>
        <v>-0.20843963320534797</v>
      </c>
    </row>
    <row r="24" spans="6:9" x14ac:dyDescent="0.45">
      <c r="F24">
        <v>1000</v>
      </c>
      <c r="G24">
        <f t="shared" si="5"/>
        <v>144.99865561863413</v>
      </c>
      <c r="H24">
        <v>145</v>
      </c>
      <c r="I24">
        <f t="shared" si="4"/>
        <v>-1.3443813658682302E-3</v>
      </c>
    </row>
    <row r="25" spans="6:9" x14ac:dyDescent="0.45">
      <c r="H25" s="5" t="s">
        <v>50</v>
      </c>
      <c r="I25" s="5">
        <f>SUMSQ(I17:I24)</f>
        <v>1.3583007254028907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C4EE-E460-4839-ABE0-0B1E448675EA}">
  <dimension ref="A1:H23"/>
  <sheetViews>
    <sheetView zoomScale="85" zoomScaleNormal="85" workbookViewId="0">
      <selection activeCell="H13" sqref="H13"/>
    </sheetView>
  </sheetViews>
  <sheetFormatPr defaultRowHeight="17" x14ac:dyDescent="0.45"/>
  <sheetData>
    <row r="1" spans="1:8" x14ac:dyDescent="0.45">
      <c r="A1" t="s">
        <v>39</v>
      </c>
      <c r="B1" t="s">
        <v>40</v>
      </c>
      <c r="D1" t="s">
        <v>41</v>
      </c>
      <c r="E1" t="s">
        <v>42</v>
      </c>
    </row>
    <row r="2" spans="1:8" x14ac:dyDescent="0.45">
      <c r="A2">
        <v>0.33400000000000002</v>
      </c>
      <c r="B2">
        <v>0.152</v>
      </c>
      <c r="D2">
        <f>1/A2</f>
        <v>2.9940119760479038</v>
      </c>
      <c r="E2">
        <f>1/B2</f>
        <v>6.5789473684210531</v>
      </c>
    </row>
    <row r="3" spans="1:8" x14ac:dyDescent="0.45">
      <c r="A3">
        <v>0.45</v>
      </c>
      <c r="B3">
        <v>0.20100000000000001</v>
      </c>
      <c r="D3">
        <f t="shared" ref="D3:E6" si="0">1/A3</f>
        <v>2.2222222222222223</v>
      </c>
      <c r="E3">
        <f t="shared" si="0"/>
        <v>4.9751243781094523</v>
      </c>
    </row>
    <row r="4" spans="1:8" x14ac:dyDescent="0.45">
      <c r="A4">
        <v>0.66700000000000004</v>
      </c>
      <c r="B4">
        <v>0.26900000000000002</v>
      </c>
      <c r="D4">
        <f t="shared" si="0"/>
        <v>1.4992503748125936</v>
      </c>
      <c r="E4">
        <f t="shared" si="0"/>
        <v>3.7174721189591078</v>
      </c>
    </row>
    <row r="5" spans="1:8" x14ac:dyDescent="0.45">
      <c r="A5">
        <v>1</v>
      </c>
      <c r="B5">
        <v>0.41699999999999998</v>
      </c>
      <c r="D5">
        <f t="shared" si="0"/>
        <v>1</v>
      </c>
      <c r="E5">
        <f t="shared" si="0"/>
        <v>2.3980815347721824</v>
      </c>
    </row>
    <row r="6" spans="1:8" x14ac:dyDescent="0.45">
      <c r="A6">
        <v>1.33</v>
      </c>
      <c r="B6">
        <v>0.505</v>
      </c>
      <c r="D6">
        <f t="shared" si="0"/>
        <v>0.75187969924812026</v>
      </c>
      <c r="E6">
        <f t="shared" si="0"/>
        <v>1.9801980198019802</v>
      </c>
    </row>
    <row r="7" spans="1:8" x14ac:dyDescent="0.45">
      <c r="A7">
        <v>1.67</v>
      </c>
      <c r="B7">
        <v>0.66700000000000004</v>
      </c>
      <c r="D7">
        <f>1/A7</f>
        <v>0.5988023952095809</v>
      </c>
      <c r="E7">
        <f>1/B7</f>
        <v>1.4992503748125936</v>
      </c>
    </row>
    <row r="9" spans="1:8" x14ac:dyDescent="0.45">
      <c r="A9" t="s">
        <v>43</v>
      </c>
    </row>
    <row r="11" spans="1:8" x14ac:dyDescent="0.45">
      <c r="D11" t="s">
        <v>27</v>
      </c>
      <c r="E11">
        <v>0.36290801273269474</v>
      </c>
    </row>
    <row r="12" spans="1:8" x14ac:dyDescent="0.45">
      <c r="D12" t="s">
        <v>25</v>
      </c>
      <c r="E12">
        <v>2.0925738301323724</v>
      </c>
      <c r="G12" t="s">
        <v>44</v>
      </c>
      <c r="H12">
        <f>1/E11</f>
        <v>2.7555192084903477</v>
      </c>
    </row>
    <row r="13" spans="1:8" x14ac:dyDescent="0.45">
      <c r="A13" t="s">
        <v>45</v>
      </c>
      <c r="B13" t="s">
        <v>46</v>
      </c>
      <c r="D13" t="s">
        <v>47</v>
      </c>
      <c r="E13" t="s">
        <v>34</v>
      </c>
      <c r="G13" t="s">
        <v>48</v>
      </c>
      <c r="H13">
        <f>E12*H12</f>
        <v>5.76612738411397</v>
      </c>
    </row>
    <row r="14" spans="1:8" x14ac:dyDescent="0.45">
      <c r="A14">
        <f>D2</f>
        <v>2.9940119760479038</v>
      </c>
      <c r="B14">
        <f>E2</f>
        <v>6.5789473684210531</v>
      </c>
      <c r="D14">
        <f>$E$11+$E$12*A14</f>
        <v>6.6280991209134497</v>
      </c>
      <c r="E14">
        <f>D14-B14</f>
        <v>4.9151752492396561E-2</v>
      </c>
    </row>
    <row r="15" spans="1:8" x14ac:dyDescent="0.45">
      <c r="A15">
        <f t="shared" ref="A15:B15" si="1">D3</f>
        <v>2.2222222222222223</v>
      </c>
      <c r="B15">
        <f t="shared" si="1"/>
        <v>4.9751243781094523</v>
      </c>
      <c r="D15">
        <f t="shared" ref="D15:D19" si="2">$E$11+$E$12*A15</f>
        <v>5.0130720796935231</v>
      </c>
      <c r="E15">
        <f t="shared" ref="E15:E19" si="3">D15-B15</f>
        <v>3.7947701584070792E-2</v>
      </c>
    </row>
    <row r="16" spans="1:8" x14ac:dyDescent="0.45">
      <c r="A16">
        <f t="shared" ref="A16:B16" si="4">D4</f>
        <v>1.4992503748125936</v>
      </c>
      <c r="B16">
        <f t="shared" si="4"/>
        <v>3.7174721189591078</v>
      </c>
      <c r="D16">
        <f t="shared" si="2"/>
        <v>3.500200111881679</v>
      </c>
      <c r="E16">
        <f t="shared" si="3"/>
        <v>-0.21727200707742877</v>
      </c>
    </row>
    <row r="17" spans="1:5" x14ac:dyDescent="0.45">
      <c r="A17">
        <f t="shared" ref="A17:B17" si="5">D5</f>
        <v>1</v>
      </c>
      <c r="B17">
        <f t="shared" si="5"/>
        <v>2.3980815347721824</v>
      </c>
      <c r="D17">
        <f t="shared" si="2"/>
        <v>2.4554818428650673</v>
      </c>
      <c r="E17">
        <f t="shared" si="3"/>
        <v>5.7400308092884877E-2</v>
      </c>
    </row>
    <row r="18" spans="1:5" x14ac:dyDescent="0.45">
      <c r="A18">
        <f t="shared" ref="A18:B18" si="6">D6</f>
        <v>0.75187969924812026</v>
      </c>
      <c r="B18">
        <f t="shared" si="6"/>
        <v>1.9801980198019802</v>
      </c>
      <c r="D18">
        <f t="shared" si="2"/>
        <v>1.93627179478711</v>
      </c>
      <c r="E18">
        <f t="shared" si="3"/>
        <v>-4.3926225014870202E-2</v>
      </c>
    </row>
    <row r="19" spans="1:5" x14ac:dyDescent="0.45">
      <c r="A19">
        <f t="shared" ref="A19:B19" si="7">D7</f>
        <v>0.5988023952095809</v>
      </c>
      <c r="B19">
        <f t="shared" si="7"/>
        <v>1.4992503748125936</v>
      </c>
      <c r="D19">
        <f t="shared" si="2"/>
        <v>1.615946234368846</v>
      </c>
      <c r="E19">
        <f t="shared" si="3"/>
        <v>0.11669585955625239</v>
      </c>
    </row>
    <row r="20" spans="1:5" x14ac:dyDescent="0.45">
      <c r="E20">
        <f>SUMSQ(E14:E19)</f>
        <v>6.9905280138829462E-2</v>
      </c>
    </row>
    <row r="23" spans="1:5" x14ac:dyDescent="0.45">
      <c r="A23" t="s">
        <v>49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0453-A416-4C48-A447-5D10D5580013}">
  <dimension ref="A1:H31"/>
  <sheetViews>
    <sheetView tabSelected="1" topLeftCell="A16" workbookViewId="0">
      <selection activeCell="D21" sqref="D21:D30"/>
    </sheetView>
  </sheetViews>
  <sheetFormatPr defaultRowHeight="17" x14ac:dyDescent="0.45"/>
  <cols>
    <col min="5" max="6" width="12.5" bestFit="1" customWidth="1"/>
  </cols>
  <sheetData>
    <row r="1" spans="1:8" x14ac:dyDescent="0.45">
      <c r="A1" s="2" t="s">
        <v>65</v>
      </c>
      <c r="C1" t="s">
        <v>66</v>
      </c>
    </row>
    <row r="2" spans="1:8" x14ac:dyDescent="0.45">
      <c r="A2" t="s">
        <v>54</v>
      </c>
      <c r="C2" t="s">
        <v>67</v>
      </c>
      <c r="D2" t="s">
        <v>68</v>
      </c>
    </row>
    <row r="3" spans="1:8" x14ac:dyDescent="0.45">
      <c r="A3" t="s">
        <v>32</v>
      </c>
      <c r="B3">
        <v>4.0668300000000004</v>
      </c>
      <c r="D3" t="s">
        <v>32</v>
      </c>
      <c r="E3" t="s">
        <v>55</v>
      </c>
      <c r="F3" t="s">
        <v>56</v>
      </c>
      <c r="H3" t="s">
        <v>59</v>
      </c>
    </row>
    <row r="4" spans="1:8" x14ac:dyDescent="0.45">
      <c r="A4" t="s">
        <v>55</v>
      </c>
      <c r="B4">
        <v>1168.6199999999999</v>
      </c>
      <c r="D4">
        <v>14.613347757388473</v>
      </c>
      <c r="E4">
        <v>2021.3768790462757</v>
      </c>
      <c r="F4">
        <v>-66.431267606379706</v>
      </c>
      <c r="H4">
        <v>1.33322E-3</v>
      </c>
    </row>
    <row r="5" spans="1:8" x14ac:dyDescent="0.45">
      <c r="A5" t="s">
        <v>56</v>
      </c>
      <c r="B5">
        <v>-31.616</v>
      </c>
      <c r="D5" t="s">
        <v>53</v>
      </c>
    </row>
    <row r="6" spans="1:8" x14ac:dyDescent="0.45">
      <c r="A6" t="s">
        <v>51</v>
      </c>
      <c r="B6" t="s">
        <v>64</v>
      </c>
      <c r="C6" t="s">
        <v>52</v>
      </c>
      <c r="D6" t="s">
        <v>58</v>
      </c>
      <c r="F6" t="s">
        <v>57</v>
      </c>
      <c r="G6" t="s">
        <v>34</v>
      </c>
    </row>
    <row r="7" spans="1:8" x14ac:dyDescent="0.45">
      <c r="A7">
        <v>-73.8</v>
      </c>
      <c r="B7">
        <f>273.15+A7</f>
        <v>199.34999999999997</v>
      </c>
      <c r="C7">
        <v>1</v>
      </c>
      <c r="D7">
        <f>C7*$H$4</f>
        <v>1.33322E-3</v>
      </c>
      <c r="F7">
        <f>EXP($D$4-$E$4/($F$4+B7))</f>
        <v>0.55196699796240378</v>
      </c>
      <c r="G7">
        <f>F7-C7</f>
        <v>-0.44803300203759622</v>
      </c>
    </row>
    <row r="8" spans="1:8" x14ac:dyDescent="0.45">
      <c r="A8">
        <v>-54.3</v>
      </c>
      <c r="B8">
        <f t="shared" ref="B8:B16" si="0">273.15+A8</f>
        <v>218.84999999999997</v>
      </c>
      <c r="C8">
        <v>5</v>
      </c>
      <c r="D8">
        <f t="shared" ref="D8:D16" si="1">C8*$H$4</f>
        <v>6.6660999999999995E-3</v>
      </c>
      <c r="F8">
        <f t="shared" ref="F8:F16" si="2">EXP($D$4-$E$4/($F$4+B8))</f>
        <v>3.8626367781592292</v>
      </c>
      <c r="G8">
        <f t="shared" ref="G8:G16" si="3">F8-C8</f>
        <v>-1.1373632218407708</v>
      </c>
    </row>
    <row r="9" spans="1:8" x14ac:dyDescent="0.45">
      <c r="A9">
        <v>-44.7</v>
      </c>
      <c r="B9">
        <f t="shared" si="0"/>
        <v>228.45</v>
      </c>
      <c r="C9">
        <v>10</v>
      </c>
      <c r="D9">
        <f t="shared" si="1"/>
        <v>1.3332199999999999E-2</v>
      </c>
      <c r="F9">
        <f t="shared" si="2"/>
        <v>8.4752940545670992</v>
      </c>
      <c r="G9">
        <f t="shared" si="3"/>
        <v>-1.5247059454329008</v>
      </c>
    </row>
    <row r="10" spans="1:8" x14ac:dyDescent="0.45">
      <c r="A10">
        <v>-34.299999999999997</v>
      </c>
      <c r="B10">
        <f t="shared" si="0"/>
        <v>238.84999999999997</v>
      </c>
      <c r="C10">
        <v>20</v>
      </c>
      <c r="D10">
        <f t="shared" si="1"/>
        <v>2.6664399999999998E-2</v>
      </c>
      <c r="F10">
        <f t="shared" si="2"/>
        <v>17.987871346079956</v>
      </c>
      <c r="G10">
        <f t="shared" si="3"/>
        <v>-2.012128653920044</v>
      </c>
    </row>
    <row r="11" spans="1:8" x14ac:dyDescent="0.45">
      <c r="A11">
        <v>-22.5</v>
      </c>
      <c r="B11">
        <f t="shared" si="0"/>
        <v>250.64999999999998</v>
      </c>
      <c r="C11">
        <v>40</v>
      </c>
      <c r="D11">
        <f t="shared" si="1"/>
        <v>5.3328799999999996E-2</v>
      </c>
      <c r="F11">
        <f t="shared" si="2"/>
        <v>38.116520205803056</v>
      </c>
      <c r="G11">
        <f t="shared" si="3"/>
        <v>-1.8834797941969441</v>
      </c>
    </row>
    <row r="12" spans="1:8" x14ac:dyDescent="0.45">
      <c r="A12">
        <v>-15.3</v>
      </c>
      <c r="B12">
        <f t="shared" si="0"/>
        <v>257.84999999999997</v>
      </c>
      <c r="C12">
        <v>60</v>
      </c>
      <c r="D12">
        <f t="shared" si="1"/>
        <v>7.99932E-2</v>
      </c>
      <c r="F12">
        <f t="shared" si="2"/>
        <v>57.591416570418069</v>
      </c>
      <c r="G12">
        <f t="shared" si="3"/>
        <v>-2.4085834295819311</v>
      </c>
    </row>
    <row r="13" spans="1:8" x14ac:dyDescent="0.45">
      <c r="A13">
        <v>-5.0999999999999996</v>
      </c>
      <c r="B13">
        <f t="shared" si="0"/>
        <v>268.04999999999995</v>
      </c>
      <c r="C13">
        <v>100</v>
      </c>
      <c r="D13">
        <f t="shared" si="1"/>
        <v>0.133322</v>
      </c>
      <c r="F13">
        <f t="shared" si="2"/>
        <v>98.259143323754174</v>
      </c>
      <c r="G13">
        <f t="shared" si="3"/>
        <v>-1.7408566762458264</v>
      </c>
    </row>
    <row r="14" spans="1:8" x14ac:dyDescent="0.45">
      <c r="A14">
        <v>10.4</v>
      </c>
      <c r="B14">
        <f t="shared" si="0"/>
        <v>283.54999999999995</v>
      </c>
      <c r="C14">
        <v>200</v>
      </c>
      <c r="D14">
        <f t="shared" si="1"/>
        <v>0.26664399999999999</v>
      </c>
      <c r="F14">
        <f t="shared" si="2"/>
        <v>201.00724229237679</v>
      </c>
      <c r="G14">
        <f t="shared" si="3"/>
        <v>1.0072422923767874</v>
      </c>
    </row>
    <row r="15" spans="1:8" x14ac:dyDescent="0.45">
      <c r="A15">
        <v>28</v>
      </c>
      <c r="B15">
        <f t="shared" si="0"/>
        <v>301.14999999999998</v>
      </c>
      <c r="C15">
        <v>400</v>
      </c>
      <c r="D15">
        <f t="shared" si="1"/>
        <v>0.53328799999999998</v>
      </c>
      <c r="F15">
        <f t="shared" si="2"/>
        <v>404.00876082833395</v>
      </c>
      <c r="G15">
        <f t="shared" si="3"/>
        <v>4.0087608283339478</v>
      </c>
    </row>
    <row r="16" spans="1:8" x14ac:dyDescent="0.45">
      <c r="A16">
        <v>46.5</v>
      </c>
      <c r="B16">
        <f t="shared" si="0"/>
        <v>319.64999999999998</v>
      </c>
      <c r="C16">
        <v>760</v>
      </c>
      <c r="D16">
        <f t="shared" si="1"/>
        <v>1.0132471999999999</v>
      </c>
      <c r="F16">
        <f t="shared" si="2"/>
        <v>757.94993392229674</v>
      </c>
      <c r="G16">
        <f t="shared" si="3"/>
        <v>-2.0500660777032635</v>
      </c>
    </row>
    <row r="17" spans="1:8" x14ac:dyDescent="0.45">
      <c r="F17" s="5" t="s">
        <v>50</v>
      </c>
      <c r="G17" s="5">
        <f>SUMSQ(G7:G16)</f>
        <v>41.534542186196617</v>
      </c>
      <c r="H17" t="s">
        <v>62</v>
      </c>
    </row>
    <row r="18" spans="1:8" x14ac:dyDescent="0.45">
      <c r="A18" t="s">
        <v>32</v>
      </c>
      <c r="B18" t="s">
        <v>55</v>
      </c>
      <c r="C18" t="s">
        <v>56</v>
      </c>
    </row>
    <row r="19" spans="1:8" x14ac:dyDescent="0.45">
      <c r="A19">
        <v>9.6864889415344546</v>
      </c>
      <c r="B19">
        <v>2852.1131720242793</v>
      </c>
      <c r="C19">
        <v>-24.562170616124011</v>
      </c>
      <c r="D19" t="s">
        <v>29</v>
      </c>
    </row>
    <row r="20" spans="1:8" x14ac:dyDescent="0.45">
      <c r="A20" t="s">
        <v>60</v>
      </c>
      <c r="B20" t="s">
        <v>63</v>
      </c>
      <c r="D20" t="s">
        <v>61</v>
      </c>
      <c r="E20" t="s">
        <v>34</v>
      </c>
    </row>
    <row r="21" spans="1:8" x14ac:dyDescent="0.45">
      <c r="A21">
        <f>LN(C7)</f>
        <v>0</v>
      </c>
      <c r="B21">
        <f>LN(D7)</f>
        <v>-6.6201582101430612</v>
      </c>
      <c r="D21">
        <f>$A$19-$B$19/($C$19+B7)</f>
        <v>-6.6310840958899941</v>
      </c>
      <c r="E21">
        <f>D21-B21</f>
        <v>-1.0925885746932984E-2</v>
      </c>
    </row>
    <row r="22" spans="1:8" x14ac:dyDescent="0.45">
      <c r="A22">
        <f t="shared" ref="A22:A30" si="4">LN(C8)</f>
        <v>1.6094379124341003</v>
      </c>
      <c r="B22">
        <f t="shared" ref="B22:B30" si="5">LN(D8)</f>
        <v>-5.0107202977089607</v>
      </c>
      <c r="D22">
        <f t="shared" ref="D22:D30" si="6">$A$19-$B$19/($C$19+B8)</f>
        <v>-4.9933455137110343</v>
      </c>
      <c r="E22">
        <f t="shared" ref="E22:E30" si="7">D22-B22</f>
        <v>1.7374783997926357E-2</v>
      </c>
    </row>
    <row r="23" spans="1:8" x14ac:dyDescent="0.45">
      <c r="A23">
        <f t="shared" si="4"/>
        <v>2.3025850929940459</v>
      </c>
      <c r="B23">
        <f t="shared" si="5"/>
        <v>-4.3175731171490153</v>
      </c>
      <c r="D23">
        <f t="shared" si="6"/>
        <v>-4.302149716511078</v>
      </c>
      <c r="E23">
        <f t="shared" si="7"/>
        <v>1.5423400637937235E-2</v>
      </c>
    </row>
    <row r="24" spans="1:8" x14ac:dyDescent="0.45">
      <c r="A24">
        <f t="shared" si="4"/>
        <v>2.9957322735539909</v>
      </c>
      <c r="B24">
        <f t="shared" si="5"/>
        <v>-3.6244259365890699</v>
      </c>
      <c r="D24">
        <f t="shared" si="6"/>
        <v>-3.623241154779107</v>
      </c>
      <c r="E24">
        <f t="shared" si="7"/>
        <v>1.1847818099628427E-3</v>
      </c>
    </row>
    <row r="25" spans="1:8" x14ac:dyDescent="0.45">
      <c r="A25">
        <f t="shared" si="4"/>
        <v>3.6888794541139363</v>
      </c>
      <c r="B25">
        <f t="shared" si="5"/>
        <v>-2.9312787560291245</v>
      </c>
      <c r="D25">
        <f t="shared" si="6"/>
        <v>-2.9285783082008603</v>
      </c>
      <c r="E25">
        <f t="shared" si="7"/>
        <v>2.7004478282641742E-3</v>
      </c>
    </row>
    <row r="26" spans="1:8" x14ac:dyDescent="0.45">
      <c r="A26">
        <f t="shared" si="4"/>
        <v>4.0943445622221004</v>
      </c>
      <c r="B26">
        <f t="shared" si="5"/>
        <v>-2.5258136479209603</v>
      </c>
      <c r="D26">
        <f t="shared" si="6"/>
        <v>-2.5392374478654691</v>
      </c>
      <c r="E26">
        <f t="shared" si="7"/>
        <v>-1.3423799944508819E-2</v>
      </c>
    </row>
    <row r="27" spans="1:8" x14ac:dyDescent="0.45">
      <c r="A27">
        <f t="shared" si="4"/>
        <v>4.6051701859880918</v>
      </c>
      <c r="B27">
        <f t="shared" si="5"/>
        <v>-2.0149880241549694</v>
      </c>
      <c r="D27">
        <f t="shared" si="6"/>
        <v>-2.0270869658991746</v>
      </c>
      <c r="E27">
        <f t="shared" si="7"/>
        <v>-1.2098941744205227E-2</v>
      </c>
    </row>
    <row r="28" spans="1:8" x14ac:dyDescent="0.45">
      <c r="A28">
        <f t="shared" si="4"/>
        <v>5.2983173665480363</v>
      </c>
      <c r="B28">
        <f t="shared" si="5"/>
        <v>-1.3218408435950242</v>
      </c>
      <c r="D28">
        <f t="shared" si="6"/>
        <v>-1.3260485155706494</v>
      </c>
      <c r="E28">
        <f t="shared" si="7"/>
        <v>-4.2076719756252157E-3</v>
      </c>
    </row>
    <row r="29" spans="1:8" x14ac:dyDescent="0.45">
      <c r="A29">
        <f t="shared" si="4"/>
        <v>5.9914645471079817</v>
      </c>
      <c r="B29">
        <f t="shared" si="5"/>
        <v>-0.6286936630350789</v>
      </c>
      <c r="D29">
        <f t="shared" si="6"/>
        <v>-0.6252922325599215</v>
      </c>
      <c r="E29">
        <f t="shared" si="7"/>
        <v>3.4014304751573965E-3</v>
      </c>
    </row>
    <row r="30" spans="1:8" x14ac:dyDescent="0.45">
      <c r="A30">
        <f t="shared" si="4"/>
        <v>6.633318433280377</v>
      </c>
      <c r="B30">
        <f t="shared" si="5"/>
        <v>1.3160223137315822E-2</v>
      </c>
      <c r="D30">
        <f t="shared" si="6"/>
        <v>2.1186316281136541E-2</v>
      </c>
      <c r="E30">
        <f t="shared" si="7"/>
        <v>8.026093143820719E-3</v>
      </c>
    </row>
    <row r="31" spans="1:8" x14ac:dyDescent="0.45">
      <c r="D31" s="5" t="s">
        <v>50</v>
      </c>
      <c r="E31" s="5">
        <f>SUMSQ(E21:E30)</f>
        <v>1.0881107121432933E-3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p11.1</vt:lpstr>
      <vt:lpstr>p11.2</vt:lpstr>
      <vt:lpstr>p11.3</vt:lpstr>
      <vt:lpstr>p11.4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이윤성</dc:creator>
  <cp:lastModifiedBy>이 윤성</cp:lastModifiedBy>
  <dcterms:created xsi:type="dcterms:W3CDTF">2015-06-05T18:19:34Z</dcterms:created>
  <dcterms:modified xsi:type="dcterms:W3CDTF">2020-11-25T10:39:26Z</dcterms:modified>
</cp:coreProperties>
</file>