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6"/>
  <workbookPr defaultThemeVersion="166925"/>
  <mc:AlternateContent xmlns:mc="http://schemas.openxmlformats.org/markup-compatibility/2006">
    <mc:Choice Requires="x15">
      <x15ac:absPath xmlns:x15ac="http://schemas.microsoft.com/office/spreadsheetml/2010/11/ac" url="/Users/hannah/Desktop/GCMP/Supp_Tables/"/>
    </mc:Choice>
  </mc:AlternateContent>
  <xr:revisionPtr revIDLastSave="0" documentId="13_ncr:1_{2AE094D9-1335-DC4E-BD4F-BE6E51426D4C}" xr6:coauthVersionLast="47" xr6:coauthVersionMax="47" xr10:uidLastSave="{00000000-0000-0000-0000-000000000000}"/>
  <bookViews>
    <workbookView xWindow="5540" yWindow="2240" windowWidth="23260" windowHeight="12580" activeTab="2" xr2:uid="{635964DC-1275-F24E-A533-4EEDB34ABDB9}"/>
  </bookViews>
  <sheets>
    <sheet name="Table 3a" sheetId="1" r:id="rId1"/>
    <sheet name="Table 3b" sheetId="2" r:id="rId2"/>
    <sheet name="Table 3c" sheetId="3" r:id="rId3"/>
  </sheet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99" i="3" l="1"/>
  <c r="P98" i="3"/>
  <c r="P97" i="3"/>
  <c r="P96" i="3"/>
  <c r="P95" i="3"/>
  <c r="P94" i="3"/>
  <c r="P93" i="3"/>
  <c r="P92" i="3"/>
  <c r="P91" i="3"/>
  <c r="P90" i="3"/>
  <c r="P89" i="3"/>
  <c r="P88" i="3"/>
  <c r="P86" i="3"/>
  <c r="P85" i="3"/>
  <c r="P84" i="3"/>
  <c r="P83" i="3"/>
  <c r="P82" i="3"/>
  <c r="P81" i="3"/>
  <c r="P80" i="3"/>
  <c r="P79" i="3"/>
  <c r="P78" i="3"/>
  <c r="P77" i="3"/>
  <c r="P76" i="3"/>
  <c r="P75" i="3"/>
  <c r="P74" i="3"/>
  <c r="P73" i="3"/>
  <c r="P72" i="3"/>
  <c r="P71" i="3"/>
  <c r="P70" i="3"/>
  <c r="P69" i="3"/>
  <c r="P68" i="3"/>
  <c r="P67" i="3"/>
  <c r="P66" i="3"/>
  <c r="P65" i="3"/>
  <c r="P64" i="3"/>
  <c r="P63" i="3"/>
  <c r="P62" i="3"/>
  <c r="P61" i="3"/>
  <c r="P60" i="3"/>
  <c r="P59" i="3"/>
  <c r="P58" i="3"/>
  <c r="P56" i="3"/>
  <c r="P55" i="3"/>
  <c r="P54" i="3"/>
  <c r="P53" i="3"/>
  <c r="P52" i="3"/>
  <c r="P51" i="3"/>
  <c r="P50" i="3"/>
  <c r="P49" i="3"/>
  <c r="P48" i="3"/>
  <c r="P47" i="3"/>
  <c r="P46" i="3"/>
  <c r="P45" i="3"/>
  <c r="P44" i="3"/>
  <c r="P43" i="3"/>
  <c r="P42" i="3"/>
  <c r="P41" i="3"/>
  <c r="P40" i="3"/>
  <c r="P39" i="3"/>
  <c r="P37" i="3"/>
  <c r="P36" i="3"/>
  <c r="P35" i="3"/>
  <c r="P34" i="3"/>
  <c r="P32" i="3"/>
  <c r="P31" i="3"/>
  <c r="P30" i="3"/>
  <c r="P27" i="3"/>
  <c r="P26" i="3"/>
  <c r="P25" i="3"/>
  <c r="P24" i="3"/>
  <c r="P23" i="3"/>
  <c r="P22" i="3"/>
  <c r="P21" i="3"/>
  <c r="P20" i="3"/>
  <c r="P19" i="3"/>
  <c r="P18" i="3"/>
  <c r="P17" i="3"/>
  <c r="P16" i="3"/>
  <c r="P15" i="3"/>
  <c r="P13" i="3"/>
  <c r="P12" i="3"/>
  <c r="P11" i="3"/>
  <c r="P9" i="3"/>
  <c r="P8" i="3"/>
  <c r="P7" i="3"/>
  <c r="P6" i="3"/>
  <c r="P5" i="3"/>
  <c r="P19" i="2"/>
  <c r="P17" i="2"/>
  <c r="P13" i="2"/>
  <c r="P11" i="2"/>
  <c r="P7" i="2"/>
  <c r="P51" i="1"/>
  <c r="P50" i="1"/>
  <c r="P48" i="1"/>
  <c r="P47" i="1"/>
  <c r="P46" i="1"/>
  <c r="P45" i="1"/>
  <c r="P44" i="1"/>
  <c r="P42" i="1"/>
  <c r="P40" i="1"/>
  <c r="P39" i="1"/>
  <c r="P38" i="1"/>
  <c r="P37" i="1"/>
  <c r="P36" i="1"/>
  <c r="P33" i="1"/>
  <c r="P32" i="1"/>
  <c r="P31" i="1"/>
  <c r="P30" i="1"/>
  <c r="P29" i="1"/>
  <c r="P28" i="1"/>
  <c r="P27" i="1"/>
  <c r="P26" i="1"/>
  <c r="P24" i="1"/>
  <c r="P23" i="1"/>
  <c r="P22" i="1"/>
  <c r="P21" i="1"/>
  <c r="P20" i="1"/>
  <c r="P19" i="1"/>
  <c r="P18" i="1"/>
  <c r="P17" i="1"/>
  <c r="P16" i="1"/>
  <c r="P14" i="1"/>
  <c r="P13" i="1"/>
  <c r="P12" i="1"/>
  <c r="P11" i="1"/>
  <c r="P10" i="1"/>
  <c r="P9" i="1"/>
  <c r="P8" i="1"/>
  <c r="P7" i="1"/>
  <c r="P5" i="1"/>
  <c r="P4" i="1"/>
</calcChain>
</file>

<file path=xl/sharedStrings.xml><?xml version="1.0" encoding="utf-8"?>
<sst xmlns="http://schemas.openxmlformats.org/spreadsheetml/2006/main" count="2274" uniqueCount="253">
  <si>
    <t>Supplementary Data Table 3a</t>
  </si>
  <si>
    <r>
      <t xml:space="preserve">Phylogenetic generalized least squares (PGLS) model correlations between microbiome alpha diversity and disease. a) </t>
    </r>
    <r>
      <rPr>
        <sz val="12"/>
        <color theme="1"/>
        <rFont val="Calibri"/>
        <family val="2"/>
        <scheme val="minor"/>
      </rPr>
      <t>Results generated from the PGLS analysis conducted between microbial alpha diversity metrics (microbial richness, evenness (gini index) and dominance (Simpson's Index)) and host disease across all coral genera. Four PGLS models (BM, BM_Lambda, BM_Kappa, BM_Delta) were run for each alpha diversity metric and coral compartment where parameters lambda (λ), delta (𝜹), and kappa (κ) were either set to 1 or maximum liklelihood (ML) (see Supplementary Data Table 12 for explanations of parameters). Best model designation is based on the lowest AIC score of the 4 models</t>
    </r>
    <r>
      <rPr>
        <b/>
        <sz val="12"/>
        <color theme="1"/>
        <rFont val="Calibri"/>
        <family val="2"/>
        <scheme val="minor"/>
      </rPr>
      <t>.</t>
    </r>
  </si>
  <si>
    <t>Supplementary Data Table 3c</t>
  </si>
  <si>
    <t>Supplementary Data Table 3b</t>
  </si>
  <si>
    <r>
      <t xml:space="preserve">Phylogenetic generalized least squares (PGLS) model correlations between microbiome alpha diversity and disease in gamma-proteobacteria dominated microbiomes. c) </t>
    </r>
    <r>
      <rPr>
        <sz val="12"/>
        <color rgb="FF000000"/>
        <rFont val="Calibri"/>
        <family val="2"/>
        <scheme val="minor"/>
      </rPr>
      <t>Results generated from the PGLS analysis conducted between microbial alpha diversity metrics (microbial richness, evenness (gini index) and dominance (Simpson's Index)) and host disease across only coral genera where gamma-proteobacteria dominated (made up over 50%) of the coral microbiome. Four PGLS models (BM, BM_Lambda, BM_Kappa, BM_Delta) were run for each alpha diversity metric and coral compartment where parameters lambda (λ), delta (𝜹), and kappa (κ) were either set to 1 or maximum liklelihood (ML) (see Supplementary Data Table 12 for explanations of parameters). Best model designation is based on the lowest AIC score of the 4 models.</t>
    </r>
  </si>
  <si>
    <t>analysis_label</t>
  </si>
  <si>
    <t>x_trait</t>
  </si>
  <si>
    <t>y_trait</t>
  </si>
  <si>
    <t>R2</t>
  </si>
  <si>
    <t>p</t>
  </si>
  <si>
    <t>FDR_q</t>
  </si>
  <si>
    <t>slope</t>
  </si>
  <si>
    <t>model_name</t>
  </si>
  <si>
    <t>best_model</t>
  </si>
  <si>
    <t>AIC</t>
  </si>
  <si>
    <t>AICc</t>
  </si>
  <si>
    <t>delta_AICc</t>
  </si>
  <si>
    <t>filter_column</t>
  </si>
  <si>
    <t>filter_value</t>
  </si>
  <si>
    <t>results_dir</t>
  </si>
  <si>
    <t>x_trait_slope_95CI</t>
  </si>
  <si>
    <t>compartment</t>
  </si>
  <si>
    <t>branch_length_transformation</t>
  </si>
  <si>
    <t>estimated_parameter</t>
  </si>
  <si>
    <t>parameter_value</t>
  </si>
  <si>
    <t>intercept</t>
  </si>
  <si>
    <t>x_trait_slope_stdev</t>
  </si>
  <si>
    <t>trait_table</t>
  </si>
  <si>
    <t>tree</t>
  </si>
  <si>
    <t>alpha_diversity_vs_disease</t>
  </si>
  <si>
    <t>observed_features_all</t>
  </si>
  <si>
    <t>perc_dis</t>
  </si>
  <si>
    <t>BM_Lambda</t>
  </si>
  <si>
    <t>None</t>
  </si>
  <si>
    <t>../output/PIC_results/A1_alpha_diversity_vs_disease/PIC_observed_features_all_vs_perc_dis/PGLS_results.tsv</t>
  </si>
  <si>
    <t>all</t>
  </si>
  <si>
    <t>lambda=ML delta=1kappa=1</t>
  </si>
  <si>
    <t>lambda</t>
  </si>
  <si>
    <t>lambda : 1e-06 (95% CI  NA  -  0.244444540544028 )</t>
  </si>
  <si>
    <t>../output/GCMP_trait_table_with_abundances_and_adiv_and_metadata_zeros.tsv</t>
  </si>
  <si>
    <t>../output/huang_roy_genus_tree.newick</t>
  </si>
  <si>
    <t>gini_index_mucus</t>
  </si>
  <si>
    <t>../output/PIC_results/A1_alpha_diversity_vs_disease/PIC_gini_index_mucus_vs_perc_dis/PGLS_results.tsv</t>
  </si>
  <si>
    <t>mucus</t>
  </si>
  <si>
    <t>lambda : 1e-06 (95% CI  NA  -  0.243692382427815 )</t>
  </si>
  <si>
    <t>dominance_tissue</t>
  </si>
  <si>
    <t>../output/PIC_results/A1_alpha_diversity_vs_disease/PIC_dominance_tissue_vs_perc_dis/PGLS_results.tsv</t>
  </si>
  <si>
    <t>7.90418086490031 - 25.4188094554246</t>
  </si>
  <si>
    <t>tissue</t>
  </si>
  <si>
    <t>lambda : 1e-06 (95% CI  NA  -  0.277369813805761 )</t>
  </si>
  <si>
    <t>dominance_skeleton</t>
  </si>
  <si>
    <t>../output/PIC_results/A1_alpha_diversity_vs_disease/PIC_dominance_skeleton_vs_perc_dis/PGLS_results.tsv</t>
  </si>
  <si>
    <t>skeleton</t>
  </si>
  <si>
    <t>lambda : 1e-06 (95% CI  NA  -  0.244883128326734 )</t>
  </si>
  <si>
    <t>observed_features_tissue</t>
  </si>
  <si>
    <t>../output/PIC_results/A1_alpha_diversity_vs_disease/PIC_observed_features_tissue_vs_perc_dis/PGLS_results.tsv</t>
  </si>
  <si>
    <t>lambda : 1e-06 (95% CI  NA  -  0.240949828222544 )</t>
  </si>
  <si>
    <t>gini_index_tissue</t>
  </si>
  <si>
    <t>../output/PIC_results/A1_alpha_diversity_vs_disease/PIC_gini_index_tissue_vs_perc_dis/PGLS_results.tsv</t>
  </si>
  <si>
    <t>lambda : 1e-06 (95% CI  NA  -  0.236307502967153 )</t>
  </si>
  <si>
    <t>observed_features_mucus</t>
  </si>
  <si>
    <t>../output/PIC_results/A1_alpha_diversity_vs_disease/PIC_observed_features_mucus_vs_perc_dis/PGLS_results.tsv</t>
  </si>
  <si>
    <t>lambda : 1e-06 (95% CI  NA  -  0.301833113389224 )</t>
  </si>
  <si>
    <t>observed_features_skeleton</t>
  </si>
  <si>
    <t>../output/PIC_results/A1_alpha_diversity_vs_disease/PIC_observed_features_skeleton_vs_perc_dis/PGLS_results.tsv</t>
  </si>
  <si>
    <t>lambda : 1e-06 (95% CI  NA  -  0.238060846211266 )</t>
  </si>
  <si>
    <t>gini_index_all</t>
  </si>
  <si>
    <t>../output/PIC_results/A1_alpha_diversity_vs_disease/PIC_gini_index_all_vs_perc_dis/PGLS_results.tsv</t>
  </si>
  <si>
    <t>lambda : 1e-06 (95% CI  NA  -  0.217683123298543 )</t>
  </si>
  <si>
    <t>dominance_mucus</t>
  </si>
  <si>
    <t>../output/PIC_results/A1_alpha_diversity_vs_disease/PIC_dominance_mucus_vs_perc_dis/PGLS_results.tsv</t>
  </si>
  <si>
    <t>lambda : 1e-06 (95% CI  NA  -  0.301355349590762 )</t>
  </si>
  <si>
    <t>gini_index_skeleton</t>
  </si>
  <si>
    <t>../output/PIC_results/A1_alpha_diversity_vs_disease/PIC_gini_index_skeleton_vs_perc_dis/PGLS_results.tsv</t>
  </si>
  <si>
    <t>lambda : 1e-06 (95% CI  NA  -  0.228376065459091 )</t>
  </si>
  <si>
    <t>dominance_all</t>
  </si>
  <si>
    <t>../output/PIC_results/A1_alpha_diversity_vs_disease/PIC_dominance_all_vs_perc_dis/PGLS_results.tsv</t>
  </si>
  <si>
    <t>2.46037149100516 - 25.7034482053119</t>
  </si>
  <si>
    <t>lambda : 1e-06 (95% CI  NA  -  0.270416363557044 )</t>
  </si>
  <si>
    <t>NA (q values only calculated for best models by AIC)</t>
  </si>
  <si>
    <t>BM_Kappa</t>
  </si>
  <si>
    <t>lambda=1 delta=1kappa=ML</t>
  </si>
  <si>
    <t>kappa</t>
  </si>
  <si>
    <t>kappa : 0.6362088675198 (95% CI  0.0910829421675218  -  NA )</t>
  </si>
  <si>
    <t>BM_Delta</t>
  </si>
  <si>
    <t>lambda=1 delta=MLkappa=1</t>
  </si>
  <si>
    <t>delta</t>
  </si>
  <si>
    <t>delta : 1 (95% CI  0.380911833346047  -  NA )</t>
  </si>
  <si>
    <t>kappa : 0.658819893843684 (95% CI  0.117118543591611  -  NA )</t>
  </si>
  <si>
    <t>kappa : 0.520591555534334 (95% CI  NA  -  NA )</t>
  </si>
  <si>
    <t>BM</t>
  </si>
  <si>
    <t>lambda=1 delta=1kappa=1</t>
  </si>
  <si>
    <t>All parameters fixed</t>
  </si>
  <si>
    <t>delta : 1 (95% CI  0.385389307069562  -  NA )</t>
  </si>
  <si>
    <t>delta : 1 (95% CI  0.38410877550706  -  NA )</t>
  </si>
  <si>
    <t>2.55146991451955 - 22.0654318279732</t>
  </si>
  <si>
    <t>kappa : 0.573136618960674 (95% CI  0.0551101395184736  -  NA )</t>
  </si>
  <si>
    <t>kappa : 0.506675275850199 (95% CI  NA  -  NA )</t>
  </si>
  <si>
    <t>delta : 1 (95% CI  0.381512985300476  -  NA )</t>
  </si>
  <si>
    <t>delta : 1 (95% CI  0.384136006562489  -  NA )</t>
  </si>
  <si>
    <t>kappa : 0.608051673706598 (95% CI  0.0354058978208583  -  NA )</t>
  </si>
  <si>
    <t>kappa : 0.604796903382693 (95% CI  0.0325150722404553  -  NA )</t>
  </si>
  <si>
    <t>3.16787882870977 - 19.7708277298297</t>
  </si>
  <si>
    <t>delta : 1 (95% CI  0.39912567058736  -  NA )</t>
  </si>
  <si>
    <t>1.3807377057156 - 17.6939115768178</t>
  </si>
  <si>
    <t>delta : 1 (95% CI  0.378213185377572  -  NA )</t>
  </si>
  <si>
    <t>kappa : 0.588122845442969 (95% CI  0.022023513442985  -  NA )</t>
  </si>
  <si>
    <t>delta : 1 (95% CI  0.386835858641176  -  NA )</t>
  </si>
  <si>
    <t>kappa : 0.481357145805482 (95% CI  NA  -  NA )</t>
  </si>
  <si>
    <t>delta : 1 (95% CI  0.381463976811953  -  NA )</t>
  </si>
  <si>
    <t>delta : 1 (95% CI  0.383717267525458  -  NA )</t>
  </si>
  <si>
    <t>kappa : 0.56080400159632 (95% CI  NA  -  NA )</t>
  </si>
  <si>
    <t>delta : 1 (95% CI  0.384476549345131  -  NA )</t>
  </si>
  <si>
    <t>7.07097952061582 - 24.8912913173623</t>
  </si>
  <si>
    <t>kappa : 0.33659168555637 (95% CI  NA  -  0.843927800421344 )</t>
  </si>
  <si>
    <t>kappa : 0.594128913467957 (95% CI  0.0306003977228916  -  NA )</t>
  </si>
  <si>
    <t>delta : 1 (95% CI  0.383277639601734  -  NA )</t>
  </si>
  <si>
    <t>alpha_diversity_vs_disease_australia_only</t>
  </si>
  <si>
    <t>../output/PIC_results/A2_alpha_diversity_vs_disease_australia_only/PIC_dominance_all_vs_perc_dis/PGLS_results.tsv</t>
  </si>
  <si>
    <t>14.4694666423403 - 43.923164124569</t>
  </si>
  <si>
    <t>lambda : 1e-06 (95% CI  NA  -  0.587880300513103 )</t>
  </si>
  <si>
    <t>../output/GCMP_trait_table_genus_australia_only.tsv</t>
  </si>
  <si>
    <t>../output/PIC_results/A2_alpha_diversity_vs_disease_australia_only/PIC_dominance_mucus_vs_perc_dis/PGLS_results.tsv</t>
  </si>
  <si>
    <t>23.5108476773166 - 66.7138734020571</t>
  </si>
  <si>
    <t>lambda : 1e-06 (95% CI  NA  -  0.395859283896101 )</t>
  </si>
  <si>
    <t>../output/PIC_results/A2_alpha_diversity_vs_disease_australia_only/PIC_dominance_tissue_vs_perc_dis/PGLS_results.tsv</t>
  </si>
  <si>
    <t>7.94637328496198 - 20.1743558775802</t>
  </si>
  <si>
    <t>lambda : 0.0723257536864812 (95% CI  NA  -  0.661526491391795 )</t>
  </si>
  <si>
    <t>../output/PIC_results/A2_alpha_diversity_vs_disease_australia_only/PIC_dominance_skeleton_vs_perc_dis/PGLS_results.tsv</t>
  </si>
  <si>
    <t>lambda : 1e-06 (95% CI  NA  -  0.533600011969186 )</t>
  </si>
  <si>
    <t>9.25416416746954 - 36.2696674133785</t>
  </si>
  <si>
    <t>18.6381346264221 - 42.3598297792873</t>
  </si>
  <si>
    <t>kappa : 1e-06 (95% CI  NA  -  0.543397184206051 )</t>
  </si>
  <si>
    <t>delta : 1 (95% CI  0.30847377197554  -  NA )</t>
  </si>
  <si>
    <t>23.3972959783598 - 60.4149595482101</t>
  </si>
  <si>
    <t>kappa : 1e-06 (95% CI  NA  -  0.311289106852145 )</t>
  </si>
  <si>
    <t>delta : 1 (95% CI  0.298742145659379  -  NA )</t>
  </si>
  <si>
    <t>5.39000383582923 - 16.4175486581435</t>
  </si>
  <si>
    <t>7.88911455518161 - 18.625772980534</t>
  </si>
  <si>
    <t>kappa : 0.105637582599873 (95% CI  NA  -  0.865034265030119 )</t>
  </si>
  <si>
    <t>delta : 1 (95% CI  0.303862455307446  -  NA )</t>
  </si>
  <si>
    <t>8.34828151768599 - 55.9066523932949</t>
  </si>
  <si>
    <t>kappa : 1e-06 (95% CI  NA  -  NA )</t>
  </si>
  <si>
    <t>delta : 1 (95% CI  0.285523542996564  -  NA )</t>
  </si>
  <si>
    <r>
      <t xml:space="preserve">Phylogenetic generalized least squares (PGLS) model correlations between microbiome alpha diversity and disease for Australia-only. b) </t>
    </r>
    <r>
      <rPr>
        <sz val="12"/>
        <color theme="1"/>
        <rFont val="Calibri"/>
        <family val="2"/>
        <scheme val="minor"/>
      </rPr>
      <t>Results generated from the PGLS analysis conducted between microbial dominance (Simpson's Index) and host disease susceptibility using a dataset subset to the Australia locality only for all metrics. Four PGLS models (BM, BM_Lambda, BM_Kappa, BM_Delta) were run for each alpha diversity metric and coral compartment where parameters lambda (λ), delta (𝜹), and kappa (κ) were either set to 1 or maximum liklelihood (ML) (see Supplementary Data Table 12 for explanations of parameters). Best model designation is based on the lowest AIC score of the 4 models.</t>
    </r>
  </si>
  <si>
    <t>gamma_proteobacteria_dominance_vs_disease</t>
  </si>
  <si>
    <t>most_abundant_class_all</t>
  </si>
  <si>
    <t>D_0__Bacteria;D_1__Proteobacteria;D_2__Gammaproteobacteria</t>
  </si>
  <si>
    <t>../output/PIC_results/A4_gamma_proteobacteria_dominance_vs_disease/PIC_dominance_all_vs_perc_dis_most_abundant_class_all_is_D_0__Bacteria_D_1__Proteobacteria_D_2__Gammaproteobacteria/PGLS_results.tsv</t>
  </si>
  <si>
    <t>28.3724541904814 - 69.1288948582862</t>
  </si>
  <si>
    <t>lambda : 1e-06 (95% CI  NA  -  0.498278180976615 )</t>
  </si>
  <si>
    <t>most_abundant_class_skeleton</t>
  </si>
  <si>
    <t>D_0__Bacteria;D_1__Proteobacteria;D_2__Alphaproteobacteria</t>
  </si>
  <si>
    <t>../output/PIC_results/A4_gamma_proteobacteria_dominance_vs_disease/PIC_dominance_skeleton_vs_perc_dis_most_abundant_class_skeleton_is_D_0__Bacteria_D_1__Proteobacteria_D_2__Alphaproteobacteria/PGLS_results.tsv</t>
  </si>
  <si>
    <t>lambda : 1e-06 (95% CI  NA  -  0.944768021013655 )</t>
  </si>
  <si>
    <t>../output/PIC_results/A4_gamma_proteobacteria_dominance_vs_disease/PIC_observed_features_skeleton_vs_perc_dis_most_abundant_class_skeleton_is_D_0__Bacteria_D_1__Proteobacteria_D_2__Gammaproteobacteria/PGLS_results.tsv</t>
  </si>
  <si>
    <t>delta : 0.654788600914862 (95% CI  0.0336328076232054  -  NA )</t>
  </si>
  <si>
    <t>../output/PIC_results/A4_gamma_proteobacteria_dominance_vs_disease/PIC_gini_index_skeleton_vs_perc_dis_most_abundant_class_skeleton_is_D_0__Bacteria_D_1__Proteobacteria_D_2__Alphaproteobacteria/PGLS_results.tsv</t>
  </si>
  <si>
    <t>lambda : 1e-06 (95% CI  NA  -  0.672347417652944 )</t>
  </si>
  <si>
    <t>most_abundant_class_mucus</t>
  </si>
  <si>
    <t>../output/PIC_results/A4_gamma_proteobacteria_dominance_vs_disease/PIC_gini_index_mucus_vs_perc_dis_most_abundant_class_mucus_is_D_0__Bacteria_D_1__Proteobacteria_D_2__Gammaproteobacteria/PGLS_results.tsv</t>
  </si>
  <si>
    <t>lambda : 0.0376433296925156 (95% CI  NA  -  0.709081432030689 )</t>
  </si>
  <si>
    <t>../output/PIC_results/A4_gamma_proteobacteria_dominance_vs_disease/PIC_observed_features_mucus_vs_perc_dis_most_abundant_class_mucus_is_D_0__Bacteria_D_1__Proteobacteria_D_2__Alphaproteobacteria/PGLS_results.tsv</t>
  </si>
  <si>
    <t>lambda : 1e-06 (95% CI  NA  -  0.551823809415837 )</t>
  </si>
  <si>
    <t>most_abundant_class_tissue</t>
  </si>
  <si>
    <t>../output/PIC_results/A4_gamma_proteobacteria_dominance_vs_disease/PIC_dominance_tissue_vs_perc_dis_most_abundant_class_tissue_is_D_0__Bacteria_D_1__Proteobacteria_D_2__Gammaproteobacteria/PGLS_results.tsv</t>
  </si>
  <si>
    <t>11.6981713440848 - 35.037504303491</t>
  </si>
  <si>
    <t>lambda : 1e-06 (95% CI  NA  -  0.532109198401374 )</t>
  </si>
  <si>
    <t>../output/PIC_results/A4_gamma_proteobacteria_dominance_vs_disease/PIC_observed_features_mucus_vs_perc_dis_most_abundant_class_mucus_is_D_0__Bacteria_D_1__Proteobacteria_D_2__Gammaproteobacteria/PGLS_results.tsv</t>
  </si>
  <si>
    <t>lambda : 0.138866215851876 (95% CI  NA  -  0.757465207501403 )</t>
  </si>
  <si>
    <t>../output/PIC_results/A4_gamma_proteobacteria_dominance_vs_disease/PIC_dominance_all_vs_perc_dis_most_abundant_class_all_is_D_0__Bacteria_D_1__Proteobacteria_D_2__Alphaproteobacteria/PGLS_results.tsv</t>
  </si>
  <si>
    <t>lambda : 1e-06 (95% CI  NA  -  0.694460120940752 )</t>
  </si>
  <si>
    <t>../output/PIC_results/A4_gamma_proteobacteria_dominance_vs_disease/PIC_observed_features_skeleton_vs_perc_dis_most_abundant_class_skeleton_is_D_0__Bacteria_D_1__Proteobacteria_D_2__Alphaproteobacteria/PGLS_results.tsv</t>
  </si>
  <si>
    <t>lambda : 1e-06 (95% CI  NA  -  0.823175161239 )</t>
  </si>
  <si>
    <t>../output/PIC_results/A4_gamma_proteobacteria_dominance_vs_disease/PIC_dominance_skeleton_vs_perc_dis_most_abundant_class_skeleton_is_D_0__Bacteria_D_1__Proteobacteria_D_2__Gammaproteobacteria/PGLS_results.tsv</t>
  </si>
  <si>
    <t>2.37071895398304 - 18.1239140387005</t>
  </si>
  <si>
    <t>delta : 0.299030411266278 (95% CI  0.0147478768818129  -  NA )</t>
  </si>
  <si>
    <t>../output/PIC_results/A4_gamma_proteobacteria_dominance_vs_disease/PIC_dominance_mucus_vs_perc_dis_most_abundant_class_mucus_is_D_0__Bacteria_D_1__Proteobacteria_D_2__Gammaproteobacteria/PGLS_results.tsv</t>
  </si>
  <si>
    <t>lambda : 0.110742023156183 (95% CI  NA  -  0.732233834425093 )</t>
  </si>
  <si>
    <t>../output/PIC_results/A4_gamma_proteobacteria_dominance_vs_disease/PIC_dominance_mucus_vs_perc_dis_most_abundant_class_mucus_is_D_0__Bacteria_D_1__Proteobacteria_D_2__Alphaproteobacteria/PGLS_results.tsv</t>
  </si>
  <si>
    <t>lambda : 1e-06 (95% CI  NA  -  0.551182351649086 )</t>
  </si>
  <si>
    <t>../output/PIC_results/A4_gamma_proteobacteria_dominance_vs_disease/PIC_gini_index_skeleton_vs_perc_dis_most_abundant_class_skeleton_is_D_0__Bacteria_D_1__Proteobacteria_D_2__Gammaproteobacteria/PGLS_results.tsv</t>
  </si>
  <si>
    <t>delta : 0.958560426783391 (95% CI  0.0511166579915341  -  NA )</t>
  </si>
  <si>
    <t>../output/PIC_results/A4_gamma_proteobacteria_dominance_vs_disease/PIC_observed_features_all_vs_perc_dis_most_abundant_class_all_is_D_0__Bacteria_D_1__Proteobacteria_D_2__Gammaproteobacteria/PGLS_results.tsv</t>
  </si>
  <si>
    <t>lambda : 1e-06 (95% CI  NA  -  0.307209560627723 )</t>
  </si>
  <si>
    <t>../output/PIC_results/A4_gamma_proteobacteria_dominance_vs_disease/PIC_gini_index_tissue_vs_perc_dis_most_abundant_class_tissue_is_D_0__Bacteria_D_1__Proteobacteria_D_2__Alphaproteobacteria/PGLS_results.tsv</t>
  </si>
  <si>
    <t>lambda : 1e-06 (95% CI  NA  -  0.487937284737627 )</t>
  </si>
  <si>
    <t>../output/PIC_results/A4_gamma_proteobacteria_dominance_vs_disease/PIC_observed_features_tissue_vs_perc_dis_most_abundant_class_tissue_is_D_0__Bacteria_D_1__Proteobacteria_D_2__Gammaproteobacteria/PGLS_results.tsv</t>
  </si>
  <si>
    <t>lambda : 1e-06 (95% CI  NA  -  0.333331286055697 )</t>
  </si>
  <si>
    <t>../output/PIC_results/A4_gamma_proteobacteria_dominance_vs_disease/PIC_observed_features_tissue_vs_perc_dis_most_abundant_class_tissue_is_D_0__Bacteria_D_1__Proteobacteria_D_2__Alphaproteobacteria/PGLS_results.tsv</t>
  </si>
  <si>
    <t>lambda : 1e-06 (95% CI  NA  -  0.508070932672775 )</t>
  </si>
  <si>
    <t>../output/PIC_results/A4_gamma_proteobacteria_dominance_vs_disease/PIC_dominance_tissue_vs_perc_dis_most_abundant_class_tissue_is_D_0__Bacteria_D_1__Proteobacteria_D_2__Alphaproteobacteria/PGLS_results.tsv</t>
  </si>
  <si>
    <t>lambda : 1e-06 (95% CI  NA  -  0.481059692740632 )</t>
  </si>
  <si>
    <t>../output/PIC_results/A4_gamma_proteobacteria_dominance_vs_disease/PIC_gini_index_all_vs_perc_dis_most_abundant_class_all_is_D_0__Bacteria_D_1__Proteobacteria_D_2__Gammaproteobacteria/PGLS_results.tsv</t>
  </si>
  <si>
    <t>lambda : 1e-06 (95% CI  NA  -  0.274999860633366 )</t>
  </si>
  <si>
    <t>../output/PIC_results/A4_gamma_proteobacteria_dominance_vs_disease/PIC_gini_index_mucus_vs_perc_dis_most_abundant_class_mucus_is_D_0__Bacteria_D_1__Proteobacteria_D_2__Alphaproteobacteria/PGLS_results.tsv</t>
  </si>
  <si>
    <t>lambda : 1e-06 (95% CI  NA  -  0.581721348649964 )</t>
  </si>
  <si>
    <t>../output/PIC_results/A4_gamma_proteobacteria_dominance_vs_disease/PIC_gini_index_all_vs_perc_dis_most_abundant_class_all_is_D_0__Bacteria_D_1__Proteobacteria_D_2__Alphaproteobacteria/PGLS_results.tsv</t>
  </si>
  <si>
    <t>lambda : 1e-06 (95% CI  NA  -  0.648801249512514 )</t>
  </si>
  <si>
    <t>../output/PIC_results/A4_gamma_proteobacteria_dominance_vs_disease/PIC_gini_index_tissue_vs_perc_dis_most_abundant_class_tissue_is_D_0__Bacteria_D_1__Proteobacteria_D_2__Gammaproteobacteria/PGLS_results.tsv</t>
  </si>
  <si>
    <t>lambda : 1e-06 (95% CI  NA  -  0.303885567781902 )</t>
  </si>
  <si>
    <t>../output/PIC_results/A4_gamma_proteobacteria_dominance_vs_disease/PIC_observed_features_all_vs_perc_dis_most_abundant_class_all_is_D_0__Bacteria_D_1__Proteobacteria_D_2__Alphaproteobacteria/PGLS_results.tsv</t>
  </si>
  <si>
    <t>lambda : 0.0992500723188199 (95% CI  NA  -  0.758283078678317 )</t>
  </si>
  <si>
    <t>12.4413855034592 - 33.5253112961667</t>
  </si>
  <si>
    <t>delta : 1 (95% CI  0.320018799224691  -  NA )</t>
  </si>
  <si>
    <t>delta : 1 (95% CI  0.318423764418084  -  NA )</t>
  </si>
  <si>
    <t>kappa : 1e-06 (95% CI  NA  -  0.366075918050827 )</t>
  </si>
  <si>
    <t>38.0653629385671 - 76.276841256062</t>
  </si>
  <si>
    <t>kappa : 0.241308633036577 (95% CI  NA  -  0.984273926090342 )</t>
  </si>
  <si>
    <t>delta : 1 (95% CI  0.346039245523933  -  NA )</t>
  </si>
  <si>
    <t>kappa : 1e-06 (95% CI  NA  -  0.561405435866756 )</t>
  </si>
  <si>
    <t>kappa : 1e-06 (95% CI  NA  -  0.57601799020616 )</t>
  </si>
  <si>
    <t>42.6570144250616 - 78.2507488980242</t>
  </si>
  <si>
    <t>delta : 1 (95% CI  0.308635718191  -  NA )</t>
  </si>
  <si>
    <t>kappa : 1e-06 (95% CI  NA  -  0.533545080478165 )</t>
  </si>
  <si>
    <t>delta : 1 (95% CI  0.309299060092554  -  NA )</t>
  </si>
  <si>
    <t>delta : 1 (95% CI  0.302088731507647  -  NA )</t>
  </si>
  <si>
    <t>kappa : 0.67809819693241 (95% CI  NA  -  NA )</t>
  </si>
  <si>
    <t>delta : 1 (95% CI  0.309882319110904  -  NA )</t>
  </si>
  <si>
    <t>lambda : 1 (95% CI  0.446737133778261  -  NA )</t>
  </si>
  <si>
    <t>delta : 1 (95% CI  0.318784529640203  -  NA )</t>
  </si>
  <si>
    <t>kappa : 0.710782181992082 (95% CI  0.00486353480656315  -  NA )</t>
  </si>
  <si>
    <t>kappa : 1e-06 (95% CI  NA  -  0.247681592334311 )</t>
  </si>
  <si>
    <t>delta : 1 (95% CI  0.288919038229218  -  NA )</t>
  </si>
  <si>
    <t>kappa : 1 (95% CI  0.295230780729929  -  NA )</t>
  </si>
  <si>
    <t>delta : 1 (95% CI  0.320930933986796  -  NA )</t>
  </si>
  <si>
    <t>delta : 1 (95% CI  0.263031455245555  -  NA )</t>
  </si>
  <si>
    <t>kappa : 1e-06 (95% CI  NA  -  0.243729431192337 )</t>
  </si>
  <si>
    <t>kappa : 1e-06 (95% CI  NA  -  0.2707524502641 )</t>
  </si>
  <si>
    <t>delta : 1 (95% CI  0.266854659634006  -  NA )</t>
  </si>
  <si>
    <t>kappa : 0.843137453278794 (95% CI  0.0936642321343217  -  NA )</t>
  </si>
  <si>
    <t>kappa : 1e-06 (95% CI  NA  -  0.319822682700798 )</t>
  </si>
  <si>
    <t>delta : 1 (95% CI  0.239466706465727  -  NA )</t>
  </si>
  <si>
    <t>delta : 1 (95% CI  0.240077157932415  -  NA )</t>
  </si>
  <si>
    <t>kappa : 0.961306974860543 (95% CI  0.193017187003083  -  NA )</t>
  </si>
  <si>
    <t>delta : 1 (95% CI  0.33135791477052  -  NA )</t>
  </si>
  <si>
    <t>kappa : 1e-06 (95% CI  NA  -  0.541262236411689 )</t>
  </si>
  <si>
    <t>kappa : 1e-06 (95% CI  NA  -  0.613336502255229 )</t>
  </si>
  <si>
    <t>kappa : 0.952396457215496 (95% CI  0.246317361555913  -  NA )</t>
  </si>
  <si>
    <t>kappa : 0.306487481756335 (95% CI  NA  -  NA )</t>
  </si>
  <si>
    <t>delta : 1 (95% CI  0.237459084085744  -  NA )</t>
  </si>
  <si>
    <t>kappa : 1e-06 (95% CI  NA  -  0.355080915661231 )</t>
  </si>
  <si>
    <t>kappa : 0.10633550362718 (95% CI  NA  -  0.994730776481837 )</t>
  </si>
  <si>
    <t>16.6720287806703 - 39.2631093241614</t>
  </si>
  <si>
    <t>kappa : 0.0282631942537325 (95% CI  NA  -  0.752938433201062 )</t>
  </si>
  <si>
    <t>delta : 1 (95% CI  0.266281101607352  -  NA )</t>
  </si>
  <si>
    <t>kappa : 1 (95% CI  NA  -  NA )</t>
  </si>
  <si>
    <t>delta : 1 (95% CI  0.277638361776883  -  NA )</t>
  </si>
  <si>
    <t>lambda : 1 (95% CI  0.188643726374197  -  NA )</t>
  </si>
  <si>
    <t>delta : 1 (95% CI  0.322802360104525  -  NA )</t>
  </si>
  <si>
    <t>delta : 1 (95% CI  0.269381592948643  -  NA )</t>
  </si>
  <si>
    <t>lambda : 1 (95% CI  0.0576365621994755  -  NA )</t>
  </si>
  <si>
    <t>delta : 1 (95% CI  0.284862542032322  -  NA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</si>
</sst>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2"/>
      <color theme="1"/>
      <name val="Calibri"/>
      <family val="2"/>
      <scheme val="minor"/>
    </font>
    <font>
      <b/>
      <sz val="12"/>
      <color theme="1"/>
      <name val="Calibri"/>
      <family val="2"/>
      <scheme val="minor"/>
    </font>
    <font>
      <b/>
      <sz val="16"/>
      <color theme="1"/>
      <name val="Calibri"/>
      <family val="2"/>
      <scheme val="minor"/>
    </font>
    <font>
      <sz val="16"/>
      <color theme="1"/>
      <name val="Calibri"/>
      <family val="2"/>
      <scheme val="minor"/>
    </font>
    <font>
      <b/>
      <i/>
      <sz val="12"/>
      <color theme="1"/>
      <name val="Calibri"/>
      <family val="2"/>
      <scheme val="minor"/>
    </font>
    <font>
      <b/>
      <sz val="16"/>
      <color rgb="FF000000"/>
      <name val="Calibri"/>
      <family val="2"/>
      <scheme val="minor"/>
    </font>
    <font>
      <sz val="12"/>
      <color rgb="FF000000"/>
      <name val="Calibri"/>
      <family val="2"/>
      <scheme val="minor"/>
    </font>
    <font>
      <b/>
      <sz val="12"/>
      <color rgb="FF000000"/>
      <name val="Calibri"/>
      <family val="2"/>
      <scheme val="minor"/>
    </font>
  </fonts>
  <fills count="4">
    <fill>
      <patternFill patternType="none"/>
    </fill>
    <fill>
      <patternFill patternType="gray125"/>
    </fill>
    <fill>
      <patternFill patternType="solid">
        <fgColor theme="2" tint="-9.9978637043366805E-2"/>
        <bgColor indexed="64"/>
      </patternFill>
    </fill>
    <fill>
      <patternFill patternType="solid">
        <fgColor rgb="FFD0CECE"/>
        <bgColor rgb="FF000000"/>
      </patternFill>
    </fill>
  </fills>
  <borders count="1">
    <border>
      <left/>
      <right/>
      <top/>
      <bottom/>
      <diagonal/>
    </border>
  </borders>
  <cellStyleXfs count="1">
    <xf numFmtId="0" fontId="0" fillId="0" borderId="0"/>
  </cellStyleXfs>
  <cellXfs count="13">
    <xf numFmtId="0" fontId="0" fillId="0" borderId="0" xfId="0"/>
    <xf numFmtId="0" fontId="1" fillId="2" borderId="0" xfId="0" applyFont="1" applyFill="1"/>
    <xf numFmtId="0" fontId="6" fillId="0" borderId="0" xfId="0" applyFont="1"/>
    <xf numFmtId="14" fontId="0" fillId="0" borderId="0" xfId="0" applyNumberFormat="1"/>
    <xf numFmtId="20" fontId="0" fillId="0" borderId="0" xfId="0" applyNumberFormat="1"/>
    <xf numFmtId="22" fontId="0" fillId="0" borderId="0" xfId="0" applyNumberFormat="1"/>
    <xf numFmtId="11" fontId="0" fillId="0" borderId="0" xfId="0" applyNumberFormat="1"/>
    <xf numFmtId="0" fontId="2" fillId="2" borderId="0" xfId="0" applyFont="1" applyFill="1" applyAlignment="1">
      <alignment horizontal="center" vertical="center"/>
    </xf>
    <xf numFmtId="0" fontId="3" fillId="2" borderId="0" xfId="0" applyFont="1" applyFill="1" applyAlignment="1">
      <alignment horizontal="center" vertical="center"/>
    </xf>
    <xf numFmtId="0" fontId="1" fillId="0" borderId="0" xfId="0" applyFont="1" applyAlignment="1">
      <alignment vertical="top" wrapText="1"/>
    </xf>
    <xf numFmtId="0" fontId="4" fillId="0" borderId="0" xfId="0" applyFont="1" applyAlignment="1">
      <alignment vertical="top" wrapText="1"/>
    </xf>
    <xf numFmtId="0" fontId="5" fillId="3" borderId="0" xfId="0" applyFont="1" applyFill="1" applyAlignment="1">
      <alignment horizontal="center" vertical="center"/>
    </xf>
    <xf numFmtId="0" fontId="7" fillId="0" borderId="0" xfId="0" applyFont="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6CC3E0-6C45-264B-AC77-3286BEF35D46}">
  <dimension ref="A1:X1286"/>
  <sheetViews>
    <sheetView topLeftCell="A2" workbookViewId="0">
      <selection activeCell="A3" sqref="A3:XFD3"/>
    </sheetView>
  </sheetViews>
  <sheetFormatPr baseColWidth="10" defaultColWidth="11.1640625" defaultRowHeight="16" x14ac:dyDescent="0.2"/>
  <cols>
    <col min="3" max="3" width="10.83203125" customWidth="1"/>
  </cols>
  <sheetData>
    <row r="1" spans="1:24" ht="21" x14ac:dyDescent="0.2">
      <c r="A1" s="7" t="s">
        <v>0</v>
      </c>
      <c r="B1" s="8"/>
      <c r="C1" s="8"/>
      <c r="D1" s="8"/>
      <c r="E1" s="8"/>
      <c r="F1" s="8"/>
      <c r="G1" s="8"/>
      <c r="H1" s="8"/>
      <c r="I1" s="8"/>
      <c r="J1" s="8"/>
      <c r="K1" s="8"/>
    </row>
    <row r="2" spans="1:24" ht="98.5" customHeight="1" x14ac:dyDescent="0.2">
      <c r="A2" s="9" t="s">
        <v>1</v>
      </c>
      <c r="B2" s="10"/>
      <c r="C2" s="10"/>
      <c r="D2" s="10"/>
      <c r="E2" s="10"/>
      <c r="F2" s="10"/>
      <c r="G2" s="10"/>
      <c r="H2" s="10"/>
      <c r="I2" s="10"/>
      <c r="J2" s="10"/>
      <c r="K2" s="10"/>
    </row>
    <row r="3" spans="1:24" s="1" customFormat="1" x14ac:dyDescent="0.2">
      <c r="A3" s="1" t="s">
        <v>5</v>
      </c>
      <c r="B3" s="1" t="s">
        <v>6</v>
      </c>
      <c r="C3" s="1" t="s">
        <v>7</v>
      </c>
      <c r="D3" s="1" t="s">
        <v>8</v>
      </c>
      <c r="E3" s="1" t="s">
        <v>9</v>
      </c>
      <c r="F3" s="1" t="s">
        <v>10</v>
      </c>
      <c r="G3" s="1" t="s">
        <v>11</v>
      </c>
      <c r="H3" s="1" t="s">
        <v>12</v>
      </c>
      <c r="I3" s="1" t="s">
        <v>13</v>
      </c>
      <c r="J3" s="1" t="s">
        <v>14</v>
      </c>
      <c r="K3" s="1" t="s">
        <v>15</v>
      </c>
      <c r="L3" s="1" t="s">
        <v>16</v>
      </c>
      <c r="M3" s="1" t="s">
        <v>17</v>
      </c>
      <c r="N3" s="1" t="s">
        <v>18</v>
      </c>
      <c r="O3" s="1" t="s">
        <v>19</v>
      </c>
      <c r="P3" s="1" t="s">
        <v>20</v>
      </c>
      <c r="Q3" s="1" t="s">
        <v>21</v>
      </c>
      <c r="R3" s="1" t="s">
        <v>22</v>
      </c>
      <c r="S3" s="1" t="s">
        <v>23</v>
      </c>
      <c r="T3" s="1" t="s">
        <v>24</v>
      </c>
      <c r="U3" s="1" t="s">
        <v>25</v>
      </c>
      <c r="V3" s="1" t="s">
        <v>26</v>
      </c>
      <c r="W3" s="1" t="s">
        <v>27</v>
      </c>
      <c r="X3" s="1" t="s">
        <v>28</v>
      </c>
    </row>
    <row r="4" spans="1:24" x14ac:dyDescent="0.2">
      <c r="A4" t="s">
        <v>29</v>
      </c>
      <c r="B4" t="s">
        <v>30</v>
      </c>
      <c r="C4" t="s">
        <v>31</v>
      </c>
      <c r="D4">
        <v>4.2656789388809003E-3</v>
      </c>
      <c r="E4">
        <v>0.67360166540775102</v>
      </c>
      <c r="F4">
        <v>0.86695517017851398</v>
      </c>
      <c r="G4">
        <v>-3.7032284261291999E-3</v>
      </c>
      <c r="H4" t="s">
        <v>32</v>
      </c>
      <c r="I4" t="b">
        <v>1</v>
      </c>
      <c r="J4">
        <v>258.269820574064</v>
      </c>
      <c r="K4">
        <v>258.562503500893</v>
      </c>
      <c r="L4">
        <v>0</v>
      </c>
      <c r="M4" t="s">
        <v>33</v>
      </c>
      <c r="N4" t="s">
        <v>33</v>
      </c>
      <c r="O4" t="s">
        <v>34</v>
      </c>
      <c r="P4">
        <f>-0.0208147876059056 - 0.0134083307536471</f>
        <v>-3.4223118359552704E-2</v>
      </c>
      <c r="Q4" t="s">
        <v>35</v>
      </c>
      <c r="R4" t="s">
        <v>36</v>
      </c>
      <c r="S4" t="s">
        <v>37</v>
      </c>
      <c r="T4" t="s">
        <v>38</v>
      </c>
      <c r="U4">
        <v>3.6047418189550799</v>
      </c>
      <c r="V4">
        <v>8.7303873366204997E-3</v>
      </c>
      <c r="W4" t="s">
        <v>39</v>
      </c>
      <c r="X4" t="s">
        <v>40</v>
      </c>
    </row>
    <row r="5" spans="1:24" x14ac:dyDescent="0.2">
      <c r="A5" t="s">
        <v>29</v>
      </c>
      <c r="B5" t="s">
        <v>41</v>
      </c>
      <c r="C5" t="s">
        <v>31</v>
      </c>
      <c r="D5">
        <v>6.7249306875739503E-2</v>
      </c>
      <c r="E5">
        <v>0.106119238083092</v>
      </c>
      <c r="F5">
        <v>0.42447695233236798</v>
      </c>
      <c r="G5">
        <v>12.5833338964772</v>
      </c>
      <c r="H5" t="s">
        <v>32</v>
      </c>
      <c r="I5" t="b">
        <v>1</v>
      </c>
      <c r="J5">
        <v>234.88822481965499</v>
      </c>
      <c r="K5">
        <v>235.212549143979</v>
      </c>
      <c r="L5">
        <v>0</v>
      </c>
      <c r="M5" t="s">
        <v>33</v>
      </c>
      <c r="N5" t="s">
        <v>33</v>
      </c>
      <c r="O5" t="s">
        <v>42</v>
      </c>
      <c r="P5">
        <f>-2.31709871540465 - 27.4837665083591</f>
        <v>-29.800865223763751</v>
      </c>
      <c r="Q5" t="s">
        <v>43</v>
      </c>
      <c r="R5" t="s">
        <v>36</v>
      </c>
      <c r="S5" t="s">
        <v>37</v>
      </c>
      <c r="T5" t="s">
        <v>44</v>
      </c>
      <c r="U5">
        <v>-7.9522946060836297</v>
      </c>
      <c r="V5">
        <v>7.6022615366744102</v>
      </c>
      <c r="W5" t="s">
        <v>39</v>
      </c>
      <c r="X5" t="s">
        <v>40</v>
      </c>
    </row>
    <row r="6" spans="1:24" x14ac:dyDescent="0.2">
      <c r="A6" t="s">
        <v>29</v>
      </c>
      <c r="B6" t="s">
        <v>45</v>
      </c>
      <c r="C6" t="s">
        <v>31</v>
      </c>
      <c r="D6">
        <v>0.26790555874456201</v>
      </c>
      <c r="E6">
        <v>6.2523601240680002E-4</v>
      </c>
      <c r="F6">
        <v>7.5028321488815998E-3</v>
      </c>
      <c r="G6">
        <v>16.661495160162499</v>
      </c>
      <c r="H6" t="s">
        <v>32</v>
      </c>
      <c r="I6" t="b">
        <v>1</v>
      </c>
      <c r="J6">
        <v>225.47419652714501</v>
      </c>
      <c r="K6">
        <v>225.79852085146999</v>
      </c>
      <c r="L6">
        <v>0</v>
      </c>
      <c r="M6" t="s">
        <v>33</v>
      </c>
      <c r="N6" t="s">
        <v>33</v>
      </c>
      <c r="O6" t="s">
        <v>46</v>
      </c>
      <c r="P6" t="s">
        <v>47</v>
      </c>
      <c r="Q6" t="s">
        <v>48</v>
      </c>
      <c r="R6" t="s">
        <v>36</v>
      </c>
      <c r="S6" t="s">
        <v>37</v>
      </c>
      <c r="T6" t="s">
        <v>49</v>
      </c>
      <c r="U6">
        <v>0.30960428800014</v>
      </c>
      <c r="V6">
        <v>4.4680174975827303</v>
      </c>
      <c r="W6" t="s">
        <v>39</v>
      </c>
      <c r="X6" t="s">
        <v>40</v>
      </c>
    </row>
    <row r="7" spans="1:24" x14ac:dyDescent="0.2">
      <c r="A7" t="s">
        <v>29</v>
      </c>
      <c r="B7" t="s">
        <v>50</v>
      </c>
      <c r="C7" t="s">
        <v>31</v>
      </c>
      <c r="D7">
        <v>1.7124283087749999E-3</v>
      </c>
      <c r="E7">
        <v>0.79470890599697197</v>
      </c>
      <c r="F7">
        <v>0.86695517017851398</v>
      </c>
      <c r="G7">
        <v>1.3733636127147499</v>
      </c>
      <c r="H7" t="s">
        <v>32</v>
      </c>
      <c r="I7" t="b">
        <v>1</v>
      </c>
      <c r="J7">
        <v>248.26170696951201</v>
      </c>
      <c r="K7">
        <v>248.56939927720401</v>
      </c>
      <c r="L7">
        <v>0</v>
      </c>
      <c r="M7" t="s">
        <v>33</v>
      </c>
      <c r="N7" t="s">
        <v>33</v>
      </c>
      <c r="O7" t="s">
        <v>51</v>
      </c>
      <c r="P7">
        <f>-8.90285287902029 - 11.6495801044498</f>
        <v>-20.552432983470091</v>
      </c>
      <c r="Q7" t="s">
        <v>52</v>
      </c>
      <c r="R7" t="s">
        <v>36</v>
      </c>
      <c r="S7" t="s">
        <v>37</v>
      </c>
      <c r="T7" t="s">
        <v>53</v>
      </c>
      <c r="U7">
        <v>2.9347382523795398</v>
      </c>
      <c r="V7">
        <v>5.2429675978240002</v>
      </c>
      <c r="W7" t="s">
        <v>39</v>
      </c>
      <c r="X7" t="s">
        <v>40</v>
      </c>
    </row>
    <row r="8" spans="1:24" x14ac:dyDescent="0.2">
      <c r="A8" t="s">
        <v>29</v>
      </c>
      <c r="B8" t="s">
        <v>54</v>
      </c>
      <c r="C8" t="s">
        <v>31</v>
      </c>
      <c r="D8">
        <v>3.0578095224328E-3</v>
      </c>
      <c r="E8">
        <v>0.73468404585486602</v>
      </c>
      <c r="F8">
        <v>0.86695517017851398</v>
      </c>
      <c r="G8">
        <v>2.5792390336561999E-3</v>
      </c>
      <c r="H8" t="s">
        <v>32</v>
      </c>
      <c r="I8" t="b">
        <v>1</v>
      </c>
      <c r="J8">
        <v>237.82552696955199</v>
      </c>
      <c r="K8">
        <v>238.149851293876</v>
      </c>
      <c r="L8">
        <v>0</v>
      </c>
      <c r="M8" t="s">
        <v>33</v>
      </c>
      <c r="N8" t="s">
        <v>33</v>
      </c>
      <c r="O8" t="s">
        <v>55</v>
      </c>
      <c r="P8">
        <f>-0.0122283938672776 - 0.0173868719345901</f>
        <v>-2.9615265801867699E-2</v>
      </c>
      <c r="Q8" t="s">
        <v>48</v>
      </c>
      <c r="R8" t="s">
        <v>36</v>
      </c>
      <c r="S8" t="s">
        <v>37</v>
      </c>
      <c r="T8" t="s">
        <v>56</v>
      </c>
      <c r="U8">
        <v>2.8374125996665902</v>
      </c>
      <c r="V8">
        <v>7.5549147453743996E-3</v>
      </c>
      <c r="W8" t="s">
        <v>39</v>
      </c>
      <c r="X8" t="s">
        <v>40</v>
      </c>
    </row>
    <row r="9" spans="1:24" x14ac:dyDescent="0.2">
      <c r="A9" t="s">
        <v>29</v>
      </c>
      <c r="B9" t="s">
        <v>57</v>
      </c>
      <c r="C9" t="s">
        <v>31</v>
      </c>
      <c r="D9">
        <v>6.8878167334729997E-4</v>
      </c>
      <c r="E9">
        <v>0.872290392179639</v>
      </c>
      <c r="F9">
        <v>0.872290392179639</v>
      </c>
      <c r="G9">
        <v>1.17341996146786</v>
      </c>
      <c r="H9" t="s">
        <v>32</v>
      </c>
      <c r="I9" t="b">
        <v>1</v>
      </c>
      <c r="J9">
        <v>237.920465976825</v>
      </c>
      <c r="K9">
        <v>238.24479030115</v>
      </c>
      <c r="L9">
        <v>0</v>
      </c>
      <c r="M9" t="s">
        <v>33</v>
      </c>
      <c r="N9" t="s">
        <v>33</v>
      </c>
      <c r="O9" t="s">
        <v>58</v>
      </c>
      <c r="P9">
        <f>-13.0376682352235 - 15.3845081581592</f>
        <v>-28.422176393382699</v>
      </c>
      <c r="Q9" t="s">
        <v>48</v>
      </c>
      <c r="R9" t="s">
        <v>36</v>
      </c>
      <c r="S9" t="s">
        <v>37</v>
      </c>
      <c r="T9" t="s">
        <v>59</v>
      </c>
      <c r="U9">
        <v>2.20791078718878</v>
      </c>
      <c r="V9">
        <v>7.2505552023935396</v>
      </c>
      <c r="W9" t="s">
        <v>39</v>
      </c>
      <c r="X9" t="s">
        <v>40</v>
      </c>
    </row>
    <row r="10" spans="1:24" x14ac:dyDescent="0.2">
      <c r="A10" t="s">
        <v>29</v>
      </c>
      <c r="B10" t="s">
        <v>60</v>
      </c>
      <c r="C10" t="s">
        <v>31</v>
      </c>
      <c r="D10">
        <v>2.6406052909523699E-2</v>
      </c>
      <c r="E10">
        <v>0.31642776995488398</v>
      </c>
      <c r="F10">
        <v>0.54244760563694305</v>
      </c>
      <c r="G10">
        <v>-1.35666241133784E-2</v>
      </c>
      <c r="H10" t="s">
        <v>32</v>
      </c>
      <c r="I10" t="b">
        <v>1</v>
      </c>
      <c r="J10">
        <v>236.602479596298</v>
      </c>
      <c r="K10">
        <v>236.92680392062201</v>
      </c>
      <c r="L10">
        <v>0</v>
      </c>
      <c r="M10" t="s">
        <v>33</v>
      </c>
      <c r="N10" t="s">
        <v>33</v>
      </c>
      <c r="O10" t="s">
        <v>61</v>
      </c>
      <c r="P10">
        <f>-0.0397589010128199 - 0.012625652786063</f>
        <v>-5.2384553798882898E-2</v>
      </c>
      <c r="Q10" t="s">
        <v>43</v>
      </c>
      <c r="R10" t="s">
        <v>36</v>
      </c>
      <c r="S10" t="s">
        <v>37</v>
      </c>
      <c r="T10" t="s">
        <v>62</v>
      </c>
      <c r="U10">
        <v>4.4335646929097798</v>
      </c>
      <c r="V10">
        <v>1.33634065813477E-2</v>
      </c>
      <c r="W10" t="s">
        <v>39</v>
      </c>
      <c r="X10" t="s">
        <v>40</v>
      </c>
    </row>
    <row r="11" spans="1:24" x14ac:dyDescent="0.2">
      <c r="A11" t="s">
        <v>29</v>
      </c>
      <c r="B11" t="s">
        <v>63</v>
      </c>
      <c r="C11" t="s">
        <v>31</v>
      </c>
      <c r="D11">
        <v>4.6732025531614997E-3</v>
      </c>
      <c r="E11">
        <v>0.66707733562413196</v>
      </c>
      <c r="F11">
        <v>0.86695517017851398</v>
      </c>
      <c r="G11">
        <v>-3.4099346245796002E-3</v>
      </c>
      <c r="H11" t="s">
        <v>32</v>
      </c>
      <c r="I11" t="b">
        <v>1</v>
      </c>
      <c r="J11">
        <v>248.13695605317301</v>
      </c>
      <c r="K11">
        <v>248.44464836086499</v>
      </c>
      <c r="L11">
        <v>0</v>
      </c>
      <c r="M11" t="s">
        <v>33</v>
      </c>
      <c r="N11" t="s">
        <v>33</v>
      </c>
      <c r="O11" t="s">
        <v>64</v>
      </c>
      <c r="P11">
        <f>-0.0188321823277538 - 0.0120123130785946</f>
        <v>-3.0844495406348399E-2</v>
      </c>
      <c r="Q11" t="s">
        <v>52</v>
      </c>
      <c r="R11" t="s">
        <v>36</v>
      </c>
      <c r="S11" t="s">
        <v>37</v>
      </c>
      <c r="T11" t="s">
        <v>65</v>
      </c>
      <c r="U11">
        <v>3.7019908077188899</v>
      </c>
      <c r="V11">
        <v>7.8684937261091995E-3</v>
      </c>
      <c r="W11" t="s">
        <v>39</v>
      </c>
      <c r="X11" t="s">
        <v>40</v>
      </c>
    </row>
    <row r="12" spans="1:24" x14ac:dyDescent="0.2">
      <c r="A12" t="s">
        <v>29</v>
      </c>
      <c r="B12" t="s">
        <v>66</v>
      </c>
      <c r="C12" t="s">
        <v>31</v>
      </c>
      <c r="D12">
        <v>3.50848824473056E-2</v>
      </c>
      <c r="E12">
        <v>0.22340890821573001</v>
      </c>
      <c r="F12">
        <v>0.51302049408165995</v>
      </c>
      <c r="G12">
        <v>9.0311124489340404</v>
      </c>
      <c r="H12" t="s">
        <v>32</v>
      </c>
      <c r="I12" t="b">
        <v>1</v>
      </c>
      <c r="J12">
        <v>256.88644562752302</v>
      </c>
      <c r="K12">
        <v>257.17912855435202</v>
      </c>
      <c r="L12">
        <v>0</v>
      </c>
      <c r="M12" t="s">
        <v>33</v>
      </c>
      <c r="N12" t="s">
        <v>33</v>
      </c>
      <c r="O12" t="s">
        <v>67</v>
      </c>
      <c r="P12">
        <f>-5.29265358035327 - 23.3548784782213</f>
        <v>-28.647532058574569</v>
      </c>
      <c r="Q12" t="s">
        <v>35</v>
      </c>
      <c r="R12" t="s">
        <v>36</v>
      </c>
      <c r="S12" t="s">
        <v>37</v>
      </c>
      <c r="T12" t="s">
        <v>68</v>
      </c>
      <c r="U12">
        <v>-5.3484243571427896</v>
      </c>
      <c r="V12">
        <v>7.3080438924935303</v>
      </c>
      <c r="W12" t="s">
        <v>39</v>
      </c>
      <c r="X12" t="s">
        <v>40</v>
      </c>
    </row>
    <row r="13" spans="1:24" x14ac:dyDescent="0.2">
      <c r="A13" t="s">
        <v>29</v>
      </c>
      <c r="B13" t="s">
        <v>69</v>
      </c>
      <c r="C13" t="s">
        <v>31</v>
      </c>
      <c r="D13">
        <v>3.3746271337067597E-2</v>
      </c>
      <c r="E13">
        <v>0.25651024704082998</v>
      </c>
      <c r="F13">
        <v>0.51302049408165995</v>
      </c>
      <c r="G13">
        <v>5.7865389746346603</v>
      </c>
      <c r="H13" t="s">
        <v>32</v>
      </c>
      <c r="I13" t="b">
        <v>1</v>
      </c>
      <c r="J13">
        <v>236.29976496351301</v>
      </c>
      <c r="K13">
        <v>236.62408928783799</v>
      </c>
      <c r="L13">
        <v>0</v>
      </c>
      <c r="M13" t="s">
        <v>33</v>
      </c>
      <c r="N13" t="s">
        <v>33</v>
      </c>
      <c r="O13" t="s">
        <v>70</v>
      </c>
      <c r="P13">
        <f>-4.05846396167726 - 15.6315419109466</f>
        <v>-19.69000587262386</v>
      </c>
      <c r="Q13" t="s">
        <v>43</v>
      </c>
      <c r="R13" t="s">
        <v>36</v>
      </c>
      <c r="S13" t="s">
        <v>37</v>
      </c>
      <c r="T13" t="s">
        <v>71</v>
      </c>
      <c r="U13">
        <v>2.0452215019831601</v>
      </c>
      <c r="V13">
        <v>5.0229606817918002</v>
      </c>
      <c r="W13" t="s">
        <v>39</v>
      </c>
      <c r="X13" t="s">
        <v>40</v>
      </c>
    </row>
    <row r="14" spans="1:24" x14ac:dyDescent="0.2">
      <c r="A14" t="s">
        <v>29</v>
      </c>
      <c r="B14" t="s">
        <v>72</v>
      </c>
      <c r="C14" t="s">
        <v>31</v>
      </c>
      <c r="D14">
        <v>3.2275703248874202E-2</v>
      </c>
      <c r="E14">
        <v>0.25493295967107499</v>
      </c>
      <c r="F14">
        <v>0.51302049408165995</v>
      </c>
      <c r="G14">
        <v>7.4663083512837698</v>
      </c>
      <c r="H14" t="s">
        <v>32</v>
      </c>
      <c r="I14" t="b">
        <v>1</v>
      </c>
      <c r="J14">
        <v>246.95575252295399</v>
      </c>
      <c r="K14">
        <v>247.26344483064599</v>
      </c>
      <c r="L14">
        <v>0</v>
      </c>
      <c r="M14" t="s">
        <v>33</v>
      </c>
      <c r="N14" t="s">
        <v>33</v>
      </c>
      <c r="O14" t="s">
        <v>73</v>
      </c>
      <c r="P14">
        <f>-5.20349759638305 - 20.1361142989506</f>
        <v>-25.339611895333647</v>
      </c>
      <c r="Q14" t="s">
        <v>52</v>
      </c>
      <c r="R14" t="s">
        <v>36</v>
      </c>
      <c r="S14" t="s">
        <v>37</v>
      </c>
      <c r="T14" t="s">
        <v>74</v>
      </c>
      <c r="U14">
        <v>-3.44283705964637</v>
      </c>
      <c r="V14">
        <v>6.4641867079932798</v>
      </c>
      <c r="W14" t="s">
        <v>39</v>
      </c>
      <c r="X14" t="s">
        <v>40</v>
      </c>
    </row>
    <row r="15" spans="1:24" x14ac:dyDescent="0.2">
      <c r="A15" t="s">
        <v>29</v>
      </c>
      <c r="B15" t="s">
        <v>75</v>
      </c>
      <c r="C15" t="s">
        <v>31</v>
      </c>
      <c r="D15">
        <v>0.11839485927533</v>
      </c>
      <c r="E15">
        <v>2.2194182557969899E-2</v>
      </c>
      <c r="F15">
        <v>0.13316509534781901</v>
      </c>
      <c r="G15">
        <v>14.081909848158499</v>
      </c>
      <c r="H15" t="s">
        <v>32</v>
      </c>
      <c r="I15" t="b">
        <v>1</v>
      </c>
      <c r="J15">
        <v>252.91342748512301</v>
      </c>
      <c r="K15">
        <v>253.20611041195301</v>
      </c>
      <c r="L15">
        <v>0</v>
      </c>
      <c r="M15" t="s">
        <v>33</v>
      </c>
      <c r="N15" t="s">
        <v>33</v>
      </c>
      <c r="O15" t="s">
        <v>76</v>
      </c>
      <c r="P15" t="s">
        <v>77</v>
      </c>
      <c r="Q15" t="s">
        <v>35</v>
      </c>
      <c r="R15" t="s">
        <v>36</v>
      </c>
      <c r="S15" t="s">
        <v>37</v>
      </c>
      <c r="T15" t="s">
        <v>78</v>
      </c>
      <c r="U15">
        <v>0.76527668160120399</v>
      </c>
      <c r="V15">
        <v>5.9293563046701001</v>
      </c>
      <c r="W15" t="s">
        <v>39</v>
      </c>
      <c r="X15" t="s">
        <v>40</v>
      </c>
    </row>
    <row r="16" spans="1:24" x14ac:dyDescent="0.2">
      <c r="A16" t="s">
        <v>29</v>
      </c>
      <c r="B16" t="s">
        <v>30</v>
      </c>
      <c r="C16" t="s">
        <v>31</v>
      </c>
      <c r="D16">
        <v>3.1498602894097002E-3</v>
      </c>
      <c r="E16">
        <v>0.71746412522459302</v>
      </c>
      <c r="F16" t="s">
        <v>79</v>
      </c>
      <c r="G16">
        <v>3.6029974990121E-3</v>
      </c>
      <c r="H16" t="s">
        <v>80</v>
      </c>
      <c r="I16" t="b">
        <v>0</v>
      </c>
      <c r="J16">
        <v>274.08989193206702</v>
      </c>
      <c r="K16">
        <v>274.38257485889699</v>
      </c>
      <c r="L16">
        <v>15.820071358003901</v>
      </c>
      <c r="M16" t="s">
        <v>33</v>
      </c>
      <c r="N16" t="s">
        <v>33</v>
      </c>
      <c r="O16" t="s">
        <v>34</v>
      </c>
      <c r="P16">
        <f>-0.0157819521907903 - 0.0229879471888146</f>
        <v>-3.87698993796049E-2</v>
      </c>
      <c r="Q16" t="s">
        <v>35</v>
      </c>
      <c r="R16" t="s">
        <v>81</v>
      </c>
      <c r="S16" t="s">
        <v>82</v>
      </c>
      <c r="T16" t="s">
        <v>83</v>
      </c>
      <c r="U16">
        <v>3.0068881987873599</v>
      </c>
      <c r="V16">
        <v>9.8902804539808004E-3</v>
      </c>
      <c r="W16" t="s">
        <v>39</v>
      </c>
      <c r="X16" t="s">
        <v>40</v>
      </c>
    </row>
    <row r="17" spans="1:24" x14ac:dyDescent="0.2">
      <c r="A17" t="s">
        <v>29</v>
      </c>
      <c r="B17" t="s">
        <v>54</v>
      </c>
      <c r="C17" t="s">
        <v>31</v>
      </c>
      <c r="D17">
        <v>4.1149816206371703E-2</v>
      </c>
      <c r="E17">
        <v>0.20934069876257599</v>
      </c>
      <c r="F17" t="s">
        <v>79</v>
      </c>
      <c r="G17">
        <v>1.00931169044265E-2</v>
      </c>
      <c r="H17" t="s">
        <v>84</v>
      </c>
      <c r="I17" t="b">
        <v>0</v>
      </c>
      <c r="J17">
        <v>255.97719106077199</v>
      </c>
      <c r="K17">
        <v>256.30151538509602</v>
      </c>
      <c r="L17">
        <v>18.151664091219999</v>
      </c>
      <c r="M17" t="s">
        <v>33</v>
      </c>
      <c r="N17" t="s">
        <v>33</v>
      </c>
      <c r="O17" t="s">
        <v>55</v>
      </c>
      <c r="P17">
        <f>-0.00539793840670985 - 0.0255841722155628</f>
        <v>-3.098211062227265E-2</v>
      </c>
      <c r="Q17" t="s">
        <v>48</v>
      </c>
      <c r="R17" t="s">
        <v>85</v>
      </c>
      <c r="S17" t="s">
        <v>86</v>
      </c>
      <c r="T17" t="s">
        <v>87</v>
      </c>
      <c r="U17">
        <v>1.95065640615284</v>
      </c>
      <c r="V17">
        <v>7.9035996485389004E-3</v>
      </c>
      <c r="W17" t="s">
        <v>39</v>
      </c>
      <c r="X17" t="s">
        <v>40</v>
      </c>
    </row>
    <row r="18" spans="1:24" x14ac:dyDescent="0.2">
      <c r="A18" t="s">
        <v>29</v>
      </c>
      <c r="B18" t="s">
        <v>66</v>
      </c>
      <c r="C18" t="s">
        <v>31</v>
      </c>
      <c r="D18">
        <v>2.2893070716524001E-3</v>
      </c>
      <c r="E18">
        <v>0.75776352702863603</v>
      </c>
      <c r="F18" t="s">
        <v>79</v>
      </c>
      <c r="G18">
        <v>2.1761000018079302</v>
      </c>
      <c r="H18" t="s">
        <v>80</v>
      </c>
      <c r="I18" t="b">
        <v>0</v>
      </c>
      <c r="J18">
        <v>274.12156087423602</v>
      </c>
      <c r="K18">
        <v>274.41424380106503</v>
      </c>
      <c r="L18">
        <v>17.235115246713001</v>
      </c>
      <c r="M18" t="s">
        <v>33</v>
      </c>
      <c r="N18" t="s">
        <v>33</v>
      </c>
      <c r="O18" t="s">
        <v>67</v>
      </c>
      <c r="P18">
        <f>-11.5630721082837 - 15.9152721118995</f>
        <v>-27.4783442201832</v>
      </c>
      <c r="Q18" t="s">
        <v>35</v>
      </c>
      <c r="R18" t="s">
        <v>81</v>
      </c>
      <c r="S18" t="s">
        <v>82</v>
      </c>
      <c r="T18" t="s">
        <v>88</v>
      </c>
      <c r="U18">
        <v>1.47542924812198</v>
      </c>
      <c r="V18">
        <v>7.0097816888222502</v>
      </c>
      <c r="W18" t="s">
        <v>39</v>
      </c>
      <c r="X18" t="s">
        <v>40</v>
      </c>
    </row>
    <row r="19" spans="1:24" x14ac:dyDescent="0.2">
      <c r="A19" t="s">
        <v>29</v>
      </c>
      <c r="B19" t="s">
        <v>69</v>
      </c>
      <c r="C19" t="s">
        <v>31</v>
      </c>
      <c r="D19">
        <v>7.3241030332721196E-2</v>
      </c>
      <c r="E19">
        <v>9.1214362906509E-2</v>
      </c>
      <c r="F19" t="s">
        <v>79</v>
      </c>
      <c r="G19">
        <v>7.4117234836717598</v>
      </c>
      <c r="H19" t="s">
        <v>80</v>
      </c>
      <c r="I19" t="b">
        <v>0</v>
      </c>
      <c r="J19">
        <v>249.81034411511101</v>
      </c>
      <c r="K19">
        <v>250.13466843943499</v>
      </c>
      <c r="L19">
        <v>13.510579151597</v>
      </c>
      <c r="M19" t="s">
        <v>33</v>
      </c>
      <c r="N19" t="s">
        <v>33</v>
      </c>
      <c r="O19" t="s">
        <v>70</v>
      </c>
      <c r="P19">
        <f>-0.971087191596876 - 15.7945341589404</f>
        <v>-16.765621350537273</v>
      </c>
      <c r="Q19" t="s">
        <v>43</v>
      </c>
      <c r="R19" t="s">
        <v>81</v>
      </c>
      <c r="S19" t="s">
        <v>82</v>
      </c>
      <c r="T19" t="s">
        <v>89</v>
      </c>
      <c r="U19">
        <v>2.1066705318546499</v>
      </c>
      <c r="V19">
        <v>4.27694422207583</v>
      </c>
      <c r="W19" t="s">
        <v>39</v>
      </c>
      <c r="X19" t="s">
        <v>40</v>
      </c>
    </row>
    <row r="20" spans="1:24" x14ac:dyDescent="0.2">
      <c r="A20" t="s">
        <v>29</v>
      </c>
      <c r="B20" t="s">
        <v>57</v>
      </c>
      <c r="C20" t="s">
        <v>31</v>
      </c>
      <c r="D20">
        <v>4.0431067328648004E-3</v>
      </c>
      <c r="E20">
        <v>0.696690159410427</v>
      </c>
      <c r="F20" t="s">
        <v>79</v>
      </c>
      <c r="G20">
        <v>-1.4696165794774501</v>
      </c>
      <c r="H20" t="s">
        <v>90</v>
      </c>
      <c r="I20" t="b">
        <v>0</v>
      </c>
      <c r="J20">
        <v>257.49595647656798</v>
      </c>
      <c r="K20">
        <v>257.82028080089202</v>
      </c>
      <c r="L20">
        <v>19.575490499741999</v>
      </c>
      <c r="M20" t="s">
        <v>33</v>
      </c>
      <c r="N20" t="s">
        <v>33</v>
      </c>
      <c r="O20" t="s">
        <v>58</v>
      </c>
      <c r="P20">
        <f>-8.80344902694051 - 5.8642158679856</f>
        <v>-14.66766489492611</v>
      </c>
      <c r="Q20" t="s">
        <v>48</v>
      </c>
      <c r="R20" t="s">
        <v>91</v>
      </c>
      <c r="S20" t="s">
        <v>33</v>
      </c>
      <c r="T20" t="s">
        <v>92</v>
      </c>
      <c r="U20">
        <v>4.9592385209270597</v>
      </c>
      <c r="V20">
        <v>3.7417512487056399</v>
      </c>
      <c r="W20" t="s">
        <v>39</v>
      </c>
      <c r="X20" t="s">
        <v>40</v>
      </c>
    </row>
    <row r="21" spans="1:24" x14ac:dyDescent="0.2">
      <c r="A21" t="s">
        <v>29</v>
      </c>
      <c r="B21" t="s">
        <v>30</v>
      </c>
      <c r="C21" t="s">
        <v>31</v>
      </c>
      <c r="D21">
        <v>1.05053729888E-4</v>
      </c>
      <c r="E21">
        <v>0.94735204377302495</v>
      </c>
      <c r="F21" t="s">
        <v>79</v>
      </c>
      <c r="G21">
        <v>6.0976000006089995E-4</v>
      </c>
      <c r="H21" t="s">
        <v>90</v>
      </c>
      <c r="I21" t="b">
        <v>0</v>
      </c>
      <c r="J21">
        <v>275.666311599349</v>
      </c>
      <c r="K21">
        <v>275.958994526178</v>
      </c>
      <c r="L21">
        <v>17.396491025284998</v>
      </c>
      <c r="M21" t="s">
        <v>33</v>
      </c>
      <c r="N21" t="s">
        <v>33</v>
      </c>
      <c r="O21" t="s">
        <v>34</v>
      </c>
      <c r="P21">
        <f>-0.0173815093739712 - 0.0186010293740932</f>
        <v>-3.5982538748064397E-2</v>
      </c>
      <c r="Q21" t="s">
        <v>35</v>
      </c>
      <c r="R21" t="s">
        <v>91</v>
      </c>
      <c r="S21" t="s">
        <v>33</v>
      </c>
      <c r="T21" t="s">
        <v>92</v>
      </c>
      <c r="U21">
        <v>3.5005061116226499</v>
      </c>
      <c r="V21">
        <v>9.1792190683837004E-3</v>
      </c>
      <c r="W21" t="s">
        <v>39</v>
      </c>
      <c r="X21" t="s">
        <v>40</v>
      </c>
    </row>
    <row r="22" spans="1:24" x14ac:dyDescent="0.2">
      <c r="A22" t="s">
        <v>29</v>
      </c>
      <c r="B22" t="s">
        <v>66</v>
      </c>
      <c r="C22" t="s">
        <v>31</v>
      </c>
      <c r="D22">
        <v>2.4225778123442001E-3</v>
      </c>
      <c r="E22">
        <v>0.75103126450912505</v>
      </c>
      <c r="F22" t="s">
        <v>79</v>
      </c>
      <c r="G22">
        <v>2.0438934608179702</v>
      </c>
      <c r="H22" t="s">
        <v>84</v>
      </c>
      <c r="I22" t="b">
        <v>0</v>
      </c>
      <c r="J22">
        <v>275.56421145819598</v>
      </c>
      <c r="K22">
        <v>275.85689438502601</v>
      </c>
      <c r="L22">
        <v>18.677765830673899</v>
      </c>
      <c r="M22" t="s">
        <v>33</v>
      </c>
      <c r="N22" t="s">
        <v>33</v>
      </c>
      <c r="O22" t="s">
        <v>67</v>
      </c>
      <c r="P22">
        <f>-10.4997620493634 - 14.5875489709993</f>
        <v>-25.087311020362698</v>
      </c>
      <c r="Q22" t="s">
        <v>35</v>
      </c>
      <c r="R22" t="s">
        <v>85</v>
      </c>
      <c r="S22" t="s">
        <v>86</v>
      </c>
      <c r="T22" t="s">
        <v>93</v>
      </c>
      <c r="U22">
        <v>1.64833027609867</v>
      </c>
      <c r="V22">
        <v>6.3998242398884404</v>
      </c>
      <c r="W22" t="s">
        <v>39</v>
      </c>
      <c r="X22" t="s">
        <v>40</v>
      </c>
    </row>
    <row r="23" spans="1:24" x14ac:dyDescent="0.2">
      <c r="A23" t="s">
        <v>29</v>
      </c>
      <c r="B23" t="s">
        <v>72</v>
      </c>
      <c r="C23" t="s">
        <v>31</v>
      </c>
      <c r="D23">
        <v>1.2347018992561001E-3</v>
      </c>
      <c r="E23">
        <v>0.825156162511125</v>
      </c>
      <c r="F23" t="s">
        <v>79</v>
      </c>
      <c r="G23">
        <v>1.28550333134598</v>
      </c>
      <c r="H23" t="s">
        <v>84</v>
      </c>
      <c r="I23" t="b">
        <v>0</v>
      </c>
      <c r="J23">
        <v>265.87909459344201</v>
      </c>
      <c r="K23">
        <v>266.18678690113398</v>
      </c>
      <c r="L23">
        <v>18.923342070487902</v>
      </c>
      <c r="M23" t="s">
        <v>33</v>
      </c>
      <c r="N23" t="s">
        <v>33</v>
      </c>
      <c r="O23" t="s">
        <v>73</v>
      </c>
      <c r="P23">
        <f>-10.0450193963633 - 12.6160260590553</f>
        <v>-22.661045455418602</v>
      </c>
      <c r="Q23" t="s">
        <v>52</v>
      </c>
      <c r="R23" t="s">
        <v>85</v>
      </c>
      <c r="S23" t="s">
        <v>86</v>
      </c>
      <c r="T23" t="s">
        <v>94</v>
      </c>
      <c r="U23">
        <v>2.4883229514782599</v>
      </c>
      <c r="V23">
        <v>5.7808789427088296</v>
      </c>
      <c r="W23" t="s">
        <v>39</v>
      </c>
      <c r="X23" t="s">
        <v>40</v>
      </c>
    </row>
    <row r="24" spans="1:24" x14ac:dyDescent="0.2">
      <c r="A24" t="s">
        <v>29</v>
      </c>
      <c r="B24" t="s">
        <v>69</v>
      </c>
      <c r="C24" t="s">
        <v>31</v>
      </c>
      <c r="D24">
        <v>6.2991977394391996E-2</v>
      </c>
      <c r="E24">
        <v>0.118255726034374</v>
      </c>
      <c r="F24" t="s">
        <v>79</v>
      </c>
      <c r="G24">
        <v>5.4665346524012204</v>
      </c>
      <c r="H24" t="s">
        <v>90</v>
      </c>
      <c r="I24" t="b">
        <v>0</v>
      </c>
      <c r="J24">
        <v>252.100867023647</v>
      </c>
      <c r="K24">
        <v>252.42519134797101</v>
      </c>
      <c r="L24">
        <v>15.801102060132999</v>
      </c>
      <c r="M24" t="s">
        <v>33</v>
      </c>
      <c r="N24" t="s">
        <v>33</v>
      </c>
      <c r="O24" t="s">
        <v>70</v>
      </c>
      <c r="P24">
        <f>-1.23702398121117 - 12.1700932860136</f>
        <v>-13.40711726722477</v>
      </c>
      <c r="Q24" t="s">
        <v>43</v>
      </c>
      <c r="R24" t="s">
        <v>91</v>
      </c>
      <c r="S24" t="s">
        <v>33</v>
      </c>
      <c r="T24" t="s">
        <v>92</v>
      </c>
      <c r="U24">
        <v>2.5881906811899098</v>
      </c>
      <c r="V24">
        <v>3.4201829763328502</v>
      </c>
      <c r="W24" t="s">
        <v>39</v>
      </c>
      <c r="X24" t="s">
        <v>40</v>
      </c>
    </row>
    <row r="25" spans="1:24" x14ac:dyDescent="0.2">
      <c r="A25" t="s">
        <v>29</v>
      </c>
      <c r="B25" t="s">
        <v>75</v>
      </c>
      <c r="C25" t="s">
        <v>31</v>
      </c>
      <c r="D25">
        <v>0.12706364550221999</v>
      </c>
      <c r="E25">
        <v>1.75479760889234E-2</v>
      </c>
      <c r="F25" t="s">
        <v>79</v>
      </c>
      <c r="G25">
        <v>12.3084508712464</v>
      </c>
      <c r="H25" t="s">
        <v>80</v>
      </c>
      <c r="I25" t="b">
        <v>0</v>
      </c>
      <c r="J25">
        <v>268.33581531375501</v>
      </c>
      <c r="K25">
        <v>268.62849824058497</v>
      </c>
      <c r="L25">
        <v>15.4223878286319</v>
      </c>
      <c r="M25" t="s">
        <v>33</v>
      </c>
      <c r="N25" t="s">
        <v>33</v>
      </c>
      <c r="O25" t="s">
        <v>76</v>
      </c>
      <c r="P25" t="s">
        <v>95</v>
      </c>
      <c r="Q25" t="s">
        <v>35</v>
      </c>
      <c r="R25" t="s">
        <v>81</v>
      </c>
      <c r="S25" t="s">
        <v>82</v>
      </c>
      <c r="T25" t="s">
        <v>96</v>
      </c>
      <c r="U25">
        <v>1.27015708368947</v>
      </c>
      <c r="V25">
        <v>4.9780515085340999</v>
      </c>
      <c r="W25" t="s">
        <v>39</v>
      </c>
      <c r="X25" t="s">
        <v>40</v>
      </c>
    </row>
    <row r="26" spans="1:24" x14ac:dyDescent="0.2">
      <c r="A26" t="s">
        <v>29</v>
      </c>
      <c r="B26" t="s">
        <v>63</v>
      </c>
      <c r="C26" t="s">
        <v>31</v>
      </c>
      <c r="D26">
        <v>6.0308116904905004E-3</v>
      </c>
      <c r="E26">
        <v>0.624959033339619</v>
      </c>
      <c r="F26" t="s">
        <v>79</v>
      </c>
      <c r="G26">
        <v>3.6315003757266999E-3</v>
      </c>
      <c r="H26" t="s">
        <v>90</v>
      </c>
      <c r="I26" t="b">
        <v>0</v>
      </c>
      <c r="J26">
        <v>265.67692315358403</v>
      </c>
      <c r="K26">
        <v>265.98461546127601</v>
      </c>
      <c r="L26">
        <v>17.539967100411001</v>
      </c>
      <c r="M26" t="s">
        <v>33</v>
      </c>
      <c r="N26" t="s">
        <v>33</v>
      </c>
      <c r="O26" t="s">
        <v>64</v>
      </c>
      <c r="P26">
        <f>-0.0108165998662236 - 0.0180796006176771</f>
        <v>-2.8896200483900701E-2</v>
      </c>
      <c r="Q26" t="s">
        <v>52</v>
      </c>
      <c r="R26" t="s">
        <v>91</v>
      </c>
      <c r="S26" t="s">
        <v>33</v>
      </c>
      <c r="T26" t="s">
        <v>92</v>
      </c>
      <c r="U26">
        <v>3.0283914777632899</v>
      </c>
      <c r="V26">
        <v>7.3714797152807003E-3</v>
      </c>
      <c r="W26" t="s">
        <v>39</v>
      </c>
      <c r="X26" t="s">
        <v>40</v>
      </c>
    </row>
    <row r="27" spans="1:24" x14ac:dyDescent="0.2">
      <c r="A27" t="s">
        <v>29</v>
      </c>
      <c r="B27" t="s">
        <v>57</v>
      </c>
      <c r="C27" t="s">
        <v>31</v>
      </c>
      <c r="D27">
        <v>7.4379590980440998E-3</v>
      </c>
      <c r="E27">
        <v>0.59670570850867</v>
      </c>
      <c r="F27" t="s">
        <v>79</v>
      </c>
      <c r="G27">
        <v>-3.1961223968414498</v>
      </c>
      <c r="H27" t="s">
        <v>80</v>
      </c>
      <c r="I27" t="b">
        <v>0</v>
      </c>
      <c r="J27">
        <v>254.85673479296099</v>
      </c>
      <c r="K27">
        <v>255.181059117285</v>
      </c>
      <c r="L27">
        <v>16.936268816134898</v>
      </c>
      <c r="M27" t="s">
        <v>33</v>
      </c>
      <c r="N27" t="s">
        <v>33</v>
      </c>
      <c r="O27" t="s">
        <v>58</v>
      </c>
      <c r="P27">
        <f>-14.9353524539895 - 8.54310766030664</f>
        <v>-23.478460114296141</v>
      </c>
      <c r="Q27" t="s">
        <v>48</v>
      </c>
      <c r="R27" t="s">
        <v>81</v>
      </c>
      <c r="S27" t="s">
        <v>82</v>
      </c>
      <c r="T27" t="s">
        <v>97</v>
      </c>
      <c r="U27">
        <v>6.4777299519871798</v>
      </c>
      <c r="V27">
        <v>5.9894030903816802</v>
      </c>
      <c r="W27" t="s">
        <v>39</v>
      </c>
      <c r="X27" t="s">
        <v>40</v>
      </c>
    </row>
    <row r="28" spans="1:24" x14ac:dyDescent="0.2">
      <c r="A28" t="s">
        <v>29</v>
      </c>
      <c r="B28" t="s">
        <v>60</v>
      </c>
      <c r="C28" t="s">
        <v>31</v>
      </c>
      <c r="D28">
        <v>1.8193086651695001E-2</v>
      </c>
      <c r="E28">
        <v>0.40664155542005997</v>
      </c>
      <c r="F28" t="s">
        <v>79</v>
      </c>
      <c r="G28">
        <v>-8.5755167562987008E-3</v>
      </c>
      <c r="H28" t="s">
        <v>84</v>
      </c>
      <c r="I28" t="b">
        <v>0</v>
      </c>
      <c r="J28">
        <v>253.968979779194</v>
      </c>
      <c r="K28">
        <v>254.29330410351801</v>
      </c>
      <c r="L28">
        <v>17.366500182896001</v>
      </c>
      <c r="M28" t="s">
        <v>33</v>
      </c>
      <c r="N28" t="s">
        <v>33</v>
      </c>
      <c r="O28" t="s">
        <v>61</v>
      </c>
      <c r="P28">
        <f>-0.0286056769129275 - 0.0114546434003301</f>
        <v>-4.0060320313257597E-2</v>
      </c>
      <c r="Q28" t="s">
        <v>43</v>
      </c>
      <c r="R28" t="s">
        <v>85</v>
      </c>
      <c r="S28" t="s">
        <v>86</v>
      </c>
      <c r="T28" t="s">
        <v>98</v>
      </c>
      <c r="U28">
        <v>4.5693338558160796</v>
      </c>
      <c r="V28">
        <v>1.02194694676678E-2</v>
      </c>
      <c r="W28" t="s">
        <v>39</v>
      </c>
      <c r="X28" t="s">
        <v>40</v>
      </c>
    </row>
    <row r="29" spans="1:24" x14ac:dyDescent="0.2">
      <c r="A29" t="s">
        <v>29</v>
      </c>
      <c r="B29" t="s">
        <v>41</v>
      </c>
      <c r="C29" t="s">
        <v>31</v>
      </c>
      <c r="D29">
        <v>3.1693589572139698E-2</v>
      </c>
      <c r="E29">
        <v>0.27174805454954598</v>
      </c>
      <c r="F29" t="s">
        <v>79</v>
      </c>
      <c r="G29">
        <v>8.2677186773174505</v>
      </c>
      <c r="H29" t="s">
        <v>84</v>
      </c>
      <c r="I29" t="b">
        <v>0</v>
      </c>
      <c r="J29">
        <v>253.415136330547</v>
      </c>
      <c r="K29">
        <v>253.73946065487101</v>
      </c>
      <c r="L29">
        <v>18.526911510891999</v>
      </c>
      <c r="M29" t="s">
        <v>33</v>
      </c>
      <c r="N29" t="s">
        <v>33</v>
      </c>
      <c r="O29" t="s">
        <v>42</v>
      </c>
      <c r="P29">
        <f>-6.26244988084349 - 22.7978872354784</f>
        <v>-29.06033711632189</v>
      </c>
      <c r="Q29" t="s">
        <v>43</v>
      </c>
      <c r="R29" t="s">
        <v>85</v>
      </c>
      <c r="S29" t="s">
        <v>86</v>
      </c>
      <c r="T29" t="s">
        <v>99</v>
      </c>
      <c r="U29">
        <v>-3.8014245858037499</v>
      </c>
      <c r="V29">
        <v>7.4133513051841504</v>
      </c>
      <c r="W29" t="s">
        <v>39</v>
      </c>
      <c r="X29" t="s">
        <v>40</v>
      </c>
    </row>
    <row r="30" spans="1:24" x14ac:dyDescent="0.2">
      <c r="A30" t="s">
        <v>29</v>
      </c>
      <c r="B30" t="s">
        <v>50</v>
      </c>
      <c r="C30" t="s">
        <v>31</v>
      </c>
      <c r="D30" s="6">
        <v>7.2065057923917706E-5</v>
      </c>
      <c r="E30">
        <v>0.95744797976223694</v>
      </c>
      <c r="F30" t="s">
        <v>79</v>
      </c>
      <c r="G30">
        <v>0.22210947170758499</v>
      </c>
      <c r="H30" t="s">
        <v>90</v>
      </c>
      <c r="I30" t="b">
        <v>0</v>
      </c>
      <c r="J30">
        <v>265.92795727235199</v>
      </c>
      <c r="K30">
        <v>266.23564958004499</v>
      </c>
      <c r="L30">
        <v>17.666250302840901</v>
      </c>
      <c r="M30" t="s">
        <v>33</v>
      </c>
      <c r="N30" t="s">
        <v>33</v>
      </c>
      <c r="O30" t="s">
        <v>51</v>
      </c>
      <c r="P30">
        <f>-7.88591658133457 - 8.33013552474974</f>
        <v>-16.216052106084312</v>
      </c>
      <c r="Q30" t="s">
        <v>52</v>
      </c>
      <c r="R30" t="s">
        <v>91</v>
      </c>
      <c r="S30" t="s">
        <v>33</v>
      </c>
      <c r="T30" t="s">
        <v>92</v>
      </c>
      <c r="U30">
        <v>3.5958107468808098</v>
      </c>
      <c r="V30">
        <v>4.1367479862460002</v>
      </c>
      <c r="W30" t="s">
        <v>39</v>
      </c>
      <c r="X30" t="s">
        <v>40</v>
      </c>
    </row>
    <row r="31" spans="1:24" x14ac:dyDescent="0.2">
      <c r="A31" t="s">
        <v>29</v>
      </c>
      <c r="B31" t="s">
        <v>50</v>
      </c>
      <c r="C31" t="s">
        <v>31</v>
      </c>
      <c r="D31">
        <v>5.3926569347520004E-4</v>
      </c>
      <c r="E31">
        <v>0.88394177770929805</v>
      </c>
      <c r="F31" t="s">
        <v>79</v>
      </c>
      <c r="G31">
        <v>0.67646123744275799</v>
      </c>
      <c r="H31" t="s">
        <v>80</v>
      </c>
      <c r="I31" t="b">
        <v>0</v>
      </c>
      <c r="J31">
        <v>264.29667915603301</v>
      </c>
      <c r="K31">
        <v>264.60437146372601</v>
      </c>
      <c r="L31">
        <v>16.034972186521902</v>
      </c>
      <c r="M31" t="s">
        <v>33</v>
      </c>
      <c r="N31" t="s">
        <v>33</v>
      </c>
      <c r="O31" t="s">
        <v>51</v>
      </c>
      <c r="P31">
        <f>-8.3486063605311 - 9.70152883541662</f>
        <v>-18.050135195947718</v>
      </c>
      <c r="Q31" t="s">
        <v>52</v>
      </c>
      <c r="R31" t="s">
        <v>81</v>
      </c>
      <c r="S31" t="s">
        <v>82</v>
      </c>
      <c r="T31" t="s">
        <v>100</v>
      </c>
      <c r="U31">
        <v>3.4897522373299998</v>
      </c>
      <c r="V31">
        <v>4.60462632549687</v>
      </c>
      <c r="W31" t="s">
        <v>39</v>
      </c>
      <c r="X31" t="s">
        <v>40</v>
      </c>
    </row>
    <row r="32" spans="1:24" x14ac:dyDescent="0.2">
      <c r="A32" t="s">
        <v>29</v>
      </c>
      <c r="B32" t="s">
        <v>66</v>
      </c>
      <c r="C32" t="s">
        <v>31</v>
      </c>
      <c r="D32">
        <v>2.4225778123442001E-3</v>
      </c>
      <c r="E32">
        <v>0.75103126450912505</v>
      </c>
      <c r="F32" t="s">
        <v>79</v>
      </c>
      <c r="G32">
        <v>2.0438934608179702</v>
      </c>
      <c r="H32" t="s">
        <v>90</v>
      </c>
      <c r="I32" t="b">
        <v>0</v>
      </c>
      <c r="J32">
        <v>275.56421145819598</v>
      </c>
      <c r="K32">
        <v>275.85689438502601</v>
      </c>
      <c r="L32">
        <v>18.677765830673899</v>
      </c>
      <c r="M32" t="s">
        <v>33</v>
      </c>
      <c r="N32" t="s">
        <v>33</v>
      </c>
      <c r="O32" t="s">
        <v>67</v>
      </c>
      <c r="P32">
        <f>-10.4997620493634 - 14.5875489709993</f>
        <v>-25.087311020362698</v>
      </c>
      <c r="Q32" t="s">
        <v>35</v>
      </c>
      <c r="R32" t="s">
        <v>91</v>
      </c>
      <c r="S32" t="s">
        <v>33</v>
      </c>
      <c r="T32" t="s">
        <v>92</v>
      </c>
      <c r="U32">
        <v>1.64833027609867</v>
      </c>
      <c r="V32">
        <v>6.3998242398884404</v>
      </c>
      <c r="W32" t="s">
        <v>39</v>
      </c>
      <c r="X32" t="s">
        <v>40</v>
      </c>
    </row>
    <row r="33" spans="1:24" x14ac:dyDescent="0.2">
      <c r="A33" t="s">
        <v>29</v>
      </c>
      <c r="B33" t="s">
        <v>72</v>
      </c>
      <c r="C33" t="s">
        <v>31</v>
      </c>
      <c r="D33">
        <v>2.409314020446E-3</v>
      </c>
      <c r="E33">
        <v>0.75755600814922797</v>
      </c>
      <c r="F33" t="s">
        <v>79</v>
      </c>
      <c r="G33">
        <v>1.95891924470465</v>
      </c>
      <c r="H33" t="s">
        <v>80</v>
      </c>
      <c r="I33" t="b">
        <v>0</v>
      </c>
      <c r="J33">
        <v>264.21844139921501</v>
      </c>
      <c r="K33">
        <v>264.52613370690801</v>
      </c>
      <c r="L33">
        <v>17.262688876262001</v>
      </c>
      <c r="M33" t="s">
        <v>33</v>
      </c>
      <c r="N33" t="s">
        <v>33</v>
      </c>
      <c r="O33" t="s">
        <v>73</v>
      </c>
      <c r="P33">
        <f>-10.3940709704168 - 14.3119094598261</f>
        <v>-24.705980430242903</v>
      </c>
      <c r="Q33" t="s">
        <v>52</v>
      </c>
      <c r="R33" t="s">
        <v>81</v>
      </c>
      <c r="S33" t="s">
        <v>82</v>
      </c>
      <c r="T33" t="s">
        <v>101</v>
      </c>
      <c r="U33">
        <v>1.8498886901849001</v>
      </c>
      <c r="V33">
        <v>6.30254602812317</v>
      </c>
      <c r="W33" t="s">
        <v>39</v>
      </c>
      <c r="X33" t="s">
        <v>40</v>
      </c>
    </row>
    <row r="34" spans="1:24" x14ac:dyDescent="0.2">
      <c r="A34" t="s">
        <v>29</v>
      </c>
      <c r="B34" t="s">
        <v>45</v>
      </c>
      <c r="C34" t="s">
        <v>31</v>
      </c>
      <c r="D34">
        <v>0.16175787004585801</v>
      </c>
      <c r="E34">
        <v>1.00913768742552E-2</v>
      </c>
      <c r="F34" t="s">
        <v>79</v>
      </c>
      <c r="G34">
        <v>11.4693532792698</v>
      </c>
      <c r="H34" t="s">
        <v>84</v>
      </c>
      <c r="I34" t="b">
        <v>0</v>
      </c>
      <c r="J34">
        <v>250.60007727035301</v>
      </c>
      <c r="K34">
        <v>250.92440159467699</v>
      </c>
      <c r="L34">
        <v>25.125880743206999</v>
      </c>
      <c r="M34" t="s">
        <v>33</v>
      </c>
      <c r="N34" t="s">
        <v>33</v>
      </c>
      <c r="O34" t="s">
        <v>46</v>
      </c>
      <c r="P34" t="s">
        <v>102</v>
      </c>
      <c r="Q34" t="s">
        <v>48</v>
      </c>
      <c r="R34" t="s">
        <v>85</v>
      </c>
      <c r="S34" t="s">
        <v>86</v>
      </c>
      <c r="T34" t="s">
        <v>103</v>
      </c>
      <c r="U34">
        <v>1.38265846465387</v>
      </c>
      <c r="V34">
        <v>4.2354461482448897</v>
      </c>
      <c r="W34" t="s">
        <v>39</v>
      </c>
      <c r="X34" t="s">
        <v>40</v>
      </c>
    </row>
    <row r="35" spans="1:24" x14ac:dyDescent="0.2">
      <c r="A35" t="s">
        <v>29</v>
      </c>
      <c r="B35" t="s">
        <v>75</v>
      </c>
      <c r="C35" t="s">
        <v>31</v>
      </c>
      <c r="D35">
        <v>0.111154107300903</v>
      </c>
      <c r="E35">
        <v>2.6998039146684898E-2</v>
      </c>
      <c r="F35" t="s">
        <v>79</v>
      </c>
      <c r="G35">
        <v>9.5373246412667108</v>
      </c>
      <c r="H35" t="s">
        <v>90</v>
      </c>
      <c r="I35" t="b">
        <v>0</v>
      </c>
      <c r="J35">
        <v>270.48635227452797</v>
      </c>
      <c r="K35">
        <v>270.77903520135698</v>
      </c>
      <c r="L35">
        <v>17.572924789403899</v>
      </c>
      <c r="M35" t="s">
        <v>33</v>
      </c>
      <c r="N35" t="s">
        <v>33</v>
      </c>
      <c r="O35" t="s">
        <v>76</v>
      </c>
      <c r="P35" t="s">
        <v>104</v>
      </c>
      <c r="Q35" t="s">
        <v>35</v>
      </c>
      <c r="R35" t="s">
        <v>91</v>
      </c>
      <c r="S35" t="s">
        <v>33</v>
      </c>
      <c r="T35" t="s">
        <v>92</v>
      </c>
      <c r="U35">
        <v>1.9354317725858901</v>
      </c>
      <c r="V35">
        <v>4.1615239467097496</v>
      </c>
      <c r="W35" t="s">
        <v>39</v>
      </c>
      <c r="X35" t="s">
        <v>40</v>
      </c>
    </row>
    <row r="36" spans="1:24" x14ac:dyDescent="0.2">
      <c r="A36" t="s">
        <v>29</v>
      </c>
      <c r="B36" t="s">
        <v>69</v>
      </c>
      <c r="C36" t="s">
        <v>31</v>
      </c>
      <c r="D36">
        <v>6.2991977394391996E-2</v>
      </c>
      <c r="E36">
        <v>0.118255726034374</v>
      </c>
      <c r="F36" t="s">
        <v>79</v>
      </c>
      <c r="G36">
        <v>5.4665346524012204</v>
      </c>
      <c r="H36" t="s">
        <v>84</v>
      </c>
      <c r="I36" t="b">
        <v>0</v>
      </c>
      <c r="J36">
        <v>252.100867023647</v>
      </c>
      <c r="K36">
        <v>252.42519134797101</v>
      </c>
      <c r="L36">
        <v>15.801102060132999</v>
      </c>
      <c r="M36" t="s">
        <v>33</v>
      </c>
      <c r="N36" t="s">
        <v>33</v>
      </c>
      <c r="O36" t="s">
        <v>70</v>
      </c>
      <c r="P36">
        <f>-1.23702398121117 - 12.1700932860136</f>
        <v>-13.40711726722477</v>
      </c>
      <c r="Q36" t="s">
        <v>43</v>
      </c>
      <c r="R36" t="s">
        <v>85</v>
      </c>
      <c r="S36" t="s">
        <v>86</v>
      </c>
      <c r="T36" t="s">
        <v>105</v>
      </c>
      <c r="U36">
        <v>2.5881906811899098</v>
      </c>
      <c r="V36">
        <v>3.4201829763328502</v>
      </c>
      <c r="W36" t="s">
        <v>39</v>
      </c>
      <c r="X36" t="s">
        <v>40</v>
      </c>
    </row>
    <row r="37" spans="1:24" x14ac:dyDescent="0.2">
      <c r="A37" t="s">
        <v>29</v>
      </c>
      <c r="B37" t="s">
        <v>60</v>
      </c>
      <c r="C37" t="s">
        <v>31</v>
      </c>
      <c r="D37">
        <v>1.8844415882751198E-2</v>
      </c>
      <c r="E37">
        <v>0.39828855184286099</v>
      </c>
      <c r="F37" t="s">
        <v>79</v>
      </c>
      <c r="G37">
        <v>-1.18085579651869E-2</v>
      </c>
      <c r="H37" t="s">
        <v>80</v>
      </c>
      <c r="I37" t="b">
        <v>0</v>
      </c>
      <c r="J37">
        <v>252.060604707127</v>
      </c>
      <c r="K37">
        <v>252.38492903145101</v>
      </c>
      <c r="L37">
        <v>15.458125110829</v>
      </c>
      <c r="M37" t="s">
        <v>33</v>
      </c>
      <c r="N37" t="s">
        <v>33</v>
      </c>
      <c r="O37" t="s">
        <v>61</v>
      </c>
      <c r="P37">
        <f>-0.038900412724415 - 0.0152832967940413</f>
        <v>-5.4183709518456302E-2</v>
      </c>
      <c r="Q37" t="s">
        <v>43</v>
      </c>
      <c r="R37" t="s">
        <v>81</v>
      </c>
      <c r="S37" t="s">
        <v>82</v>
      </c>
      <c r="T37" t="s">
        <v>106</v>
      </c>
      <c r="U37">
        <v>4.88471295217657</v>
      </c>
      <c r="V37">
        <v>1.3822374877157199E-2</v>
      </c>
      <c r="W37" t="s">
        <v>39</v>
      </c>
      <c r="X37" t="s">
        <v>40</v>
      </c>
    </row>
    <row r="38" spans="1:24" x14ac:dyDescent="0.2">
      <c r="A38" t="s">
        <v>29</v>
      </c>
      <c r="B38" t="s">
        <v>57</v>
      </c>
      <c r="C38" t="s">
        <v>31</v>
      </c>
      <c r="D38">
        <v>4.0431067328648004E-3</v>
      </c>
      <c r="E38">
        <v>0.696690159410427</v>
      </c>
      <c r="F38" t="s">
        <v>79</v>
      </c>
      <c r="G38">
        <v>-1.4696165794774501</v>
      </c>
      <c r="H38" t="s">
        <v>84</v>
      </c>
      <c r="I38" t="b">
        <v>0</v>
      </c>
      <c r="J38">
        <v>257.49595647656798</v>
      </c>
      <c r="K38">
        <v>257.82028080089202</v>
      </c>
      <c r="L38">
        <v>19.575490499741999</v>
      </c>
      <c r="M38" t="s">
        <v>33</v>
      </c>
      <c r="N38" t="s">
        <v>33</v>
      </c>
      <c r="O38" t="s">
        <v>58</v>
      </c>
      <c r="P38">
        <f>-8.80344902694051 - 5.8642158679856</f>
        <v>-14.66766489492611</v>
      </c>
      <c r="Q38" t="s">
        <v>48</v>
      </c>
      <c r="R38" t="s">
        <v>85</v>
      </c>
      <c r="S38" t="s">
        <v>86</v>
      </c>
      <c r="T38" t="s">
        <v>107</v>
      </c>
      <c r="U38">
        <v>4.9592385209270597</v>
      </c>
      <c r="V38">
        <v>3.7417512487056399</v>
      </c>
      <c r="W38" t="s">
        <v>39</v>
      </c>
      <c r="X38" t="s">
        <v>40</v>
      </c>
    </row>
    <row r="39" spans="1:24" x14ac:dyDescent="0.2">
      <c r="A39" t="s">
        <v>29</v>
      </c>
      <c r="B39" t="s">
        <v>60</v>
      </c>
      <c r="C39" t="s">
        <v>31</v>
      </c>
      <c r="D39">
        <v>1.8193086651695001E-2</v>
      </c>
      <c r="E39">
        <v>0.40664155542005997</v>
      </c>
      <c r="F39" t="s">
        <v>79</v>
      </c>
      <c r="G39">
        <v>-8.5755167562987008E-3</v>
      </c>
      <c r="H39" t="s">
        <v>90</v>
      </c>
      <c r="I39" t="b">
        <v>0</v>
      </c>
      <c r="J39">
        <v>253.968979779194</v>
      </c>
      <c r="K39">
        <v>254.29330410351801</v>
      </c>
      <c r="L39">
        <v>17.366500182896001</v>
      </c>
      <c r="M39" t="s">
        <v>33</v>
      </c>
      <c r="N39" t="s">
        <v>33</v>
      </c>
      <c r="O39" t="s">
        <v>61</v>
      </c>
      <c r="P39">
        <f>-0.0286056769129275 - 0.0114546434003301</f>
        <v>-4.0060320313257597E-2</v>
      </c>
      <c r="Q39" t="s">
        <v>43</v>
      </c>
      <c r="R39" t="s">
        <v>91</v>
      </c>
      <c r="S39" t="s">
        <v>33</v>
      </c>
      <c r="T39" t="s">
        <v>92</v>
      </c>
      <c r="U39">
        <v>4.5693338558160796</v>
      </c>
      <c r="V39">
        <v>1.02194694676678E-2</v>
      </c>
      <c r="W39" t="s">
        <v>39</v>
      </c>
      <c r="X39" t="s">
        <v>40</v>
      </c>
    </row>
    <row r="40" spans="1:24" x14ac:dyDescent="0.2">
      <c r="A40" t="s">
        <v>29</v>
      </c>
      <c r="B40" t="s">
        <v>54</v>
      </c>
      <c r="C40" t="s">
        <v>31</v>
      </c>
      <c r="D40">
        <v>5.3287067486724203E-2</v>
      </c>
      <c r="E40">
        <v>0.151828470266478</v>
      </c>
      <c r="F40" t="s">
        <v>79</v>
      </c>
      <c r="G40">
        <v>1.24512283811842E-2</v>
      </c>
      <c r="H40" t="s">
        <v>80</v>
      </c>
      <c r="I40" t="b">
        <v>0</v>
      </c>
      <c r="J40">
        <v>252.97524103065999</v>
      </c>
      <c r="K40">
        <v>253.29956535498499</v>
      </c>
      <c r="L40">
        <v>15.149714061108901</v>
      </c>
      <c r="M40" t="s">
        <v>33</v>
      </c>
      <c r="N40" t="s">
        <v>33</v>
      </c>
      <c r="O40" t="s">
        <v>55</v>
      </c>
      <c r="P40">
        <f>-0.00423563524514721 - 0.0291380920075156</f>
        <v>-3.3373727252662813E-2</v>
      </c>
      <c r="Q40" t="s">
        <v>48</v>
      </c>
      <c r="R40" t="s">
        <v>81</v>
      </c>
      <c r="S40" t="s">
        <v>82</v>
      </c>
      <c r="T40" t="s">
        <v>108</v>
      </c>
      <c r="U40">
        <v>1.60195182223946</v>
      </c>
      <c r="V40">
        <v>8.5137059318016999E-3</v>
      </c>
      <c r="W40" t="s">
        <v>39</v>
      </c>
      <c r="X40" t="s">
        <v>40</v>
      </c>
    </row>
    <row r="41" spans="1:24" x14ac:dyDescent="0.2">
      <c r="A41" t="s">
        <v>29</v>
      </c>
      <c r="B41" t="s">
        <v>45</v>
      </c>
      <c r="C41" t="s">
        <v>31</v>
      </c>
      <c r="D41">
        <v>0.16175787004585801</v>
      </c>
      <c r="E41">
        <v>1.00913768742552E-2</v>
      </c>
      <c r="F41" t="s">
        <v>79</v>
      </c>
      <c r="G41">
        <v>11.4693532792698</v>
      </c>
      <c r="H41" t="s">
        <v>90</v>
      </c>
      <c r="I41" t="b">
        <v>0</v>
      </c>
      <c r="J41">
        <v>250.60007727035301</v>
      </c>
      <c r="K41">
        <v>250.92440159467699</v>
      </c>
      <c r="L41">
        <v>25.125880743206999</v>
      </c>
      <c r="M41" t="s">
        <v>33</v>
      </c>
      <c r="N41" t="s">
        <v>33</v>
      </c>
      <c r="O41" t="s">
        <v>46</v>
      </c>
      <c r="P41" t="s">
        <v>102</v>
      </c>
      <c r="Q41" t="s">
        <v>48</v>
      </c>
      <c r="R41" t="s">
        <v>91</v>
      </c>
      <c r="S41" t="s">
        <v>33</v>
      </c>
      <c r="T41" t="s">
        <v>92</v>
      </c>
      <c r="U41">
        <v>1.38265846465387</v>
      </c>
      <c r="V41">
        <v>4.2354461482448897</v>
      </c>
      <c r="W41" t="s">
        <v>39</v>
      </c>
      <c r="X41" t="s">
        <v>40</v>
      </c>
    </row>
    <row r="42" spans="1:24" x14ac:dyDescent="0.2">
      <c r="A42" t="s">
        <v>29</v>
      </c>
      <c r="B42" t="s">
        <v>63</v>
      </c>
      <c r="C42" t="s">
        <v>31</v>
      </c>
      <c r="D42">
        <v>6.0308116904905004E-3</v>
      </c>
      <c r="E42">
        <v>0.624959033339619</v>
      </c>
      <c r="F42" t="s">
        <v>79</v>
      </c>
      <c r="G42">
        <v>3.6315003757266999E-3</v>
      </c>
      <c r="H42" t="s">
        <v>84</v>
      </c>
      <c r="I42" t="b">
        <v>0</v>
      </c>
      <c r="J42">
        <v>265.67692315358403</v>
      </c>
      <c r="K42">
        <v>265.98461546127601</v>
      </c>
      <c r="L42">
        <v>17.539967100411001</v>
      </c>
      <c r="M42" t="s">
        <v>33</v>
      </c>
      <c r="N42" t="s">
        <v>33</v>
      </c>
      <c r="O42" t="s">
        <v>64</v>
      </c>
      <c r="P42">
        <f>-0.0108165998662236 - 0.0180796006176771</f>
        <v>-2.8896200483900701E-2</v>
      </c>
      <c r="Q42" t="s">
        <v>52</v>
      </c>
      <c r="R42" t="s">
        <v>85</v>
      </c>
      <c r="S42" t="s">
        <v>86</v>
      </c>
      <c r="T42" t="s">
        <v>109</v>
      </c>
      <c r="U42">
        <v>3.0283914777632899</v>
      </c>
      <c r="V42">
        <v>7.3714797152807003E-3</v>
      </c>
      <c r="W42" t="s">
        <v>39</v>
      </c>
      <c r="X42" t="s">
        <v>40</v>
      </c>
    </row>
    <row r="43" spans="1:24" x14ac:dyDescent="0.2">
      <c r="A43" t="s">
        <v>29</v>
      </c>
      <c r="B43" t="s">
        <v>75</v>
      </c>
      <c r="C43" t="s">
        <v>31</v>
      </c>
      <c r="D43">
        <v>0.111154107300903</v>
      </c>
      <c r="E43">
        <v>2.6998039146684898E-2</v>
      </c>
      <c r="F43" t="s">
        <v>79</v>
      </c>
      <c r="G43">
        <v>9.5373246412667108</v>
      </c>
      <c r="H43" t="s">
        <v>84</v>
      </c>
      <c r="I43" t="b">
        <v>0</v>
      </c>
      <c r="J43">
        <v>270.48635227452797</v>
      </c>
      <c r="K43">
        <v>270.77903520135698</v>
      </c>
      <c r="L43">
        <v>17.572924789403899</v>
      </c>
      <c r="M43" t="s">
        <v>33</v>
      </c>
      <c r="N43" t="s">
        <v>33</v>
      </c>
      <c r="O43" t="s">
        <v>76</v>
      </c>
      <c r="P43" t="s">
        <v>104</v>
      </c>
      <c r="Q43" t="s">
        <v>35</v>
      </c>
      <c r="R43" t="s">
        <v>85</v>
      </c>
      <c r="S43" t="s">
        <v>86</v>
      </c>
      <c r="T43" t="s">
        <v>110</v>
      </c>
      <c r="U43">
        <v>1.9354317725858901</v>
      </c>
      <c r="V43">
        <v>4.1615239467097496</v>
      </c>
      <c r="W43" t="s">
        <v>39</v>
      </c>
      <c r="X43" t="s">
        <v>40</v>
      </c>
    </row>
    <row r="44" spans="1:24" x14ac:dyDescent="0.2">
      <c r="A44" t="s">
        <v>29</v>
      </c>
      <c r="B44" t="s">
        <v>41</v>
      </c>
      <c r="C44" t="s">
        <v>31</v>
      </c>
      <c r="D44">
        <v>3.2425665071494102E-2</v>
      </c>
      <c r="E44">
        <v>0.26619141297937099</v>
      </c>
      <c r="F44" t="s">
        <v>79</v>
      </c>
      <c r="G44">
        <v>9.5114182792121191</v>
      </c>
      <c r="H44" t="s">
        <v>80</v>
      </c>
      <c r="I44" t="b">
        <v>0</v>
      </c>
      <c r="J44">
        <v>251.50372142452201</v>
      </c>
      <c r="K44">
        <v>251.82804574884599</v>
      </c>
      <c r="L44">
        <v>16.615496604866902</v>
      </c>
      <c r="M44" t="s">
        <v>33</v>
      </c>
      <c r="N44" t="s">
        <v>33</v>
      </c>
      <c r="O44" t="s">
        <v>42</v>
      </c>
      <c r="P44">
        <f>-7.00847653359239 - 26.0313130920166</f>
        <v>-33.039789625608989</v>
      </c>
      <c r="Q44" t="s">
        <v>43</v>
      </c>
      <c r="R44" t="s">
        <v>81</v>
      </c>
      <c r="S44" t="s">
        <v>82</v>
      </c>
      <c r="T44" t="s">
        <v>111</v>
      </c>
      <c r="U44">
        <v>-5.0090793255124604</v>
      </c>
      <c r="V44">
        <v>8.42851776163495</v>
      </c>
      <c r="W44" t="s">
        <v>39</v>
      </c>
      <c r="X44" t="s">
        <v>40</v>
      </c>
    </row>
    <row r="45" spans="1:24" x14ac:dyDescent="0.2">
      <c r="A45" t="s">
        <v>29</v>
      </c>
      <c r="B45" t="s">
        <v>41</v>
      </c>
      <c r="C45" t="s">
        <v>31</v>
      </c>
      <c r="D45">
        <v>3.1693589572139698E-2</v>
      </c>
      <c r="E45">
        <v>0.27174805454954598</v>
      </c>
      <c r="F45" t="s">
        <v>79</v>
      </c>
      <c r="G45">
        <v>8.2677186773174505</v>
      </c>
      <c r="H45" t="s">
        <v>90</v>
      </c>
      <c r="I45" t="b">
        <v>0</v>
      </c>
      <c r="J45">
        <v>253.415136330547</v>
      </c>
      <c r="K45">
        <v>253.73946065487101</v>
      </c>
      <c r="L45">
        <v>18.526911510891999</v>
      </c>
      <c r="M45" t="s">
        <v>33</v>
      </c>
      <c r="N45" t="s">
        <v>33</v>
      </c>
      <c r="O45" t="s">
        <v>42</v>
      </c>
      <c r="P45">
        <f>-6.26244988084349 - 22.7978872354784</f>
        <v>-29.06033711632189</v>
      </c>
      <c r="Q45" t="s">
        <v>43</v>
      </c>
      <c r="R45" t="s">
        <v>91</v>
      </c>
      <c r="S45" t="s">
        <v>33</v>
      </c>
      <c r="T45" t="s">
        <v>92</v>
      </c>
      <c r="U45">
        <v>-3.8014245858037499</v>
      </c>
      <c r="V45">
        <v>7.4133513051841504</v>
      </c>
      <c r="W45" t="s">
        <v>39</v>
      </c>
      <c r="X45" t="s">
        <v>40</v>
      </c>
    </row>
    <row r="46" spans="1:24" x14ac:dyDescent="0.2">
      <c r="A46" t="s">
        <v>29</v>
      </c>
      <c r="B46" t="s">
        <v>54</v>
      </c>
      <c r="C46" t="s">
        <v>31</v>
      </c>
      <c r="D46">
        <v>4.1149816206371703E-2</v>
      </c>
      <c r="E46">
        <v>0.20934069876257599</v>
      </c>
      <c r="F46" t="s">
        <v>79</v>
      </c>
      <c r="G46">
        <v>1.00931169044265E-2</v>
      </c>
      <c r="H46" t="s">
        <v>90</v>
      </c>
      <c r="I46" t="b">
        <v>0</v>
      </c>
      <c r="J46">
        <v>255.97719106077199</v>
      </c>
      <c r="K46">
        <v>256.30151538509602</v>
      </c>
      <c r="L46">
        <v>18.151664091219999</v>
      </c>
      <c r="M46" t="s">
        <v>33</v>
      </c>
      <c r="N46" t="s">
        <v>33</v>
      </c>
      <c r="O46" t="s">
        <v>55</v>
      </c>
      <c r="P46">
        <f>-0.00539793840670985 - 0.0255841722155628</f>
        <v>-3.098211062227265E-2</v>
      </c>
      <c r="Q46" t="s">
        <v>48</v>
      </c>
      <c r="R46" t="s">
        <v>91</v>
      </c>
      <c r="S46" t="s">
        <v>33</v>
      </c>
      <c r="T46" t="s">
        <v>92</v>
      </c>
      <c r="U46">
        <v>1.95065640615284</v>
      </c>
      <c r="V46">
        <v>7.9035996485389004E-3</v>
      </c>
      <c r="W46" t="s">
        <v>39</v>
      </c>
      <c r="X46" t="s">
        <v>40</v>
      </c>
    </row>
    <row r="47" spans="1:24" x14ac:dyDescent="0.2">
      <c r="A47" t="s">
        <v>29</v>
      </c>
      <c r="B47" t="s">
        <v>30</v>
      </c>
      <c r="C47" t="s">
        <v>31</v>
      </c>
      <c r="D47">
        <v>1.05053729888E-4</v>
      </c>
      <c r="E47">
        <v>0.94735204377302495</v>
      </c>
      <c r="F47" t="s">
        <v>79</v>
      </c>
      <c r="G47">
        <v>6.0976000006089995E-4</v>
      </c>
      <c r="H47" t="s">
        <v>84</v>
      </c>
      <c r="I47" t="b">
        <v>0</v>
      </c>
      <c r="J47">
        <v>275.666311599349</v>
      </c>
      <c r="K47">
        <v>275.958994526178</v>
      </c>
      <c r="L47">
        <v>17.396491025284998</v>
      </c>
      <c r="M47" t="s">
        <v>33</v>
      </c>
      <c r="N47" t="s">
        <v>33</v>
      </c>
      <c r="O47" t="s">
        <v>34</v>
      </c>
      <c r="P47">
        <f>-0.0173815093739712 - 0.0186010293740932</f>
        <v>-3.5982538748064397E-2</v>
      </c>
      <c r="Q47" t="s">
        <v>35</v>
      </c>
      <c r="R47" t="s">
        <v>85</v>
      </c>
      <c r="S47" t="s">
        <v>86</v>
      </c>
      <c r="T47" t="s">
        <v>112</v>
      </c>
      <c r="U47">
        <v>3.5005061116226499</v>
      </c>
      <c r="V47">
        <v>9.1792190683837004E-3</v>
      </c>
      <c r="W47" t="s">
        <v>39</v>
      </c>
      <c r="X47" t="s">
        <v>40</v>
      </c>
    </row>
    <row r="48" spans="1:24" x14ac:dyDescent="0.2">
      <c r="A48" t="s">
        <v>29</v>
      </c>
      <c r="B48" t="s">
        <v>72</v>
      </c>
      <c r="C48" t="s">
        <v>31</v>
      </c>
      <c r="D48">
        <v>1.2347018992561001E-3</v>
      </c>
      <c r="E48">
        <v>0.825156162511125</v>
      </c>
      <c r="F48" t="s">
        <v>79</v>
      </c>
      <c r="G48">
        <v>1.28550333134598</v>
      </c>
      <c r="H48" t="s">
        <v>90</v>
      </c>
      <c r="I48" t="b">
        <v>0</v>
      </c>
      <c r="J48">
        <v>265.87909459344201</v>
      </c>
      <c r="K48">
        <v>266.18678690113398</v>
      </c>
      <c r="L48">
        <v>18.923342070487902</v>
      </c>
      <c r="M48" t="s">
        <v>33</v>
      </c>
      <c r="N48" t="s">
        <v>33</v>
      </c>
      <c r="O48" t="s">
        <v>73</v>
      </c>
      <c r="P48">
        <f>-10.0450193963633 - 12.6160260590553</f>
        <v>-22.661045455418602</v>
      </c>
      <c r="Q48" t="s">
        <v>52</v>
      </c>
      <c r="R48" t="s">
        <v>91</v>
      </c>
      <c r="S48" t="s">
        <v>33</v>
      </c>
      <c r="T48" t="s">
        <v>92</v>
      </c>
      <c r="U48">
        <v>2.4883229514782599</v>
      </c>
      <c r="V48">
        <v>5.7808789427088296</v>
      </c>
      <c r="W48" t="s">
        <v>39</v>
      </c>
      <c r="X48" t="s">
        <v>40</v>
      </c>
    </row>
    <row r="49" spans="1:24" x14ac:dyDescent="0.2">
      <c r="A49" t="s">
        <v>29</v>
      </c>
      <c r="B49" t="s">
        <v>45</v>
      </c>
      <c r="C49" t="s">
        <v>31</v>
      </c>
      <c r="D49">
        <v>0.245406586123283</v>
      </c>
      <c r="E49">
        <v>1.1535229060397E-3</v>
      </c>
      <c r="F49" t="s">
        <v>79</v>
      </c>
      <c r="G49">
        <v>15.9811354189891</v>
      </c>
      <c r="H49" t="s">
        <v>80</v>
      </c>
      <c r="I49" t="b">
        <v>0</v>
      </c>
      <c r="J49">
        <v>244.240271857034</v>
      </c>
      <c r="K49">
        <v>244.56459618135801</v>
      </c>
      <c r="L49">
        <v>18.766075329888</v>
      </c>
      <c r="M49" t="s">
        <v>33</v>
      </c>
      <c r="N49" t="s">
        <v>33</v>
      </c>
      <c r="O49" t="s">
        <v>46</v>
      </c>
      <c r="P49" t="s">
        <v>113</v>
      </c>
      <c r="Q49" t="s">
        <v>48</v>
      </c>
      <c r="R49" t="s">
        <v>81</v>
      </c>
      <c r="S49" t="s">
        <v>82</v>
      </c>
      <c r="T49" t="s">
        <v>114</v>
      </c>
      <c r="U49">
        <v>6.4108242887099404E-2</v>
      </c>
      <c r="V49">
        <v>4.5459979073332999</v>
      </c>
      <c r="W49" t="s">
        <v>39</v>
      </c>
      <c r="X49" t="s">
        <v>40</v>
      </c>
    </row>
    <row r="50" spans="1:24" x14ac:dyDescent="0.2">
      <c r="A50" t="s">
        <v>29</v>
      </c>
      <c r="B50" t="s">
        <v>63</v>
      </c>
      <c r="C50" t="s">
        <v>31</v>
      </c>
      <c r="D50">
        <v>1.06521491778608E-2</v>
      </c>
      <c r="E50">
        <v>0.51541628932481398</v>
      </c>
      <c r="F50" t="s">
        <v>79</v>
      </c>
      <c r="G50">
        <v>5.4524059737059002E-3</v>
      </c>
      <c r="H50" t="s">
        <v>80</v>
      </c>
      <c r="I50" t="b">
        <v>0</v>
      </c>
      <c r="J50">
        <v>263.87300258718898</v>
      </c>
      <c r="K50">
        <v>264.18069489488198</v>
      </c>
      <c r="L50">
        <v>15.7360465340169</v>
      </c>
      <c r="M50" t="s">
        <v>33</v>
      </c>
      <c r="N50" t="s">
        <v>33</v>
      </c>
      <c r="O50" t="s">
        <v>64</v>
      </c>
      <c r="P50">
        <f>-0.0108319335245818 - 0.0217367454719938</f>
        <v>-3.2568678996575604E-2</v>
      </c>
      <c r="Q50" t="s">
        <v>52</v>
      </c>
      <c r="R50" t="s">
        <v>81</v>
      </c>
      <c r="S50" t="s">
        <v>82</v>
      </c>
      <c r="T50" t="s">
        <v>115</v>
      </c>
      <c r="U50">
        <v>2.7028511884403299</v>
      </c>
      <c r="V50">
        <v>8.3083364787182E-3</v>
      </c>
      <c r="W50" t="s">
        <v>39</v>
      </c>
      <c r="X50" t="s">
        <v>40</v>
      </c>
    </row>
    <row r="51" spans="1:24" x14ac:dyDescent="0.2">
      <c r="A51" t="s">
        <v>29</v>
      </c>
      <c r="B51" t="s">
        <v>50</v>
      </c>
      <c r="C51" t="s">
        <v>31</v>
      </c>
      <c r="D51" s="6">
        <v>7.2065057923917706E-5</v>
      </c>
      <c r="E51">
        <v>0.95744797976223694</v>
      </c>
      <c r="F51" t="s">
        <v>79</v>
      </c>
      <c r="G51">
        <v>0.22210947170758499</v>
      </c>
      <c r="H51" t="s">
        <v>84</v>
      </c>
      <c r="I51" t="b">
        <v>0</v>
      </c>
      <c r="J51">
        <v>265.92795727235199</v>
      </c>
      <c r="K51">
        <v>266.23564958004499</v>
      </c>
      <c r="L51">
        <v>17.666250302840901</v>
      </c>
      <c r="M51" t="s">
        <v>33</v>
      </c>
      <c r="N51" t="s">
        <v>33</v>
      </c>
      <c r="O51" t="s">
        <v>51</v>
      </c>
      <c r="P51">
        <f>-7.88591658133457 - 8.33013552474974</f>
        <v>-16.216052106084312</v>
      </c>
      <c r="Q51" t="s">
        <v>52</v>
      </c>
      <c r="R51" t="s">
        <v>85</v>
      </c>
      <c r="S51" t="s">
        <v>86</v>
      </c>
      <c r="T51" t="s">
        <v>116</v>
      </c>
      <c r="U51">
        <v>3.5958107468808098</v>
      </c>
      <c r="V51">
        <v>4.1367479862460002</v>
      </c>
      <c r="W51" t="s">
        <v>39</v>
      </c>
      <c r="X51" t="s">
        <v>40</v>
      </c>
    </row>
    <row r="52" spans="1:24" x14ac:dyDescent="0.2">
      <c r="M52" s="3"/>
      <c r="P52" s="4"/>
      <c r="Q52" s="5"/>
    </row>
    <row r="53" spans="1:24" x14ac:dyDescent="0.2">
      <c r="M53" s="3"/>
      <c r="P53" s="4"/>
      <c r="Q53" s="5"/>
    </row>
    <row r="54" spans="1:24" x14ac:dyDescent="0.2">
      <c r="M54" s="3"/>
      <c r="P54" s="4"/>
      <c r="Q54" s="5"/>
    </row>
    <row r="55" spans="1:24" x14ac:dyDescent="0.2">
      <c r="M55" s="3"/>
      <c r="P55" s="4"/>
      <c r="Q55" s="5"/>
    </row>
    <row r="56" spans="1:24" x14ac:dyDescent="0.2">
      <c r="M56" s="3"/>
      <c r="P56" s="4"/>
      <c r="Q56" s="5"/>
    </row>
    <row r="57" spans="1:24" x14ac:dyDescent="0.2">
      <c r="M57" s="3"/>
      <c r="P57" s="4"/>
      <c r="Q57" s="5"/>
    </row>
    <row r="58" spans="1:24" x14ac:dyDescent="0.2">
      <c r="M58" s="3"/>
      <c r="P58" s="4"/>
      <c r="Q58" s="5"/>
    </row>
    <row r="59" spans="1:24" x14ac:dyDescent="0.2">
      <c r="M59" s="3"/>
      <c r="P59" s="4"/>
      <c r="Q59" s="5"/>
    </row>
    <row r="60" spans="1:24" x14ac:dyDescent="0.2">
      <c r="M60" s="3"/>
      <c r="P60" s="4"/>
      <c r="Q60" s="5"/>
    </row>
    <row r="61" spans="1:24" x14ac:dyDescent="0.2">
      <c r="M61" s="3"/>
      <c r="P61" s="4"/>
      <c r="Q61" s="5"/>
    </row>
    <row r="62" spans="1:24" x14ac:dyDescent="0.2">
      <c r="M62" s="3"/>
      <c r="P62" s="4"/>
      <c r="Q62" s="5"/>
    </row>
    <row r="63" spans="1:24" x14ac:dyDescent="0.2">
      <c r="M63" s="3"/>
      <c r="P63" s="4"/>
      <c r="Q63" s="5"/>
    </row>
    <row r="64" spans="1:24" x14ac:dyDescent="0.2">
      <c r="M64" s="3"/>
      <c r="P64" s="4"/>
      <c r="Q64" s="5"/>
    </row>
    <row r="65" spans="13:17" x14ac:dyDescent="0.2">
      <c r="M65" s="3"/>
      <c r="P65" s="4"/>
      <c r="Q65" s="5"/>
    </row>
    <row r="66" spans="13:17" x14ac:dyDescent="0.2">
      <c r="M66" s="3"/>
      <c r="P66" s="4"/>
      <c r="Q66" s="5"/>
    </row>
    <row r="67" spans="13:17" x14ac:dyDescent="0.2">
      <c r="M67" s="3"/>
      <c r="P67" s="4"/>
      <c r="Q67" s="5"/>
    </row>
    <row r="68" spans="13:17" x14ac:dyDescent="0.2">
      <c r="M68" s="3"/>
      <c r="P68" s="4"/>
      <c r="Q68" s="5"/>
    </row>
    <row r="69" spans="13:17" x14ac:dyDescent="0.2">
      <c r="M69" s="3"/>
      <c r="P69" s="4"/>
      <c r="Q69" s="5"/>
    </row>
    <row r="70" spans="13:17" x14ac:dyDescent="0.2">
      <c r="M70" s="3"/>
      <c r="P70" s="4"/>
      <c r="Q70" s="5"/>
    </row>
    <row r="71" spans="13:17" x14ac:dyDescent="0.2">
      <c r="M71" s="3"/>
      <c r="P71" s="4"/>
      <c r="Q71" s="5"/>
    </row>
    <row r="72" spans="13:17" x14ac:dyDescent="0.2">
      <c r="M72" s="3"/>
      <c r="P72" s="4"/>
      <c r="Q72" s="5"/>
    </row>
    <row r="73" spans="13:17" x14ac:dyDescent="0.2">
      <c r="M73" s="3"/>
      <c r="P73" s="4"/>
      <c r="Q73" s="5"/>
    </row>
    <row r="74" spans="13:17" x14ac:dyDescent="0.2">
      <c r="M74" s="3"/>
      <c r="P74" s="4"/>
      <c r="Q74" s="5"/>
    </row>
    <row r="75" spans="13:17" x14ac:dyDescent="0.2">
      <c r="M75" s="3"/>
      <c r="P75" s="4"/>
      <c r="Q75" s="5"/>
    </row>
    <row r="76" spans="13:17" x14ac:dyDescent="0.2">
      <c r="M76" s="3"/>
      <c r="P76" s="4"/>
      <c r="Q76" s="5"/>
    </row>
    <row r="77" spans="13:17" x14ac:dyDescent="0.2">
      <c r="M77" s="3"/>
      <c r="P77" s="4"/>
      <c r="Q77" s="5"/>
    </row>
    <row r="78" spans="13:17" x14ac:dyDescent="0.2">
      <c r="M78" s="3"/>
      <c r="P78" s="4"/>
      <c r="Q78" s="5"/>
    </row>
    <row r="79" spans="13:17" x14ac:dyDescent="0.2">
      <c r="M79" s="3"/>
      <c r="P79" s="4"/>
      <c r="Q79" s="5"/>
    </row>
    <row r="80" spans="13:17" x14ac:dyDescent="0.2">
      <c r="M80" s="3"/>
      <c r="P80" s="4"/>
      <c r="Q80" s="5"/>
    </row>
    <row r="81" spans="13:17" x14ac:dyDescent="0.2">
      <c r="M81" s="3"/>
      <c r="P81" s="4"/>
      <c r="Q81" s="5"/>
    </row>
    <row r="82" spans="13:17" x14ac:dyDescent="0.2">
      <c r="M82" s="3"/>
      <c r="P82" s="4"/>
      <c r="Q82" s="5"/>
    </row>
    <row r="83" spans="13:17" x14ac:dyDescent="0.2">
      <c r="M83" s="3"/>
      <c r="P83" s="4"/>
      <c r="Q83" s="5"/>
    </row>
    <row r="84" spans="13:17" x14ac:dyDescent="0.2">
      <c r="M84" s="3"/>
      <c r="P84" s="4"/>
      <c r="Q84" s="5"/>
    </row>
    <row r="85" spans="13:17" x14ac:dyDescent="0.2">
      <c r="M85" s="3"/>
      <c r="P85" s="4"/>
      <c r="Q85" s="5"/>
    </row>
    <row r="86" spans="13:17" x14ac:dyDescent="0.2">
      <c r="M86" s="3"/>
      <c r="P86" s="4"/>
      <c r="Q86" s="5"/>
    </row>
    <row r="87" spans="13:17" x14ac:dyDescent="0.2">
      <c r="M87" s="3"/>
      <c r="P87" s="4"/>
      <c r="Q87" s="5"/>
    </row>
    <row r="88" spans="13:17" x14ac:dyDescent="0.2">
      <c r="M88" s="3"/>
      <c r="P88" s="4"/>
      <c r="Q88" s="5"/>
    </row>
    <row r="89" spans="13:17" x14ac:dyDescent="0.2">
      <c r="M89" s="3"/>
      <c r="P89" s="4"/>
      <c r="Q89" s="5"/>
    </row>
    <row r="90" spans="13:17" x14ac:dyDescent="0.2">
      <c r="M90" s="3"/>
      <c r="P90" s="4"/>
      <c r="Q90" s="5"/>
    </row>
    <row r="91" spans="13:17" x14ac:dyDescent="0.2">
      <c r="M91" s="3"/>
      <c r="P91" s="4"/>
      <c r="Q91" s="5"/>
    </row>
    <row r="92" spans="13:17" x14ac:dyDescent="0.2">
      <c r="M92" s="3"/>
      <c r="P92" s="4"/>
      <c r="Q92" s="5"/>
    </row>
    <row r="93" spans="13:17" x14ac:dyDescent="0.2">
      <c r="M93" s="3"/>
      <c r="P93" s="4"/>
      <c r="Q93" s="5"/>
    </row>
    <row r="94" spans="13:17" x14ac:dyDescent="0.2">
      <c r="M94" s="3"/>
      <c r="P94" s="4"/>
      <c r="Q94" s="5"/>
    </row>
    <row r="95" spans="13:17" x14ac:dyDescent="0.2">
      <c r="M95" s="3"/>
      <c r="P95" s="4"/>
      <c r="Q95" s="5"/>
    </row>
    <row r="96" spans="13:17" x14ac:dyDescent="0.2">
      <c r="M96" s="3"/>
      <c r="P96" s="4"/>
      <c r="Q96" s="5"/>
    </row>
    <row r="97" spans="13:17" x14ac:dyDescent="0.2">
      <c r="M97" s="3"/>
      <c r="P97" s="4"/>
      <c r="Q97" s="5"/>
    </row>
    <row r="98" spans="13:17" x14ac:dyDescent="0.2">
      <c r="M98" s="3"/>
      <c r="P98" s="4"/>
      <c r="Q98" s="5"/>
    </row>
    <row r="99" spans="13:17" x14ac:dyDescent="0.2">
      <c r="M99" s="3"/>
      <c r="P99" s="4"/>
      <c r="Q99" s="5"/>
    </row>
    <row r="100" spans="13:17" x14ac:dyDescent="0.2">
      <c r="M100" s="3"/>
      <c r="P100" s="4"/>
      <c r="Q100" s="5"/>
    </row>
    <row r="101" spans="13:17" x14ac:dyDescent="0.2">
      <c r="M101" s="3"/>
      <c r="P101" s="4"/>
      <c r="Q101" s="5"/>
    </row>
    <row r="102" spans="13:17" x14ac:dyDescent="0.2">
      <c r="M102" s="3"/>
      <c r="P102" s="4"/>
      <c r="Q102" s="5"/>
    </row>
    <row r="103" spans="13:17" x14ac:dyDescent="0.2">
      <c r="M103" s="3"/>
      <c r="P103" s="4"/>
      <c r="Q103" s="5"/>
    </row>
    <row r="104" spans="13:17" x14ac:dyDescent="0.2">
      <c r="M104" s="3"/>
      <c r="P104" s="4"/>
      <c r="Q104" s="5"/>
    </row>
    <row r="105" spans="13:17" x14ac:dyDescent="0.2">
      <c r="M105" s="3"/>
      <c r="P105" s="4"/>
      <c r="Q105" s="5"/>
    </row>
    <row r="106" spans="13:17" x14ac:dyDescent="0.2">
      <c r="M106" s="3"/>
      <c r="P106" s="4"/>
      <c r="Q106" s="5"/>
    </row>
    <row r="107" spans="13:17" x14ac:dyDescent="0.2">
      <c r="M107" s="3"/>
      <c r="P107" s="4"/>
      <c r="Q107" s="5"/>
    </row>
    <row r="108" spans="13:17" x14ac:dyDescent="0.2">
      <c r="M108" s="3"/>
      <c r="P108" s="4"/>
      <c r="Q108" s="5"/>
    </row>
    <row r="109" spans="13:17" x14ac:dyDescent="0.2">
      <c r="M109" s="3"/>
      <c r="P109" s="4"/>
      <c r="Q109" s="5"/>
    </row>
    <row r="110" spans="13:17" x14ac:dyDescent="0.2">
      <c r="M110" s="3"/>
      <c r="P110" s="4"/>
      <c r="Q110" s="5"/>
    </row>
    <row r="111" spans="13:17" x14ac:dyDescent="0.2">
      <c r="M111" s="3"/>
      <c r="P111" s="4"/>
      <c r="Q111" s="5"/>
    </row>
    <row r="112" spans="13:17" x14ac:dyDescent="0.2">
      <c r="M112" s="3"/>
      <c r="P112" s="4"/>
      <c r="Q112" s="5"/>
    </row>
    <row r="113" spans="13:17" x14ac:dyDescent="0.2">
      <c r="M113" s="3"/>
      <c r="P113" s="4"/>
      <c r="Q113" s="5"/>
    </row>
    <row r="114" spans="13:17" x14ac:dyDescent="0.2">
      <c r="M114" s="3"/>
      <c r="P114" s="4"/>
      <c r="Q114" s="5"/>
    </row>
    <row r="115" spans="13:17" x14ac:dyDescent="0.2">
      <c r="M115" s="3"/>
      <c r="P115" s="4"/>
      <c r="Q115" s="5"/>
    </row>
    <row r="116" spans="13:17" x14ac:dyDescent="0.2">
      <c r="M116" s="3"/>
      <c r="P116" s="4"/>
      <c r="Q116" s="5"/>
    </row>
    <row r="117" spans="13:17" x14ac:dyDescent="0.2">
      <c r="M117" s="3"/>
      <c r="P117" s="4"/>
      <c r="Q117" s="5"/>
    </row>
    <row r="118" spans="13:17" x14ac:dyDescent="0.2">
      <c r="M118" s="3"/>
      <c r="P118" s="4"/>
      <c r="Q118" s="5"/>
    </row>
    <row r="119" spans="13:17" x14ac:dyDescent="0.2">
      <c r="M119" s="3"/>
      <c r="P119" s="4"/>
      <c r="Q119" s="5"/>
    </row>
    <row r="120" spans="13:17" x14ac:dyDescent="0.2">
      <c r="M120" s="3"/>
      <c r="P120" s="4"/>
      <c r="Q120" s="5"/>
    </row>
    <row r="121" spans="13:17" x14ac:dyDescent="0.2">
      <c r="M121" s="3"/>
      <c r="P121" s="4"/>
      <c r="Q121" s="5"/>
    </row>
    <row r="122" spans="13:17" x14ac:dyDescent="0.2">
      <c r="M122" s="3"/>
      <c r="P122" s="4"/>
      <c r="Q122" s="5"/>
    </row>
    <row r="123" spans="13:17" x14ac:dyDescent="0.2">
      <c r="M123" s="3"/>
      <c r="P123" s="4"/>
      <c r="Q123" s="5"/>
    </row>
    <row r="124" spans="13:17" x14ac:dyDescent="0.2">
      <c r="M124" s="3"/>
      <c r="P124" s="4"/>
      <c r="Q124" s="5"/>
    </row>
    <row r="125" spans="13:17" x14ac:dyDescent="0.2">
      <c r="M125" s="3"/>
      <c r="P125" s="4"/>
      <c r="Q125" s="5"/>
    </row>
    <row r="126" spans="13:17" x14ac:dyDescent="0.2">
      <c r="M126" s="3"/>
      <c r="P126" s="4"/>
      <c r="Q126" s="5"/>
    </row>
    <row r="127" spans="13:17" x14ac:dyDescent="0.2">
      <c r="M127" s="3"/>
      <c r="P127" s="4"/>
      <c r="Q127" s="5"/>
    </row>
    <row r="128" spans="13:17" x14ac:dyDescent="0.2">
      <c r="M128" s="3"/>
      <c r="P128" s="4"/>
      <c r="Q128" s="5"/>
    </row>
    <row r="129" spans="13:17" x14ac:dyDescent="0.2">
      <c r="M129" s="3"/>
      <c r="P129" s="4"/>
      <c r="Q129" s="5"/>
    </row>
    <row r="130" spans="13:17" x14ac:dyDescent="0.2">
      <c r="M130" s="3"/>
      <c r="P130" s="4"/>
      <c r="Q130" s="5"/>
    </row>
    <row r="131" spans="13:17" x14ac:dyDescent="0.2">
      <c r="M131" s="3"/>
      <c r="P131" s="4"/>
      <c r="Q131" s="5"/>
    </row>
    <row r="132" spans="13:17" x14ac:dyDescent="0.2">
      <c r="M132" s="3"/>
      <c r="P132" s="4"/>
      <c r="Q132" s="5"/>
    </row>
    <row r="133" spans="13:17" x14ac:dyDescent="0.2">
      <c r="M133" s="3"/>
      <c r="P133" s="4"/>
      <c r="Q133" s="5"/>
    </row>
    <row r="134" spans="13:17" x14ac:dyDescent="0.2">
      <c r="M134" s="3"/>
      <c r="P134" s="4"/>
      <c r="Q134" s="5"/>
    </row>
    <row r="135" spans="13:17" x14ac:dyDescent="0.2">
      <c r="M135" s="3"/>
      <c r="P135" s="4"/>
      <c r="Q135" s="5"/>
    </row>
    <row r="136" spans="13:17" x14ac:dyDescent="0.2">
      <c r="M136" s="3"/>
      <c r="P136" s="4"/>
      <c r="Q136" s="5"/>
    </row>
    <row r="137" spans="13:17" x14ac:dyDescent="0.2">
      <c r="M137" s="3"/>
      <c r="P137" s="4"/>
      <c r="Q137" s="5"/>
    </row>
    <row r="138" spans="13:17" x14ac:dyDescent="0.2">
      <c r="M138" s="3"/>
      <c r="P138" s="4"/>
      <c r="Q138" s="5"/>
    </row>
    <row r="139" spans="13:17" x14ac:dyDescent="0.2">
      <c r="M139" s="3"/>
      <c r="P139" s="4"/>
      <c r="Q139" s="5"/>
    </row>
    <row r="140" spans="13:17" x14ac:dyDescent="0.2">
      <c r="M140" s="3"/>
      <c r="P140" s="4"/>
      <c r="Q140" s="5"/>
    </row>
    <row r="141" spans="13:17" x14ac:dyDescent="0.2">
      <c r="M141" s="3"/>
      <c r="P141" s="4"/>
      <c r="Q141" s="5"/>
    </row>
    <row r="142" spans="13:17" x14ac:dyDescent="0.2">
      <c r="M142" s="3"/>
      <c r="P142" s="4"/>
      <c r="Q142" s="5"/>
    </row>
    <row r="143" spans="13:17" x14ac:dyDescent="0.2">
      <c r="M143" s="3"/>
      <c r="P143" s="4"/>
      <c r="Q143" s="5"/>
    </row>
    <row r="144" spans="13:17" x14ac:dyDescent="0.2">
      <c r="M144" s="3"/>
      <c r="P144" s="4"/>
      <c r="Q144" s="5"/>
    </row>
    <row r="145" spans="13:17" x14ac:dyDescent="0.2">
      <c r="M145" s="3"/>
      <c r="P145" s="4"/>
      <c r="Q145" s="5"/>
    </row>
    <row r="146" spans="13:17" x14ac:dyDescent="0.2">
      <c r="M146" s="3"/>
      <c r="P146" s="4"/>
      <c r="Q146" s="5"/>
    </row>
    <row r="147" spans="13:17" x14ac:dyDescent="0.2">
      <c r="M147" s="3"/>
      <c r="P147" s="4"/>
      <c r="Q147" s="5"/>
    </row>
    <row r="148" spans="13:17" x14ac:dyDescent="0.2">
      <c r="M148" s="3"/>
      <c r="P148" s="4"/>
      <c r="Q148" s="5"/>
    </row>
    <row r="149" spans="13:17" x14ac:dyDescent="0.2">
      <c r="M149" s="3"/>
      <c r="P149" s="4"/>
      <c r="Q149" s="5"/>
    </row>
    <row r="150" spans="13:17" x14ac:dyDescent="0.2">
      <c r="M150" s="3"/>
      <c r="P150" s="4"/>
      <c r="Q150" s="5"/>
    </row>
    <row r="151" spans="13:17" x14ac:dyDescent="0.2">
      <c r="M151" s="3"/>
      <c r="P151" s="4"/>
      <c r="Q151" s="5"/>
    </row>
    <row r="152" spans="13:17" x14ac:dyDescent="0.2">
      <c r="M152" s="3"/>
      <c r="P152" s="4"/>
      <c r="Q152" s="5"/>
    </row>
    <row r="153" spans="13:17" x14ac:dyDescent="0.2">
      <c r="M153" s="3"/>
      <c r="P153" s="4"/>
      <c r="Q153" s="5"/>
    </row>
    <row r="154" spans="13:17" x14ac:dyDescent="0.2">
      <c r="M154" s="3"/>
      <c r="P154" s="4"/>
      <c r="Q154" s="5"/>
    </row>
    <row r="155" spans="13:17" x14ac:dyDescent="0.2">
      <c r="M155" s="3"/>
      <c r="P155" s="4"/>
      <c r="Q155" s="5"/>
    </row>
    <row r="156" spans="13:17" x14ac:dyDescent="0.2">
      <c r="M156" s="3"/>
      <c r="P156" s="4"/>
      <c r="Q156" s="5"/>
    </row>
    <row r="157" spans="13:17" x14ac:dyDescent="0.2">
      <c r="M157" s="3"/>
      <c r="P157" s="4"/>
      <c r="Q157" s="5"/>
    </row>
    <row r="158" spans="13:17" x14ac:dyDescent="0.2">
      <c r="M158" s="3"/>
      <c r="P158" s="4"/>
      <c r="Q158" s="5"/>
    </row>
    <row r="159" spans="13:17" x14ac:dyDescent="0.2">
      <c r="M159" s="3"/>
      <c r="P159" s="4"/>
      <c r="Q159" s="5"/>
    </row>
    <row r="160" spans="13:17" x14ac:dyDescent="0.2">
      <c r="M160" s="3"/>
      <c r="P160" s="4"/>
      <c r="Q160" s="5"/>
    </row>
    <row r="161" spans="13:17" x14ac:dyDescent="0.2">
      <c r="M161" s="3"/>
      <c r="P161" s="4"/>
      <c r="Q161" s="5"/>
    </row>
    <row r="162" spans="13:17" x14ac:dyDescent="0.2">
      <c r="M162" s="3"/>
      <c r="P162" s="4"/>
      <c r="Q162" s="5"/>
    </row>
    <row r="163" spans="13:17" x14ac:dyDescent="0.2">
      <c r="M163" s="3"/>
      <c r="P163" s="4"/>
      <c r="Q163" s="5"/>
    </row>
    <row r="164" spans="13:17" x14ac:dyDescent="0.2">
      <c r="M164" s="3"/>
      <c r="P164" s="4"/>
      <c r="Q164" s="5"/>
    </row>
    <row r="165" spans="13:17" x14ac:dyDescent="0.2">
      <c r="M165" s="3"/>
      <c r="P165" s="4"/>
      <c r="Q165" s="5"/>
    </row>
    <row r="166" spans="13:17" x14ac:dyDescent="0.2">
      <c r="M166" s="3"/>
      <c r="P166" s="4"/>
      <c r="Q166" s="5"/>
    </row>
    <row r="167" spans="13:17" x14ac:dyDescent="0.2">
      <c r="M167" s="3"/>
      <c r="P167" s="4"/>
      <c r="Q167" s="5"/>
    </row>
    <row r="168" spans="13:17" x14ac:dyDescent="0.2">
      <c r="M168" s="3"/>
      <c r="P168" s="4"/>
      <c r="Q168" s="5"/>
    </row>
    <row r="169" spans="13:17" x14ac:dyDescent="0.2">
      <c r="M169" s="3"/>
      <c r="P169" s="4"/>
      <c r="Q169" s="5"/>
    </row>
    <row r="170" spans="13:17" x14ac:dyDescent="0.2">
      <c r="M170" s="3"/>
      <c r="P170" s="4"/>
      <c r="Q170" s="5"/>
    </row>
    <row r="171" spans="13:17" x14ac:dyDescent="0.2">
      <c r="M171" s="3"/>
      <c r="P171" s="4"/>
      <c r="Q171" s="5"/>
    </row>
    <row r="172" spans="13:17" x14ac:dyDescent="0.2">
      <c r="M172" s="3"/>
      <c r="P172" s="4"/>
      <c r="Q172" s="5"/>
    </row>
    <row r="173" spans="13:17" x14ac:dyDescent="0.2">
      <c r="M173" s="3"/>
      <c r="P173" s="4"/>
      <c r="Q173" s="5"/>
    </row>
    <row r="174" spans="13:17" x14ac:dyDescent="0.2">
      <c r="M174" s="3"/>
      <c r="P174" s="4"/>
      <c r="Q174" s="5"/>
    </row>
    <row r="175" spans="13:17" x14ac:dyDescent="0.2">
      <c r="M175" s="3"/>
      <c r="P175" s="4"/>
      <c r="Q175" s="5"/>
    </row>
    <row r="176" spans="13:17" x14ac:dyDescent="0.2">
      <c r="M176" s="3"/>
      <c r="P176" s="4"/>
      <c r="Q176" s="5"/>
    </row>
    <row r="177" spans="13:17" x14ac:dyDescent="0.2">
      <c r="M177" s="3"/>
      <c r="P177" s="4"/>
      <c r="Q177" s="5"/>
    </row>
    <row r="178" spans="13:17" x14ac:dyDescent="0.2">
      <c r="M178" s="3"/>
      <c r="P178" s="4"/>
      <c r="Q178" s="5"/>
    </row>
    <row r="179" spans="13:17" x14ac:dyDescent="0.2">
      <c r="M179" s="3"/>
      <c r="P179" s="4"/>
      <c r="Q179" s="5"/>
    </row>
    <row r="180" spans="13:17" x14ac:dyDescent="0.2">
      <c r="M180" s="3"/>
      <c r="P180" s="4"/>
      <c r="Q180" s="5"/>
    </row>
    <row r="181" spans="13:17" x14ac:dyDescent="0.2">
      <c r="M181" s="3"/>
      <c r="P181" s="4"/>
      <c r="Q181" s="5"/>
    </row>
    <row r="182" spans="13:17" x14ac:dyDescent="0.2">
      <c r="M182" s="3"/>
      <c r="P182" s="4"/>
      <c r="Q182" s="5"/>
    </row>
    <row r="183" spans="13:17" x14ac:dyDescent="0.2">
      <c r="M183" s="3"/>
      <c r="P183" s="4"/>
      <c r="Q183" s="5"/>
    </row>
    <row r="184" spans="13:17" x14ac:dyDescent="0.2">
      <c r="M184" s="3"/>
      <c r="P184" s="4"/>
      <c r="Q184" s="5"/>
    </row>
    <row r="185" spans="13:17" x14ac:dyDescent="0.2">
      <c r="M185" s="3"/>
      <c r="P185" s="4"/>
      <c r="Q185" s="5"/>
    </row>
    <row r="186" spans="13:17" x14ac:dyDescent="0.2">
      <c r="M186" s="3"/>
      <c r="P186" s="4"/>
      <c r="Q186" s="5"/>
    </row>
    <row r="187" spans="13:17" x14ac:dyDescent="0.2">
      <c r="M187" s="3"/>
      <c r="P187" s="4"/>
      <c r="Q187" s="5"/>
    </row>
    <row r="188" spans="13:17" x14ac:dyDescent="0.2">
      <c r="M188" s="3"/>
      <c r="P188" s="4"/>
      <c r="Q188" s="5"/>
    </row>
    <row r="189" spans="13:17" x14ac:dyDescent="0.2">
      <c r="M189" s="3"/>
      <c r="P189" s="4"/>
      <c r="Q189" s="5"/>
    </row>
    <row r="190" spans="13:17" x14ac:dyDescent="0.2">
      <c r="M190" s="3"/>
      <c r="P190" s="4"/>
      <c r="Q190" s="5"/>
    </row>
    <row r="191" spans="13:17" x14ac:dyDescent="0.2">
      <c r="M191" s="3"/>
      <c r="P191" s="4"/>
      <c r="Q191" s="5"/>
    </row>
    <row r="192" spans="13:17" x14ac:dyDescent="0.2">
      <c r="M192" s="3"/>
      <c r="P192" s="4"/>
      <c r="Q192" s="5"/>
    </row>
    <row r="193" spans="13:17" x14ac:dyDescent="0.2">
      <c r="M193" s="3"/>
      <c r="P193" s="4"/>
      <c r="Q193" s="5"/>
    </row>
    <row r="194" spans="13:17" x14ac:dyDescent="0.2">
      <c r="M194" s="3"/>
      <c r="P194" s="4"/>
      <c r="Q194" s="5"/>
    </row>
    <row r="195" spans="13:17" x14ac:dyDescent="0.2">
      <c r="M195" s="3"/>
      <c r="P195" s="4"/>
      <c r="Q195" s="5"/>
    </row>
    <row r="196" spans="13:17" x14ac:dyDescent="0.2">
      <c r="M196" s="3"/>
      <c r="P196" s="4"/>
      <c r="Q196" s="5"/>
    </row>
    <row r="197" spans="13:17" x14ac:dyDescent="0.2">
      <c r="M197" s="3"/>
      <c r="P197" s="4"/>
      <c r="Q197" s="5"/>
    </row>
    <row r="198" spans="13:17" x14ac:dyDescent="0.2">
      <c r="M198" s="3"/>
      <c r="P198" s="4"/>
      <c r="Q198" s="5"/>
    </row>
    <row r="199" spans="13:17" x14ac:dyDescent="0.2">
      <c r="M199" s="3"/>
      <c r="P199" s="4"/>
      <c r="Q199" s="5"/>
    </row>
    <row r="200" spans="13:17" x14ac:dyDescent="0.2">
      <c r="M200" s="3"/>
      <c r="P200" s="4"/>
      <c r="Q200" s="5"/>
    </row>
    <row r="201" spans="13:17" x14ac:dyDescent="0.2">
      <c r="M201" s="3"/>
      <c r="P201" s="4"/>
      <c r="Q201" s="5"/>
    </row>
    <row r="202" spans="13:17" x14ac:dyDescent="0.2">
      <c r="M202" s="3"/>
      <c r="P202" s="4"/>
      <c r="Q202" s="5"/>
    </row>
    <row r="203" spans="13:17" x14ac:dyDescent="0.2">
      <c r="M203" s="3"/>
      <c r="P203" s="4"/>
      <c r="Q203" s="5"/>
    </row>
    <row r="204" spans="13:17" x14ac:dyDescent="0.2">
      <c r="M204" s="3"/>
      <c r="P204" s="4"/>
      <c r="Q204" s="5"/>
    </row>
    <row r="205" spans="13:17" x14ac:dyDescent="0.2">
      <c r="M205" s="3"/>
      <c r="P205" s="4"/>
      <c r="Q205" s="5"/>
    </row>
    <row r="206" spans="13:17" x14ac:dyDescent="0.2">
      <c r="M206" s="3"/>
      <c r="P206" s="4"/>
      <c r="Q206" s="5"/>
    </row>
    <row r="207" spans="13:17" x14ac:dyDescent="0.2">
      <c r="M207" s="3"/>
      <c r="P207" s="4"/>
      <c r="Q207" s="5"/>
    </row>
    <row r="208" spans="13:17" x14ac:dyDescent="0.2">
      <c r="M208" s="3"/>
      <c r="P208" s="4"/>
      <c r="Q208" s="5"/>
    </row>
    <row r="209" spans="13:17" x14ac:dyDescent="0.2">
      <c r="M209" s="3"/>
      <c r="P209" s="4"/>
      <c r="Q209" s="5"/>
    </row>
    <row r="210" spans="13:17" x14ac:dyDescent="0.2">
      <c r="M210" s="3"/>
      <c r="P210" s="4"/>
      <c r="Q210" s="5"/>
    </row>
    <row r="211" spans="13:17" x14ac:dyDescent="0.2">
      <c r="M211" s="3"/>
      <c r="P211" s="4"/>
      <c r="Q211" s="5"/>
    </row>
    <row r="212" spans="13:17" x14ac:dyDescent="0.2">
      <c r="M212" s="3"/>
      <c r="P212" s="4"/>
      <c r="Q212" s="5"/>
    </row>
    <row r="213" spans="13:17" x14ac:dyDescent="0.2">
      <c r="M213" s="3"/>
      <c r="P213" s="4"/>
      <c r="Q213" s="5"/>
    </row>
    <row r="214" spans="13:17" x14ac:dyDescent="0.2">
      <c r="M214" s="3"/>
      <c r="P214" s="4"/>
      <c r="Q214" s="5"/>
    </row>
    <row r="215" spans="13:17" x14ac:dyDescent="0.2">
      <c r="M215" s="3"/>
      <c r="P215" s="4"/>
      <c r="Q215" s="5"/>
    </row>
    <row r="216" spans="13:17" x14ac:dyDescent="0.2">
      <c r="M216" s="3"/>
      <c r="P216" s="4"/>
      <c r="Q216" s="5"/>
    </row>
    <row r="217" spans="13:17" x14ac:dyDescent="0.2">
      <c r="M217" s="3"/>
      <c r="P217" s="4"/>
      <c r="Q217" s="5"/>
    </row>
    <row r="218" spans="13:17" x14ac:dyDescent="0.2">
      <c r="M218" s="3"/>
      <c r="P218" s="4"/>
      <c r="Q218" s="5"/>
    </row>
    <row r="219" spans="13:17" x14ac:dyDescent="0.2">
      <c r="M219" s="3"/>
      <c r="P219" s="4"/>
      <c r="Q219" s="5"/>
    </row>
    <row r="220" spans="13:17" x14ac:dyDescent="0.2">
      <c r="M220" s="3"/>
      <c r="P220" s="4"/>
      <c r="Q220" s="5"/>
    </row>
    <row r="221" spans="13:17" x14ac:dyDescent="0.2">
      <c r="M221" s="3"/>
      <c r="P221" s="4"/>
      <c r="Q221" s="5"/>
    </row>
    <row r="222" spans="13:17" x14ac:dyDescent="0.2">
      <c r="M222" s="3"/>
      <c r="P222" s="4"/>
      <c r="Q222" s="5"/>
    </row>
    <row r="223" spans="13:17" x14ac:dyDescent="0.2">
      <c r="M223" s="3"/>
      <c r="P223" s="4"/>
      <c r="Q223" s="5"/>
    </row>
    <row r="224" spans="13:17" x14ac:dyDescent="0.2">
      <c r="M224" s="3"/>
      <c r="P224" s="4"/>
      <c r="Q224" s="5"/>
    </row>
    <row r="225" spans="13:17" x14ac:dyDescent="0.2">
      <c r="M225" s="3"/>
      <c r="P225" s="4"/>
      <c r="Q225" s="5"/>
    </row>
    <row r="226" spans="13:17" x14ac:dyDescent="0.2">
      <c r="M226" s="3"/>
      <c r="P226" s="4"/>
      <c r="Q226" s="5"/>
    </row>
    <row r="227" spans="13:17" x14ac:dyDescent="0.2">
      <c r="M227" s="3"/>
      <c r="P227" s="4"/>
      <c r="Q227" s="5"/>
    </row>
    <row r="228" spans="13:17" x14ac:dyDescent="0.2">
      <c r="M228" s="3"/>
      <c r="P228" s="4"/>
      <c r="Q228" s="5"/>
    </row>
    <row r="229" spans="13:17" x14ac:dyDescent="0.2">
      <c r="M229" s="3"/>
      <c r="P229" s="4"/>
      <c r="Q229" s="5"/>
    </row>
    <row r="230" spans="13:17" x14ac:dyDescent="0.2">
      <c r="M230" s="3"/>
      <c r="P230" s="4"/>
      <c r="Q230" s="5"/>
    </row>
    <row r="231" spans="13:17" x14ac:dyDescent="0.2">
      <c r="M231" s="3"/>
      <c r="P231" s="4"/>
      <c r="Q231" s="5"/>
    </row>
    <row r="232" spans="13:17" x14ac:dyDescent="0.2">
      <c r="M232" s="3"/>
      <c r="P232" s="4"/>
      <c r="Q232" s="5"/>
    </row>
    <row r="233" spans="13:17" x14ac:dyDescent="0.2">
      <c r="M233" s="3"/>
      <c r="P233" s="4"/>
      <c r="Q233" s="5"/>
    </row>
    <row r="234" spans="13:17" x14ac:dyDescent="0.2">
      <c r="M234" s="3"/>
      <c r="P234" s="4"/>
      <c r="Q234" s="5"/>
    </row>
    <row r="235" spans="13:17" x14ac:dyDescent="0.2">
      <c r="M235" s="3"/>
      <c r="P235" s="4"/>
      <c r="Q235" s="5"/>
    </row>
    <row r="236" spans="13:17" x14ac:dyDescent="0.2">
      <c r="M236" s="3"/>
      <c r="P236" s="4"/>
      <c r="Q236" s="5"/>
    </row>
    <row r="237" spans="13:17" x14ac:dyDescent="0.2">
      <c r="M237" s="3"/>
      <c r="P237" s="4"/>
      <c r="Q237" s="5"/>
    </row>
    <row r="238" spans="13:17" x14ac:dyDescent="0.2">
      <c r="M238" s="3"/>
      <c r="P238" s="4"/>
      <c r="Q238" s="5"/>
    </row>
    <row r="239" spans="13:17" x14ac:dyDescent="0.2">
      <c r="M239" s="3"/>
      <c r="P239" s="4"/>
      <c r="Q239" s="5"/>
    </row>
    <row r="240" spans="13:17" x14ac:dyDescent="0.2">
      <c r="M240" s="3"/>
      <c r="P240" s="4"/>
      <c r="Q240" s="5"/>
    </row>
    <row r="241" spans="13:17" x14ac:dyDescent="0.2">
      <c r="M241" s="3"/>
      <c r="P241" s="4"/>
      <c r="Q241" s="5"/>
    </row>
    <row r="242" spans="13:17" x14ac:dyDescent="0.2">
      <c r="M242" s="3"/>
      <c r="P242" s="4"/>
      <c r="Q242" s="5"/>
    </row>
    <row r="243" spans="13:17" x14ac:dyDescent="0.2">
      <c r="M243" s="3"/>
      <c r="P243" s="4"/>
      <c r="Q243" s="5"/>
    </row>
    <row r="244" spans="13:17" x14ac:dyDescent="0.2">
      <c r="M244" s="3"/>
      <c r="P244" s="4"/>
      <c r="Q244" s="5"/>
    </row>
    <row r="245" spans="13:17" x14ac:dyDescent="0.2">
      <c r="M245" s="3"/>
      <c r="P245" s="4"/>
      <c r="Q245" s="5"/>
    </row>
    <row r="246" spans="13:17" x14ac:dyDescent="0.2">
      <c r="M246" s="3"/>
      <c r="P246" s="4"/>
      <c r="Q246" s="5"/>
    </row>
    <row r="247" spans="13:17" x14ac:dyDescent="0.2">
      <c r="M247" s="3"/>
      <c r="P247" s="4"/>
      <c r="Q247" s="5"/>
    </row>
    <row r="248" spans="13:17" x14ac:dyDescent="0.2">
      <c r="M248" s="3"/>
      <c r="P248" s="4"/>
      <c r="Q248" s="5"/>
    </row>
    <row r="249" spans="13:17" x14ac:dyDescent="0.2">
      <c r="M249" s="3"/>
      <c r="P249" s="4"/>
      <c r="Q249" s="5"/>
    </row>
    <row r="250" spans="13:17" x14ac:dyDescent="0.2">
      <c r="M250" s="3"/>
      <c r="P250" s="4"/>
      <c r="Q250" s="5"/>
    </row>
    <row r="251" spans="13:17" x14ac:dyDescent="0.2">
      <c r="M251" s="3"/>
      <c r="P251" s="4"/>
      <c r="Q251" s="5"/>
    </row>
    <row r="252" spans="13:17" x14ac:dyDescent="0.2">
      <c r="M252" s="3"/>
      <c r="P252" s="4"/>
      <c r="Q252" s="5"/>
    </row>
    <row r="253" spans="13:17" x14ac:dyDescent="0.2">
      <c r="M253" s="3"/>
      <c r="P253" s="4"/>
      <c r="Q253" s="5"/>
    </row>
    <row r="254" spans="13:17" x14ac:dyDescent="0.2">
      <c r="M254" s="3"/>
      <c r="P254" s="4"/>
      <c r="Q254" s="5"/>
    </row>
    <row r="255" spans="13:17" x14ac:dyDescent="0.2">
      <c r="M255" s="3"/>
      <c r="P255" s="4"/>
      <c r="Q255" s="5"/>
    </row>
    <row r="256" spans="13:17" x14ac:dyDescent="0.2">
      <c r="M256" s="3"/>
      <c r="P256" s="4"/>
      <c r="Q256" s="5"/>
    </row>
    <row r="257" spans="13:17" x14ac:dyDescent="0.2">
      <c r="M257" s="3"/>
      <c r="P257" s="4"/>
      <c r="Q257" s="5"/>
    </row>
    <row r="258" spans="13:17" x14ac:dyDescent="0.2">
      <c r="M258" s="3"/>
      <c r="P258" s="4"/>
      <c r="Q258" s="5"/>
    </row>
    <row r="259" spans="13:17" x14ac:dyDescent="0.2">
      <c r="M259" s="3"/>
      <c r="P259" s="4"/>
      <c r="Q259" s="5"/>
    </row>
    <row r="260" spans="13:17" x14ac:dyDescent="0.2">
      <c r="M260" s="3"/>
      <c r="P260" s="4"/>
      <c r="Q260" s="5"/>
    </row>
    <row r="261" spans="13:17" x14ac:dyDescent="0.2">
      <c r="M261" s="3"/>
      <c r="P261" s="4"/>
      <c r="Q261" s="5"/>
    </row>
    <row r="262" spans="13:17" x14ac:dyDescent="0.2">
      <c r="M262" s="3"/>
      <c r="P262" s="4"/>
      <c r="Q262" s="5"/>
    </row>
    <row r="263" spans="13:17" x14ac:dyDescent="0.2">
      <c r="M263" s="3"/>
      <c r="P263" s="4"/>
      <c r="Q263" s="5"/>
    </row>
    <row r="264" spans="13:17" x14ac:dyDescent="0.2">
      <c r="M264" s="3"/>
      <c r="P264" s="4"/>
      <c r="Q264" s="5"/>
    </row>
    <row r="265" spans="13:17" x14ac:dyDescent="0.2">
      <c r="M265" s="3"/>
      <c r="P265" s="4"/>
      <c r="Q265" s="5"/>
    </row>
    <row r="266" spans="13:17" x14ac:dyDescent="0.2">
      <c r="M266" s="3"/>
      <c r="P266" s="4"/>
      <c r="Q266" s="5"/>
    </row>
    <row r="267" spans="13:17" x14ac:dyDescent="0.2">
      <c r="M267" s="3"/>
      <c r="P267" s="4"/>
      <c r="Q267" s="5"/>
    </row>
    <row r="268" spans="13:17" x14ac:dyDescent="0.2">
      <c r="M268" s="3"/>
      <c r="P268" s="4"/>
      <c r="Q268" s="5"/>
    </row>
    <row r="269" spans="13:17" x14ac:dyDescent="0.2">
      <c r="M269" s="3"/>
      <c r="P269" s="4"/>
      <c r="Q269" s="5"/>
    </row>
    <row r="270" spans="13:17" x14ac:dyDescent="0.2">
      <c r="M270" s="3"/>
      <c r="P270" s="4"/>
      <c r="Q270" s="5"/>
    </row>
    <row r="271" spans="13:17" x14ac:dyDescent="0.2">
      <c r="M271" s="3"/>
      <c r="P271" s="4"/>
      <c r="Q271" s="5"/>
    </row>
    <row r="272" spans="13:17" x14ac:dyDescent="0.2">
      <c r="M272" s="3"/>
      <c r="P272" s="4"/>
      <c r="Q272" s="5"/>
    </row>
    <row r="273" spans="13:17" x14ac:dyDescent="0.2">
      <c r="M273" s="3"/>
      <c r="P273" s="4"/>
      <c r="Q273" s="5"/>
    </row>
    <row r="274" spans="13:17" x14ac:dyDescent="0.2">
      <c r="M274" s="3"/>
      <c r="P274" s="4"/>
      <c r="Q274" s="5"/>
    </row>
    <row r="275" spans="13:17" x14ac:dyDescent="0.2">
      <c r="M275" s="3"/>
      <c r="P275" s="4"/>
      <c r="Q275" s="5"/>
    </row>
    <row r="276" spans="13:17" x14ac:dyDescent="0.2">
      <c r="M276" s="3"/>
      <c r="P276" s="4"/>
      <c r="Q276" s="5"/>
    </row>
    <row r="277" spans="13:17" x14ac:dyDescent="0.2">
      <c r="M277" s="3"/>
      <c r="P277" s="4"/>
      <c r="Q277" s="5"/>
    </row>
    <row r="278" spans="13:17" x14ac:dyDescent="0.2">
      <c r="M278" s="3"/>
      <c r="P278" s="4"/>
      <c r="Q278" s="5"/>
    </row>
    <row r="279" spans="13:17" x14ac:dyDescent="0.2">
      <c r="M279" s="3"/>
      <c r="P279" s="4"/>
      <c r="Q279" s="5"/>
    </row>
    <row r="280" spans="13:17" x14ac:dyDescent="0.2">
      <c r="M280" s="3"/>
      <c r="P280" s="4"/>
      <c r="Q280" s="5"/>
    </row>
    <row r="281" spans="13:17" x14ac:dyDescent="0.2">
      <c r="M281" s="3"/>
      <c r="P281" s="4"/>
      <c r="Q281" s="5"/>
    </row>
    <row r="282" spans="13:17" x14ac:dyDescent="0.2">
      <c r="M282" s="3"/>
      <c r="P282" s="4"/>
      <c r="Q282" s="5"/>
    </row>
    <row r="283" spans="13:17" x14ac:dyDescent="0.2">
      <c r="M283" s="3"/>
      <c r="P283" s="4"/>
      <c r="Q283" s="5"/>
    </row>
    <row r="284" spans="13:17" x14ac:dyDescent="0.2">
      <c r="M284" s="3"/>
      <c r="P284" s="4"/>
      <c r="Q284" s="5"/>
    </row>
    <row r="285" spans="13:17" x14ac:dyDescent="0.2">
      <c r="M285" s="3"/>
      <c r="P285" s="4"/>
      <c r="Q285" s="5"/>
    </row>
    <row r="286" spans="13:17" x14ac:dyDescent="0.2">
      <c r="M286" s="3"/>
      <c r="P286" s="4"/>
      <c r="Q286" s="5"/>
    </row>
    <row r="287" spans="13:17" x14ac:dyDescent="0.2">
      <c r="M287" s="3"/>
      <c r="P287" s="4"/>
      <c r="Q287" s="5"/>
    </row>
    <row r="288" spans="13:17" x14ac:dyDescent="0.2">
      <c r="M288" s="3"/>
      <c r="P288" s="4"/>
      <c r="Q288" s="5"/>
    </row>
    <row r="289" spans="13:17" x14ac:dyDescent="0.2">
      <c r="M289" s="3"/>
      <c r="P289" s="4"/>
      <c r="Q289" s="5"/>
    </row>
    <row r="290" spans="13:17" x14ac:dyDescent="0.2">
      <c r="M290" s="3"/>
      <c r="P290" s="4"/>
      <c r="Q290" s="5"/>
    </row>
    <row r="291" spans="13:17" x14ac:dyDescent="0.2">
      <c r="M291" s="3"/>
      <c r="P291" s="4"/>
      <c r="Q291" s="5"/>
    </row>
    <row r="292" spans="13:17" x14ac:dyDescent="0.2">
      <c r="M292" s="3"/>
      <c r="P292" s="4"/>
      <c r="Q292" s="5"/>
    </row>
    <row r="293" spans="13:17" x14ac:dyDescent="0.2">
      <c r="M293" s="3"/>
      <c r="P293" s="4"/>
      <c r="Q293" s="5"/>
    </row>
    <row r="294" spans="13:17" x14ac:dyDescent="0.2">
      <c r="M294" s="3"/>
      <c r="P294" s="4"/>
      <c r="Q294" s="5"/>
    </row>
    <row r="295" spans="13:17" x14ac:dyDescent="0.2">
      <c r="M295" s="3"/>
      <c r="P295" s="4"/>
      <c r="Q295" s="5"/>
    </row>
    <row r="296" spans="13:17" x14ac:dyDescent="0.2">
      <c r="M296" s="3"/>
      <c r="P296" s="4"/>
      <c r="Q296" s="5"/>
    </row>
    <row r="297" spans="13:17" x14ac:dyDescent="0.2">
      <c r="M297" s="3"/>
      <c r="P297" s="4"/>
      <c r="Q297" s="5"/>
    </row>
    <row r="298" spans="13:17" x14ac:dyDescent="0.2">
      <c r="M298" s="3"/>
      <c r="P298" s="4"/>
      <c r="Q298" s="5"/>
    </row>
    <row r="299" spans="13:17" x14ac:dyDescent="0.2">
      <c r="M299" s="3"/>
      <c r="P299" s="4"/>
      <c r="Q299" s="5"/>
    </row>
    <row r="300" spans="13:17" x14ac:dyDescent="0.2">
      <c r="M300" s="3"/>
      <c r="P300" s="4"/>
      <c r="Q300" s="5"/>
    </row>
    <row r="301" spans="13:17" x14ac:dyDescent="0.2">
      <c r="M301" s="3"/>
      <c r="P301" s="4"/>
      <c r="Q301" s="5"/>
    </row>
    <row r="302" spans="13:17" x14ac:dyDescent="0.2">
      <c r="M302" s="3"/>
      <c r="P302" s="4"/>
      <c r="Q302" s="5"/>
    </row>
    <row r="303" spans="13:17" x14ac:dyDescent="0.2">
      <c r="M303" s="3"/>
      <c r="P303" s="4"/>
      <c r="Q303" s="5"/>
    </row>
    <row r="304" spans="13:17" x14ac:dyDescent="0.2">
      <c r="M304" s="3"/>
      <c r="P304" s="4"/>
      <c r="Q304" s="5"/>
    </row>
    <row r="305" spans="13:17" x14ac:dyDescent="0.2">
      <c r="M305" s="3"/>
      <c r="P305" s="4"/>
      <c r="Q305" s="5"/>
    </row>
    <row r="306" spans="13:17" x14ac:dyDescent="0.2">
      <c r="M306" s="3"/>
      <c r="P306" s="4"/>
      <c r="Q306" s="5"/>
    </row>
    <row r="307" spans="13:17" x14ac:dyDescent="0.2">
      <c r="M307" s="3"/>
      <c r="P307" s="4"/>
      <c r="Q307" s="5"/>
    </row>
    <row r="308" spans="13:17" x14ac:dyDescent="0.2">
      <c r="M308" s="3"/>
      <c r="P308" s="4"/>
      <c r="Q308" s="5"/>
    </row>
    <row r="309" spans="13:17" x14ac:dyDescent="0.2">
      <c r="M309" s="3"/>
      <c r="P309" s="4"/>
      <c r="Q309" s="5"/>
    </row>
    <row r="310" spans="13:17" x14ac:dyDescent="0.2">
      <c r="M310" s="3"/>
      <c r="P310" s="4"/>
      <c r="Q310" s="5"/>
    </row>
    <row r="311" spans="13:17" x14ac:dyDescent="0.2">
      <c r="M311" s="3"/>
      <c r="P311" s="4"/>
      <c r="Q311" s="5"/>
    </row>
    <row r="312" spans="13:17" x14ac:dyDescent="0.2">
      <c r="M312" s="3"/>
      <c r="P312" s="4"/>
      <c r="Q312" s="5"/>
    </row>
    <row r="313" spans="13:17" x14ac:dyDescent="0.2">
      <c r="M313" s="3"/>
      <c r="P313" s="4"/>
      <c r="Q313" s="5"/>
    </row>
    <row r="314" spans="13:17" x14ac:dyDescent="0.2">
      <c r="M314" s="3"/>
      <c r="P314" s="4"/>
      <c r="Q314" s="5"/>
    </row>
    <row r="315" spans="13:17" x14ac:dyDescent="0.2">
      <c r="M315" s="3"/>
      <c r="P315" s="4"/>
      <c r="Q315" s="5"/>
    </row>
    <row r="316" spans="13:17" x14ac:dyDescent="0.2">
      <c r="M316" s="3"/>
      <c r="P316" s="4"/>
      <c r="Q316" s="5"/>
    </row>
    <row r="317" spans="13:17" x14ac:dyDescent="0.2">
      <c r="M317" s="3"/>
      <c r="P317" s="4"/>
      <c r="Q317" s="5"/>
    </row>
    <row r="318" spans="13:17" x14ac:dyDescent="0.2">
      <c r="M318" s="3"/>
      <c r="P318" s="4"/>
      <c r="Q318" s="5"/>
    </row>
    <row r="319" spans="13:17" x14ac:dyDescent="0.2">
      <c r="M319" s="3"/>
      <c r="P319" s="4"/>
      <c r="Q319" s="5"/>
    </row>
    <row r="320" spans="13:17" x14ac:dyDescent="0.2">
      <c r="M320" s="3"/>
      <c r="P320" s="4"/>
      <c r="Q320" s="5"/>
    </row>
    <row r="321" spans="13:17" x14ac:dyDescent="0.2">
      <c r="M321" s="3"/>
      <c r="P321" s="4"/>
      <c r="Q321" s="5"/>
    </row>
    <row r="322" spans="13:17" x14ac:dyDescent="0.2">
      <c r="M322" s="3"/>
      <c r="P322" s="4"/>
      <c r="Q322" s="5"/>
    </row>
    <row r="323" spans="13:17" x14ac:dyDescent="0.2">
      <c r="M323" s="3"/>
      <c r="P323" s="4"/>
      <c r="Q323" s="5"/>
    </row>
    <row r="324" spans="13:17" x14ac:dyDescent="0.2">
      <c r="M324" s="3"/>
      <c r="P324" s="4"/>
      <c r="Q324" s="5"/>
    </row>
    <row r="325" spans="13:17" x14ac:dyDescent="0.2">
      <c r="M325" s="3"/>
      <c r="P325" s="4"/>
      <c r="Q325" s="5"/>
    </row>
    <row r="326" spans="13:17" x14ac:dyDescent="0.2">
      <c r="M326" s="3"/>
      <c r="P326" s="4"/>
      <c r="Q326" s="5"/>
    </row>
    <row r="327" spans="13:17" x14ac:dyDescent="0.2">
      <c r="M327" s="3"/>
      <c r="P327" s="4"/>
      <c r="Q327" s="5"/>
    </row>
    <row r="328" spans="13:17" x14ac:dyDescent="0.2">
      <c r="M328" s="3"/>
      <c r="P328" s="4"/>
      <c r="Q328" s="5"/>
    </row>
    <row r="329" spans="13:17" x14ac:dyDescent="0.2">
      <c r="M329" s="3"/>
      <c r="P329" s="4"/>
      <c r="Q329" s="5"/>
    </row>
    <row r="330" spans="13:17" x14ac:dyDescent="0.2">
      <c r="M330" s="3"/>
      <c r="P330" s="4"/>
      <c r="Q330" s="5"/>
    </row>
    <row r="331" spans="13:17" x14ac:dyDescent="0.2">
      <c r="M331" s="3"/>
      <c r="P331" s="4"/>
      <c r="Q331" s="5"/>
    </row>
    <row r="332" spans="13:17" x14ac:dyDescent="0.2">
      <c r="M332" s="3"/>
      <c r="P332" s="4"/>
      <c r="Q332" s="5"/>
    </row>
    <row r="333" spans="13:17" x14ac:dyDescent="0.2">
      <c r="M333" s="3"/>
      <c r="P333" s="4"/>
      <c r="Q333" s="5"/>
    </row>
    <row r="334" spans="13:17" x14ac:dyDescent="0.2">
      <c r="M334" s="3"/>
      <c r="P334" s="4"/>
      <c r="Q334" s="5"/>
    </row>
    <row r="335" spans="13:17" x14ac:dyDescent="0.2">
      <c r="M335" s="3"/>
      <c r="P335" s="4"/>
      <c r="Q335" s="5"/>
    </row>
    <row r="336" spans="13:17" x14ac:dyDescent="0.2">
      <c r="M336" s="3"/>
      <c r="P336" s="4"/>
      <c r="Q336" s="5"/>
    </row>
    <row r="337" spans="13:17" x14ac:dyDescent="0.2">
      <c r="M337" s="3"/>
      <c r="P337" s="4"/>
      <c r="Q337" s="5"/>
    </row>
    <row r="338" spans="13:17" x14ac:dyDescent="0.2">
      <c r="M338" s="3"/>
      <c r="P338" s="4"/>
      <c r="Q338" s="5"/>
    </row>
    <row r="339" spans="13:17" x14ac:dyDescent="0.2">
      <c r="M339" s="3"/>
      <c r="P339" s="4"/>
      <c r="Q339" s="5"/>
    </row>
    <row r="340" spans="13:17" x14ac:dyDescent="0.2">
      <c r="M340" s="3"/>
      <c r="P340" s="4"/>
      <c r="Q340" s="5"/>
    </row>
    <row r="341" spans="13:17" x14ac:dyDescent="0.2">
      <c r="M341" s="3"/>
      <c r="P341" s="4"/>
      <c r="Q341" s="5"/>
    </row>
    <row r="342" spans="13:17" x14ac:dyDescent="0.2">
      <c r="M342" s="3"/>
      <c r="P342" s="4"/>
      <c r="Q342" s="5"/>
    </row>
    <row r="343" spans="13:17" x14ac:dyDescent="0.2">
      <c r="M343" s="3"/>
      <c r="P343" s="4"/>
      <c r="Q343" s="5"/>
    </row>
    <row r="344" spans="13:17" x14ac:dyDescent="0.2">
      <c r="M344" s="3"/>
      <c r="P344" s="4"/>
      <c r="Q344" s="5"/>
    </row>
    <row r="345" spans="13:17" x14ac:dyDescent="0.2">
      <c r="M345" s="3"/>
      <c r="P345" s="4"/>
      <c r="Q345" s="5"/>
    </row>
    <row r="346" spans="13:17" x14ac:dyDescent="0.2">
      <c r="M346" s="3"/>
      <c r="P346" s="4"/>
      <c r="Q346" s="5"/>
    </row>
    <row r="347" spans="13:17" x14ac:dyDescent="0.2">
      <c r="M347" s="3"/>
      <c r="P347" s="4"/>
      <c r="Q347" s="5"/>
    </row>
    <row r="348" spans="13:17" x14ac:dyDescent="0.2">
      <c r="M348" s="3"/>
      <c r="P348" s="4"/>
      <c r="Q348" s="5"/>
    </row>
    <row r="349" spans="13:17" x14ac:dyDescent="0.2">
      <c r="M349" s="3"/>
      <c r="P349" s="4"/>
      <c r="Q349" s="5"/>
    </row>
    <row r="350" spans="13:17" x14ac:dyDescent="0.2">
      <c r="M350" s="3"/>
      <c r="P350" s="4"/>
      <c r="Q350" s="5"/>
    </row>
    <row r="351" spans="13:17" x14ac:dyDescent="0.2">
      <c r="M351" s="3"/>
      <c r="P351" s="4"/>
      <c r="Q351" s="5"/>
    </row>
    <row r="352" spans="13:17" x14ac:dyDescent="0.2">
      <c r="M352" s="3"/>
      <c r="P352" s="4"/>
      <c r="Q352" s="5"/>
    </row>
    <row r="353" spans="13:17" x14ac:dyDescent="0.2">
      <c r="M353" s="3"/>
      <c r="P353" s="4"/>
      <c r="Q353" s="5"/>
    </row>
    <row r="354" spans="13:17" x14ac:dyDescent="0.2">
      <c r="M354" s="3"/>
      <c r="P354" s="4"/>
      <c r="Q354" s="5"/>
    </row>
    <row r="355" spans="13:17" x14ac:dyDescent="0.2">
      <c r="M355" s="3"/>
      <c r="P355" s="4"/>
      <c r="Q355" s="5"/>
    </row>
    <row r="356" spans="13:17" x14ac:dyDescent="0.2">
      <c r="M356" s="3"/>
      <c r="P356" s="4"/>
      <c r="Q356" s="5"/>
    </row>
    <row r="357" spans="13:17" x14ac:dyDescent="0.2">
      <c r="M357" s="3"/>
      <c r="P357" s="4"/>
      <c r="Q357" s="5"/>
    </row>
    <row r="358" spans="13:17" x14ac:dyDescent="0.2">
      <c r="M358" s="3"/>
      <c r="P358" s="4"/>
      <c r="Q358" s="5"/>
    </row>
    <row r="359" spans="13:17" x14ac:dyDescent="0.2">
      <c r="M359" s="3"/>
      <c r="P359" s="4"/>
      <c r="Q359" s="5"/>
    </row>
    <row r="360" spans="13:17" x14ac:dyDescent="0.2">
      <c r="M360" s="3"/>
      <c r="P360" s="4"/>
      <c r="Q360" s="5"/>
    </row>
    <row r="361" spans="13:17" x14ac:dyDescent="0.2">
      <c r="M361" s="3"/>
      <c r="P361" s="4"/>
      <c r="Q361" s="5"/>
    </row>
    <row r="362" spans="13:17" x14ac:dyDescent="0.2">
      <c r="M362" s="3"/>
      <c r="P362" s="4"/>
      <c r="Q362" s="5"/>
    </row>
    <row r="363" spans="13:17" x14ac:dyDescent="0.2">
      <c r="M363" s="3"/>
      <c r="P363" s="4"/>
      <c r="Q363" s="5"/>
    </row>
    <row r="364" spans="13:17" x14ac:dyDescent="0.2">
      <c r="M364" s="3"/>
      <c r="P364" s="4"/>
      <c r="Q364" s="5"/>
    </row>
    <row r="365" spans="13:17" x14ac:dyDescent="0.2">
      <c r="M365" s="3"/>
      <c r="P365" s="4"/>
      <c r="Q365" s="5"/>
    </row>
    <row r="366" spans="13:17" x14ac:dyDescent="0.2">
      <c r="M366" s="3"/>
      <c r="P366" s="4"/>
      <c r="Q366" s="5"/>
    </row>
    <row r="367" spans="13:17" x14ac:dyDescent="0.2">
      <c r="M367" s="3"/>
      <c r="P367" s="4"/>
      <c r="Q367" s="5"/>
    </row>
    <row r="368" spans="13:17" x14ac:dyDescent="0.2">
      <c r="M368" s="3"/>
      <c r="P368" s="4"/>
      <c r="Q368" s="5"/>
    </row>
    <row r="369" spans="13:17" x14ac:dyDescent="0.2">
      <c r="M369" s="3"/>
      <c r="P369" s="4"/>
      <c r="Q369" s="5"/>
    </row>
    <row r="370" spans="13:17" x14ac:dyDescent="0.2">
      <c r="M370" s="3"/>
      <c r="P370" s="4"/>
      <c r="Q370" s="5"/>
    </row>
    <row r="371" spans="13:17" x14ac:dyDescent="0.2">
      <c r="M371" s="3"/>
      <c r="P371" s="4"/>
      <c r="Q371" s="5"/>
    </row>
    <row r="372" spans="13:17" x14ac:dyDescent="0.2">
      <c r="M372" s="3"/>
      <c r="P372" s="4"/>
      <c r="Q372" s="5"/>
    </row>
    <row r="373" spans="13:17" x14ac:dyDescent="0.2">
      <c r="M373" s="3"/>
      <c r="P373" s="4"/>
      <c r="Q373" s="5"/>
    </row>
    <row r="374" spans="13:17" x14ac:dyDescent="0.2">
      <c r="M374" s="3"/>
      <c r="P374" s="4"/>
      <c r="Q374" s="5"/>
    </row>
    <row r="375" spans="13:17" x14ac:dyDescent="0.2">
      <c r="M375" s="3"/>
      <c r="P375" s="4"/>
      <c r="Q375" s="5"/>
    </row>
    <row r="376" spans="13:17" x14ac:dyDescent="0.2">
      <c r="M376" s="3"/>
      <c r="P376" s="4"/>
      <c r="Q376" s="5"/>
    </row>
    <row r="377" spans="13:17" x14ac:dyDescent="0.2">
      <c r="M377" s="3"/>
      <c r="P377" s="4"/>
      <c r="Q377" s="5"/>
    </row>
    <row r="378" spans="13:17" x14ac:dyDescent="0.2">
      <c r="M378" s="3"/>
      <c r="P378" s="4"/>
      <c r="Q378" s="5"/>
    </row>
    <row r="379" spans="13:17" x14ac:dyDescent="0.2">
      <c r="M379" s="3"/>
      <c r="P379" s="4"/>
      <c r="Q379" s="5"/>
    </row>
    <row r="380" spans="13:17" x14ac:dyDescent="0.2">
      <c r="M380" s="3"/>
      <c r="P380" s="4"/>
      <c r="Q380" s="5"/>
    </row>
    <row r="381" spans="13:17" x14ac:dyDescent="0.2">
      <c r="M381" s="3"/>
      <c r="P381" s="4"/>
      <c r="Q381" s="5"/>
    </row>
    <row r="382" spans="13:17" x14ac:dyDescent="0.2">
      <c r="M382" s="3"/>
      <c r="P382" s="4"/>
      <c r="Q382" s="5"/>
    </row>
    <row r="383" spans="13:17" x14ac:dyDescent="0.2">
      <c r="M383" s="3"/>
      <c r="P383" s="4"/>
      <c r="Q383" s="5"/>
    </row>
    <row r="384" spans="13:17" x14ac:dyDescent="0.2">
      <c r="M384" s="3"/>
      <c r="P384" s="4"/>
      <c r="Q384" s="5"/>
    </row>
    <row r="385" spans="13:17" x14ac:dyDescent="0.2">
      <c r="M385" s="3"/>
      <c r="P385" s="4"/>
      <c r="Q385" s="5"/>
    </row>
    <row r="386" spans="13:17" x14ac:dyDescent="0.2">
      <c r="M386" s="3"/>
      <c r="P386" s="4"/>
      <c r="Q386" s="5"/>
    </row>
    <row r="387" spans="13:17" x14ac:dyDescent="0.2">
      <c r="M387" s="3"/>
      <c r="P387" s="4"/>
      <c r="Q387" s="5"/>
    </row>
    <row r="388" spans="13:17" x14ac:dyDescent="0.2">
      <c r="M388" s="3"/>
      <c r="P388" s="4"/>
      <c r="Q388" s="5"/>
    </row>
    <row r="389" spans="13:17" x14ac:dyDescent="0.2">
      <c r="M389" s="3"/>
      <c r="P389" s="4"/>
      <c r="Q389" s="5"/>
    </row>
    <row r="390" spans="13:17" x14ac:dyDescent="0.2">
      <c r="M390" s="3"/>
      <c r="P390" s="4"/>
      <c r="Q390" s="5"/>
    </row>
    <row r="391" spans="13:17" x14ac:dyDescent="0.2">
      <c r="M391" s="3"/>
      <c r="P391" s="4"/>
      <c r="Q391" s="5"/>
    </row>
    <row r="392" spans="13:17" x14ac:dyDescent="0.2">
      <c r="M392" s="3"/>
      <c r="P392" s="4"/>
      <c r="Q392" s="5"/>
    </row>
    <row r="393" spans="13:17" x14ac:dyDescent="0.2">
      <c r="M393" s="3"/>
      <c r="P393" s="4"/>
      <c r="Q393" s="5"/>
    </row>
    <row r="394" spans="13:17" x14ac:dyDescent="0.2">
      <c r="M394" s="3"/>
      <c r="P394" s="4"/>
      <c r="Q394" s="5"/>
    </row>
    <row r="395" spans="13:17" x14ac:dyDescent="0.2">
      <c r="M395" s="3"/>
      <c r="P395" s="4"/>
      <c r="Q395" s="5"/>
    </row>
    <row r="396" spans="13:17" x14ac:dyDescent="0.2">
      <c r="M396" s="3"/>
      <c r="P396" s="4"/>
      <c r="Q396" s="5"/>
    </row>
    <row r="397" spans="13:17" x14ac:dyDescent="0.2">
      <c r="M397" s="3"/>
      <c r="P397" s="4"/>
      <c r="Q397" s="5"/>
    </row>
    <row r="398" spans="13:17" x14ac:dyDescent="0.2">
      <c r="M398" s="3"/>
      <c r="P398" s="4"/>
      <c r="Q398" s="5"/>
    </row>
    <row r="399" spans="13:17" x14ac:dyDescent="0.2">
      <c r="M399" s="3"/>
      <c r="P399" s="4"/>
      <c r="Q399" s="5"/>
    </row>
    <row r="400" spans="13:17" x14ac:dyDescent="0.2">
      <c r="M400" s="3"/>
      <c r="P400" s="4"/>
      <c r="Q400" s="5"/>
    </row>
    <row r="401" spans="13:17" x14ac:dyDescent="0.2">
      <c r="M401" s="3"/>
      <c r="P401" s="4"/>
      <c r="Q401" s="5"/>
    </row>
    <row r="402" spans="13:17" x14ac:dyDescent="0.2">
      <c r="M402" s="3"/>
      <c r="P402" s="4"/>
      <c r="Q402" s="5"/>
    </row>
    <row r="403" spans="13:17" x14ac:dyDescent="0.2">
      <c r="M403" s="3"/>
      <c r="P403" s="4"/>
      <c r="Q403" s="5"/>
    </row>
    <row r="404" spans="13:17" x14ac:dyDescent="0.2">
      <c r="M404" s="3"/>
      <c r="P404" s="4"/>
      <c r="Q404" s="5"/>
    </row>
    <row r="405" spans="13:17" x14ac:dyDescent="0.2">
      <c r="M405" s="3"/>
      <c r="P405" s="4"/>
      <c r="Q405" s="5"/>
    </row>
    <row r="406" spans="13:17" x14ac:dyDescent="0.2">
      <c r="M406" s="3"/>
      <c r="P406" s="4"/>
      <c r="Q406" s="5"/>
    </row>
    <row r="407" spans="13:17" x14ac:dyDescent="0.2">
      <c r="M407" s="3"/>
      <c r="P407" s="4"/>
      <c r="Q407" s="5"/>
    </row>
    <row r="408" spans="13:17" x14ac:dyDescent="0.2">
      <c r="M408" s="3"/>
      <c r="P408" s="4"/>
      <c r="Q408" s="5"/>
    </row>
    <row r="409" spans="13:17" x14ac:dyDescent="0.2">
      <c r="M409" s="3"/>
      <c r="P409" s="4"/>
      <c r="Q409" s="5"/>
    </row>
    <row r="410" spans="13:17" x14ac:dyDescent="0.2">
      <c r="M410" s="3"/>
      <c r="P410" s="4"/>
      <c r="Q410" s="5"/>
    </row>
    <row r="411" spans="13:17" x14ac:dyDescent="0.2">
      <c r="M411" s="3"/>
      <c r="P411" s="4"/>
      <c r="Q411" s="5"/>
    </row>
    <row r="412" spans="13:17" x14ac:dyDescent="0.2">
      <c r="M412" s="3"/>
      <c r="P412" s="4"/>
      <c r="Q412" s="5"/>
    </row>
    <row r="413" spans="13:17" x14ac:dyDescent="0.2">
      <c r="M413" s="3"/>
      <c r="P413" s="4"/>
      <c r="Q413" s="5"/>
    </row>
    <row r="414" spans="13:17" x14ac:dyDescent="0.2">
      <c r="M414" s="3"/>
      <c r="P414" s="4"/>
      <c r="Q414" s="5"/>
    </row>
    <row r="415" spans="13:17" x14ac:dyDescent="0.2">
      <c r="M415" s="3"/>
      <c r="P415" s="4"/>
      <c r="Q415" s="5"/>
    </row>
    <row r="416" spans="13:17" x14ac:dyDescent="0.2">
      <c r="M416" s="3"/>
      <c r="P416" s="4"/>
      <c r="Q416" s="5"/>
    </row>
    <row r="417" spans="13:17" x14ac:dyDescent="0.2">
      <c r="M417" s="3"/>
      <c r="P417" s="4"/>
      <c r="Q417" s="5"/>
    </row>
    <row r="418" spans="13:17" x14ac:dyDescent="0.2">
      <c r="M418" s="3"/>
      <c r="P418" s="4"/>
      <c r="Q418" s="5"/>
    </row>
    <row r="419" spans="13:17" x14ac:dyDescent="0.2">
      <c r="M419" s="3"/>
      <c r="P419" s="4"/>
      <c r="Q419" s="5"/>
    </row>
    <row r="420" spans="13:17" x14ac:dyDescent="0.2">
      <c r="M420" s="3"/>
      <c r="P420" s="4"/>
      <c r="Q420" s="5"/>
    </row>
    <row r="421" spans="13:17" x14ac:dyDescent="0.2">
      <c r="M421" s="3"/>
      <c r="P421" s="4"/>
      <c r="Q421" s="5"/>
    </row>
    <row r="422" spans="13:17" x14ac:dyDescent="0.2">
      <c r="M422" s="3"/>
      <c r="P422" s="4"/>
      <c r="Q422" s="5"/>
    </row>
    <row r="423" spans="13:17" x14ac:dyDescent="0.2">
      <c r="M423" s="3"/>
      <c r="P423" s="4"/>
      <c r="Q423" s="5"/>
    </row>
    <row r="424" spans="13:17" x14ac:dyDescent="0.2">
      <c r="M424" s="3"/>
      <c r="P424" s="4"/>
      <c r="Q424" s="5"/>
    </row>
    <row r="425" spans="13:17" x14ac:dyDescent="0.2">
      <c r="M425" s="3"/>
      <c r="P425" s="4"/>
      <c r="Q425" s="5"/>
    </row>
    <row r="426" spans="13:17" x14ac:dyDescent="0.2">
      <c r="M426" s="3"/>
      <c r="P426" s="4"/>
      <c r="Q426" s="5"/>
    </row>
    <row r="427" spans="13:17" x14ac:dyDescent="0.2">
      <c r="M427" s="3"/>
      <c r="P427" s="4"/>
      <c r="Q427" s="5"/>
    </row>
    <row r="428" spans="13:17" x14ac:dyDescent="0.2">
      <c r="M428" s="3"/>
      <c r="P428" s="4"/>
      <c r="Q428" s="5"/>
    </row>
    <row r="429" spans="13:17" x14ac:dyDescent="0.2">
      <c r="M429" s="3"/>
      <c r="P429" s="4"/>
      <c r="Q429" s="5"/>
    </row>
    <row r="430" spans="13:17" x14ac:dyDescent="0.2">
      <c r="M430" s="3"/>
      <c r="P430" s="4"/>
      <c r="Q430" s="5"/>
    </row>
    <row r="431" spans="13:17" x14ac:dyDescent="0.2">
      <c r="M431" s="3"/>
      <c r="P431" s="4"/>
      <c r="Q431" s="5"/>
    </row>
    <row r="432" spans="13:17" x14ac:dyDescent="0.2">
      <c r="M432" s="3"/>
      <c r="P432" s="4"/>
      <c r="Q432" s="5"/>
    </row>
    <row r="433" spans="13:17" x14ac:dyDescent="0.2">
      <c r="M433" s="3"/>
      <c r="P433" s="4"/>
      <c r="Q433" s="5"/>
    </row>
    <row r="434" spans="13:17" x14ac:dyDescent="0.2">
      <c r="M434" s="3"/>
      <c r="P434" s="4"/>
      <c r="Q434" s="5"/>
    </row>
    <row r="435" spans="13:17" x14ac:dyDescent="0.2">
      <c r="M435" s="3"/>
      <c r="P435" s="4"/>
      <c r="Q435" s="5"/>
    </row>
    <row r="436" spans="13:17" x14ac:dyDescent="0.2">
      <c r="M436" s="3"/>
      <c r="P436" s="4"/>
      <c r="Q436" s="5"/>
    </row>
    <row r="437" spans="13:17" x14ac:dyDescent="0.2">
      <c r="M437" s="3"/>
      <c r="P437" s="4"/>
      <c r="Q437" s="5"/>
    </row>
    <row r="438" spans="13:17" x14ac:dyDescent="0.2">
      <c r="M438" s="3"/>
      <c r="P438" s="4"/>
      <c r="Q438" s="5"/>
    </row>
    <row r="439" spans="13:17" x14ac:dyDescent="0.2">
      <c r="M439" s="3"/>
      <c r="P439" s="4"/>
      <c r="Q439" s="5"/>
    </row>
    <row r="440" spans="13:17" x14ac:dyDescent="0.2">
      <c r="M440" s="3"/>
      <c r="P440" s="4"/>
      <c r="Q440" s="5"/>
    </row>
    <row r="441" spans="13:17" x14ac:dyDescent="0.2">
      <c r="M441" s="3"/>
      <c r="P441" s="4"/>
      <c r="Q441" s="5"/>
    </row>
    <row r="442" spans="13:17" x14ac:dyDescent="0.2">
      <c r="M442" s="3"/>
      <c r="P442" s="4"/>
      <c r="Q442" s="5"/>
    </row>
    <row r="443" spans="13:17" x14ac:dyDescent="0.2">
      <c r="M443" s="3"/>
      <c r="P443" s="4"/>
      <c r="Q443" s="5"/>
    </row>
    <row r="444" spans="13:17" x14ac:dyDescent="0.2">
      <c r="M444" s="3"/>
      <c r="P444" s="4"/>
      <c r="Q444" s="5"/>
    </row>
    <row r="445" spans="13:17" x14ac:dyDescent="0.2">
      <c r="M445" s="3"/>
      <c r="P445" s="4"/>
      <c r="Q445" s="5"/>
    </row>
    <row r="446" spans="13:17" x14ac:dyDescent="0.2">
      <c r="M446" s="3"/>
      <c r="P446" s="4"/>
      <c r="Q446" s="5"/>
    </row>
    <row r="447" spans="13:17" x14ac:dyDescent="0.2">
      <c r="M447" s="3"/>
      <c r="P447" s="4"/>
      <c r="Q447" s="5"/>
    </row>
    <row r="448" spans="13:17" x14ac:dyDescent="0.2">
      <c r="M448" s="3"/>
      <c r="P448" s="4"/>
      <c r="Q448" s="5"/>
    </row>
    <row r="449" spans="13:17" x14ac:dyDescent="0.2">
      <c r="M449" s="3"/>
      <c r="P449" s="4"/>
      <c r="Q449" s="5"/>
    </row>
    <row r="450" spans="13:17" x14ac:dyDescent="0.2">
      <c r="M450" s="3"/>
      <c r="P450" s="4"/>
      <c r="Q450" s="5"/>
    </row>
    <row r="451" spans="13:17" x14ac:dyDescent="0.2">
      <c r="M451" s="3"/>
      <c r="P451" s="4"/>
      <c r="Q451" s="5"/>
    </row>
    <row r="452" spans="13:17" x14ac:dyDescent="0.2">
      <c r="M452" s="3"/>
      <c r="P452" s="4"/>
      <c r="Q452" s="5"/>
    </row>
    <row r="453" spans="13:17" x14ac:dyDescent="0.2">
      <c r="M453" s="3"/>
      <c r="P453" s="4"/>
      <c r="Q453" s="5"/>
    </row>
    <row r="454" spans="13:17" x14ac:dyDescent="0.2">
      <c r="M454" s="3"/>
      <c r="P454" s="4"/>
      <c r="Q454" s="5"/>
    </row>
    <row r="455" spans="13:17" x14ac:dyDescent="0.2">
      <c r="M455" s="3"/>
      <c r="P455" s="4"/>
      <c r="Q455" s="5"/>
    </row>
    <row r="456" spans="13:17" x14ac:dyDescent="0.2">
      <c r="M456" s="3"/>
      <c r="P456" s="4"/>
      <c r="Q456" s="5"/>
    </row>
    <row r="457" spans="13:17" x14ac:dyDescent="0.2">
      <c r="M457" s="3"/>
      <c r="P457" s="4"/>
      <c r="Q457" s="5"/>
    </row>
    <row r="458" spans="13:17" x14ac:dyDescent="0.2">
      <c r="M458" s="3"/>
      <c r="P458" s="4"/>
      <c r="Q458" s="5"/>
    </row>
    <row r="459" spans="13:17" x14ac:dyDescent="0.2">
      <c r="M459" s="3"/>
      <c r="P459" s="4"/>
      <c r="Q459" s="5"/>
    </row>
    <row r="460" spans="13:17" x14ac:dyDescent="0.2">
      <c r="M460" s="3"/>
      <c r="P460" s="4"/>
      <c r="Q460" s="5"/>
    </row>
    <row r="461" spans="13:17" x14ac:dyDescent="0.2">
      <c r="M461" s="3"/>
      <c r="P461" s="4"/>
      <c r="Q461" s="5"/>
    </row>
    <row r="462" spans="13:17" x14ac:dyDescent="0.2">
      <c r="M462" s="3"/>
      <c r="P462" s="4"/>
      <c r="Q462" s="5"/>
    </row>
    <row r="463" spans="13:17" x14ac:dyDescent="0.2">
      <c r="M463" s="3"/>
      <c r="P463" s="4"/>
      <c r="Q463" s="5"/>
    </row>
    <row r="464" spans="13:17" x14ac:dyDescent="0.2">
      <c r="M464" s="3"/>
      <c r="P464" s="4"/>
      <c r="Q464" s="5"/>
    </row>
    <row r="465" spans="13:17" x14ac:dyDescent="0.2">
      <c r="M465" s="3"/>
      <c r="P465" s="4"/>
      <c r="Q465" s="5"/>
    </row>
    <row r="466" spans="13:17" x14ac:dyDescent="0.2">
      <c r="M466" s="3"/>
      <c r="P466" s="4"/>
      <c r="Q466" s="5"/>
    </row>
    <row r="467" spans="13:17" x14ac:dyDescent="0.2">
      <c r="M467" s="3"/>
      <c r="P467" s="4"/>
      <c r="Q467" s="5"/>
    </row>
    <row r="468" spans="13:17" x14ac:dyDescent="0.2">
      <c r="M468" s="3"/>
      <c r="P468" s="4"/>
      <c r="Q468" s="5"/>
    </row>
    <row r="469" spans="13:17" x14ac:dyDescent="0.2">
      <c r="M469" s="3"/>
      <c r="P469" s="4"/>
      <c r="Q469" s="5"/>
    </row>
    <row r="470" spans="13:17" x14ac:dyDescent="0.2">
      <c r="M470" s="3"/>
      <c r="P470" s="4"/>
      <c r="Q470" s="5"/>
    </row>
    <row r="471" spans="13:17" x14ac:dyDescent="0.2">
      <c r="M471" s="3"/>
      <c r="P471" s="4"/>
      <c r="Q471" s="5"/>
    </row>
    <row r="472" spans="13:17" x14ac:dyDescent="0.2">
      <c r="M472" s="3"/>
      <c r="P472" s="4"/>
      <c r="Q472" s="5"/>
    </row>
    <row r="473" spans="13:17" x14ac:dyDescent="0.2">
      <c r="M473" s="3"/>
      <c r="P473" s="4"/>
      <c r="Q473" s="5"/>
    </row>
    <row r="474" spans="13:17" x14ac:dyDescent="0.2">
      <c r="M474" s="3"/>
      <c r="P474" s="4"/>
      <c r="Q474" s="5"/>
    </row>
    <row r="475" spans="13:17" x14ac:dyDescent="0.2">
      <c r="M475" s="3"/>
      <c r="P475" s="4"/>
      <c r="Q475" s="5"/>
    </row>
    <row r="476" spans="13:17" x14ac:dyDescent="0.2">
      <c r="M476" s="3"/>
      <c r="P476" s="4"/>
      <c r="Q476" s="5"/>
    </row>
    <row r="477" spans="13:17" x14ac:dyDescent="0.2">
      <c r="M477" s="3"/>
      <c r="P477" s="4"/>
      <c r="Q477" s="5"/>
    </row>
    <row r="478" spans="13:17" x14ac:dyDescent="0.2">
      <c r="M478" s="3"/>
      <c r="P478" s="4"/>
      <c r="Q478" s="5"/>
    </row>
    <row r="479" spans="13:17" x14ac:dyDescent="0.2">
      <c r="M479" s="3"/>
      <c r="P479" s="4"/>
      <c r="Q479" s="5"/>
    </row>
    <row r="480" spans="13:17" x14ac:dyDescent="0.2">
      <c r="M480" s="3"/>
      <c r="P480" s="4"/>
      <c r="Q480" s="5"/>
    </row>
    <row r="481" spans="13:17" x14ac:dyDescent="0.2">
      <c r="M481" s="3"/>
      <c r="P481" s="4"/>
      <c r="Q481" s="5"/>
    </row>
    <row r="482" spans="13:17" x14ac:dyDescent="0.2">
      <c r="M482" s="3"/>
      <c r="P482" s="4"/>
      <c r="Q482" s="5"/>
    </row>
    <row r="483" spans="13:17" x14ac:dyDescent="0.2">
      <c r="M483" s="3"/>
      <c r="P483" s="4"/>
      <c r="Q483" s="5"/>
    </row>
    <row r="484" spans="13:17" x14ac:dyDescent="0.2">
      <c r="M484" s="3"/>
      <c r="P484" s="4"/>
      <c r="Q484" s="5"/>
    </row>
    <row r="485" spans="13:17" x14ac:dyDescent="0.2">
      <c r="M485" s="3"/>
      <c r="P485" s="4"/>
      <c r="Q485" s="5"/>
    </row>
    <row r="486" spans="13:17" x14ac:dyDescent="0.2">
      <c r="M486" s="3"/>
      <c r="P486" s="4"/>
      <c r="Q486" s="5"/>
    </row>
    <row r="487" spans="13:17" x14ac:dyDescent="0.2">
      <c r="M487" s="3"/>
      <c r="P487" s="4"/>
      <c r="Q487" s="5"/>
    </row>
    <row r="488" spans="13:17" x14ac:dyDescent="0.2">
      <c r="M488" s="3"/>
      <c r="P488" s="4"/>
      <c r="Q488" s="5"/>
    </row>
    <row r="489" spans="13:17" x14ac:dyDescent="0.2">
      <c r="M489" s="3"/>
      <c r="P489" s="4"/>
      <c r="Q489" s="5"/>
    </row>
    <row r="490" spans="13:17" x14ac:dyDescent="0.2">
      <c r="M490" s="3"/>
      <c r="P490" s="4"/>
      <c r="Q490" s="5"/>
    </row>
    <row r="491" spans="13:17" x14ac:dyDescent="0.2">
      <c r="M491" s="3"/>
      <c r="P491" s="4"/>
      <c r="Q491" s="5"/>
    </row>
    <row r="492" spans="13:17" x14ac:dyDescent="0.2">
      <c r="M492" s="3"/>
      <c r="P492" s="4"/>
      <c r="Q492" s="5"/>
    </row>
    <row r="493" spans="13:17" x14ac:dyDescent="0.2">
      <c r="M493" s="3"/>
      <c r="P493" s="4"/>
      <c r="Q493" s="5"/>
    </row>
    <row r="494" spans="13:17" x14ac:dyDescent="0.2">
      <c r="M494" s="3"/>
      <c r="P494" s="4"/>
      <c r="Q494" s="5"/>
    </row>
    <row r="495" spans="13:17" x14ac:dyDescent="0.2">
      <c r="M495" s="3"/>
      <c r="P495" s="4"/>
      <c r="Q495" s="5"/>
    </row>
    <row r="496" spans="13:17" x14ac:dyDescent="0.2">
      <c r="M496" s="3"/>
      <c r="P496" s="4"/>
      <c r="Q496" s="5"/>
    </row>
    <row r="497" spans="13:17" x14ac:dyDescent="0.2">
      <c r="M497" s="3"/>
      <c r="P497" s="4"/>
      <c r="Q497" s="5"/>
    </row>
    <row r="498" spans="13:17" x14ac:dyDescent="0.2">
      <c r="M498" s="3"/>
      <c r="P498" s="4"/>
      <c r="Q498" s="5"/>
    </row>
    <row r="499" spans="13:17" x14ac:dyDescent="0.2">
      <c r="M499" s="3"/>
      <c r="P499" s="4"/>
      <c r="Q499" s="5"/>
    </row>
    <row r="500" spans="13:17" x14ac:dyDescent="0.2">
      <c r="M500" s="3"/>
      <c r="P500" s="4"/>
      <c r="Q500" s="5"/>
    </row>
    <row r="501" spans="13:17" x14ac:dyDescent="0.2">
      <c r="M501" s="3"/>
      <c r="P501" s="4"/>
      <c r="Q501" s="5"/>
    </row>
    <row r="502" spans="13:17" x14ac:dyDescent="0.2">
      <c r="M502" s="3"/>
      <c r="P502" s="4"/>
      <c r="Q502" s="5"/>
    </row>
    <row r="503" spans="13:17" x14ac:dyDescent="0.2">
      <c r="M503" s="3"/>
      <c r="P503" s="4"/>
      <c r="Q503" s="5"/>
    </row>
    <row r="504" spans="13:17" x14ac:dyDescent="0.2">
      <c r="M504" s="3"/>
      <c r="P504" s="4"/>
      <c r="Q504" s="5"/>
    </row>
    <row r="505" spans="13:17" x14ac:dyDescent="0.2">
      <c r="M505" s="3"/>
      <c r="P505" s="4"/>
      <c r="Q505" s="5"/>
    </row>
    <row r="506" spans="13:17" x14ac:dyDescent="0.2">
      <c r="M506" s="3"/>
      <c r="P506" s="4"/>
      <c r="Q506" s="5"/>
    </row>
    <row r="507" spans="13:17" x14ac:dyDescent="0.2">
      <c r="M507" s="3"/>
      <c r="P507" s="4"/>
      <c r="Q507" s="5"/>
    </row>
    <row r="508" spans="13:17" x14ac:dyDescent="0.2">
      <c r="M508" s="3"/>
      <c r="P508" s="4"/>
      <c r="Q508" s="5"/>
    </row>
    <row r="509" spans="13:17" x14ac:dyDescent="0.2">
      <c r="M509" s="3"/>
      <c r="P509" s="4"/>
      <c r="Q509" s="5"/>
    </row>
    <row r="510" spans="13:17" x14ac:dyDescent="0.2">
      <c r="M510" s="3"/>
      <c r="P510" s="4"/>
      <c r="Q510" s="5"/>
    </row>
    <row r="511" spans="13:17" x14ac:dyDescent="0.2">
      <c r="M511" s="3"/>
      <c r="P511" s="4"/>
      <c r="Q511" s="5"/>
    </row>
    <row r="512" spans="13:17" x14ac:dyDescent="0.2">
      <c r="M512" s="3"/>
      <c r="P512" s="4"/>
      <c r="Q512" s="5"/>
    </row>
    <row r="513" spans="13:17" x14ac:dyDescent="0.2">
      <c r="M513" s="3"/>
      <c r="P513" s="4"/>
      <c r="Q513" s="5"/>
    </row>
    <row r="514" spans="13:17" x14ac:dyDescent="0.2">
      <c r="M514" s="3"/>
      <c r="P514" s="4"/>
      <c r="Q514" s="5"/>
    </row>
    <row r="515" spans="13:17" x14ac:dyDescent="0.2">
      <c r="M515" s="3"/>
      <c r="P515" s="4"/>
      <c r="Q515" s="5"/>
    </row>
    <row r="516" spans="13:17" x14ac:dyDescent="0.2">
      <c r="M516" s="3"/>
      <c r="P516" s="4"/>
      <c r="Q516" s="5"/>
    </row>
    <row r="517" spans="13:17" x14ac:dyDescent="0.2">
      <c r="M517" s="3"/>
      <c r="P517" s="4"/>
      <c r="Q517" s="5"/>
    </row>
    <row r="518" spans="13:17" x14ac:dyDescent="0.2">
      <c r="M518" s="3"/>
      <c r="P518" s="4"/>
      <c r="Q518" s="5"/>
    </row>
    <row r="519" spans="13:17" x14ac:dyDescent="0.2">
      <c r="M519" s="3"/>
      <c r="P519" s="4"/>
      <c r="Q519" s="5"/>
    </row>
    <row r="520" spans="13:17" x14ac:dyDescent="0.2">
      <c r="M520" s="3"/>
      <c r="P520" s="4"/>
      <c r="Q520" s="5"/>
    </row>
    <row r="521" spans="13:17" x14ac:dyDescent="0.2">
      <c r="M521" s="3"/>
      <c r="P521" s="4"/>
      <c r="Q521" s="5"/>
    </row>
    <row r="522" spans="13:17" x14ac:dyDescent="0.2">
      <c r="M522" s="3"/>
      <c r="P522" s="4"/>
      <c r="Q522" s="5"/>
    </row>
    <row r="523" spans="13:17" x14ac:dyDescent="0.2">
      <c r="M523" s="3"/>
      <c r="P523" s="4"/>
      <c r="Q523" s="5"/>
    </row>
    <row r="524" spans="13:17" x14ac:dyDescent="0.2">
      <c r="M524" s="3"/>
      <c r="P524" s="4"/>
      <c r="Q524" s="5"/>
    </row>
    <row r="525" spans="13:17" x14ac:dyDescent="0.2">
      <c r="M525" s="3"/>
      <c r="P525" s="4"/>
      <c r="Q525" s="5"/>
    </row>
    <row r="526" spans="13:17" x14ac:dyDescent="0.2">
      <c r="M526" s="3"/>
      <c r="P526" s="4"/>
      <c r="Q526" s="5"/>
    </row>
    <row r="527" spans="13:17" x14ac:dyDescent="0.2">
      <c r="M527" s="3"/>
      <c r="P527" s="4"/>
      <c r="Q527" s="5"/>
    </row>
    <row r="528" spans="13:17" x14ac:dyDescent="0.2">
      <c r="M528" s="3"/>
      <c r="P528" s="4"/>
      <c r="Q528" s="5"/>
    </row>
    <row r="529" spans="13:17" x14ac:dyDescent="0.2">
      <c r="M529" s="3"/>
      <c r="P529" s="4"/>
      <c r="Q529" s="5"/>
    </row>
    <row r="530" spans="13:17" x14ac:dyDescent="0.2">
      <c r="M530" s="3"/>
      <c r="P530" s="4"/>
      <c r="Q530" s="5"/>
    </row>
    <row r="531" spans="13:17" x14ac:dyDescent="0.2">
      <c r="M531" s="3"/>
      <c r="P531" s="4"/>
      <c r="Q531" s="5"/>
    </row>
    <row r="532" spans="13:17" x14ac:dyDescent="0.2">
      <c r="M532" s="3"/>
      <c r="P532" s="4"/>
      <c r="Q532" s="5"/>
    </row>
    <row r="533" spans="13:17" x14ac:dyDescent="0.2">
      <c r="M533" s="3"/>
      <c r="P533" s="4"/>
      <c r="Q533" s="5"/>
    </row>
    <row r="534" spans="13:17" x14ac:dyDescent="0.2">
      <c r="M534" s="3"/>
      <c r="P534" s="4"/>
      <c r="Q534" s="5"/>
    </row>
    <row r="535" spans="13:17" x14ac:dyDescent="0.2">
      <c r="M535" s="3"/>
      <c r="P535" s="4"/>
      <c r="Q535" s="5"/>
    </row>
    <row r="536" spans="13:17" x14ac:dyDescent="0.2">
      <c r="M536" s="3"/>
      <c r="P536" s="4"/>
      <c r="Q536" s="5"/>
    </row>
    <row r="537" spans="13:17" x14ac:dyDescent="0.2">
      <c r="M537" s="3"/>
      <c r="P537" s="4"/>
      <c r="Q537" s="5"/>
    </row>
    <row r="538" spans="13:17" x14ac:dyDescent="0.2">
      <c r="M538" s="3"/>
      <c r="P538" s="4"/>
      <c r="Q538" s="5"/>
    </row>
    <row r="539" spans="13:17" x14ac:dyDescent="0.2">
      <c r="M539" s="3"/>
      <c r="P539" s="4"/>
      <c r="Q539" s="5"/>
    </row>
    <row r="540" spans="13:17" x14ac:dyDescent="0.2">
      <c r="M540" s="3"/>
      <c r="P540" s="4"/>
      <c r="Q540" s="5"/>
    </row>
    <row r="541" spans="13:17" x14ac:dyDescent="0.2">
      <c r="M541" s="3"/>
      <c r="P541" s="4"/>
      <c r="Q541" s="5"/>
    </row>
    <row r="542" spans="13:17" x14ac:dyDescent="0.2">
      <c r="M542" s="3"/>
      <c r="P542" s="4"/>
      <c r="Q542" s="5"/>
    </row>
    <row r="543" spans="13:17" x14ac:dyDescent="0.2">
      <c r="M543" s="3"/>
      <c r="P543" s="4"/>
      <c r="Q543" s="5"/>
    </row>
    <row r="544" spans="13:17" x14ac:dyDescent="0.2">
      <c r="M544" s="3"/>
      <c r="P544" s="4"/>
      <c r="Q544" s="5"/>
    </row>
    <row r="545" spans="13:17" x14ac:dyDescent="0.2">
      <c r="M545" s="3"/>
      <c r="P545" s="4"/>
      <c r="Q545" s="5"/>
    </row>
    <row r="546" spans="13:17" x14ac:dyDescent="0.2">
      <c r="M546" s="3"/>
      <c r="P546" s="4"/>
      <c r="Q546" s="5"/>
    </row>
    <row r="547" spans="13:17" x14ac:dyDescent="0.2">
      <c r="M547" s="3"/>
      <c r="P547" s="4"/>
      <c r="Q547" s="5"/>
    </row>
    <row r="548" spans="13:17" x14ac:dyDescent="0.2">
      <c r="M548" s="3"/>
      <c r="P548" s="4"/>
      <c r="Q548" s="5"/>
    </row>
    <row r="549" spans="13:17" x14ac:dyDescent="0.2">
      <c r="M549" s="3"/>
      <c r="P549" s="4"/>
      <c r="Q549" s="5"/>
    </row>
    <row r="550" spans="13:17" x14ac:dyDescent="0.2">
      <c r="M550" s="3"/>
      <c r="P550" s="4"/>
      <c r="Q550" s="5"/>
    </row>
    <row r="551" spans="13:17" x14ac:dyDescent="0.2">
      <c r="M551" s="3"/>
      <c r="P551" s="4"/>
      <c r="Q551" s="5"/>
    </row>
    <row r="552" spans="13:17" x14ac:dyDescent="0.2">
      <c r="M552" s="3"/>
      <c r="P552" s="4"/>
      <c r="Q552" s="5"/>
    </row>
    <row r="553" spans="13:17" x14ac:dyDescent="0.2">
      <c r="M553" s="3"/>
      <c r="P553" s="4"/>
      <c r="Q553" s="5"/>
    </row>
    <row r="554" spans="13:17" x14ac:dyDescent="0.2">
      <c r="M554" s="3"/>
      <c r="P554" s="4"/>
      <c r="Q554" s="5"/>
    </row>
    <row r="555" spans="13:17" x14ac:dyDescent="0.2">
      <c r="M555" s="3"/>
      <c r="P555" s="4"/>
      <c r="Q555" s="5"/>
    </row>
    <row r="556" spans="13:17" x14ac:dyDescent="0.2">
      <c r="M556" s="3"/>
      <c r="P556" s="4"/>
      <c r="Q556" s="5"/>
    </row>
    <row r="557" spans="13:17" x14ac:dyDescent="0.2">
      <c r="M557" s="3"/>
      <c r="P557" s="4"/>
      <c r="Q557" s="5"/>
    </row>
    <row r="558" spans="13:17" x14ac:dyDescent="0.2">
      <c r="M558" s="3"/>
      <c r="P558" s="4"/>
      <c r="Q558" s="5"/>
    </row>
    <row r="559" spans="13:17" x14ac:dyDescent="0.2">
      <c r="M559" s="3"/>
      <c r="P559" s="4"/>
      <c r="Q559" s="5"/>
    </row>
    <row r="560" spans="13:17" x14ac:dyDescent="0.2">
      <c r="M560" s="3"/>
      <c r="P560" s="4"/>
      <c r="Q560" s="5"/>
    </row>
    <row r="561" spans="13:17" x14ac:dyDescent="0.2">
      <c r="M561" s="3"/>
      <c r="P561" s="4"/>
      <c r="Q561" s="5"/>
    </row>
    <row r="562" spans="13:17" x14ac:dyDescent="0.2">
      <c r="M562" s="3"/>
      <c r="P562" s="4"/>
      <c r="Q562" s="5"/>
    </row>
    <row r="563" spans="13:17" x14ac:dyDescent="0.2">
      <c r="M563" s="3"/>
      <c r="P563" s="4"/>
      <c r="Q563" s="5"/>
    </row>
    <row r="564" spans="13:17" x14ac:dyDescent="0.2">
      <c r="M564" s="3"/>
      <c r="P564" s="4"/>
      <c r="Q564" s="5"/>
    </row>
    <row r="565" spans="13:17" x14ac:dyDescent="0.2">
      <c r="M565" s="3"/>
      <c r="P565" s="4"/>
      <c r="Q565" s="5"/>
    </row>
    <row r="566" spans="13:17" x14ac:dyDescent="0.2">
      <c r="M566" s="3"/>
      <c r="P566" s="4"/>
      <c r="Q566" s="5"/>
    </row>
    <row r="567" spans="13:17" x14ac:dyDescent="0.2">
      <c r="M567" s="3"/>
      <c r="P567" s="4"/>
      <c r="Q567" s="5"/>
    </row>
    <row r="568" spans="13:17" x14ac:dyDescent="0.2">
      <c r="M568" s="3"/>
      <c r="P568" s="4"/>
      <c r="Q568" s="5"/>
    </row>
    <row r="569" spans="13:17" x14ac:dyDescent="0.2">
      <c r="M569" s="3"/>
      <c r="P569" s="4"/>
      <c r="Q569" s="5"/>
    </row>
    <row r="570" spans="13:17" x14ac:dyDescent="0.2">
      <c r="M570" s="3"/>
      <c r="P570" s="4"/>
      <c r="Q570" s="5"/>
    </row>
    <row r="571" spans="13:17" x14ac:dyDescent="0.2">
      <c r="M571" s="3"/>
      <c r="P571" s="4"/>
      <c r="Q571" s="5"/>
    </row>
    <row r="572" spans="13:17" x14ac:dyDescent="0.2">
      <c r="M572" s="3"/>
      <c r="P572" s="4"/>
      <c r="Q572" s="5"/>
    </row>
    <row r="573" spans="13:17" x14ac:dyDescent="0.2">
      <c r="M573" s="3"/>
      <c r="P573" s="4"/>
      <c r="Q573" s="5"/>
    </row>
    <row r="574" spans="13:17" x14ac:dyDescent="0.2">
      <c r="M574" s="3"/>
      <c r="P574" s="4"/>
      <c r="Q574" s="5"/>
    </row>
    <row r="575" spans="13:17" x14ac:dyDescent="0.2">
      <c r="M575" s="3"/>
      <c r="P575" s="4"/>
      <c r="Q575" s="5"/>
    </row>
    <row r="576" spans="13:17" x14ac:dyDescent="0.2">
      <c r="M576" s="3"/>
      <c r="P576" s="4"/>
      <c r="Q576" s="5"/>
    </row>
    <row r="577" spans="13:17" x14ac:dyDescent="0.2">
      <c r="M577" s="3"/>
      <c r="P577" s="4"/>
      <c r="Q577" s="5"/>
    </row>
    <row r="578" spans="13:17" x14ac:dyDescent="0.2">
      <c r="M578" s="3"/>
      <c r="P578" s="4"/>
      <c r="Q578" s="5"/>
    </row>
    <row r="579" spans="13:17" x14ac:dyDescent="0.2">
      <c r="M579" s="3"/>
      <c r="P579" s="4"/>
      <c r="Q579" s="5"/>
    </row>
    <row r="580" spans="13:17" x14ac:dyDescent="0.2">
      <c r="M580" s="3"/>
      <c r="P580" s="4"/>
      <c r="Q580" s="5"/>
    </row>
    <row r="581" spans="13:17" x14ac:dyDescent="0.2">
      <c r="M581" s="3"/>
      <c r="P581" s="4"/>
      <c r="Q581" s="5"/>
    </row>
    <row r="582" spans="13:17" x14ac:dyDescent="0.2">
      <c r="M582" s="3"/>
      <c r="P582" s="4"/>
      <c r="Q582" s="5"/>
    </row>
    <row r="583" spans="13:17" x14ac:dyDescent="0.2">
      <c r="M583" s="3"/>
      <c r="P583" s="4"/>
      <c r="Q583" s="5"/>
    </row>
    <row r="584" spans="13:17" x14ac:dyDescent="0.2">
      <c r="M584" s="3"/>
      <c r="P584" s="4"/>
      <c r="Q584" s="5"/>
    </row>
    <row r="585" spans="13:17" x14ac:dyDescent="0.2">
      <c r="M585" s="3"/>
      <c r="P585" s="4"/>
      <c r="Q585" s="5"/>
    </row>
    <row r="586" spans="13:17" x14ac:dyDescent="0.2">
      <c r="M586" s="3"/>
      <c r="P586" s="4"/>
      <c r="Q586" s="5"/>
    </row>
    <row r="587" spans="13:17" x14ac:dyDescent="0.2">
      <c r="M587" s="3"/>
      <c r="P587" s="4"/>
      <c r="Q587" s="5"/>
    </row>
    <row r="588" spans="13:17" x14ac:dyDescent="0.2">
      <c r="M588" s="3"/>
      <c r="P588" s="4"/>
      <c r="Q588" s="5"/>
    </row>
    <row r="589" spans="13:17" x14ac:dyDescent="0.2">
      <c r="M589" s="3"/>
      <c r="P589" s="4"/>
      <c r="Q589" s="5"/>
    </row>
    <row r="590" spans="13:17" x14ac:dyDescent="0.2">
      <c r="M590" s="3"/>
      <c r="P590" s="4"/>
      <c r="Q590" s="5"/>
    </row>
    <row r="591" spans="13:17" x14ac:dyDescent="0.2">
      <c r="M591" s="3"/>
      <c r="P591" s="4"/>
      <c r="Q591" s="5"/>
    </row>
    <row r="592" spans="13:17" x14ac:dyDescent="0.2">
      <c r="M592" s="3"/>
      <c r="P592" s="4"/>
      <c r="Q592" s="5"/>
    </row>
    <row r="593" spans="13:17" x14ac:dyDescent="0.2">
      <c r="M593" s="3"/>
      <c r="P593" s="4"/>
      <c r="Q593" s="5"/>
    </row>
    <row r="594" spans="13:17" x14ac:dyDescent="0.2">
      <c r="M594" s="3"/>
      <c r="P594" s="4"/>
      <c r="Q594" s="5"/>
    </row>
    <row r="595" spans="13:17" x14ac:dyDescent="0.2">
      <c r="M595" s="3"/>
      <c r="P595" s="4"/>
      <c r="Q595" s="5"/>
    </row>
    <row r="596" spans="13:17" x14ac:dyDescent="0.2">
      <c r="M596" s="3"/>
      <c r="P596" s="4"/>
      <c r="Q596" s="5"/>
    </row>
    <row r="597" spans="13:17" x14ac:dyDescent="0.2">
      <c r="M597" s="3"/>
      <c r="P597" s="4"/>
      <c r="Q597" s="5"/>
    </row>
    <row r="598" spans="13:17" x14ac:dyDescent="0.2">
      <c r="M598" s="3"/>
      <c r="P598" s="4"/>
      <c r="Q598" s="5"/>
    </row>
    <row r="599" spans="13:17" x14ac:dyDescent="0.2">
      <c r="M599" s="3"/>
      <c r="P599" s="4"/>
      <c r="Q599" s="5"/>
    </row>
    <row r="600" spans="13:17" x14ac:dyDescent="0.2">
      <c r="M600" s="3"/>
      <c r="P600" s="4"/>
      <c r="Q600" s="5"/>
    </row>
    <row r="601" spans="13:17" x14ac:dyDescent="0.2">
      <c r="M601" s="3"/>
      <c r="P601" s="4"/>
      <c r="Q601" s="5"/>
    </row>
    <row r="602" spans="13:17" x14ac:dyDescent="0.2">
      <c r="M602" s="3"/>
      <c r="P602" s="4"/>
      <c r="Q602" s="5"/>
    </row>
    <row r="603" spans="13:17" x14ac:dyDescent="0.2">
      <c r="M603" s="3"/>
      <c r="P603" s="4"/>
      <c r="Q603" s="5"/>
    </row>
    <row r="604" spans="13:17" x14ac:dyDescent="0.2">
      <c r="M604" s="3"/>
      <c r="P604" s="4"/>
      <c r="Q604" s="5"/>
    </row>
    <row r="605" spans="13:17" x14ac:dyDescent="0.2">
      <c r="M605" s="3"/>
      <c r="P605" s="4"/>
      <c r="Q605" s="5"/>
    </row>
    <row r="606" spans="13:17" x14ac:dyDescent="0.2">
      <c r="M606" s="3"/>
      <c r="P606" s="4"/>
      <c r="Q606" s="5"/>
    </row>
    <row r="607" spans="13:17" x14ac:dyDescent="0.2">
      <c r="M607" s="3"/>
      <c r="P607" s="4"/>
      <c r="Q607" s="5"/>
    </row>
    <row r="608" spans="13:17" x14ac:dyDescent="0.2">
      <c r="M608" s="3"/>
      <c r="P608" s="4"/>
      <c r="Q608" s="5"/>
    </row>
    <row r="609" spans="13:17" x14ac:dyDescent="0.2">
      <c r="M609" s="3"/>
      <c r="P609" s="4"/>
      <c r="Q609" s="5"/>
    </row>
    <row r="610" spans="13:17" x14ac:dyDescent="0.2">
      <c r="M610" s="3"/>
      <c r="P610" s="4"/>
      <c r="Q610" s="5"/>
    </row>
    <row r="611" spans="13:17" x14ac:dyDescent="0.2">
      <c r="M611" s="3"/>
      <c r="P611" s="4"/>
      <c r="Q611" s="5"/>
    </row>
    <row r="612" spans="13:17" x14ac:dyDescent="0.2">
      <c r="M612" s="3"/>
      <c r="P612" s="4"/>
      <c r="Q612" s="5"/>
    </row>
    <row r="613" spans="13:17" x14ac:dyDescent="0.2">
      <c r="M613" s="3"/>
      <c r="P613" s="4"/>
      <c r="Q613" s="5"/>
    </row>
    <row r="614" spans="13:17" x14ac:dyDescent="0.2">
      <c r="M614" s="3"/>
      <c r="P614" s="4"/>
      <c r="Q614" s="5"/>
    </row>
    <row r="615" spans="13:17" x14ac:dyDescent="0.2">
      <c r="M615" s="3"/>
      <c r="P615" s="4"/>
      <c r="Q615" s="5"/>
    </row>
    <row r="616" spans="13:17" x14ac:dyDescent="0.2">
      <c r="M616" s="3"/>
      <c r="P616" s="4"/>
      <c r="Q616" s="5"/>
    </row>
    <row r="617" spans="13:17" x14ac:dyDescent="0.2">
      <c r="M617" s="3"/>
      <c r="P617" s="4"/>
      <c r="Q617" s="5"/>
    </row>
    <row r="618" spans="13:17" x14ac:dyDescent="0.2">
      <c r="M618" s="3"/>
      <c r="P618" s="4"/>
      <c r="Q618" s="5"/>
    </row>
    <row r="619" spans="13:17" x14ac:dyDescent="0.2">
      <c r="M619" s="3"/>
      <c r="P619" s="4"/>
      <c r="Q619" s="5"/>
    </row>
    <row r="620" spans="13:17" x14ac:dyDescent="0.2">
      <c r="M620" s="3"/>
      <c r="P620" s="4"/>
      <c r="Q620" s="5"/>
    </row>
    <row r="621" spans="13:17" x14ac:dyDescent="0.2">
      <c r="M621" s="3"/>
      <c r="P621" s="4"/>
      <c r="Q621" s="5"/>
    </row>
    <row r="622" spans="13:17" x14ac:dyDescent="0.2">
      <c r="M622" s="3"/>
      <c r="P622" s="4"/>
      <c r="Q622" s="5"/>
    </row>
    <row r="623" spans="13:17" x14ac:dyDescent="0.2">
      <c r="M623" s="3"/>
      <c r="P623" s="4"/>
      <c r="Q623" s="5"/>
    </row>
    <row r="624" spans="13:17" x14ac:dyDescent="0.2">
      <c r="M624" s="3"/>
      <c r="P624" s="4"/>
      <c r="Q624" s="5"/>
    </row>
    <row r="625" spans="13:17" x14ac:dyDescent="0.2">
      <c r="M625" s="3"/>
      <c r="P625" s="4"/>
      <c r="Q625" s="5"/>
    </row>
    <row r="626" spans="13:17" x14ac:dyDescent="0.2">
      <c r="M626" s="3"/>
      <c r="P626" s="4"/>
      <c r="Q626" s="5"/>
    </row>
    <row r="627" spans="13:17" x14ac:dyDescent="0.2">
      <c r="M627" s="3"/>
      <c r="P627" s="4"/>
      <c r="Q627" s="5"/>
    </row>
    <row r="628" spans="13:17" x14ac:dyDescent="0.2">
      <c r="M628" s="3"/>
      <c r="P628" s="4"/>
      <c r="Q628" s="5"/>
    </row>
    <row r="629" spans="13:17" x14ac:dyDescent="0.2">
      <c r="M629" s="3"/>
      <c r="P629" s="4"/>
      <c r="Q629" s="5"/>
    </row>
    <row r="630" spans="13:17" x14ac:dyDescent="0.2">
      <c r="M630" s="3"/>
      <c r="P630" s="4"/>
      <c r="Q630" s="5"/>
    </row>
    <row r="631" spans="13:17" x14ac:dyDescent="0.2">
      <c r="M631" s="3"/>
      <c r="P631" s="4"/>
      <c r="Q631" s="5"/>
    </row>
    <row r="632" spans="13:17" x14ac:dyDescent="0.2">
      <c r="M632" s="3"/>
      <c r="P632" s="4"/>
      <c r="Q632" s="5"/>
    </row>
    <row r="633" spans="13:17" x14ac:dyDescent="0.2">
      <c r="M633" s="3"/>
      <c r="P633" s="4"/>
      <c r="Q633" s="5"/>
    </row>
    <row r="634" spans="13:17" x14ac:dyDescent="0.2">
      <c r="M634" s="3"/>
      <c r="P634" s="4"/>
      <c r="Q634" s="5"/>
    </row>
    <row r="635" spans="13:17" x14ac:dyDescent="0.2">
      <c r="M635" s="3"/>
      <c r="P635" s="4"/>
      <c r="Q635" s="5"/>
    </row>
    <row r="636" spans="13:17" x14ac:dyDescent="0.2">
      <c r="M636" s="3"/>
      <c r="P636" s="4"/>
      <c r="Q636" s="5"/>
    </row>
    <row r="637" spans="13:17" x14ac:dyDescent="0.2">
      <c r="M637" s="3"/>
      <c r="P637" s="4"/>
      <c r="Q637" s="5"/>
    </row>
    <row r="638" spans="13:17" x14ac:dyDescent="0.2">
      <c r="M638" s="3"/>
      <c r="P638" s="4"/>
      <c r="Q638" s="5"/>
    </row>
    <row r="639" spans="13:17" x14ac:dyDescent="0.2">
      <c r="M639" s="3"/>
      <c r="P639" s="4"/>
      <c r="Q639" s="5"/>
    </row>
    <row r="640" spans="13:17" x14ac:dyDescent="0.2">
      <c r="M640" s="3"/>
      <c r="P640" s="4"/>
      <c r="Q640" s="5"/>
    </row>
    <row r="641" spans="13:17" x14ac:dyDescent="0.2">
      <c r="M641" s="3"/>
      <c r="P641" s="4"/>
      <c r="Q641" s="5"/>
    </row>
    <row r="642" spans="13:17" x14ac:dyDescent="0.2">
      <c r="M642" s="3"/>
      <c r="P642" s="4"/>
      <c r="Q642" s="5"/>
    </row>
    <row r="643" spans="13:17" x14ac:dyDescent="0.2">
      <c r="M643" s="3"/>
      <c r="P643" s="4"/>
      <c r="Q643" s="5"/>
    </row>
    <row r="644" spans="13:17" x14ac:dyDescent="0.2">
      <c r="M644" s="3"/>
      <c r="P644" s="4"/>
      <c r="Q644" s="5"/>
    </row>
    <row r="645" spans="13:17" x14ac:dyDescent="0.2">
      <c r="M645" s="3"/>
      <c r="P645" s="4"/>
      <c r="Q645" s="5"/>
    </row>
    <row r="646" spans="13:17" x14ac:dyDescent="0.2">
      <c r="M646" s="3"/>
      <c r="P646" s="4"/>
      <c r="Q646" s="5"/>
    </row>
    <row r="647" spans="13:17" x14ac:dyDescent="0.2">
      <c r="M647" s="3"/>
      <c r="P647" s="4"/>
      <c r="Q647" s="5"/>
    </row>
    <row r="648" spans="13:17" x14ac:dyDescent="0.2">
      <c r="M648" s="3"/>
      <c r="P648" s="4"/>
      <c r="Q648" s="5"/>
    </row>
    <row r="649" spans="13:17" x14ac:dyDescent="0.2">
      <c r="M649" s="3"/>
      <c r="P649" s="4"/>
      <c r="Q649" s="5"/>
    </row>
    <row r="650" spans="13:17" x14ac:dyDescent="0.2">
      <c r="M650" s="3"/>
      <c r="P650" s="4"/>
      <c r="Q650" s="5"/>
    </row>
    <row r="651" spans="13:17" x14ac:dyDescent="0.2">
      <c r="M651" s="3"/>
      <c r="P651" s="4"/>
      <c r="Q651" s="5"/>
    </row>
    <row r="652" spans="13:17" x14ac:dyDescent="0.2">
      <c r="M652" s="3"/>
      <c r="P652" s="4"/>
      <c r="Q652" s="5"/>
    </row>
    <row r="653" spans="13:17" x14ac:dyDescent="0.2">
      <c r="M653" s="3"/>
      <c r="P653" s="4"/>
      <c r="Q653" s="5"/>
    </row>
    <row r="654" spans="13:17" x14ac:dyDescent="0.2">
      <c r="M654" s="3"/>
      <c r="P654" s="4"/>
      <c r="Q654" s="5"/>
    </row>
    <row r="655" spans="13:17" x14ac:dyDescent="0.2">
      <c r="M655" s="3"/>
      <c r="P655" s="4"/>
      <c r="Q655" s="5"/>
    </row>
    <row r="656" spans="13:17" x14ac:dyDescent="0.2">
      <c r="M656" s="3"/>
      <c r="P656" s="4"/>
      <c r="Q656" s="5"/>
    </row>
    <row r="657" spans="13:17" x14ac:dyDescent="0.2">
      <c r="M657" s="3"/>
      <c r="P657" s="4"/>
      <c r="Q657" s="5"/>
    </row>
    <row r="658" spans="13:17" x14ac:dyDescent="0.2">
      <c r="M658" s="3"/>
      <c r="P658" s="4"/>
      <c r="Q658" s="5"/>
    </row>
    <row r="659" spans="13:17" x14ac:dyDescent="0.2">
      <c r="M659" s="3"/>
      <c r="P659" s="4"/>
      <c r="Q659" s="5"/>
    </row>
    <row r="660" spans="13:17" x14ac:dyDescent="0.2">
      <c r="M660" s="3"/>
      <c r="P660" s="4"/>
      <c r="Q660" s="5"/>
    </row>
    <row r="661" spans="13:17" x14ac:dyDescent="0.2">
      <c r="M661" s="3"/>
      <c r="P661" s="4"/>
      <c r="Q661" s="5"/>
    </row>
    <row r="662" spans="13:17" x14ac:dyDescent="0.2">
      <c r="M662" s="3"/>
      <c r="P662" s="4"/>
      <c r="Q662" s="5"/>
    </row>
    <row r="663" spans="13:17" x14ac:dyDescent="0.2">
      <c r="M663" s="3"/>
      <c r="P663" s="4"/>
      <c r="Q663" s="5"/>
    </row>
    <row r="664" spans="13:17" x14ac:dyDescent="0.2">
      <c r="M664" s="3"/>
      <c r="P664" s="4"/>
      <c r="Q664" s="5"/>
    </row>
    <row r="665" spans="13:17" x14ac:dyDescent="0.2">
      <c r="M665" s="3"/>
      <c r="P665" s="4"/>
      <c r="Q665" s="5"/>
    </row>
    <row r="666" spans="13:17" x14ac:dyDescent="0.2">
      <c r="M666" s="3"/>
      <c r="P666" s="4"/>
      <c r="Q666" s="5"/>
    </row>
    <row r="667" spans="13:17" x14ac:dyDescent="0.2">
      <c r="M667" s="3"/>
      <c r="P667" s="4"/>
      <c r="Q667" s="5"/>
    </row>
    <row r="668" spans="13:17" x14ac:dyDescent="0.2">
      <c r="M668" s="3"/>
      <c r="P668" s="4"/>
      <c r="Q668" s="5"/>
    </row>
    <row r="669" spans="13:17" x14ac:dyDescent="0.2">
      <c r="M669" s="3"/>
      <c r="P669" s="4"/>
      <c r="Q669" s="5"/>
    </row>
    <row r="670" spans="13:17" x14ac:dyDescent="0.2">
      <c r="M670" s="3"/>
      <c r="P670" s="4"/>
      <c r="Q670" s="5"/>
    </row>
    <row r="671" spans="13:17" x14ac:dyDescent="0.2">
      <c r="M671" s="3"/>
      <c r="P671" s="4"/>
      <c r="Q671" s="5"/>
    </row>
    <row r="672" spans="13:17" x14ac:dyDescent="0.2">
      <c r="M672" s="3"/>
      <c r="P672" s="4"/>
      <c r="Q672" s="5"/>
    </row>
    <row r="673" spans="13:17" x14ac:dyDescent="0.2">
      <c r="M673" s="3"/>
      <c r="P673" s="4"/>
      <c r="Q673" s="5"/>
    </row>
    <row r="674" spans="13:17" x14ac:dyDescent="0.2">
      <c r="M674" s="3"/>
      <c r="P674" s="4"/>
      <c r="Q674" s="5"/>
    </row>
    <row r="675" spans="13:17" x14ac:dyDescent="0.2">
      <c r="M675" s="3"/>
      <c r="P675" s="4"/>
      <c r="Q675" s="5"/>
    </row>
    <row r="676" spans="13:17" x14ac:dyDescent="0.2">
      <c r="M676" s="3"/>
      <c r="P676" s="4"/>
      <c r="Q676" s="5"/>
    </row>
    <row r="677" spans="13:17" x14ac:dyDescent="0.2">
      <c r="M677" s="3"/>
      <c r="P677" s="4"/>
      <c r="Q677" s="5"/>
    </row>
    <row r="678" spans="13:17" x14ac:dyDescent="0.2">
      <c r="M678" s="3"/>
      <c r="P678" s="4"/>
      <c r="Q678" s="5"/>
    </row>
    <row r="679" spans="13:17" x14ac:dyDescent="0.2">
      <c r="M679" s="3"/>
      <c r="P679" s="4"/>
      <c r="Q679" s="5"/>
    </row>
    <row r="680" spans="13:17" x14ac:dyDescent="0.2">
      <c r="M680" s="3"/>
      <c r="P680" s="4"/>
      <c r="Q680" s="5"/>
    </row>
    <row r="681" spans="13:17" x14ac:dyDescent="0.2">
      <c r="M681" s="3"/>
      <c r="P681" s="4"/>
      <c r="Q681" s="5"/>
    </row>
    <row r="682" spans="13:17" x14ac:dyDescent="0.2">
      <c r="M682" s="3"/>
      <c r="P682" s="4"/>
      <c r="Q682" s="5"/>
    </row>
    <row r="683" spans="13:17" x14ac:dyDescent="0.2">
      <c r="M683" s="3"/>
      <c r="P683" s="4"/>
      <c r="Q683" s="5"/>
    </row>
    <row r="684" spans="13:17" x14ac:dyDescent="0.2">
      <c r="M684" s="3"/>
      <c r="P684" s="4"/>
      <c r="Q684" s="5"/>
    </row>
    <row r="685" spans="13:17" x14ac:dyDescent="0.2">
      <c r="M685" s="3"/>
      <c r="P685" s="4"/>
      <c r="Q685" s="5"/>
    </row>
    <row r="686" spans="13:17" x14ac:dyDescent="0.2">
      <c r="M686" s="3"/>
      <c r="P686" s="4"/>
      <c r="Q686" s="5"/>
    </row>
    <row r="687" spans="13:17" x14ac:dyDescent="0.2">
      <c r="M687" s="3"/>
      <c r="P687" s="4"/>
      <c r="Q687" s="5"/>
    </row>
    <row r="688" spans="13:17" x14ac:dyDescent="0.2">
      <c r="M688" s="3"/>
      <c r="P688" s="4"/>
      <c r="Q688" s="5"/>
    </row>
    <row r="689" spans="13:17" x14ac:dyDescent="0.2">
      <c r="M689" s="3"/>
      <c r="P689" s="4"/>
      <c r="Q689" s="5"/>
    </row>
    <row r="690" spans="13:17" x14ac:dyDescent="0.2">
      <c r="M690" s="3"/>
      <c r="P690" s="4"/>
      <c r="Q690" s="5"/>
    </row>
    <row r="691" spans="13:17" x14ac:dyDescent="0.2">
      <c r="M691" s="3"/>
      <c r="P691" s="4"/>
      <c r="Q691" s="5"/>
    </row>
    <row r="692" spans="13:17" x14ac:dyDescent="0.2">
      <c r="M692" s="3"/>
      <c r="P692" s="4"/>
      <c r="Q692" s="5"/>
    </row>
    <row r="693" spans="13:17" x14ac:dyDescent="0.2">
      <c r="M693" s="3"/>
      <c r="P693" s="4"/>
      <c r="Q693" s="5"/>
    </row>
    <row r="694" spans="13:17" x14ac:dyDescent="0.2">
      <c r="M694" s="3"/>
      <c r="P694" s="4"/>
      <c r="Q694" s="5"/>
    </row>
    <row r="695" spans="13:17" x14ac:dyDescent="0.2">
      <c r="M695" s="3"/>
      <c r="P695" s="4"/>
      <c r="Q695" s="5"/>
    </row>
    <row r="696" spans="13:17" x14ac:dyDescent="0.2">
      <c r="M696" s="3"/>
      <c r="P696" s="4"/>
      <c r="Q696" s="5"/>
    </row>
    <row r="697" spans="13:17" x14ac:dyDescent="0.2">
      <c r="M697" s="3"/>
      <c r="P697" s="4"/>
      <c r="Q697" s="5"/>
    </row>
    <row r="698" spans="13:17" x14ac:dyDescent="0.2">
      <c r="M698" s="3"/>
      <c r="P698" s="4"/>
      <c r="Q698" s="5"/>
    </row>
    <row r="699" spans="13:17" x14ac:dyDescent="0.2">
      <c r="M699" s="3"/>
      <c r="P699" s="4"/>
      <c r="Q699" s="5"/>
    </row>
    <row r="700" spans="13:17" x14ac:dyDescent="0.2">
      <c r="M700" s="3"/>
      <c r="P700" s="4"/>
      <c r="Q700" s="5"/>
    </row>
    <row r="701" spans="13:17" x14ac:dyDescent="0.2">
      <c r="M701" s="3"/>
      <c r="P701" s="4"/>
      <c r="Q701" s="5"/>
    </row>
    <row r="702" spans="13:17" x14ac:dyDescent="0.2">
      <c r="M702" s="3"/>
      <c r="P702" s="4"/>
      <c r="Q702" s="5"/>
    </row>
    <row r="703" spans="13:17" x14ac:dyDescent="0.2">
      <c r="M703" s="3"/>
      <c r="P703" s="4"/>
      <c r="Q703" s="5"/>
    </row>
    <row r="704" spans="13:17" x14ac:dyDescent="0.2">
      <c r="M704" s="3"/>
      <c r="P704" s="4"/>
      <c r="Q704" s="5"/>
    </row>
    <row r="705" spans="13:17" x14ac:dyDescent="0.2">
      <c r="M705" s="3"/>
      <c r="P705" s="4"/>
      <c r="Q705" s="5"/>
    </row>
    <row r="706" spans="13:17" x14ac:dyDescent="0.2">
      <c r="M706" s="3"/>
      <c r="P706" s="4"/>
      <c r="Q706" s="5"/>
    </row>
    <row r="707" spans="13:17" x14ac:dyDescent="0.2">
      <c r="M707" s="3"/>
      <c r="P707" s="4"/>
      <c r="Q707" s="5"/>
    </row>
    <row r="708" spans="13:17" x14ac:dyDescent="0.2">
      <c r="M708" s="3"/>
      <c r="P708" s="4"/>
      <c r="Q708" s="5"/>
    </row>
    <row r="709" spans="13:17" x14ac:dyDescent="0.2">
      <c r="M709" s="3"/>
      <c r="P709" s="4"/>
      <c r="Q709" s="5"/>
    </row>
    <row r="710" spans="13:17" x14ac:dyDescent="0.2">
      <c r="M710" s="3"/>
      <c r="P710" s="4"/>
      <c r="Q710" s="5"/>
    </row>
    <row r="711" spans="13:17" x14ac:dyDescent="0.2">
      <c r="M711" s="3"/>
      <c r="P711" s="4"/>
      <c r="Q711" s="5"/>
    </row>
    <row r="712" spans="13:17" x14ac:dyDescent="0.2">
      <c r="M712" s="3"/>
      <c r="P712" s="4"/>
      <c r="Q712" s="5"/>
    </row>
    <row r="713" spans="13:17" x14ac:dyDescent="0.2">
      <c r="M713" s="3"/>
      <c r="P713" s="4"/>
      <c r="Q713" s="5"/>
    </row>
    <row r="714" spans="13:17" x14ac:dyDescent="0.2">
      <c r="M714" s="3"/>
      <c r="P714" s="4"/>
      <c r="Q714" s="5"/>
    </row>
    <row r="715" spans="13:17" x14ac:dyDescent="0.2">
      <c r="M715" s="3"/>
      <c r="P715" s="4"/>
      <c r="Q715" s="5"/>
    </row>
    <row r="716" spans="13:17" x14ac:dyDescent="0.2">
      <c r="M716" s="3"/>
      <c r="P716" s="4"/>
      <c r="Q716" s="5"/>
    </row>
    <row r="717" spans="13:17" x14ac:dyDescent="0.2">
      <c r="M717" s="3"/>
      <c r="P717" s="4"/>
      <c r="Q717" s="5"/>
    </row>
    <row r="718" spans="13:17" x14ac:dyDescent="0.2">
      <c r="M718" s="3"/>
      <c r="P718" s="4"/>
      <c r="Q718" s="5"/>
    </row>
    <row r="719" spans="13:17" x14ac:dyDescent="0.2">
      <c r="M719" s="3"/>
      <c r="P719" s="4"/>
      <c r="Q719" s="5"/>
    </row>
    <row r="720" spans="13:17" x14ac:dyDescent="0.2">
      <c r="M720" s="3"/>
      <c r="P720" s="4"/>
      <c r="Q720" s="5"/>
    </row>
    <row r="721" spans="13:17" x14ac:dyDescent="0.2">
      <c r="M721" s="3"/>
      <c r="P721" s="4"/>
      <c r="Q721" s="5"/>
    </row>
    <row r="722" spans="13:17" x14ac:dyDescent="0.2">
      <c r="M722" s="3"/>
      <c r="P722" s="4"/>
      <c r="Q722" s="5"/>
    </row>
    <row r="723" spans="13:17" x14ac:dyDescent="0.2">
      <c r="M723" s="3"/>
      <c r="P723" s="4"/>
      <c r="Q723" s="5"/>
    </row>
    <row r="724" spans="13:17" x14ac:dyDescent="0.2">
      <c r="M724" s="3"/>
      <c r="P724" s="4"/>
      <c r="Q724" s="5"/>
    </row>
    <row r="725" spans="13:17" x14ac:dyDescent="0.2">
      <c r="M725" s="3"/>
      <c r="P725" s="4"/>
      <c r="Q725" s="5"/>
    </row>
    <row r="726" spans="13:17" x14ac:dyDescent="0.2">
      <c r="M726" s="3"/>
      <c r="P726" s="4"/>
      <c r="Q726" s="5"/>
    </row>
    <row r="727" spans="13:17" x14ac:dyDescent="0.2">
      <c r="M727" s="3"/>
      <c r="P727" s="4"/>
      <c r="Q727" s="5"/>
    </row>
    <row r="728" spans="13:17" x14ac:dyDescent="0.2">
      <c r="M728" s="3"/>
      <c r="P728" s="4"/>
      <c r="Q728" s="5"/>
    </row>
    <row r="729" spans="13:17" x14ac:dyDescent="0.2">
      <c r="M729" s="3"/>
      <c r="P729" s="4"/>
      <c r="Q729" s="5"/>
    </row>
    <row r="730" spans="13:17" x14ac:dyDescent="0.2">
      <c r="M730" s="3"/>
      <c r="P730" s="4"/>
      <c r="Q730" s="5"/>
    </row>
    <row r="731" spans="13:17" x14ac:dyDescent="0.2">
      <c r="M731" s="3"/>
      <c r="P731" s="4"/>
      <c r="Q731" s="5"/>
    </row>
    <row r="732" spans="13:17" x14ac:dyDescent="0.2">
      <c r="M732" s="3"/>
      <c r="P732" s="4"/>
      <c r="Q732" s="5"/>
    </row>
    <row r="733" spans="13:17" x14ac:dyDescent="0.2">
      <c r="M733" s="3"/>
      <c r="P733" s="4"/>
      <c r="Q733" s="5"/>
    </row>
    <row r="734" spans="13:17" x14ac:dyDescent="0.2">
      <c r="M734" s="3"/>
      <c r="P734" s="4"/>
      <c r="Q734" s="5"/>
    </row>
    <row r="735" spans="13:17" x14ac:dyDescent="0.2">
      <c r="M735" s="3"/>
      <c r="P735" s="4"/>
      <c r="Q735" s="5"/>
    </row>
    <row r="736" spans="13:17" x14ac:dyDescent="0.2">
      <c r="M736" s="3"/>
      <c r="P736" s="4"/>
      <c r="Q736" s="5"/>
    </row>
    <row r="737" spans="13:17" x14ac:dyDescent="0.2">
      <c r="M737" s="3"/>
      <c r="P737" s="4"/>
      <c r="Q737" s="5"/>
    </row>
    <row r="738" spans="13:17" x14ac:dyDescent="0.2">
      <c r="M738" s="3"/>
      <c r="P738" s="4"/>
      <c r="Q738" s="5"/>
    </row>
    <row r="739" spans="13:17" x14ac:dyDescent="0.2">
      <c r="M739" s="3"/>
      <c r="P739" s="4"/>
      <c r="Q739" s="5"/>
    </row>
    <row r="740" spans="13:17" x14ac:dyDescent="0.2">
      <c r="M740" s="3"/>
      <c r="P740" s="4"/>
      <c r="Q740" s="5"/>
    </row>
    <row r="741" spans="13:17" x14ac:dyDescent="0.2">
      <c r="M741" s="3"/>
      <c r="P741" s="4"/>
      <c r="Q741" s="5"/>
    </row>
    <row r="742" spans="13:17" x14ac:dyDescent="0.2">
      <c r="M742" s="3"/>
      <c r="P742" s="4"/>
      <c r="Q742" s="5"/>
    </row>
    <row r="743" spans="13:17" x14ac:dyDescent="0.2">
      <c r="M743" s="3"/>
      <c r="P743" s="4"/>
      <c r="Q743" s="5"/>
    </row>
    <row r="744" spans="13:17" x14ac:dyDescent="0.2">
      <c r="M744" s="3"/>
      <c r="P744" s="4"/>
      <c r="Q744" s="5"/>
    </row>
    <row r="745" spans="13:17" x14ac:dyDescent="0.2">
      <c r="M745" s="3"/>
      <c r="P745" s="4"/>
      <c r="Q745" s="5"/>
    </row>
    <row r="746" spans="13:17" x14ac:dyDescent="0.2">
      <c r="M746" s="3"/>
      <c r="P746" s="4"/>
      <c r="Q746" s="5"/>
    </row>
    <row r="747" spans="13:17" x14ac:dyDescent="0.2">
      <c r="M747" s="3"/>
      <c r="P747" s="4"/>
      <c r="Q747" s="5"/>
    </row>
    <row r="748" spans="13:17" x14ac:dyDescent="0.2">
      <c r="M748" s="3"/>
      <c r="P748" s="4"/>
      <c r="Q748" s="5"/>
    </row>
    <row r="749" spans="13:17" x14ac:dyDescent="0.2">
      <c r="M749" s="3"/>
      <c r="P749" s="4"/>
      <c r="Q749" s="5"/>
    </row>
    <row r="750" spans="13:17" x14ac:dyDescent="0.2">
      <c r="M750" s="3"/>
      <c r="P750" s="4"/>
      <c r="Q750" s="5"/>
    </row>
    <row r="751" spans="13:17" x14ac:dyDescent="0.2">
      <c r="M751" s="3"/>
      <c r="P751" s="4"/>
      <c r="Q751" s="5"/>
    </row>
    <row r="752" spans="13:17" x14ac:dyDescent="0.2">
      <c r="M752" s="3"/>
      <c r="P752" s="4"/>
      <c r="Q752" s="5"/>
    </row>
    <row r="753" spans="13:17" x14ac:dyDescent="0.2">
      <c r="M753" s="3"/>
      <c r="P753" s="4"/>
      <c r="Q753" s="5"/>
    </row>
    <row r="754" spans="13:17" x14ac:dyDescent="0.2">
      <c r="M754" s="3"/>
      <c r="P754" s="4"/>
      <c r="Q754" s="5"/>
    </row>
    <row r="755" spans="13:17" x14ac:dyDescent="0.2">
      <c r="M755" s="3"/>
      <c r="P755" s="4"/>
      <c r="Q755" s="5"/>
    </row>
    <row r="756" spans="13:17" x14ac:dyDescent="0.2">
      <c r="M756" s="3"/>
      <c r="P756" s="4"/>
      <c r="Q756" s="5"/>
    </row>
    <row r="757" spans="13:17" x14ac:dyDescent="0.2">
      <c r="M757" s="3"/>
      <c r="P757" s="4"/>
      <c r="Q757" s="5"/>
    </row>
    <row r="758" spans="13:17" x14ac:dyDescent="0.2">
      <c r="M758" s="3"/>
      <c r="P758" s="4"/>
      <c r="Q758" s="5"/>
    </row>
    <row r="759" spans="13:17" x14ac:dyDescent="0.2">
      <c r="M759" s="3"/>
      <c r="P759" s="4"/>
      <c r="Q759" s="5"/>
    </row>
    <row r="760" spans="13:17" x14ac:dyDescent="0.2">
      <c r="M760" s="3"/>
      <c r="P760" s="4"/>
      <c r="Q760" s="5"/>
    </row>
    <row r="761" spans="13:17" x14ac:dyDescent="0.2">
      <c r="M761" s="3"/>
      <c r="P761" s="4"/>
      <c r="Q761" s="5"/>
    </row>
    <row r="762" spans="13:17" x14ac:dyDescent="0.2">
      <c r="M762" s="3"/>
      <c r="P762" s="4"/>
      <c r="Q762" s="5"/>
    </row>
    <row r="763" spans="13:17" x14ac:dyDescent="0.2">
      <c r="M763" s="3"/>
      <c r="P763" s="4"/>
      <c r="Q763" s="5"/>
    </row>
    <row r="764" spans="13:17" x14ac:dyDescent="0.2">
      <c r="M764" s="3"/>
      <c r="P764" s="4"/>
      <c r="Q764" s="5"/>
    </row>
    <row r="765" spans="13:17" x14ac:dyDescent="0.2">
      <c r="M765" s="3"/>
      <c r="P765" s="4"/>
      <c r="Q765" s="5"/>
    </row>
    <row r="766" spans="13:17" x14ac:dyDescent="0.2">
      <c r="M766" s="3"/>
      <c r="P766" s="4"/>
      <c r="Q766" s="5"/>
    </row>
    <row r="767" spans="13:17" x14ac:dyDescent="0.2">
      <c r="M767" s="3"/>
      <c r="P767" s="4"/>
      <c r="Q767" s="5"/>
    </row>
    <row r="768" spans="13:17" x14ac:dyDescent="0.2">
      <c r="M768" s="3"/>
      <c r="P768" s="4"/>
      <c r="Q768" s="5"/>
    </row>
    <row r="769" spans="13:17" x14ac:dyDescent="0.2">
      <c r="M769" s="3"/>
      <c r="P769" s="4"/>
      <c r="Q769" s="5"/>
    </row>
    <row r="770" spans="13:17" x14ac:dyDescent="0.2">
      <c r="M770" s="3"/>
      <c r="P770" s="4"/>
      <c r="Q770" s="5"/>
    </row>
    <row r="771" spans="13:17" x14ac:dyDescent="0.2">
      <c r="M771" s="3"/>
      <c r="P771" s="4"/>
      <c r="Q771" s="5"/>
    </row>
    <row r="772" spans="13:17" x14ac:dyDescent="0.2">
      <c r="M772" s="3"/>
      <c r="P772" s="4"/>
      <c r="Q772" s="5"/>
    </row>
    <row r="773" spans="13:17" x14ac:dyDescent="0.2">
      <c r="M773" s="3"/>
      <c r="P773" s="4"/>
      <c r="Q773" s="5"/>
    </row>
    <row r="774" spans="13:17" x14ac:dyDescent="0.2">
      <c r="M774" s="3"/>
      <c r="P774" s="4"/>
      <c r="Q774" s="5"/>
    </row>
    <row r="775" spans="13:17" x14ac:dyDescent="0.2">
      <c r="M775" s="3"/>
      <c r="P775" s="4"/>
      <c r="Q775" s="5"/>
    </row>
    <row r="776" spans="13:17" x14ac:dyDescent="0.2">
      <c r="M776" s="3"/>
      <c r="P776" s="4"/>
      <c r="Q776" s="5"/>
    </row>
    <row r="777" spans="13:17" x14ac:dyDescent="0.2">
      <c r="M777" s="3"/>
      <c r="P777" s="4"/>
      <c r="Q777" s="5"/>
    </row>
    <row r="778" spans="13:17" x14ac:dyDescent="0.2">
      <c r="M778" s="3"/>
      <c r="P778" s="4"/>
      <c r="Q778" s="5"/>
    </row>
    <row r="779" spans="13:17" x14ac:dyDescent="0.2">
      <c r="M779" s="3"/>
      <c r="P779" s="4"/>
      <c r="Q779" s="5"/>
    </row>
    <row r="780" spans="13:17" x14ac:dyDescent="0.2">
      <c r="M780" s="3"/>
      <c r="P780" s="4"/>
      <c r="Q780" s="5"/>
    </row>
    <row r="781" spans="13:17" x14ac:dyDescent="0.2">
      <c r="M781" s="3"/>
      <c r="P781" s="4"/>
      <c r="Q781" s="5"/>
    </row>
    <row r="782" spans="13:17" x14ac:dyDescent="0.2">
      <c r="M782" s="3"/>
      <c r="P782" s="4"/>
      <c r="Q782" s="5"/>
    </row>
    <row r="783" spans="13:17" x14ac:dyDescent="0.2">
      <c r="M783" s="3"/>
      <c r="P783" s="4"/>
      <c r="Q783" s="5"/>
    </row>
    <row r="784" spans="13:17" x14ac:dyDescent="0.2">
      <c r="M784" s="3"/>
      <c r="P784" s="4"/>
      <c r="Q784" s="5"/>
    </row>
    <row r="785" spans="13:17" x14ac:dyDescent="0.2">
      <c r="M785" s="3"/>
      <c r="P785" s="4"/>
      <c r="Q785" s="5"/>
    </row>
    <row r="786" spans="13:17" x14ac:dyDescent="0.2">
      <c r="M786" s="3"/>
      <c r="P786" s="4"/>
      <c r="Q786" s="5"/>
    </row>
    <row r="787" spans="13:17" x14ac:dyDescent="0.2">
      <c r="M787" s="3"/>
      <c r="P787" s="4"/>
      <c r="Q787" s="5"/>
    </row>
    <row r="788" spans="13:17" x14ac:dyDescent="0.2">
      <c r="M788" s="3"/>
      <c r="P788" s="4"/>
      <c r="Q788" s="5"/>
    </row>
    <row r="789" spans="13:17" x14ac:dyDescent="0.2">
      <c r="M789" s="3"/>
      <c r="P789" s="4"/>
      <c r="Q789" s="5"/>
    </row>
    <row r="790" spans="13:17" x14ac:dyDescent="0.2">
      <c r="M790" s="3"/>
      <c r="P790" s="4"/>
      <c r="Q790" s="5"/>
    </row>
    <row r="791" spans="13:17" x14ac:dyDescent="0.2">
      <c r="M791" s="3"/>
      <c r="P791" s="4"/>
      <c r="Q791" s="5"/>
    </row>
    <row r="792" spans="13:17" x14ac:dyDescent="0.2">
      <c r="M792" s="3"/>
      <c r="P792" s="4"/>
      <c r="Q792" s="5"/>
    </row>
    <row r="793" spans="13:17" x14ac:dyDescent="0.2">
      <c r="M793" s="3"/>
      <c r="P793" s="4"/>
      <c r="Q793" s="5"/>
    </row>
    <row r="794" spans="13:17" x14ac:dyDescent="0.2">
      <c r="M794" s="3"/>
      <c r="P794" s="4"/>
      <c r="Q794" s="5"/>
    </row>
    <row r="795" spans="13:17" x14ac:dyDescent="0.2">
      <c r="M795" s="3"/>
      <c r="P795" s="4"/>
      <c r="Q795" s="5"/>
    </row>
    <row r="796" spans="13:17" x14ac:dyDescent="0.2">
      <c r="M796" s="3"/>
      <c r="P796" s="4"/>
      <c r="Q796" s="5"/>
    </row>
    <row r="797" spans="13:17" x14ac:dyDescent="0.2">
      <c r="M797" s="3"/>
      <c r="P797" s="4"/>
      <c r="Q797" s="5"/>
    </row>
    <row r="798" spans="13:17" x14ac:dyDescent="0.2">
      <c r="M798" s="3"/>
      <c r="P798" s="4"/>
      <c r="Q798" s="5"/>
    </row>
    <row r="799" spans="13:17" x14ac:dyDescent="0.2">
      <c r="M799" s="3"/>
      <c r="P799" s="4"/>
      <c r="Q799" s="5"/>
    </row>
    <row r="800" spans="13:17" x14ac:dyDescent="0.2">
      <c r="M800" s="3"/>
      <c r="P800" s="4"/>
      <c r="Q800" s="5"/>
    </row>
    <row r="801" spans="13:17" x14ac:dyDescent="0.2">
      <c r="M801" s="3"/>
      <c r="P801" s="4"/>
      <c r="Q801" s="5"/>
    </row>
    <row r="802" spans="13:17" x14ac:dyDescent="0.2">
      <c r="M802" s="3"/>
      <c r="P802" s="4"/>
      <c r="Q802" s="5"/>
    </row>
    <row r="803" spans="13:17" x14ac:dyDescent="0.2">
      <c r="M803" s="3"/>
      <c r="P803" s="4"/>
      <c r="Q803" s="5"/>
    </row>
    <row r="804" spans="13:17" x14ac:dyDescent="0.2">
      <c r="M804" s="3"/>
      <c r="P804" s="4"/>
      <c r="Q804" s="5"/>
    </row>
    <row r="805" spans="13:17" x14ac:dyDescent="0.2">
      <c r="M805" s="3"/>
      <c r="P805" s="4"/>
      <c r="Q805" s="5"/>
    </row>
    <row r="806" spans="13:17" x14ac:dyDescent="0.2">
      <c r="M806" s="3"/>
      <c r="P806" s="4"/>
      <c r="Q806" s="5"/>
    </row>
    <row r="807" spans="13:17" x14ac:dyDescent="0.2">
      <c r="M807" s="3"/>
      <c r="P807" s="4"/>
      <c r="Q807" s="5"/>
    </row>
    <row r="808" spans="13:17" x14ac:dyDescent="0.2">
      <c r="M808" s="3"/>
      <c r="P808" s="4"/>
      <c r="Q808" s="5"/>
    </row>
    <row r="809" spans="13:17" x14ac:dyDescent="0.2">
      <c r="M809" s="3"/>
      <c r="P809" s="4"/>
      <c r="Q809" s="5"/>
    </row>
    <row r="810" spans="13:17" x14ac:dyDescent="0.2">
      <c r="M810" s="3"/>
      <c r="P810" s="4"/>
      <c r="Q810" s="5"/>
    </row>
    <row r="811" spans="13:17" x14ac:dyDescent="0.2">
      <c r="M811" s="3"/>
      <c r="P811" s="4"/>
      <c r="Q811" s="5"/>
    </row>
    <row r="812" spans="13:17" x14ac:dyDescent="0.2">
      <c r="M812" s="3"/>
      <c r="P812" s="4"/>
      <c r="Q812" s="5"/>
    </row>
    <row r="813" spans="13:17" x14ac:dyDescent="0.2">
      <c r="M813" s="3"/>
      <c r="P813" s="4"/>
      <c r="Q813" s="5"/>
    </row>
    <row r="814" spans="13:17" x14ac:dyDescent="0.2">
      <c r="M814" s="3"/>
      <c r="P814" s="4"/>
      <c r="Q814" s="5"/>
    </row>
    <row r="815" spans="13:17" x14ac:dyDescent="0.2">
      <c r="M815" s="3"/>
      <c r="P815" s="4"/>
      <c r="Q815" s="5"/>
    </row>
    <row r="816" spans="13:17" x14ac:dyDescent="0.2">
      <c r="M816" s="3"/>
      <c r="P816" s="4"/>
      <c r="Q816" s="5"/>
    </row>
    <row r="817" spans="13:17" x14ac:dyDescent="0.2">
      <c r="M817" s="3"/>
      <c r="P817" s="4"/>
      <c r="Q817" s="5"/>
    </row>
    <row r="818" spans="13:17" x14ac:dyDescent="0.2">
      <c r="M818" s="3"/>
      <c r="P818" s="4"/>
      <c r="Q818" s="5"/>
    </row>
    <row r="819" spans="13:17" x14ac:dyDescent="0.2">
      <c r="M819" s="3"/>
      <c r="P819" s="4"/>
      <c r="Q819" s="5"/>
    </row>
    <row r="820" spans="13:17" x14ac:dyDescent="0.2">
      <c r="M820" s="3"/>
      <c r="P820" s="4"/>
      <c r="Q820" s="5"/>
    </row>
    <row r="821" spans="13:17" x14ac:dyDescent="0.2">
      <c r="M821" s="3"/>
      <c r="P821" s="4"/>
      <c r="Q821" s="5"/>
    </row>
    <row r="822" spans="13:17" x14ac:dyDescent="0.2">
      <c r="M822" s="3"/>
      <c r="P822" s="4"/>
      <c r="Q822" s="5"/>
    </row>
    <row r="823" spans="13:17" x14ac:dyDescent="0.2">
      <c r="M823" s="3"/>
      <c r="P823" s="4"/>
      <c r="Q823" s="5"/>
    </row>
    <row r="824" spans="13:17" x14ac:dyDescent="0.2">
      <c r="M824" s="3"/>
      <c r="P824" s="4"/>
      <c r="Q824" s="5"/>
    </row>
    <row r="825" spans="13:17" x14ac:dyDescent="0.2">
      <c r="M825" s="3"/>
      <c r="P825" s="4"/>
      <c r="Q825" s="5"/>
    </row>
    <row r="826" spans="13:17" x14ac:dyDescent="0.2">
      <c r="M826" s="3"/>
      <c r="P826" s="4"/>
      <c r="Q826" s="5"/>
    </row>
    <row r="827" spans="13:17" x14ac:dyDescent="0.2">
      <c r="M827" s="3"/>
      <c r="P827" s="4"/>
      <c r="Q827" s="5"/>
    </row>
    <row r="828" spans="13:17" x14ac:dyDescent="0.2">
      <c r="M828" s="3"/>
      <c r="P828" s="4"/>
      <c r="Q828" s="5"/>
    </row>
    <row r="829" spans="13:17" x14ac:dyDescent="0.2">
      <c r="M829" s="3"/>
      <c r="P829" s="4"/>
      <c r="Q829" s="5"/>
    </row>
    <row r="830" spans="13:17" x14ac:dyDescent="0.2">
      <c r="M830" s="3"/>
      <c r="P830" s="4"/>
      <c r="Q830" s="5"/>
    </row>
    <row r="831" spans="13:17" x14ac:dyDescent="0.2">
      <c r="M831" s="3"/>
      <c r="P831" s="4"/>
      <c r="Q831" s="5"/>
    </row>
    <row r="832" spans="13:17" x14ac:dyDescent="0.2">
      <c r="M832" s="3"/>
      <c r="P832" s="4"/>
      <c r="Q832" s="5"/>
    </row>
    <row r="833" spans="13:17" x14ac:dyDescent="0.2">
      <c r="M833" s="3"/>
      <c r="P833" s="4"/>
      <c r="Q833" s="5"/>
    </row>
    <row r="834" spans="13:17" x14ac:dyDescent="0.2">
      <c r="M834" s="3"/>
      <c r="P834" s="4"/>
      <c r="Q834" s="5"/>
    </row>
    <row r="835" spans="13:17" x14ac:dyDescent="0.2">
      <c r="M835" s="3"/>
      <c r="P835" s="4"/>
      <c r="Q835" s="5"/>
    </row>
    <row r="836" spans="13:17" x14ac:dyDescent="0.2">
      <c r="M836" s="3"/>
      <c r="P836" s="4"/>
      <c r="Q836" s="5"/>
    </row>
    <row r="837" spans="13:17" x14ac:dyDescent="0.2">
      <c r="M837" s="3"/>
      <c r="P837" s="4"/>
      <c r="Q837" s="5"/>
    </row>
    <row r="838" spans="13:17" x14ac:dyDescent="0.2">
      <c r="M838" s="3"/>
      <c r="P838" s="4"/>
      <c r="Q838" s="5"/>
    </row>
    <row r="839" spans="13:17" x14ac:dyDescent="0.2">
      <c r="M839" s="3"/>
      <c r="P839" s="4"/>
      <c r="Q839" s="5"/>
    </row>
    <row r="840" spans="13:17" x14ac:dyDescent="0.2">
      <c r="M840" s="3"/>
      <c r="P840" s="4"/>
      <c r="Q840" s="5"/>
    </row>
    <row r="841" spans="13:17" x14ac:dyDescent="0.2">
      <c r="M841" s="3"/>
      <c r="P841" s="4"/>
      <c r="Q841" s="5"/>
    </row>
    <row r="842" spans="13:17" x14ac:dyDescent="0.2">
      <c r="M842" s="3"/>
      <c r="P842" s="4"/>
      <c r="Q842" s="5"/>
    </row>
    <row r="843" spans="13:17" x14ac:dyDescent="0.2">
      <c r="M843" s="3"/>
      <c r="P843" s="4"/>
      <c r="Q843" s="5"/>
    </row>
    <row r="844" spans="13:17" x14ac:dyDescent="0.2">
      <c r="M844" s="3"/>
      <c r="P844" s="4"/>
      <c r="Q844" s="5"/>
    </row>
    <row r="845" spans="13:17" x14ac:dyDescent="0.2">
      <c r="M845" s="3"/>
      <c r="P845" s="4"/>
      <c r="Q845" s="5"/>
    </row>
    <row r="846" spans="13:17" x14ac:dyDescent="0.2">
      <c r="M846" s="3"/>
      <c r="P846" s="4"/>
      <c r="Q846" s="5"/>
    </row>
    <row r="847" spans="13:17" x14ac:dyDescent="0.2">
      <c r="M847" s="3"/>
      <c r="P847" s="4"/>
      <c r="Q847" s="5"/>
    </row>
    <row r="848" spans="13:17" x14ac:dyDescent="0.2">
      <c r="M848" s="3"/>
      <c r="P848" s="4"/>
      <c r="Q848" s="5"/>
    </row>
    <row r="849" spans="13:17" x14ac:dyDescent="0.2">
      <c r="M849" s="3"/>
      <c r="P849" s="4"/>
      <c r="Q849" s="5"/>
    </row>
    <row r="850" spans="13:17" x14ac:dyDescent="0.2">
      <c r="M850" s="3"/>
      <c r="P850" s="4"/>
      <c r="Q850" s="5"/>
    </row>
    <row r="851" spans="13:17" x14ac:dyDescent="0.2">
      <c r="M851" s="3"/>
      <c r="P851" s="4"/>
      <c r="Q851" s="5"/>
    </row>
    <row r="852" spans="13:17" x14ac:dyDescent="0.2">
      <c r="M852" s="3"/>
      <c r="P852" s="4"/>
      <c r="Q852" s="5"/>
    </row>
    <row r="853" spans="13:17" x14ac:dyDescent="0.2">
      <c r="M853" s="3"/>
      <c r="P853" s="4"/>
      <c r="Q853" s="5"/>
    </row>
    <row r="854" spans="13:17" x14ac:dyDescent="0.2">
      <c r="M854" s="3"/>
      <c r="P854" s="4"/>
      <c r="Q854" s="5"/>
    </row>
    <row r="855" spans="13:17" x14ac:dyDescent="0.2">
      <c r="M855" s="3"/>
      <c r="P855" s="4"/>
      <c r="Q855" s="5"/>
    </row>
    <row r="856" spans="13:17" x14ac:dyDescent="0.2">
      <c r="M856" s="3"/>
      <c r="P856" s="4"/>
      <c r="Q856" s="5"/>
    </row>
    <row r="857" spans="13:17" x14ac:dyDescent="0.2">
      <c r="M857" s="3"/>
      <c r="P857" s="4"/>
      <c r="Q857" s="5"/>
    </row>
    <row r="858" spans="13:17" x14ac:dyDescent="0.2">
      <c r="M858" s="3"/>
      <c r="P858" s="4"/>
      <c r="Q858" s="5"/>
    </row>
    <row r="859" spans="13:17" x14ac:dyDescent="0.2">
      <c r="M859" s="3"/>
      <c r="P859" s="4"/>
      <c r="Q859" s="5"/>
    </row>
    <row r="860" spans="13:17" x14ac:dyDescent="0.2">
      <c r="M860" s="3"/>
      <c r="P860" s="4"/>
      <c r="Q860" s="5"/>
    </row>
    <row r="861" spans="13:17" x14ac:dyDescent="0.2">
      <c r="M861" s="3"/>
      <c r="P861" s="4"/>
      <c r="Q861" s="5"/>
    </row>
    <row r="862" spans="13:17" x14ac:dyDescent="0.2">
      <c r="M862" s="3"/>
      <c r="P862" s="4"/>
      <c r="Q862" s="5"/>
    </row>
    <row r="863" spans="13:17" x14ac:dyDescent="0.2">
      <c r="M863" s="3"/>
      <c r="P863" s="4"/>
      <c r="Q863" s="5"/>
    </row>
    <row r="864" spans="13:17" x14ac:dyDescent="0.2">
      <c r="M864" s="3"/>
      <c r="P864" s="4"/>
      <c r="Q864" s="5"/>
    </row>
    <row r="865" spans="13:17" x14ac:dyDescent="0.2">
      <c r="M865" s="3"/>
      <c r="P865" s="4"/>
      <c r="Q865" s="5"/>
    </row>
    <row r="866" spans="13:17" x14ac:dyDescent="0.2">
      <c r="M866" s="3"/>
      <c r="P866" s="4"/>
      <c r="Q866" s="5"/>
    </row>
    <row r="867" spans="13:17" x14ac:dyDescent="0.2">
      <c r="M867" s="3"/>
      <c r="P867" s="4"/>
      <c r="Q867" s="5"/>
    </row>
    <row r="868" spans="13:17" x14ac:dyDescent="0.2">
      <c r="M868" s="3"/>
      <c r="P868" s="4"/>
      <c r="Q868" s="5"/>
    </row>
    <row r="869" spans="13:17" x14ac:dyDescent="0.2">
      <c r="M869" s="3"/>
      <c r="P869" s="4"/>
      <c r="Q869" s="5"/>
    </row>
    <row r="870" spans="13:17" x14ac:dyDescent="0.2">
      <c r="M870" s="3"/>
      <c r="P870" s="4"/>
      <c r="Q870" s="5"/>
    </row>
    <row r="871" spans="13:17" x14ac:dyDescent="0.2">
      <c r="M871" s="3"/>
      <c r="P871" s="4"/>
      <c r="Q871" s="5"/>
    </row>
    <row r="872" spans="13:17" x14ac:dyDescent="0.2">
      <c r="M872" s="3"/>
      <c r="P872" s="4"/>
      <c r="Q872" s="5"/>
    </row>
    <row r="873" spans="13:17" x14ac:dyDescent="0.2">
      <c r="M873" s="3"/>
      <c r="P873" s="4"/>
      <c r="Q873" s="5"/>
    </row>
    <row r="874" spans="13:17" x14ac:dyDescent="0.2">
      <c r="M874" s="3"/>
      <c r="P874" s="4"/>
      <c r="Q874" s="5"/>
    </row>
    <row r="875" spans="13:17" x14ac:dyDescent="0.2">
      <c r="M875" s="3"/>
      <c r="P875" s="4"/>
      <c r="Q875" s="5"/>
    </row>
    <row r="876" spans="13:17" x14ac:dyDescent="0.2">
      <c r="M876" s="3"/>
      <c r="P876" s="4"/>
      <c r="Q876" s="5"/>
    </row>
    <row r="877" spans="13:17" x14ac:dyDescent="0.2">
      <c r="M877" s="3"/>
      <c r="P877" s="4"/>
      <c r="Q877" s="5"/>
    </row>
    <row r="878" spans="13:17" x14ac:dyDescent="0.2">
      <c r="M878" s="3"/>
      <c r="P878" s="4"/>
      <c r="Q878" s="5"/>
    </row>
    <row r="879" spans="13:17" x14ac:dyDescent="0.2">
      <c r="M879" s="3"/>
      <c r="P879" s="4"/>
      <c r="Q879" s="5"/>
    </row>
    <row r="880" spans="13:17" x14ac:dyDescent="0.2">
      <c r="M880" s="3"/>
      <c r="P880" s="4"/>
      <c r="Q880" s="5"/>
    </row>
    <row r="881" spans="13:17" x14ac:dyDescent="0.2">
      <c r="M881" s="3"/>
      <c r="P881" s="4"/>
      <c r="Q881" s="5"/>
    </row>
    <row r="882" spans="13:17" x14ac:dyDescent="0.2">
      <c r="M882" s="3"/>
      <c r="P882" s="4"/>
      <c r="Q882" s="5"/>
    </row>
    <row r="883" spans="13:17" x14ac:dyDescent="0.2">
      <c r="M883" s="3"/>
      <c r="P883" s="4"/>
      <c r="Q883" s="5"/>
    </row>
    <row r="884" spans="13:17" x14ac:dyDescent="0.2">
      <c r="M884" s="3"/>
      <c r="P884" s="4"/>
      <c r="Q884" s="5"/>
    </row>
    <row r="885" spans="13:17" x14ac:dyDescent="0.2">
      <c r="M885" s="3"/>
      <c r="P885" s="4"/>
      <c r="Q885" s="5"/>
    </row>
    <row r="886" spans="13:17" x14ac:dyDescent="0.2">
      <c r="M886" s="3"/>
      <c r="P886" s="4"/>
      <c r="Q886" s="5"/>
    </row>
    <row r="887" spans="13:17" x14ac:dyDescent="0.2">
      <c r="M887" s="3"/>
      <c r="P887" s="4"/>
      <c r="Q887" s="5"/>
    </row>
    <row r="888" spans="13:17" x14ac:dyDescent="0.2">
      <c r="M888" s="3"/>
      <c r="P888" s="4"/>
      <c r="Q888" s="5"/>
    </row>
    <row r="889" spans="13:17" x14ac:dyDescent="0.2">
      <c r="M889" s="3"/>
      <c r="P889" s="4"/>
      <c r="Q889" s="5"/>
    </row>
    <row r="890" spans="13:17" x14ac:dyDescent="0.2">
      <c r="M890" s="3"/>
      <c r="P890" s="4"/>
      <c r="Q890" s="5"/>
    </row>
    <row r="891" spans="13:17" x14ac:dyDescent="0.2">
      <c r="M891" s="3"/>
      <c r="P891" s="4"/>
      <c r="Q891" s="5"/>
    </row>
    <row r="892" spans="13:17" x14ac:dyDescent="0.2">
      <c r="M892" s="3"/>
      <c r="P892" s="4"/>
      <c r="Q892" s="5"/>
    </row>
    <row r="893" spans="13:17" x14ac:dyDescent="0.2">
      <c r="M893" s="3"/>
      <c r="P893" s="4"/>
      <c r="Q893" s="5"/>
    </row>
    <row r="894" spans="13:17" x14ac:dyDescent="0.2">
      <c r="M894" s="3"/>
      <c r="P894" s="4"/>
      <c r="Q894" s="5"/>
    </row>
    <row r="895" spans="13:17" x14ac:dyDescent="0.2">
      <c r="M895" s="3"/>
      <c r="P895" s="4"/>
      <c r="Q895" s="5"/>
    </row>
    <row r="896" spans="13:17" x14ac:dyDescent="0.2">
      <c r="M896" s="3"/>
      <c r="P896" s="4"/>
      <c r="Q896" s="5"/>
    </row>
    <row r="897" spans="13:17" x14ac:dyDescent="0.2">
      <c r="M897" s="3"/>
      <c r="P897" s="4"/>
      <c r="Q897" s="5"/>
    </row>
    <row r="898" spans="13:17" x14ac:dyDescent="0.2">
      <c r="M898" s="3"/>
      <c r="P898" s="4"/>
      <c r="Q898" s="5"/>
    </row>
    <row r="899" spans="13:17" x14ac:dyDescent="0.2">
      <c r="M899" s="3"/>
      <c r="P899" s="4"/>
      <c r="Q899" s="5"/>
    </row>
    <row r="900" spans="13:17" x14ac:dyDescent="0.2">
      <c r="M900" s="3"/>
      <c r="P900" s="4"/>
      <c r="Q900" s="5"/>
    </row>
    <row r="901" spans="13:17" x14ac:dyDescent="0.2">
      <c r="M901" s="3"/>
      <c r="P901" s="4"/>
      <c r="Q901" s="5"/>
    </row>
    <row r="902" spans="13:17" x14ac:dyDescent="0.2">
      <c r="M902" s="3"/>
      <c r="P902" s="4"/>
      <c r="Q902" s="5"/>
    </row>
    <row r="903" spans="13:17" x14ac:dyDescent="0.2">
      <c r="M903" s="3"/>
      <c r="P903" s="4"/>
      <c r="Q903" s="5"/>
    </row>
    <row r="904" spans="13:17" x14ac:dyDescent="0.2">
      <c r="M904" s="3"/>
      <c r="P904" s="4"/>
      <c r="Q904" s="5"/>
    </row>
    <row r="905" spans="13:17" x14ac:dyDescent="0.2">
      <c r="M905" s="3"/>
      <c r="P905" s="4"/>
      <c r="Q905" s="5"/>
    </row>
    <row r="906" spans="13:17" x14ac:dyDescent="0.2">
      <c r="M906" s="3"/>
      <c r="P906" s="4"/>
      <c r="Q906" s="5"/>
    </row>
    <row r="907" spans="13:17" x14ac:dyDescent="0.2">
      <c r="M907" s="3"/>
      <c r="P907" s="4"/>
      <c r="Q907" s="5"/>
    </row>
    <row r="908" spans="13:17" x14ac:dyDescent="0.2">
      <c r="M908" s="3"/>
      <c r="P908" s="4"/>
      <c r="Q908" s="5"/>
    </row>
    <row r="909" spans="13:17" x14ac:dyDescent="0.2">
      <c r="M909" s="3"/>
      <c r="P909" s="4"/>
      <c r="Q909" s="5"/>
    </row>
    <row r="910" spans="13:17" x14ac:dyDescent="0.2">
      <c r="M910" s="3"/>
      <c r="P910" s="4"/>
      <c r="Q910" s="5"/>
    </row>
    <row r="911" spans="13:17" x14ac:dyDescent="0.2">
      <c r="M911" s="3"/>
      <c r="P911" s="4"/>
      <c r="Q911" s="5"/>
    </row>
    <row r="912" spans="13:17" x14ac:dyDescent="0.2">
      <c r="M912" s="3"/>
      <c r="P912" s="4"/>
      <c r="Q912" s="5"/>
    </row>
    <row r="913" spans="13:17" x14ac:dyDescent="0.2">
      <c r="M913" s="3"/>
      <c r="P913" s="4"/>
      <c r="Q913" s="5"/>
    </row>
    <row r="914" spans="13:17" x14ac:dyDescent="0.2">
      <c r="M914" s="3"/>
      <c r="P914" s="4"/>
      <c r="Q914" s="5"/>
    </row>
    <row r="915" spans="13:17" x14ac:dyDescent="0.2">
      <c r="M915" s="3"/>
      <c r="P915" s="4"/>
      <c r="Q915" s="5"/>
    </row>
    <row r="916" spans="13:17" x14ac:dyDescent="0.2">
      <c r="M916" s="3"/>
      <c r="P916" s="4"/>
      <c r="Q916" s="5"/>
    </row>
    <row r="917" spans="13:17" x14ac:dyDescent="0.2">
      <c r="M917" s="3"/>
      <c r="P917" s="4"/>
      <c r="Q917" s="5"/>
    </row>
    <row r="918" spans="13:17" x14ac:dyDescent="0.2">
      <c r="M918" s="3"/>
      <c r="P918" s="4"/>
      <c r="Q918" s="5"/>
    </row>
    <row r="919" spans="13:17" x14ac:dyDescent="0.2">
      <c r="M919" s="3"/>
      <c r="P919" s="4"/>
      <c r="Q919" s="5"/>
    </row>
    <row r="920" spans="13:17" x14ac:dyDescent="0.2">
      <c r="M920" s="3"/>
      <c r="P920" s="4"/>
      <c r="Q920" s="5"/>
    </row>
    <row r="921" spans="13:17" x14ac:dyDescent="0.2">
      <c r="M921" s="3"/>
      <c r="P921" s="4"/>
      <c r="Q921" s="5"/>
    </row>
    <row r="922" spans="13:17" x14ac:dyDescent="0.2">
      <c r="M922" s="3"/>
      <c r="P922" s="4"/>
      <c r="Q922" s="5"/>
    </row>
    <row r="923" spans="13:17" x14ac:dyDescent="0.2">
      <c r="M923" s="3"/>
      <c r="P923" s="4"/>
      <c r="Q923" s="5"/>
    </row>
    <row r="924" spans="13:17" x14ac:dyDescent="0.2">
      <c r="M924" s="3"/>
      <c r="P924" s="4"/>
      <c r="Q924" s="5"/>
    </row>
    <row r="925" spans="13:17" x14ac:dyDescent="0.2">
      <c r="M925" s="3"/>
      <c r="P925" s="4"/>
      <c r="Q925" s="5"/>
    </row>
    <row r="926" spans="13:17" x14ac:dyDescent="0.2">
      <c r="M926" s="3"/>
      <c r="P926" s="4"/>
      <c r="Q926" s="5"/>
    </row>
    <row r="927" spans="13:17" x14ac:dyDescent="0.2">
      <c r="M927" s="3"/>
      <c r="P927" s="4"/>
      <c r="Q927" s="5"/>
    </row>
    <row r="928" spans="13:17" x14ac:dyDescent="0.2">
      <c r="M928" s="3"/>
      <c r="P928" s="4"/>
      <c r="Q928" s="5"/>
    </row>
    <row r="929" spans="13:17" x14ac:dyDescent="0.2">
      <c r="M929" s="3"/>
      <c r="P929" s="4"/>
      <c r="Q929" s="5"/>
    </row>
    <row r="930" spans="13:17" x14ac:dyDescent="0.2">
      <c r="M930" s="3"/>
      <c r="P930" s="4"/>
      <c r="Q930" s="5"/>
    </row>
    <row r="931" spans="13:17" x14ac:dyDescent="0.2">
      <c r="M931" s="3"/>
      <c r="P931" s="4"/>
      <c r="Q931" s="5"/>
    </row>
    <row r="932" spans="13:17" x14ac:dyDescent="0.2">
      <c r="M932" s="3"/>
      <c r="P932" s="4"/>
      <c r="Q932" s="5"/>
    </row>
    <row r="933" spans="13:17" x14ac:dyDescent="0.2">
      <c r="M933" s="3"/>
      <c r="P933" s="4"/>
      <c r="Q933" s="5"/>
    </row>
    <row r="934" spans="13:17" x14ac:dyDescent="0.2">
      <c r="M934" s="3"/>
      <c r="P934" s="4"/>
      <c r="Q934" s="5"/>
    </row>
    <row r="935" spans="13:17" x14ac:dyDescent="0.2">
      <c r="M935" s="3"/>
      <c r="P935" s="4"/>
      <c r="Q935" s="5"/>
    </row>
    <row r="936" spans="13:17" x14ac:dyDescent="0.2">
      <c r="M936" s="3"/>
      <c r="P936" s="4"/>
      <c r="Q936" s="5"/>
    </row>
    <row r="937" spans="13:17" x14ac:dyDescent="0.2">
      <c r="M937" s="3"/>
      <c r="P937" s="4"/>
      <c r="Q937" s="5"/>
    </row>
    <row r="938" spans="13:17" x14ac:dyDescent="0.2">
      <c r="M938" s="3"/>
      <c r="P938" s="4"/>
      <c r="Q938" s="5"/>
    </row>
    <row r="939" spans="13:17" x14ac:dyDescent="0.2">
      <c r="M939" s="3"/>
      <c r="P939" s="4"/>
      <c r="Q939" s="5"/>
    </row>
    <row r="940" spans="13:17" x14ac:dyDescent="0.2">
      <c r="M940" s="3"/>
      <c r="P940" s="4"/>
      <c r="Q940" s="5"/>
    </row>
    <row r="941" spans="13:17" x14ac:dyDescent="0.2">
      <c r="M941" s="3"/>
      <c r="P941" s="4"/>
      <c r="Q941" s="5"/>
    </row>
    <row r="942" spans="13:17" x14ac:dyDescent="0.2">
      <c r="M942" s="3"/>
      <c r="P942" s="4"/>
      <c r="Q942" s="5"/>
    </row>
    <row r="943" spans="13:17" x14ac:dyDescent="0.2">
      <c r="M943" s="3"/>
      <c r="P943" s="4"/>
      <c r="Q943" s="5"/>
    </row>
    <row r="944" spans="13:17" x14ac:dyDescent="0.2">
      <c r="M944" s="3"/>
      <c r="P944" s="4"/>
      <c r="Q944" s="5"/>
    </row>
    <row r="945" spans="13:17" x14ac:dyDescent="0.2">
      <c r="M945" s="3"/>
      <c r="P945" s="4"/>
      <c r="Q945" s="5"/>
    </row>
    <row r="946" spans="13:17" x14ac:dyDescent="0.2">
      <c r="M946" s="3"/>
      <c r="P946" s="4"/>
      <c r="Q946" s="5"/>
    </row>
    <row r="947" spans="13:17" x14ac:dyDescent="0.2">
      <c r="M947" s="3"/>
      <c r="P947" s="4"/>
      <c r="Q947" s="5"/>
    </row>
    <row r="948" spans="13:17" x14ac:dyDescent="0.2">
      <c r="M948" s="3"/>
      <c r="P948" s="4"/>
      <c r="Q948" s="5"/>
    </row>
    <row r="949" spans="13:17" x14ac:dyDescent="0.2">
      <c r="M949" s="3"/>
      <c r="P949" s="4"/>
      <c r="Q949" s="5"/>
    </row>
    <row r="950" spans="13:17" x14ac:dyDescent="0.2">
      <c r="M950" s="3"/>
      <c r="P950" s="4"/>
      <c r="Q950" s="5"/>
    </row>
    <row r="951" spans="13:17" x14ac:dyDescent="0.2">
      <c r="M951" s="3"/>
      <c r="P951" s="4"/>
      <c r="Q951" s="5"/>
    </row>
    <row r="952" spans="13:17" x14ac:dyDescent="0.2">
      <c r="M952" s="3"/>
      <c r="P952" s="4"/>
      <c r="Q952" s="5"/>
    </row>
    <row r="953" spans="13:17" x14ac:dyDescent="0.2">
      <c r="M953" s="3"/>
      <c r="P953" s="4"/>
      <c r="Q953" s="5"/>
    </row>
    <row r="954" spans="13:17" x14ac:dyDescent="0.2">
      <c r="M954" s="3"/>
      <c r="P954" s="4"/>
      <c r="Q954" s="5"/>
    </row>
    <row r="955" spans="13:17" x14ac:dyDescent="0.2">
      <c r="M955" s="3"/>
      <c r="P955" s="4"/>
      <c r="Q955" s="5"/>
    </row>
    <row r="956" spans="13:17" x14ac:dyDescent="0.2">
      <c r="M956" s="3"/>
      <c r="P956" s="4"/>
      <c r="Q956" s="5"/>
    </row>
    <row r="957" spans="13:17" x14ac:dyDescent="0.2">
      <c r="M957" s="3"/>
      <c r="P957" s="4"/>
      <c r="Q957" s="5"/>
    </row>
    <row r="958" spans="13:17" x14ac:dyDescent="0.2">
      <c r="M958" s="3"/>
      <c r="P958" s="4"/>
      <c r="Q958" s="5"/>
    </row>
    <row r="959" spans="13:17" x14ac:dyDescent="0.2">
      <c r="M959" s="3"/>
      <c r="P959" s="4"/>
      <c r="Q959" s="5"/>
    </row>
    <row r="960" spans="13:17" x14ac:dyDescent="0.2">
      <c r="M960" s="3"/>
      <c r="P960" s="4"/>
      <c r="Q960" s="5"/>
    </row>
    <row r="961" spans="13:17" x14ac:dyDescent="0.2">
      <c r="M961" s="3"/>
      <c r="P961" s="4"/>
      <c r="Q961" s="5"/>
    </row>
    <row r="962" spans="13:17" x14ac:dyDescent="0.2">
      <c r="M962" s="3"/>
      <c r="P962" s="4"/>
      <c r="Q962" s="5"/>
    </row>
    <row r="963" spans="13:17" x14ac:dyDescent="0.2">
      <c r="M963" s="3"/>
      <c r="P963" s="4"/>
      <c r="Q963" s="5"/>
    </row>
    <row r="964" spans="13:17" x14ac:dyDescent="0.2">
      <c r="M964" s="3"/>
      <c r="P964" s="4"/>
      <c r="Q964" s="5"/>
    </row>
    <row r="965" spans="13:17" x14ac:dyDescent="0.2">
      <c r="M965" s="3"/>
      <c r="P965" s="4"/>
      <c r="Q965" s="5"/>
    </row>
    <row r="966" spans="13:17" x14ac:dyDescent="0.2">
      <c r="M966" s="3"/>
      <c r="P966" s="4"/>
      <c r="Q966" s="5"/>
    </row>
    <row r="967" spans="13:17" x14ac:dyDescent="0.2">
      <c r="M967" s="3"/>
      <c r="P967" s="4"/>
      <c r="Q967" s="5"/>
    </row>
    <row r="968" spans="13:17" x14ac:dyDescent="0.2">
      <c r="M968" s="3"/>
      <c r="P968" s="4"/>
      <c r="Q968" s="5"/>
    </row>
    <row r="969" spans="13:17" x14ac:dyDescent="0.2">
      <c r="M969" s="3"/>
      <c r="P969" s="4"/>
      <c r="Q969" s="5"/>
    </row>
    <row r="970" spans="13:17" x14ac:dyDescent="0.2">
      <c r="M970" s="3"/>
      <c r="P970" s="4"/>
      <c r="Q970" s="5"/>
    </row>
    <row r="971" spans="13:17" x14ac:dyDescent="0.2">
      <c r="M971" s="3"/>
      <c r="P971" s="4"/>
      <c r="Q971" s="5"/>
    </row>
    <row r="972" spans="13:17" x14ac:dyDescent="0.2">
      <c r="M972" s="3"/>
      <c r="P972" s="4"/>
      <c r="Q972" s="5"/>
    </row>
    <row r="973" spans="13:17" x14ac:dyDescent="0.2">
      <c r="M973" s="3"/>
      <c r="P973" s="4"/>
      <c r="Q973" s="5"/>
    </row>
    <row r="974" spans="13:17" x14ac:dyDescent="0.2">
      <c r="M974" s="3"/>
      <c r="P974" s="4"/>
      <c r="Q974" s="5"/>
    </row>
    <row r="975" spans="13:17" x14ac:dyDescent="0.2">
      <c r="M975" s="3"/>
      <c r="P975" s="4"/>
      <c r="Q975" s="5"/>
    </row>
    <row r="976" spans="13:17" x14ac:dyDescent="0.2">
      <c r="M976" s="3"/>
      <c r="P976" s="4"/>
      <c r="Q976" s="5"/>
    </row>
    <row r="977" spans="13:17" x14ac:dyDescent="0.2">
      <c r="M977" s="3"/>
      <c r="P977" s="4"/>
      <c r="Q977" s="5"/>
    </row>
    <row r="978" spans="13:17" x14ac:dyDescent="0.2">
      <c r="M978" s="3"/>
      <c r="P978" s="4"/>
      <c r="Q978" s="5"/>
    </row>
    <row r="979" spans="13:17" x14ac:dyDescent="0.2">
      <c r="M979" s="3"/>
      <c r="P979" s="4"/>
      <c r="Q979" s="5"/>
    </row>
    <row r="980" spans="13:17" x14ac:dyDescent="0.2">
      <c r="M980" s="3"/>
      <c r="P980" s="4"/>
      <c r="Q980" s="5"/>
    </row>
    <row r="981" spans="13:17" x14ac:dyDescent="0.2">
      <c r="M981" s="3"/>
      <c r="P981" s="4"/>
      <c r="Q981" s="5"/>
    </row>
    <row r="982" spans="13:17" x14ac:dyDescent="0.2">
      <c r="M982" s="3"/>
      <c r="P982" s="4"/>
      <c r="Q982" s="5"/>
    </row>
    <row r="983" spans="13:17" x14ac:dyDescent="0.2">
      <c r="M983" s="3"/>
      <c r="P983" s="4"/>
      <c r="Q983" s="5"/>
    </row>
    <row r="984" spans="13:17" x14ac:dyDescent="0.2">
      <c r="M984" s="3"/>
      <c r="P984" s="4"/>
      <c r="Q984" s="5"/>
    </row>
    <row r="985" spans="13:17" x14ac:dyDescent="0.2">
      <c r="M985" s="3"/>
      <c r="P985" s="4"/>
      <c r="Q985" s="5"/>
    </row>
    <row r="986" spans="13:17" x14ac:dyDescent="0.2">
      <c r="M986" s="3"/>
      <c r="P986" s="4"/>
      <c r="Q986" s="5"/>
    </row>
    <row r="987" spans="13:17" x14ac:dyDescent="0.2">
      <c r="M987" s="3"/>
      <c r="P987" s="4"/>
      <c r="Q987" s="5"/>
    </row>
    <row r="988" spans="13:17" x14ac:dyDescent="0.2">
      <c r="M988" s="3"/>
      <c r="P988" s="4"/>
      <c r="Q988" s="5"/>
    </row>
    <row r="989" spans="13:17" x14ac:dyDescent="0.2">
      <c r="M989" s="3"/>
      <c r="P989" s="4"/>
      <c r="Q989" s="5"/>
    </row>
    <row r="990" spans="13:17" x14ac:dyDescent="0.2">
      <c r="M990" s="3"/>
      <c r="P990" s="4"/>
      <c r="Q990" s="5"/>
    </row>
    <row r="991" spans="13:17" x14ac:dyDescent="0.2">
      <c r="M991" s="3"/>
      <c r="P991" s="4"/>
      <c r="Q991" s="5"/>
    </row>
    <row r="992" spans="13:17" x14ac:dyDescent="0.2">
      <c r="M992" s="3"/>
      <c r="P992" s="4"/>
      <c r="Q992" s="5"/>
    </row>
    <row r="993" spans="13:17" x14ac:dyDescent="0.2">
      <c r="M993" s="3"/>
      <c r="P993" s="4"/>
      <c r="Q993" s="5"/>
    </row>
    <row r="994" spans="13:17" x14ac:dyDescent="0.2">
      <c r="M994" s="3"/>
      <c r="P994" s="4"/>
      <c r="Q994" s="5"/>
    </row>
    <row r="995" spans="13:17" x14ac:dyDescent="0.2">
      <c r="M995" s="3"/>
      <c r="P995" s="4"/>
      <c r="Q995" s="5"/>
    </row>
    <row r="996" spans="13:17" x14ac:dyDescent="0.2">
      <c r="M996" s="3"/>
      <c r="P996" s="4"/>
      <c r="Q996" s="5"/>
    </row>
    <row r="997" spans="13:17" x14ac:dyDescent="0.2">
      <c r="M997" s="3"/>
      <c r="P997" s="4"/>
      <c r="Q997" s="5"/>
    </row>
    <row r="998" spans="13:17" x14ac:dyDescent="0.2">
      <c r="M998" s="3"/>
      <c r="P998" s="4"/>
      <c r="Q998" s="5"/>
    </row>
    <row r="999" spans="13:17" x14ac:dyDescent="0.2">
      <c r="M999" s="3"/>
      <c r="P999" s="4"/>
      <c r="Q999" s="5"/>
    </row>
    <row r="1000" spans="13:17" x14ac:dyDescent="0.2">
      <c r="M1000" s="3"/>
      <c r="P1000" s="4"/>
      <c r="Q1000" s="5"/>
    </row>
    <row r="1001" spans="13:17" x14ac:dyDescent="0.2">
      <c r="M1001" s="3"/>
      <c r="P1001" s="4"/>
      <c r="Q1001" s="5"/>
    </row>
    <row r="1002" spans="13:17" x14ac:dyDescent="0.2">
      <c r="M1002" s="3"/>
      <c r="P1002" s="4"/>
      <c r="Q1002" s="5"/>
    </row>
    <row r="1003" spans="13:17" x14ac:dyDescent="0.2">
      <c r="M1003" s="3"/>
      <c r="P1003" s="4"/>
      <c r="Q1003" s="5"/>
    </row>
    <row r="1004" spans="13:17" x14ac:dyDescent="0.2">
      <c r="M1004" s="3"/>
      <c r="P1004" s="4"/>
      <c r="Q1004" s="5"/>
    </row>
    <row r="1005" spans="13:17" x14ac:dyDescent="0.2">
      <c r="M1005" s="3"/>
      <c r="P1005" s="4"/>
      <c r="Q1005" s="5"/>
    </row>
    <row r="1006" spans="13:17" x14ac:dyDescent="0.2">
      <c r="M1006" s="3"/>
      <c r="P1006" s="4"/>
      <c r="Q1006" s="5"/>
    </row>
    <row r="1007" spans="13:17" x14ac:dyDescent="0.2">
      <c r="M1007" s="3"/>
      <c r="P1007" s="4"/>
      <c r="Q1007" s="5"/>
    </row>
    <row r="1008" spans="13:17" x14ac:dyDescent="0.2">
      <c r="M1008" s="3"/>
      <c r="P1008" s="4"/>
      <c r="Q1008" s="5"/>
    </row>
    <row r="1009" spans="13:17" x14ac:dyDescent="0.2">
      <c r="M1009" s="3"/>
      <c r="P1009" s="4"/>
      <c r="Q1009" s="5"/>
    </row>
    <row r="1010" spans="13:17" x14ac:dyDescent="0.2">
      <c r="M1010" s="3"/>
      <c r="P1010" s="4"/>
      <c r="Q1010" s="5"/>
    </row>
    <row r="1011" spans="13:17" x14ac:dyDescent="0.2">
      <c r="M1011" s="3"/>
      <c r="P1011" s="4"/>
      <c r="Q1011" s="5"/>
    </row>
    <row r="1012" spans="13:17" x14ac:dyDescent="0.2">
      <c r="M1012" s="3"/>
      <c r="P1012" s="4"/>
      <c r="Q1012" s="5"/>
    </row>
    <row r="1013" spans="13:17" x14ac:dyDescent="0.2">
      <c r="M1013" s="3"/>
      <c r="P1013" s="4"/>
      <c r="Q1013" s="5"/>
    </row>
    <row r="1014" spans="13:17" x14ac:dyDescent="0.2">
      <c r="M1014" s="3"/>
      <c r="P1014" s="4"/>
      <c r="Q1014" s="5"/>
    </row>
    <row r="1015" spans="13:17" x14ac:dyDescent="0.2">
      <c r="M1015" s="3"/>
      <c r="P1015" s="4"/>
      <c r="Q1015" s="5"/>
    </row>
    <row r="1016" spans="13:17" x14ac:dyDescent="0.2">
      <c r="M1016" s="3"/>
      <c r="P1016" s="4"/>
      <c r="Q1016" s="5"/>
    </row>
    <row r="1017" spans="13:17" x14ac:dyDescent="0.2">
      <c r="M1017" s="3"/>
      <c r="P1017" s="4"/>
      <c r="Q1017" s="5"/>
    </row>
    <row r="1018" spans="13:17" x14ac:dyDescent="0.2">
      <c r="M1018" s="3"/>
      <c r="P1018" s="4"/>
      <c r="Q1018" s="5"/>
    </row>
    <row r="1019" spans="13:17" x14ac:dyDescent="0.2">
      <c r="M1019" s="3"/>
      <c r="P1019" s="4"/>
      <c r="Q1019" s="5"/>
    </row>
    <row r="1020" spans="13:17" x14ac:dyDescent="0.2">
      <c r="M1020" s="3"/>
      <c r="P1020" s="4"/>
      <c r="Q1020" s="5"/>
    </row>
    <row r="1021" spans="13:17" x14ac:dyDescent="0.2">
      <c r="M1021" s="3"/>
      <c r="P1021" s="4"/>
      <c r="Q1021" s="5"/>
    </row>
    <row r="1022" spans="13:17" x14ac:dyDescent="0.2">
      <c r="M1022" s="3"/>
      <c r="P1022" s="4"/>
      <c r="Q1022" s="5"/>
    </row>
    <row r="1023" spans="13:17" x14ac:dyDescent="0.2">
      <c r="M1023" s="3"/>
      <c r="P1023" s="4"/>
      <c r="Q1023" s="5"/>
    </row>
    <row r="1024" spans="13:17" x14ac:dyDescent="0.2">
      <c r="M1024" s="3"/>
      <c r="P1024" s="4"/>
      <c r="Q1024" s="5"/>
    </row>
    <row r="1025" spans="13:17" x14ac:dyDescent="0.2">
      <c r="M1025" s="3"/>
      <c r="P1025" s="4"/>
      <c r="Q1025" s="5"/>
    </row>
    <row r="1026" spans="13:17" x14ac:dyDescent="0.2">
      <c r="M1026" s="3"/>
      <c r="P1026" s="4"/>
      <c r="Q1026" s="5"/>
    </row>
    <row r="1027" spans="13:17" x14ac:dyDescent="0.2">
      <c r="M1027" s="3"/>
      <c r="P1027" s="4"/>
      <c r="Q1027" s="5"/>
    </row>
    <row r="1028" spans="13:17" x14ac:dyDescent="0.2">
      <c r="M1028" s="3"/>
      <c r="P1028" s="4"/>
      <c r="Q1028" s="5"/>
    </row>
    <row r="1029" spans="13:17" x14ac:dyDescent="0.2">
      <c r="M1029" s="3"/>
      <c r="P1029" s="4"/>
      <c r="Q1029" s="5"/>
    </row>
    <row r="1030" spans="13:17" x14ac:dyDescent="0.2">
      <c r="M1030" s="3"/>
      <c r="P1030" s="4"/>
      <c r="Q1030" s="5"/>
    </row>
    <row r="1031" spans="13:17" x14ac:dyDescent="0.2">
      <c r="M1031" s="3"/>
      <c r="P1031" s="4"/>
      <c r="Q1031" s="5"/>
    </row>
    <row r="1032" spans="13:17" x14ac:dyDescent="0.2">
      <c r="M1032" s="3"/>
      <c r="P1032" s="4"/>
      <c r="Q1032" s="5"/>
    </row>
    <row r="1033" spans="13:17" x14ac:dyDescent="0.2">
      <c r="M1033" s="3"/>
      <c r="P1033" s="4"/>
      <c r="Q1033" s="5"/>
    </row>
    <row r="1034" spans="13:17" x14ac:dyDescent="0.2">
      <c r="M1034" s="3"/>
      <c r="P1034" s="4"/>
      <c r="Q1034" s="5"/>
    </row>
    <row r="1035" spans="13:17" x14ac:dyDescent="0.2">
      <c r="M1035" s="3"/>
      <c r="P1035" s="4"/>
      <c r="Q1035" s="5"/>
    </row>
    <row r="1036" spans="13:17" x14ac:dyDescent="0.2">
      <c r="M1036" s="3"/>
      <c r="P1036" s="4"/>
      <c r="Q1036" s="5"/>
    </row>
    <row r="1037" spans="13:17" x14ac:dyDescent="0.2">
      <c r="M1037" s="3"/>
      <c r="P1037" s="4"/>
      <c r="Q1037" s="5"/>
    </row>
    <row r="1038" spans="13:17" x14ac:dyDescent="0.2">
      <c r="M1038" s="3"/>
      <c r="P1038" s="4"/>
      <c r="Q1038" s="5"/>
    </row>
    <row r="1039" spans="13:17" x14ac:dyDescent="0.2">
      <c r="M1039" s="3"/>
      <c r="P1039" s="4"/>
      <c r="Q1039" s="5"/>
    </row>
    <row r="1040" spans="13:17" x14ac:dyDescent="0.2">
      <c r="M1040" s="3"/>
      <c r="P1040" s="4"/>
      <c r="Q1040" s="5"/>
    </row>
    <row r="1041" spans="13:17" x14ac:dyDescent="0.2">
      <c r="M1041" s="3"/>
      <c r="P1041" s="4"/>
      <c r="Q1041" s="5"/>
    </row>
    <row r="1042" spans="13:17" x14ac:dyDescent="0.2">
      <c r="M1042" s="3"/>
      <c r="P1042" s="4"/>
      <c r="Q1042" s="5"/>
    </row>
    <row r="1043" spans="13:17" x14ac:dyDescent="0.2">
      <c r="M1043" s="3"/>
      <c r="P1043" s="4"/>
      <c r="Q1043" s="5"/>
    </row>
    <row r="1044" spans="13:17" x14ac:dyDescent="0.2">
      <c r="M1044" s="3"/>
      <c r="P1044" s="4"/>
      <c r="Q1044" s="5"/>
    </row>
    <row r="1045" spans="13:17" x14ac:dyDescent="0.2">
      <c r="M1045" s="3"/>
      <c r="P1045" s="4"/>
      <c r="Q1045" s="5"/>
    </row>
    <row r="1046" spans="13:17" x14ac:dyDescent="0.2">
      <c r="M1046" s="3"/>
      <c r="P1046" s="4"/>
      <c r="Q1046" s="5"/>
    </row>
    <row r="1047" spans="13:17" x14ac:dyDescent="0.2">
      <c r="M1047" s="3"/>
      <c r="P1047" s="4"/>
      <c r="Q1047" s="5"/>
    </row>
    <row r="1048" spans="13:17" x14ac:dyDescent="0.2">
      <c r="M1048" s="3"/>
      <c r="P1048" s="4"/>
      <c r="Q1048" s="5"/>
    </row>
    <row r="1049" spans="13:17" x14ac:dyDescent="0.2">
      <c r="M1049" s="3"/>
      <c r="P1049" s="4"/>
      <c r="Q1049" s="5"/>
    </row>
    <row r="1050" spans="13:17" x14ac:dyDescent="0.2">
      <c r="M1050" s="3"/>
      <c r="P1050" s="4"/>
      <c r="Q1050" s="5"/>
    </row>
    <row r="1051" spans="13:17" x14ac:dyDescent="0.2">
      <c r="M1051" s="3"/>
      <c r="P1051" s="4"/>
      <c r="Q1051" s="5"/>
    </row>
    <row r="1052" spans="13:17" x14ac:dyDescent="0.2">
      <c r="M1052" s="3"/>
      <c r="P1052" s="4"/>
      <c r="Q1052" s="5"/>
    </row>
    <row r="1053" spans="13:17" x14ac:dyDescent="0.2">
      <c r="M1053" s="3"/>
      <c r="P1053" s="4"/>
      <c r="Q1053" s="5"/>
    </row>
    <row r="1054" spans="13:17" x14ac:dyDescent="0.2">
      <c r="M1054" s="3"/>
      <c r="P1054" s="4"/>
      <c r="Q1054" s="5"/>
    </row>
    <row r="1055" spans="13:17" x14ac:dyDescent="0.2">
      <c r="M1055" s="3"/>
      <c r="P1055" s="4"/>
      <c r="Q1055" s="5"/>
    </row>
    <row r="1056" spans="13:17" x14ac:dyDescent="0.2">
      <c r="M1056" s="3"/>
      <c r="P1056" s="4"/>
      <c r="Q1056" s="5"/>
    </row>
    <row r="1057" spans="13:17" x14ac:dyDescent="0.2">
      <c r="M1057" s="3"/>
      <c r="P1057" s="4"/>
      <c r="Q1057" s="5"/>
    </row>
    <row r="1058" spans="13:17" x14ac:dyDescent="0.2">
      <c r="M1058" s="3"/>
      <c r="P1058" s="4"/>
      <c r="Q1058" s="5"/>
    </row>
    <row r="1059" spans="13:17" x14ac:dyDescent="0.2">
      <c r="M1059" s="3"/>
      <c r="P1059" s="4"/>
      <c r="Q1059" s="5"/>
    </row>
    <row r="1060" spans="13:17" x14ac:dyDescent="0.2">
      <c r="M1060" s="3"/>
      <c r="P1060" s="4"/>
      <c r="Q1060" s="5"/>
    </row>
    <row r="1061" spans="13:17" x14ac:dyDescent="0.2">
      <c r="M1061" s="3"/>
      <c r="P1061" s="4"/>
      <c r="Q1061" s="5"/>
    </row>
    <row r="1062" spans="13:17" x14ac:dyDescent="0.2">
      <c r="M1062" s="3"/>
      <c r="P1062" s="4"/>
      <c r="Q1062" s="5"/>
    </row>
    <row r="1063" spans="13:17" x14ac:dyDescent="0.2">
      <c r="M1063" s="3"/>
      <c r="P1063" s="4"/>
      <c r="Q1063" s="5"/>
    </row>
    <row r="1064" spans="13:17" x14ac:dyDescent="0.2">
      <c r="M1064" s="3"/>
      <c r="P1064" s="4"/>
      <c r="Q1064" s="5"/>
    </row>
    <row r="1065" spans="13:17" x14ac:dyDescent="0.2">
      <c r="M1065" s="3"/>
      <c r="P1065" s="4"/>
      <c r="Q1065" s="5"/>
    </row>
    <row r="1066" spans="13:17" x14ac:dyDescent="0.2">
      <c r="M1066" s="3"/>
      <c r="P1066" s="4"/>
      <c r="Q1066" s="5"/>
    </row>
    <row r="1067" spans="13:17" x14ac:dyDescent="0.2">
      <c r="M1067" s="3"/>
      <c r="P1067" s="4"/>
      <c r="Q1067" s="5"/>
    </row>
    <row r="1068" spans="13:17" x14ac:dyDescent="0.2">
      <c r="M1068" s="3"/>
      <c r="P1068" s="4"/>
      <c r="Q1068" s="5"/>
    </row>
    <row r="1069" spans="13:17" x14ac:dyDescent="0.2">
      <c r="M1069" s="3"/>
      <c r="P1069" s="4"/>
      <c r="Q1069" s="5"/>
    </row>
    <row r="1070" spans="13:17" x14ac:dyDescent="0.2">
      <c r="M1070" s="3"/>
      <c r="P1070" s="4"/>
      <c r="Q1070" s="5"/>
    </row>
    <row r="1071" spans="13:17" x14ac:dyDescent="0.2">
      <c r="M1071" s="3"/>
      <c r="P1071" s="4"/>
      <c r="Q1071" s="5"/>
    </row>
    <row r="1072" spans="13:17" x14ac:dyDescent="0.2">
      <c r="M1072" s="3"/>
      <c r="P1072" s="4"/>
      <c r="Q1072" s="5"/>
    </row>
    <row r="1073" spans="13:17" x14ac:dyDescent="0.2">
      <c r="M1073" s="3"/>
      <c r="P1073" s="4"/>
      <c r="Q1073" s="5"/>
    </row>
    <row r="1074" spans="13:17" x14ac:dyDescent="0.2">
      <c r="M1074" s="3"/>
      <c r="P1074" s="4"/>
      <c r="Q1074" s="5"/>
    </row>
    <row r="1075" spans="13:17" x14ac:dyDescent="0.2">
      <c r="M1075" s="3"/>
      <c r="P1075" s="4"/>
      <c r="Q1075" s="5"/>
    </row>
    <row r="1076" spans="13:17" x14ac:dyDescent="0.2">
      <c r="M1076" s="3"/>
      <c r="P1076" s="4"/>
      <c r="Q1076" s="5"/>
    </row>
    <row r="1077" spans="13:17" x14ac:dyDescent="0.2">
      <c r="M1077" s="3"/>
      <c r="P1077" s="4"/>
      <c r="Q1077" s="5"/>
    </row>
    <row r="1078" spans="13:17" x14ac:dyDescent="0.2">
      <c r="M1078" s="3"/>
      <c r="P1078" s="4"/>
      <c r="Q1078" s="5"/>
    </row>
    <row r="1079" spans="13:17" x14ac:dyDescent="0.2">
      <c r="M1079" s="3"/>
      <c r="P1079" s="4"/>
      <c r="Q1079" s="5"/>
    </row>
    <row r="1080" spans="13:17" x14ac:dyDescent="0.2">
      <c r="M1080" s="3"/>
      <c r="P1080" s="4"/>
      <c r="Q1080" s="5"/>
    </row>
    <row r="1081" spans="13:17" x14ac:dyDescent="0.2">
      <c r="M1081" s="3"/>
      <c r="P1081" s="4"/>
      <c r="Q1081" s="5"/>
    </row>
    <row r="1082" spans="13:17" x14ac:dyDescent="0.2">
      <c r="M1082" s="3"/>
      <c r="P1082" s="4"/>
      <c r="Q1082" s="5"/>
    </row>
    <row r="1083" spans="13:17" x14ac:dyDescent="0.2">
      <c r="M1083" s="3"/>
      <c r="P1083" s="4"/>
      <c r="Q1083" s="5"/>
    </row>
    <row r="1084" spans="13:17" x14ac:dyDescent="0.2">
      <c r="M1084" s="3"/>
      <c r="P1084" s="4"/>
      <c r="Q1084" s="5"/>
    </row>
    <row r="1085" spans="13:17" x14ac:dyDescent="0.2">
      <c r="M1085" s="3"/>
      <c r="P1085" s="4"/>
      <c r="Q1085" s="5"/>
    </row>
    <row r="1086" spans="13:17" x14ac:dyDescent="0.2">
      <c r="M1086" s="3"/>
      <c r="P1086" s="4"/>
      <c r="Q1086" s="5"/>
    </row>
    <row r="1087" spans="13:17" x14ac:dyDescent="0.2">
      <c r="M1087" s="3"/>
      <c r="P1087" s="4"/>
      <c r="Q1087" s="5"/>
    </row>
    <row r="1088" spans="13:17" x14ac:dyDescent="0.2">
      <c r="M1088" s="3"/>
      <c r="P1088" s="4"/>
      <c r="Q1088" s="5"/>
    </row>
    <row r="1089" spans="13:17" x14ac:dyDescent="0.2">
      <c r="M1089" s="3"/>
      <c r="P1089" s="4"/>
      <c r="Q1089" s="5"/>
    </row>
    <row r="1090" spans="13:17" x14ac:dyDescent="0.2">
      <c r="M1090" s="3"/>
      <c r="P1090" s="4"/>
      <c r="Q1090" s="5"/>
    </row>
    <row r="1091" spans="13:17" x14ac:dyDescent="0.2">
      <c r="M1091" s="3"/>
      <c r="P1091" s="4"/>
      <c r="Q1091" s="5"/>
    </row>
    <row r="1092" spans="13:17" x14ac:dyDescent="0.2">
      <c r="M1092" s="3"/>
      <c r="P1092" s="4"/>
      <c r="Q1092" s="5"/>
    </row>
    <row r="1093" spans="13:17" x14ac:dyDescent="0.2">
      <c r="M1093" s="3"/>
      <c r="P1093" s="4"/>
      <c r="Q1093" s="5"/>
    </row>
    <row r="1094" spans="13:17" x14ac:dyDescent="0.2">
      <c r="M1094" s="3"/>
      <c r="P1094" s="4"/>
      <c r="Q1094" s="5"/>
    </row>
    <row r="1095" spans="13:17" x14ac:dyDescent="0.2">
      <c r="M1095" s="3"/>
      <c r="P1095" s="4"/>
      <c r="Q1095" s="5"/>
    </row>
    <row r="1096" spans="13:17" x14ac:dyDescent="0.2">
      <c r="M1096" s="3"/>
      <c r="P1096" s="4"/>
      <c r="Q1096" s="5"/>
    </row>
    <row r="1097" spans="13:17" x14ac:dyDescent="0.2">
      <c r="M1097" s="3"/>
      <c r="P1097" s="4"/>
      <c r="Q1097" s="5"/>
    </row>
    <row r="1098" spans="13:17" x14ac:dyDescent="0.2">
      <c r="M1098" s="3"/>
      <c r="P1098" s="4"/>
      <c r="Q1098" s="5"/>
    </row>
    <row r="1099" spans="13:17" x14ac:dyDescent="0.2">
      <c r="M1099" s="3"/>
      <c r="P1099" s="4"/>
      <c r="Q1099" s="5"/>
    </row>
    <row r="1100" spans="13:17" x14ac:dyDescent="0.2">
      <c r="M1100" s="3"/>
      <c r="P1100" s="4"/>
      <c r="Q1100" s="5"/>
    </row>
    <row r="1101" spans="13:17" x14ac:dyDescent="0.2">
      <c r="M1101" s="3"/>
      <c r="P1101" s="4"/>
      <c r="Q1101" s="5"/>
    </row>
    <row r="1102" spans="13:17" x14ac:dyDescent="0.2">
      <c r="M1102" s="3"/>
      <c r="P1102" s="4"/>
      <c r="Q1102" s="5"/>
    </row>
    <row r="1103" spans="13:17" x14ac:dyDescent="0.2">
      <c r="M1103" s="3"/>
      <c r="P1103" s="4"/>
      <c r="Q1103" s="5"/>
    </row>
    <row r="1104" spans="13:17" x14ac:dyDescent="0.2">
      <c r="M1104" s="3"/>
      <c r="P1104" s="4"/>
      <c r="Q1104" s="5"/>
    </row>
    <row r="1105" spans="13:17" x14ac:dyDescent="0.2">
      <c r="M1105" s="3"/>
      <c r="P1105" s="4"/>
      <c r="Q1105" s="5"/>
    </row>
    <row r="1106" spans="13:17" x14ac:dyDescent="0.2">
      <c r="M1106" s="3"/>
      <c r="P1106" s="4"/>
      <c r="Q1106" s="5"/>
    </row>
    <row r="1107" spans="13:17" x14ac:dyDescent="0.2">
      <c r="M1107" s="3"/>
      <c r="P1107" s="4"/>
      <c r="Q1107" s="5"/>
    </row>
    <row r="1108" spans="13:17" x14ac:dyDescent="0.2">
      <c r="M1108" s="3"/>
      <c r="P1108" s="4"/>
      <c r="Q1108" s="5"/>
    </row>
    <row r="1109" spans="13:17" x14ac:dyDescent="0.2">
      <c r="M1109" s="3"/>
      <c r="P1109" s="4"/>
      <c r="Q1109" s="5"/>
    </row>
    <row r="1110" spans="13:17" x14ac:dyDescent="0.2">
      <c r="M1110" s="3"/>
      <c r="P1110" s="4"/>
      <c r="Q1110" s="5"/>
    </row>
    <row r="1111" spans="13:17" x14ac:dyDescent="0.2">
      <c r="M1111" s="3"/>
      <c r="P1111" s="4"/>
      <c r="Q1111" s="5"/>
    </row>
    <row r="1112" spans="13:17" x14ac:dyDescent="0.2">
      <c r="M1112" s="3"/>
      <c r="P1112" s="4"/>
      <c r="Q1112" s="5"/>
    </row>
    <row r="1113" spans="13:17" x14ac:dyDescent="0.2">
      <c r="M1113" s="3"/>
      <c r="P1113" s="4"/>
      <c r="Q1113" s="5"/>
    </row>
    <row r="1114" spans="13:17" x14ac:dyDescent="0.2">
      <c r="M1114" s="3"/>
      <c r="P1114" s="4"/>
      <c r="Q1114" s="5"/>
    </row>
    <row r="1115" spans="13:17" x14ac:dyDescent="0.2">
      <c r="M1115" s="3"/>
      <c r="P1115" s="4"/>
      <c r="Q1115" s="5"/>
    </row>
    <row r="1116" spans="13:17" x14ac:dyDescent="0.2">
      <c r="M1116" s="3"/>
      <c r="P1116" s="4"/>
      <c r="Q1116" s="5"/>
    </row>
    <row r="1117" spans="13:17" x14ac:dyDescent="0.2">
      <c r="M1117" s="3"/>
      <c r="P1117" s="4"/>
      <c r="Q1117" s="5"/>
    </row>
    <row r="1118" spans="13:17" x14ac:dyDescent="0.2">
      <c r="M1118" s="3"/>
      <c r="P1118" s="4"/>
      <c r="Q1118" s="5"/>
    </row>
    <row r="1119" spans="13:17" x14ac:dyDescent="0.2">
      <c r="M1119" s="3"/>
      <c r="P1119" s="4"/>
      <c r="Q1119" s="5"/>
    </row>
    <row r="1120" spans="13:17" x14ac:dyDescent="0.2">
      <c r="M1120" s="3"/>
      <c r="P1120" s="4"/>
      <c r="Q1120" s="5"/>
    </row>
    <row r="1121" spans="13:17" x14ac:dyDescent="0.2">
      <c r="M1121" s="3"/>
      <c r="P1121" s="4"/>
      <c r="Q1121" s="5"/>
    </row>
    <row r="1122" spans="13:17" x14ac:dyDescent="0.2">
      <c r="M1122" s="3"/>
      <c r="P1122" s="4"/>
      <c r="Q1122" s="5"/>
    </row>
    <row r="1123" spans="13:17" x14ac:dyDescent="0.2">
      <c r="M1123" s="3"/>
      <c r="P1123" s="4"/>
      <c r="Q1123" s="5"/>
    </row>
    <row r="1124" spans="13:17" x14ac:dyDescent="0.2">
      <c r="M1124" s="3"/>
      <c r="P1124" s="4"/>
      <c r="Q1124" s="5"/>
    </row>
    <row r="1125" spans="13:17" x14ac:dyDescent="0.2">
      <c r="M1125" s="3"/>
      <c r="P1125" s="4"/>
      <c r="Q1125" s="5"/>
    </row>
    <row r="1126" spans="13:17" x14ac:dyDescent="0.2">
      <c r="M1126" s="3"/>
      <c r="P1126" s="4"/>
      <c r="Q1126" s="5"/>
    </row>
    <row r="1127" spans="13:17" x14ac:dyDescent="0.2">
      <c r="M1127" s="3"/>
      <c r="P1127" s="4"/>
      <c r="Q1127" s="5"/>
    </row>
    <row r="1128" spans="13:17" x14ac:dyDescent="0.2">
      <c r="M1128" s="3"/>
      <c r="P1128" s="4"/>
      <c r="Q1128" s="5"/>
    </row>
    <row r="1129" spans="13:17" x14ac:dyDescent="0.2">
      <c r="M1129" s="3"/>
      <c r="P1129" s="4"/>
      <c r="Q1129" s="5"/>
    </row>
    <row r="1130" spans="13:17" x14ac:dyDescent="0.2">
      <c r="M1130" s="3"/>
      <c r="P1130" s="4"/>
      <c r="Q1130" s="5"/>
    </row>
    <row r="1131" spans="13:17" x14ac:dyDescent="0.2">
      <c r="M1131" s="3"/>
      <c r="P1131" s="4"/>
      <c r="Q1131" s="5"/>
    </row>
    <row r="1132" spans="13:17" x14ac:dyDescent="0.2">
      <c r="M1132" s="3"/>
      <c r="P1132" s="4"/>
      <c r="Q1132" s="5"/>
    </row>
    <row r="1133" spans="13:17" x14ac:dyDescent="0.2">
      <c r="M1133" s="3"/>
      <c r="P1133" s="4"/>
      <c r="Q1133" s="5"/>
    </row>
    <row r="1134" spans="13:17" x14ac:dyDescent="0.2">
      <c r="M1134" s="3"/>
      <c r="P1134" s="4"/>
      <c r="Q1134" s="5"/>
    </row>
    <row r="1135" spans="13:17" x14ac:dyDescent="0.2">
      <c r="M1135" s="3"/>
      <c r="P1135" s="4"/>
      <c r="Q1135" s="5"/>
    </row>
    <row r="1136" spans="13:17" x14ac:dyDescent="0.2">
      <c r="M1136" s="3"/>
      <c r="P1136" s="4"/>
      <c r="Q1136" s="5"/>
    </row>
    <row r="1137" spans="13:17" x14ac:dyDescent="0.2">
      <c r="M1137" s="3"/>
      <c r="P1137" s="4"/>
      <c r="Q1137" s="5"/>
    </row>
    <row r="1138" spans="13:17" x14ac:dyDescent="0.2">
      <c r="M1138" s="3"/>
      <c r="P1138" s="4"/>
      <c r="Q1138" s="5"/>
    </row>
    <row r="1139" spans="13:17" x14ac:dyDescent="0.2">
      <c r="M1139" s="3"/>
      <c r="P1139" s="4"/>
      <c r="Q1139" s="5"/>
    </row>
    <row r="1140" spans="13:17" x14ac:dyDescent="0.2">
      <c r="M1140" s="3"/>
      <c r="P1140" s="4"/>
      <c r="Q1140" s="5"/>
    </row>
    <row r="1141" spans="13:17" x14ac:dyDescent="0.2">
      <c r="M1141" s="3"/>
      <c r="P1141" s="4"/>
      <c r="Q1141" s="5"/>
    </row>
    <row r="1142" spans="13:17" x14ac:dyDescent="0.2">
      <c r="M1142" s="3"/>
      <c r="P1142" s="4"/>
      <c r="Q1142" s="5"/>
    </row>
    <row r="1143" spans="13:17" x14ac:dyDescent="0.2">
      <c r="M1143" s="3"/>
      <c r="P1143" s="4"/>
      <c r="Q1143" s="5"/>
    </row>
    <row r="1144" spans="13:17" x14ac:dyDescent="0.2">
      <c r="M1144" s="3"/>
      <c r="P1144" s="4"/>
      <c r="Q1144" s="5"/>
    </row>
    <row r="1145" spans="13:17" x14ac:dyDescent="0.2">
      <c r="M1145" s="3"/>
      <c r="P1145" s="4"/>
      <c r="Q1145" s="5"/>
    </row>
    <row r="1146" spans="13:17" x14ac:dyDescent="0.2">
      <c r="M1146" s="3"/>
      <c r="P1146" s="4"/>
      <c r="Q1146" s="5"/>
    </row>
    <row r="1147" spans="13:17" x14ac:dyDescent="0.2">
      <c r="M1147" s="3"/>
      <c r="P1147" s="4"/>
      <c r="Q1147" s="5"/>
    </row>
    <row r="1148" spans="13:17" x14ac:dyDescent="0.2">
      <c r="M1148" s="3"/>
      <c r="P1148" s="4"/>
      <c r="Q1148" s="5"/>
    </row>
    <row r="1149" spans="13:17" x14ac:dyDescent="0.2">
      <c r="M1149" s="3"/>
      <c r="P1149" s="4"/>
      <c r="Q1149" s="5"/>
    </row>
    <row r="1150" spans="13:17" x14ac:dyDescent="0.2">
      <c r="M1150" s="3"/>
      <c r="P1150" s="4"/>
      <c r="Q1150" s="5"/>
    </row>
    <row r="1151" spans="13:17" x14ac:dyDescent="0.2">
      <c r="M1151" s="3"/>
      <c r="P1151" s="4"/>
      <c r="Q1151" s="5"/>
    </row>
    <row r="1152" spans="13:17" x14ac:dyDescent="0.2">
      <c r="M1152" s="3"/>
      <c r="P1152" s="4"/>
      <c r="Q1152" s="5"/>
    </row>
    <row r="1153" spans="13:17" x14ac:dyDescent="0.2">
      <c r="M1153" s="3"/>
      <c r="P1153" s="4"/>
      <c r="Q1153" s="5"/>
    </row>
    <row r="1154" spans="13:17" x14ac:dyDescent="0.2">
      <c r="M1154" s="3"/>
      <c r="P1154" s="4"/>
      <c r="Q1154" s="5"/>
    </row>
    <row r="1155" spans="13:17" x14ac:dyDescent="0.2">
      <c r="M1155" s="3"/>
      <c r="P1155" s="4"/>
      <c r="Q1155" s="5"/>
    </row>
    <row r="1156" spans="13:17" x14ac:dyDescent="0.2">
      <c r="M1156" s="3"/>
      <c r="P1156" s="4"/>
      <c r="Q1156" s="5"/>
    </row>
    <row r="1157" spans="13:17" x14ac:dyDescent="0.2">
      <c r="M1157" s="3"/>
      <c r="P1157" s="4"/>
      <c r="Q1157" s="5"/>
    </row>
    <row r="1158" spans="13:17" x14ac:dyDescent="0.2">
      <c r="M1158" s="3"/>
      <c r="P1158" s="4"/>
      <c r="Q1158" s="5"/>
    </row>
    <row r="1159" spans="13:17" x14ac:dyDescent="0.2">
      <c r="M1159" s="3"/>
      <c r="P1159" s="4"/>
      <c r="Q1159" s="5"/>
    </row>
    <row r="1160" spans="13:17" x14ac:dyDescent="0.2">
      <c r="M1160" s="3"/>
      <c r="P1160" s="4"/>
      <c r="Q1160" s="5"/>
    </row>
    <row r="1161" spans="13:17" x14ac:dyDescent="0.2">
      <c r="M1161" s="3"/>
      <c r="P1161" s="4"/>
      <c r="Q1161" s="5"/>
    </row>
    <row r="1162" spans="13:17" x14ac:dyDescent="0.2">
      <c r="M1162" s="3"/>
      <c r="P1162" s="4"/>
      <c r="Q1162" s="5"/>
    </row>
    <row r="1163" spans="13:17" x14ac:dyDescent="0.2">
      <c r="M1163" s="3"/>
      <c r="P1163" s="4"/>
      <c r="Q1163" s="5"/>
    </row>
    <row r="1164" spans="13:17" x14ac:dyDescent="0.2">
      <c r="M1164" s="3"/>
      <c r="P1164" s="4"/>
      <c r="Q1164" s="5"/>
    </row>
    <row r="1165" spans="13:17" x14ac:dyDescent="0.2">
      <c r="M1165" s="3"/>
      <c r="P1165" s="4"/>
      <c r="Q1165" s="5"/>
    </row>
    <row r="1166" spans="13:17" x14ac:dyDescent="0.2">
      <c r="M1166" s="3"/>
      <c r="P1166" s="4"/>
      <c r="Q1166" s="5"/>
    </row>
    <row r="1167" spans="13:17" x14ac:dyDescent="0.2">
      <c r="M1167" s="3"/>
      <c r="P1167" s="4"/>
      <c r="Q1167" s="5"/>
    </row>
    <row r="1168" spans="13:17" x14ac:dyDescent="0.2">
      <c r="M1168" s="3"/>
      <c r="P1168" s="4"/>
      <c r="Q1168" s="5"/>
    </row>
    <row r="1169" spans="13:17" x14ac:dyDescent="0.2">
      <c r="M1169" s="3"/>
      <c r="P1169" s="4"/>
      <c r="Q1169" s="5"/>
    </row>
    <row r="1170" spans="13:17" x14ac:dyDescent="0.2">
      <c r="M1170" s="3"/>
      <c r="P1170" s="4"/>
      <c r="Q1170" s="5"/>
    </row>
    <row r="1171" spans="13:17" x14ac:dyDescent="0.2">
      <c r="M1171" s="3"/>
      <c r="P1171" s="4"/>
      <c r="Q1171" s="5"/>
    </row>
    <row r="1172" spans="13:17" x14ac:dyDescent="0.2">
      <c r="M1172" s="3"/>
      <c r="P1172" s="4"/>
      <c r="Q1172" s="5"/>
    </row>
    <row r="1173" spans="13:17" x14ac:dyDescent="0.2">
      <c r="M1173" s="3"/>
      <c r="P1173" s="4"/>
      <c r="Q1173" s="5"/>
    </row>
    <row r="1174" spans="13:17" x14ac:dyDescent="0.2">
      <c r="M1174" s="3"/>
      <c r="P1174" s="4"/>
      <c r="Q1174" s="5"/>
    </row>
    <row r="1175" spans="13:17" x14ac:dyDescent="0.2">
      <c r="M1175" s="3"/>
      <c r="P1175" s="4"/>
      <c r="Q1175" s="5"/>
    </row>
    <row r="1176" spans="13:17" x14ac:dyDescent="0.2">
      <c r="M1176" s="3"/>
      <c r="P1176" s="4"/>
      <c r="Q1176" s="5"/>
    </row>
    <row r="1177" spans="13:17" x14ac:dyDescent="0.2">
      <c r="M1177" s="3"/>
      <c r="P1177" s="4"/>
      <c r="Q1177" s="5"/>
    </row>
    <row r="1178" spans="13:17" x14ac:dyDescent="0.2">
      <c r="M1178" s="3"/>
      <c r="P1178" s="4"/>
      <c r="Q1178" s="5"/>
    </row>
    <row r="1179" spans="13:17" x14ac:dyDescent="0.2">
      <c r="M1179" s="3"/>
      <c r="P1179" s="4"/>
      <c r="Q1179" s="5"/>
    </row>
    <row r="1180" spans="13:17" x14ac:dyDescent="0.2">
      <c r="M1180" s="3"/>
      <c r="P1180" s="4"/>
      <c r="Q1180" s="5"/>
    </row>
    <row r="1181" spans="13:17" x14ac:dyDescent="0.2">
      <c r="M1181" s="3"/>
      <c r="P1181" s="4"/>
      <c r="Q1181" s="5"/>
    </row>
    <row r="1182" spans="13:17" x14ac:dyDescent="0.2">
      <c r="M1182" s="3"/>
      <c r="P1182" s="4"/>
      <c r="Q1182" s="5"/>
    </row>
    <row r="1183" spans="13:17" x14ac:dyDescent="0.2">
      <c r="M1183" s="3"/>
      <c r="P1183" s="4"/>
      <c r="Q1183" s="5"/>
    </row>
    <row r="1184" spans="13:17" x14ac:dyDescent="0.2">
      <c r="M1184" s="3"/>
      <c r="P1184" s="4"/>
      <c r="Q1184" s="5"/>
    </row>
    <row r="1185" spans="13:17" x14ac:dyDescent="0.2">
      <c r="M1185" s="3"/>
      <c r="P1185" s="4"/>
      <c r="Q1185" s="5"/>
    </row>
    <row r="1186" spans="13:17" x14ac:dyDescent="0.2">
      <c r="M1186" s="3"/>
      <c r="P1186" s="4"/>
      <c r="Q1186" s="5"/>
    </row>
    <row r="1187" spans="13:17" x14ac:dyDescent="0.2">
      <c r="M1187" s="3"/>
      <c r="P1187" s="4"/>
      <c r="Q1187" s="5"/>
    </row>
    <row r="1188" spans="13:17" x14ac:dyDescent="0.2">
      <c r="M1188" s="3"/>
      <c r="P1188" s="4"/>
      <c r="Q1188" s="5"/>
    </row>
    <row r="1189" spans="13:17" x14ac:dyDescent="0.2">
      <c r="M1189" s="3"/>
      <c r="P1189" s="4"/>
      <c r="Q1189" s="5"/>
    </row>
    <row r="1190" spans="13:17" x14ac:dyDescent="0.2">
      <c r="M1190" s="3"/>
      <c r="P1190" s="4"/>
      <c r="Q1190" s="5"/>
    </row>
    <row r="1191" spans="13:17" x14ac:dyDescent="0.2">
      <c r="M1191" s="3"/>
      <c r="P1191" s="4"/>
      <c r="Q1191" s="5"/>
    </row>
    <row r="1192" spans="13:17" x14ac:dyDescent="0.2">
      <c r="M1192" s="3"/>
      <c r="P1192" s="4"/>
      <c r="Q1192" s="5"/>
    </row>
    <row r="1193" spans="13:17" x14ac:dyDescent="0.2">
      <c r="M1193" s="3"/>
      <c r="P1193" s="4"/>
      <c r="Q1193" s="5"/>
    </row>
    <row r="1194" spans="13:17" x14ac:dyDescent="0.2">
      <c r="M1194" s="3"/>
      <c r="P1194" s="4"/>
      <c r="Q1194" s="5"/>
    </row>
    <row r="1195" spans="13:17" x14ac:dyDescent="0.2">
      <c r="M1195" s="3"/>
      <c r="P1195" s="4"/>
      <c r="Q1195" s="5"/>
    </row>
    <row r="1196" spans="13:17" x14ac:dyDescent="0.2">
      <c r="M1196" s="3"/>
      <c r="P1196" s="4"/>
      <c r="Q1196" s="5"/>
    </row>
    <row r="1197" spans="13:17" x14ac:dyDescent="0.2">
      <c r="M1197" s="3"/>
      <c r="P1197" s="4"/>
      <c r="Q1197" s="5"/>
    </row>
    <row r="1198" spans="13:17" x14ac:dyDescent="0.2">
      <c r="M1198" s="3"/>
      <c r="P1198" s="4"/>
      <c r="Q1198" s="5"/>
    </row>
    <row r="1199" spans="13:17" x14ac:dyDescent="0.2">
      <c r="M1199" s="3"/>
      <c r="P1199" s="4"/>
      <c r="Q1199" s="5"/>
    </row>
    <row r="1200" spans="13:17" x14ac:dyDescent="0.2">
      <c r="M1200" s="3"/>
      <c r="P1200" s="4"/>
      <c r="Q1200" s="5"/>
    </row>
    <row r="1201" spans="13:17" x14ac:dyDescent="0.2">
      <c r="M1201" s="3"/>
      <c r="P1201" s="4"/>
      <c r="Q1201" s="5"/>
    </row>
    <row r="1202" spans="13:17" x14ac:dyDescent="0.2">
      <c r="M1202" s="3"/>
      <c r="P1202" s="4"/>
      <c r="Q1202" s="5"/>
    </row>
    <row r="1203" spans="13:17" x14ac:dyDescent="0.2">
      <c r="M1203" s="3"/>
      <c r="P1203" s="4"/>
      <c r="Q1203" s="5"/>
    </row>
    <row r="1204" spans="13:17" x14ac:dyDescent="0.2">
      <c r="M1204" s="3"/>
      <c r="P1204" s="4"/>
      <c r="Q1204" s="5"/>
    </row>
    <row r="1205" spans="13:17" x14ac:dyDescent="0.2">
      <c r="M1205" s="3"/>
      <c r="P1205" s="4"/>
      <c r="Q1205" s="5"/>
    </row>
    <row r="1206" spans="13:17" x14ac:dyDescent="0.2">
      <c r="M1206" s="3"/>
      <c r="P1206" s="4"/>
      <c r="Q1206" s="5"/>
    </row>
    <row r="1207" spans="13:17" x14ac:dyDescent="0.2">
      <c r="M1207" s="3"/>
      <c r="P1207" s="4"/>
      <c r="Q1207" s="5"/>
    </row>
    <row r="1208" spans="13:17" x14ac:dyDescent="0.2">
      <c r="M1208" s="3"/>
      <c r="P1208" s="4"/>
      <c r="Q1208" s="5"/>
    </row>
    <row r="1209" spans="13:17" x14ac:dyDescent="0.2">
      <c r="M1209" s="3"/>
      <c r="P1209" s="4"/>
      <c r="Q1209" s="5"/>
    </row>
    <row r="1210" spans="13:17" x14ac:dyDescent="0.2">
      <c r="M1210" s="3"/>
      <c r="P1210" s="4"/>
      <c r="Q1210" s="5"/>
    </row>
    <row r="1211" spans="13:17" x14ac:dyDescent="0.2">
      <c r="M1211" s="3"/>
      <c r="P1211" s="4"/>
      <c r="Q1211" s="5"/>
    </row>
    <row r="1212" spans="13:17" x14ac:dyDescent="0.2">
      <c r="M1212" s="3"/>
      <c r="P1212" s="4"/>
      <c r="Q1212" s="5"/>
    </row>
    <row r="1213" spans="13:17" x14ac:dyDescent="0.2">
      <c r="M1213" s="3"/>
      <c r="P1213" s="4"/>
      <c r="Q1213" s="5"/>
    </row>
    <row r="1214" spans="13:17" x14ac:dyDescent="0.2">
      <c r="M1214" s="3"/>
      <c r="P1214" s="4"/>
      <c r="Q1214" s="5"/>
    </row>
    <row r="1215" spans="13:17" x14ac:dyDescent="0.2">
      <c r="M1215" s="3"/>
      <c r="P1215" s="4"/>
      <c r="Q1215" s="5"/>
    </row>
    <row r="1216" spans="13:17" x14ac:dyDescent="0.2">
      <c r="M1216" s="3"/>
      <c r="P1216" s="4"/>
      <c r="Q1216" s="5"/>
    </row>
    <row r="1217" spans="13:17" x14ac:dyDescent="0.2">
      <c r="M1217" s="3"/>
      <c r="P1217" s="4"/>
      <c r="Q1217" s="5"/>
    </row>
    <row r="1218" spans="13:17" x14ac:dyDescent="0.2">
      <c r="M1218" s="3"/>
      <c r="P1218" s="4"/>
      <c r="Q1218" s="5"/>
    </row>
    <row r="1219" spans="13:17" x14ac:dyDescent="0.2">
      <c r="M1219" s="3"/>
      <c r="P1219" s="4"/>
      <c r="Q1219" s="5"/>
    </row>
    <row r="1220" spans="13:17" x14ac:dyDescent="0.2">
      <c r="M1220" s="3"/>
      <c r="P1220" s="4"/>
      <c r="Q1220" s="5"/>
    </row>
    <row r="1221" spans="13:17" x14ac:dyDescent="0.2">
      <c r="M1221" s="3"/>
      <c r="P1221" s="4"/>
      <c r="Q1221" s="5"/>
    </row>
    <row r="1222" spans="13:17" x14ac:dyDescent="0.2">
      <c r="M1222" s="3"/>
      <c r="P1222" s="4"/>
      <c r="Q1222" s="5"/>
    </row>
    <row r="1223" spans="13:17" x14ac:dyDescent="0.2">
      <c r="M1223" s="3"/>
      <c r="P1223" s="4"/>
      <c r="Q1223" s="5"/>
    </row>
    <row r="1224" spans="13:17" x14ac:dyDescent="0.2">
      <c r="M1224" s="3"/>
      <c r="P1224" s="4"/>
      <c r="Q1224" s="5"/>
    </row>
    <row r="1225" spans="13:17" x14ac:dyDescent="0.2">
      <c r="M1225" s="3"/>
      <c r="P1225" s="4"/>
      <c r="Q1225" s="5"/>
    </row>
    <row r="1226" spans="13:17" x14ac:dyDescent="0.2">
      <c r="M1226" s="3"/>
      <c r="P1226" s="4"/>
      <c r="Q1226" s="5"/>
    </row>
    <row r="1227" spans="13:17" x14ac:dyDescent="0.2">
      <c r="M1227" s="3"/>
      <c r="P1227" s="4"/>
      <c r="Q1227" s="5"/>
    </row>
    <row r="1228" spans="13:17" x14ac:dyDescent="0.2">
      <c r="M1228" s="3"/>
      <c r="P1228" s="4"/>
      <c r="Q1228" s="5"/>
    </row>
    <row r="1229" spans="13:17" x14ac:dyDescent="0.2">
      <c r="M1229" s="3"/>
      <c r="P1229" s="4"/>
      <c r="Q1229" s="5"/>
    </row>
    <row r="1230" spans="13:17" x14ac:dyDescent="0.2">
      <c r="M1230" s="3"/>
      <c r="P1230" s="4"/>
      <c r="Q1230" s="5"/>
    </row>
    <row r="1231" spans="13:17" x14ac:dyDescent="0.2">
      <c r="M1231" s="3"/>
      <c r="P1231" s="4"/>
      <c r="Q1231" s="5"/>
    </row>
    <row r="1232" spans="13:17" x14ac:dyDescent="0.2">
      <c r="M1232" s="3"/>
      <c r="P1232" s="4"/>
      <c r="Q1232" s="5"/>
    </row>
    <row r="1233" spans="13:17" x14ac:dyDescent="0.2">
      <c r="M1233" s="3"/>
      <c r="P1233" s="4"/>
      <c r="Q1233" s="5"/>
    </row>
    <row r="1234" spans="13:17" x14ac:dyDescent="0.2">
      <c r="M1234" s="3"/>
      <c r="P1234" s="4"/>
      <c r="Q1234" s="5"/>
    </row>
    <row r="1235" spans="13:17" x14ac:dyDescent="0.2">
      <c r="M1235" s="3"/>
      <c r="P1235" s="4"/>
      <c r="Q1235" s="5"/>
    </row>
    <row r="1236" spans="13:17" x14ac:dyDescent="0.2">
      <c r="M1236" s="3"/>
      <c r="P1236" s="4"/>
      <c r="Q1236" s="5"/>
    </row>
    <row r="1237" spans="13:17" x14ac:dyDescent="0.2">
      <c r="M1237" s="3"/>
      <c r="P1237" s="4"/>
      <c r="Q1237" s="5"/>
    </row>
    <row r="1238" spans="13:17" x14ac:dyDescent="0.2">
      <c r="M1238" s="3"/>
      <c r="P1238" s="4"/>
      <c r="Q1238" s="5"/>
    </row>
    <row r="1239" spans="13:17" x14ac:dyDescent="0.2">
      <c r="M1239" s="3"/>
      <c r="P1239" s="4"/>
      <c r="Q1239" s="5"/>
    </row>
    <row r="1240" spans="13:17" x14ac:dyDescent="0.2">
      <c r="M1240" s="3"/>
      <c r="P1240" s="4"/>
      <c r="Q1240" s="5"/>
    </row>
    <row r="1241" spans="13:17" x14ac:dyDescent="0.2">
      <c r="M1241" s="3"/>
      <c r="P1241" s="4"/>
      <c r="Q1241" s="5"/>
    </row>
    <row r="1242" spans="13:17" x14ac:dyDescent="0.2">
      <c r="M1242" s="3"/>
      <c r="P1242" s="4"/>
      <c r="Q1242" s="5"/>
    </row>
    <row r="1243" spans="13:17" x14ac:dyDescent="0.2">
      <c r="M1243" s="3"/>
      <c r="P1243" s="4"/>
      <c r="Q1243" s="5"/>
    </row>
    <row r="1244" spans="13:17" x14ac:dyDescent="0.2">
      <c r="M1244" s="3"/>
      <c r="P1244" s="4"/>
      <c r="Q1244" s="5"/>
    </row>
    <row r="1245" spans="13:17" x14ac:dyDescent="0.2">
      <c r="M1245" s="3"/>
      <c r="P1245" s="4"/>
      <c r="Q1245" s="5"/>
    </row>
    <row r="1246" spans="13:17" x14ac:dyDescent="0.2">
      <c r="M1246" s="3"/>
      <c r="P1246" s="4"/>
      <c r="Q1246" s="5"/>
    </row>
    <row r="1247" spans="13:17" x14ac:dyDescent="0.2">
      <c r="M1247" s="3"/>
      <c r="P1247" s="4"/>
      <c r="Q1247" s="5"/>
    </row>
    <row r="1248" spans="13:17" x14ac:dyDescent="0.2">
      <c r="M1248" s="3"/>
      <c r="P1248" s="4"/>
      <c r="Q1248" s="5"/>
    </row>
    <row r="1249" spans="13:17" x14ac:dyDescent="0.2">
      <c r="M1249" s="3"/>
      <c r="P1249" s="4"/>
      <c r="Q1249" s="5"/>
    </row>
    <row r="1250" spans="13:17" x14ac:dyDescent="0.2">
      <c r="M1250" s="3"/>
      <c r="P1250" s="4"/>
      <c r="Q1250" s="5"/>
    </row>
    <row r="1251" spans="13:17" x14ac:dyDescent="0.2">
      <c r="M1251" s="3"/>
      <c r="P1251" s="4"/>
      <c r="Q1251" s="5"/>
    </row>
    <row r="1252" spans="13:17" x14ac:dyDescent="0.2">
      <c r="M1252" s="3"/>
      <c r="P1252" s="4"/>
      <c r="Q1252" s="5"/>
    </row>
    <row r="1253" spans="13:17" x14ac:dyDescent="0.2">
      <c r="M1253" s="3"/>
      <c r="P1253" s="4"/>
      <c r="Q1253" s="5"/>
    </row>
    <row r="1254" spans="13:17" x14ac:dyDescent="0.2">
      <c r="M1254" s="3"/>
      <c r="P1254" s="4"/>
      <c r="Q1254" s="5"/>
    </row>
    <row r="1255" spans="13:17" x14ac:dyDescent="0.2">
      <c r="M1255" s="3"/>
      <c r="P1255" s="4"/>
      <c r="Q1255" s="5"/>
    </row>
    <row r="1256" spans="13:17" x14ac:dyDescent="0.2">
      <c r="M1256" s="3"/>
      <c r="P1256" s="4"/>
      <c r="Q1256" s="5"/>
    </row>
    <row r="1257" spans="13:17" x14ac:dyDescent="0.2">
      <c r="M1257" s="3"/>
      <c r="P1257" s="4"/>
      <c r="Q1257" s="5"/>
    </row>
    <row r="1258" spans="13:17" x14ac:dyDescent="0.2">
      <c r="M1258" s="3"/>
      <c r="P1258" s="4"/>
      <c r="Q1258" s="5"/>
    </row>
    <row r="1259" spans="13:17" x14ac:dyDescent="0.2">
      <c r="M1259" s="3"/>
      <c r="P1259" s="4"/>
      <c r="Q1259" s="5"/>
    </row>
    <row r="1260" spans="13:17" x14ac:dyDescent="0.2">
      <c r="M1260" s="3"/>
      <c r="P1260" s="4"/>
      <c r="Q1260" s="5"/>
    </row>
    <row r="1261" spans="13:17" x14ac:dyDescent="0.2">
      <c r="M1261" s="3"/>
      <c r="P1261" s="4"/>
      <c r="Q1261" s="5"/>
    </row>
    <row r="1262" spans="13:17" x14ac:dyDescent="0.2">
      <c r="M1262" s="3"/>
      <c r="P1262" s="4"/>
      <c r="Q1262" s="5"/>
    </row>
    <row r="1263" spans="13:17" x14ac:dyDescent="0.2">
      <c r="M1263" s="3"/>
      <c r="P1263" s="4"/>
      <c r="Q1263" s="5"/>
    </row>
    <row r="1264" spans="13:17" x14ac:dyDescent="0.2">
      <c r="M1264" s="3"/>
      <c r="P1264" s="4"/>
      <c r="Q1264" s="5"/>
    </row>
    <row r="1265" spans="13:17" x14ac:dyDescent="0.2">
      <c r="M1265" s="3"/>
      <c r="P1265" s="4"/>
      <c r="Q1265" s="5"/>
    </row>
    <row r="1266" spans="13:17" x14ac:dyDescent="0.2">
      <c r="M1266" s="3"/>
      <c r="P1266" s="4"/>
      <c r="Q1266" s="5"/>
    </row>
    <row r="1267" spans="13:17" x14ac:dyDescent="0.2">
      <c r="M1267" s="3"/>
      <c r="P1267" s="4"/>
      <c r="Q1267" s="5"/>
    </row>
    <row r="1268" spans="13:17" x14ac:dyDescent="0.2">
      <c r="M1268" s="3"/>
      <c r="P1268" s="4"/>
      <c r="Q1268" s="5"/>
    </row>
    <row r="1269" spans="13:17" x14ac:dyDescent="0.2">
      <c r="M1269" s="3"/>
      <c r="P1269" s="4"/>
      <c r="Q1269" s="5"/>
    </row>
    <row r="1270" spans="13:17" x14ac:dyDescent="0.2">
      <c r="M1270" s="3"/>
      <c r="P1270" s="4"/>
      <c r="Q1270" s="5"/>
    </row>
    <row r="1271" spans="13:17" x14ac:dyDescent="0.2">
      <c r="M1271" s="3"/>
      <c r="P1271" s="4"/>
      <c r="Q1271" s="5"/>
    </row>
    <row r="1272" spans="13:17" x14ac:dyDescent="0.2">
      <c r="M1272" s="3"/>
      <c r="P1272" s="4"/>
      <c r="Q1272" s="5"/>
    </row>
    <row r="1273" spans="13:17" x14ac:dyDescent="0.2">
      <c r="M1273" s="3"/>
      <c r="P1273" s="4"/>
      <c r="Q1273" s="5"/>
    </row>
    <row r="1274" spans="13:17" x14ac:dyDescent="0.2">
      <c r="M1274" s="3"/>
      <c r="P1274" s="4"/>
      <c r="Q1274" s="5"/>
    </row>
    <row r="1275" spans="13:17" x14ac:dyDescent="0.2">
      <c r="M1275" s="3"/>
      <c r="P1275" s="4"/>
      <c r="Q1275" s="5"/>
    </row>
    <row r="1276" spans="13:17" x14ac:dyDescent="0.2">
      <c r="M1276" s="3"/>
      <c r="P1276" s="4"/>
      <c r="Q1276" s="5"/>
    </row>
    <row r="1277" spans="13:17" x14ac:dyDescent="0.2">
      <c r="M1277" s="3"/>
      <c r="P1277" s="4"/>
      <c r="Q1277" s="5"/>
    </row>
    <row r="1278" spans="13:17" x14ac:dyDescent="0.2">
      <c r="M1278" s="3"/>
      <c r="P1278" s="4"/>
      <c r="Q1278" s="5"/>
    </row>
    <row r="1279" spans="13:17" x14ac:dyDescent="0.2">
      <c r="M1279" s="3"/>
      <c r="P1279" s="4"/>
      <c r="Q1279" s="5"/>
    </row>
    <row r="1280" spans="13:17" x14ac:dyDescent="0.2">
      <c r="M1280" s="3"/>
      <c r="P1280" s="4"/>
      <c r="Q1280" s="5"/>
    </row>
    <row r="1281" spans="13:17" x14ac:dyDescent="0.2">
      <c r="M1281" s="3"/>
      <c r="P1281" s="4"/>
      <c r="Q1281" s="5"/>
    </row>
    <row r="1282" spans="13:17" x14ac:dyDescent="0.2">
      <c r="M1282" s="3"/>
      <c r="P1282" s="4"/>
      <c r="Q1282" s="5"/>
    </row>
    <row r="1283" spans="13:17" x14ac:dyDescent="0.2">
      <c r="M1283" s="3"/>
      <c r="P1283" s="4"/>
      <c r="Q1283" s="5"/>
    </row>
    <row r="1284" spans="13:17" x14ac:dyDescent="0.2">
      <c r="M1284" s="3"/>
      <c r="P1284" s="4"/>
      <c r="Q1284" s="5"/>
    </row>
    <row r="1285" spans="13:17" x14ac:dyDescent="0.2">
      <c r="M1285" s="3"/>
      <c r="P1285" s="4"/>
      <c r="Q1285" s="5"/>
    </row>
    <row r="1286" spans="13:17" x14ac:dyDescent="0.2">
      <c r="M1286" s="3"/>
      <c r="P1286" s="4"/>
      <c r="Q1286" s="5"/>
    </row>
  </sheetData>
  <mergeCells count="2">
    <mergeCell ref="A1:K1"/>
    <mergeCell ref="A2:K2"/>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0E7BCD-6627-0145-897D-4653DE7CE91C}">
  <dimension ref="A1:X19"/>
  <sheetViews>
    <sheetView workbookViewId="0">
      <selection activeCell="A3" sqref="A3:XFD3"/>
    </sheetView>
  </sheetViews>
  <sheetFormatPr baseColWidth="10" defaultColWidth="11.1640625" defaultRowHeight="16" x14ac:dyDescent="0.2"/>
  <cols>
    <col min="3" max="3" width="10.83203125" customWidth="1"/>
  </cols>
  <sheetData>
    <row r="1" spans="1:24" ht="21" x14ac:dyDescent="0.2">
      <c r="A1" s="7" t="s">
        <v>3</v>
      </c>
      <c r="B1" s="8"/>
      <c r="C1" s="8"/>
      <c r="D1" s="8"/>
      <c r="E1" s="8"/>
      <c r="F1" s="8"/>
      <c r="G1" s="8"/>
      <c r="H1" s="8"/>
      <c r="I1" s="8"/>
      <c r="J1" s="8"/>
      <c r="K1" s="8"/>
    </row>
    <row r="2" spans="1:24" ht="117" customHeight="1" x14ac:dyDescent="0.2">
      <c r="A2" s="9" t="s">
        <v>144</v>
      </c>
      <c r="B2" s="10"/>
      <c r="C2" s="10"/>
      <c r="D2" s="10"/>
      <c r="E2" s="10"/>
      <c r="F2" s="10"/>
      <c r="G2" s="10"/>
      <c r="H2" s="10"/>
      <c r="I2" s="10"/>
      <c r="J2" s="10"/>
      <c r="K2" s="10"/>
    </row>
    <row r="3" spans="1:24" s="1" customFormat="1" x14ac:dyDescent="0.2">
      <c r="A3" s="1" t="s">
        <v>5</v>
      </c>
      <c r="B3" s="1" t="s">
        <v>6</v>
      </c>
      <c r="C3" s="1" t="s">
        <v>7</v>
      </c>
      <c r="D3" s="1" t="s">
        <v>8</v>
      </c>
      <c r="E3" s="1" t="s">
        <v>9</v>
      </c>
      <c r="F3" s="1" t="s">
        <v>10</v>
      </c>
      <c r="G3" s="1" t="s">
        <v>11</v>
      </c>
      <c r="H3" s="1" t="s">
        <v>12</v>
      </c>
      <c r="I3" s="1" t="s">
        <v>13</v>
      </c>
      <c r="J3" s="1" t="s">
        <v>14</v>
      </c>
      <c r="K3" s="1" t="s">
        <v>15</v>
      </c>
      <c r="L3" s="1" t="s">
        <v>16</v>
      </c>
      <c r="M3" s="1" t="s">
        <v>17</v>
      </c>
      <c r="N3" s="1" t="s">
        <v>18</v>
      </c>
      <c r="O3" s="1" t="s">
        <v>19</v>
      </c>
      <c r="P3" s="1" t="s">
        <v>20</v>
      </c>
      <c r="Q3" s="1" t="s">
        <v>21</v>
      </c>
      <c r="R3" s="1" t="s">
        <v>22</v>
      </c>
      <c r="S3" s="1" t="s">
        <v>23</v>
      </c>
      <c r="T3" s="1" t="s">
        <v>24</v>
      </c>
      <c r="U3" s="1" t="s">
        <v>25</v>
      </c>
      <c r="V3" s="1" t="s">
        <v>26</v>
      </c>
      <c r="W3" s="1" t="s">
        <v>27</v>
      </c>
      <c r="X3" s="1" t="s">
        <v>28</v>
      </c>
    </row>
    <row r="4" spans="1:24" x14ac:dyDescent="0.2">
      <c r="A4" t="s">
        <v>117</v>
      </c>
      <c r="B4" t="s">
        <v>75</v>
      </c>
      <c r="C4" t="s">
        <v>31</v>
      </c>
      <c r="D4">
        <v>0.40699232328402501</v>
      </c>
      <c r="E4">
        <v>7.9659914232150001E-4</v>
      </c>
      <c r="F4">
        <v>1.0621321897620001E-3</v>
      </c>
      <c r="G4">
        <v>29.1963153834546</v>
      </c>
      <c r="H4" t="s">
        <v>32</v>
      </c>
      <c r="I4" t="b">
        <v>1</v>
      </c>
      <c r="J4">
        <v>139.51570716877501</v>
      </c>
      <c r="K4">
        <v>140.08713574020399</v>
      </c>
      <c r="L4">
        <v>0</v>
      </c>
      <c r="O4" t="s">
        <v>118</v>
      </c>
      <c r="P4" t="s">
        <v>119</v>
      </c>
      <c r="Q4" t="s">
        <v>35</v>
      </c>
      <c r="R4" t="s">
        <v>36</v>
      </c>
      <c r="S4" t="s">
        <v>37</v>
      </c>
      <c r="T4" t="s">
        <v>120</v>
      </c>
      <c r="U4">
        <v>-0.80956169464817795</v>
      </c>
      <c r="V4">
        <v>7.5136983373032296</v>
      </c>
      <c r="W4" t="s">
        <v>121</v>
      </c>
      <c r="X4" t="s">
        <v>40</v>
      </c>
    </row>
    <row r="5" spans="1:24" x14ac:dyDescent="0.2">
      <c r="A5" t="s">
        <v>117</v>
      </c>
      <c r="B5" t="s">
        <v>69</v>
      </c>
      <c r="C5" t="s">
        <v>31</v>
      </c>
      <c r="D5">
        <v>0.44377686931209398</v>
      </c>
      <c r="E5">
        <v>5.1991765541310004E-4</v>
      </c>
      <c r="F5">
        <v>1.0398353108262001E-3</v>
      </c>
      <c r="G5">
        <v>45.112360539686797</v>
      </c>
      <c r="H5" t="s">
        <v>32</v>
      </c>
      <c r="I5" t="b">
        <v>1</v>
      </c>
      <c r="J5">
        <v>133.33518858918001</v>
      </c>
      <c r="K5">
        <v>133.93518858918</v>
      </c>
      <c r="L5">
        <v>0</v>
      </c>
      <c r="O5" t="s">
        <v>122</v>
      </c>
      <c r="P5" t="s">
        <v>123</v>
      </c>
      <c r="Q5" t="s">
        <v>43</v>
      </c>
      <c r="R5" t="s">
        <v>36</v>
      </c>
      <c r="S5" t="s">
        <v>37</v>
      </c>
      <c r="T5" t="s">
        <v>124</v>
      </c>
      <c r="U5">
        <v>-2.4278176608149602</v>
      </c>
      <c r="V5">
        <v>11.021180031821601</v>
      </c>
      <c r="W5" t="s">
        <v>121</v>
      </c>
      <c r="X5" t="s">
        <v>40</v>
      </c>
    </row>
    <row r="6" spans="1:24" x14ac:dyDescent="0.2">
      <c r="A6" t="s">
        <v>117</v>
      </c>
      <c r="B6" t="s">
        <v>45</v>
      </c>
      <c r="C6" t="s">
        <v>31</v>
      </c>
      <c r="D6">
        <v>0.48011212977963102</v>
      </c>
      <c r="E6">
        <v>1.746784941012E-4</v>
      </c>
      <c r="F6">
        <v>6.9871397640480001E-4</v>
      </c>
      <c r="G6">
        <v>14.0603645812711</v>
      </c>
      <c r="H6" t="s">
        <v>32</v>
      </c>
      <c r="I6" t="b">
        <v>1</v>
      </c>
      <c r="J6">
        <v>137.24849517065201</v>
      </c>
      <c r="K6">
        <v>137.81992374207999</v>
      </c>
      <c r="L6">
        <v>0</v>
      </c>
      <c r="O6" t="s">
        <v>125</v>
      </c>
      <c r="P6" t="s">
        <v>126</v>
      </c>
      <c r="Q6" t="s">
        <v>48</v>
      </c>
      <c r="R6" t="s">
        <v>36</v>
      </c>
      <c r="S6" t="s">
        <v>37</v>
      </c>
      <c r="T6" t="s">
        <v>127</v>
      </c>
      <c r="U6">
        <v>0.97405381238052202</v>
      </c>
      <c r="V6">
        <v>3.11938331444343</v>
      </c>
      <c r="W6" t="s">
        <v>121</v>
      </c>
      <c r="X6" t="s">
        <v>40</v>
      </c>
    </row>
    <row r="7" spans="1:24" x14ac:dyDescent="0.2">
      <c r="A7" t="s">
        <v>117</v>
      </c>
      <c r="B7" t="s">
        <v>50</v>
      </c>
      <c r="C7" t="s">
        <v>31</v>
      </c>
      <c r="D7">
        <v>0.105389941528892</v>
      </c>
      <c r="E7">
        <v>0.12168011572606099</v>
      </c>
      <c r="F7">
        <v>0.12168011572606099</v>
      </c>
      <c r="G7">
        <v>20.309733809052201</v>
      </c>
      <c r="H7" t="s">
        <v>32</v>
      </c>
      <c r="I7" t="b">
        <v>1</v>
      </c>
      <c r="J7">
        <v>149.38404132886399</v>
      </c>
      <c r="K7">
        <v>149.955469900293</v>
      </c>
      <c r="L7">
        <v>0</v>
      </c>
      <c r="O7" t="s">
        <v>128</v>
      </c>
      <c r="P7">
        <f>-4.41697240663058 - 45.036440024735</f>
        <v>-49.453412431365578</v>
      </c>
      <c r="Q7" t="s">
        <v>52</v>
      </c>
      <c r="R7" t="s">
        <v>36</v>
      </c>
      <c r="S7" t="s">
        <v>37</v>
      </c>
      <c r="T7" t="s">
        <v>129</v>
      </c>
      <c r="U7">
        <v>1.79694851438817</v>
      </c>
      <c r="V7">
        <v>12.6156664365728</v>
      </c>
      <c r="W7" t="s">
        <v>121</v>
      </c>
      <c r="X7" t="s">
        <v>40</v>
      </c>
    </row>
    <row r="8" spans="1:24" x14ac:dyDescent="0.2">
      <c r="A8" t="s">
        <v>117</v>
      </c>
      <c r="B8" t="s">
        <v>75</v>
      </c>
      <c r="C8" t="s">
        <v>31</v>
      </c>
      <c r="D8">
        <v>0.33147899385099999</v>
      </c>
      <c r="E8">
        <v>3.2405039511388999E-3</v>
      </c>
      <c r="F8" t="s">
        <v>79</v>
      </c>
      <c r="G8">
        <v>22.761915790423998</v>
      </c>
      <c r="H8" t="s">
        <v>90</v>
      </c>
      <c r="I8" t="b">
        <v>0</v>
      </c>
      <c r="J8">
        <v>152.228128286627</v>
      </c>
      <c r="K8">
        <v>152.79955685805601</v>
      </c>
      <c r="L8">
        <v>12.712421117851999</v>
      </c>
      <c r="O8" t="s">
        <v>118</v>
      </c>
      <c r="P8" t="s">
        <v>130</v>
      </c>
      <c r="Q8" t="s">
        <v>35</v>
      </c>
      <c r="R8" t="s">
        <v>91</v>
      </c>
      <c r="S8" t="s">
        <v>33</v>
      </c>
      <c r="T8" t="s">
        <v>92</v>
      </c>
      <c r="U8">
        <v>1.73419655094605</v>
      </c>
      <c r="V8">
        <v>6.8917100117114796</v>
      </c>
      <c r="W8" t="s">
        <v>121</v>
      </c>
      <c r="X8" t="s">
        <v>40</v>
      </c>
    </row>
    <row r="9" spans="1:24" x14ac:dyDescent="0.2">
      <c r="A9" t="s">
        <v>117</v>
      </c>
      <c r="B9" t="s">
        <v>75</v>
      </c>
      <c r="C9" t="s">
        <v>31</v>
      </c>
      <c r="D9">
        <v>0.53587509792620003</v>
      </c>
      <c r="E9" s="6">
        <v>4.78296156054547E-5</v>
      </c>
      <c r="F9" t="s">
        <v>79</v>
      </c>
      <c r="G9">
        <v>30.498982202854702</v>
      </c>
      <c r="H9" t="s">
        <v>80</v>
      </c>
      <c r="I9" t="b">
        <v>0</v>
      </c>
      <c r="J9">
        <v>143.81675250377501</v>
      </c>
      <c r="K9">
        <v>144.38818107520299</v>
      </c>
      <c r="L9">
        <v>4.3010453349990003</v>
      </c>
      <c r="O9" t="s">
        <v>118</v>
      </c>
      <c r="P9" t="s">
        <v>131</v>
      </c>
      <c r="Q9" t="s">
        <v>35</v>
      </c>
      <c r="R9" t="s">
        <v>81</v>
      </c>
      <c r="S9" t="s">
        <v>82</v>
      </c>
      <c r="T9" t="s">
        <v>132</v>
      </c>
      <c r="U9">
        <v>0.49732329495829902</v>
      </c>
      <c r="V9">
        <v>6.0514528451186802</v>
      </c>
      <c r="W9" t="s">
        <v>121</v>
      </c>
      <c r="X9" t="s">
        <v>40</v>
      </c>
    </row>
    <row r="10" spans="1:24" x14ac:dyDescent="0.2">
      <c r="A10" t="s">
        <v>117</v>
      </c>
      <c r="B10" t="s">
        <v>75</v>
      </c>
      <c r="C10" t="s">
        <v>31</v>
      </c>
      <c r="D10">
        <v>0.33147899385099999</v>
      </c>
      <c r="E10">
        <v>3.2405039511388999E-3</v>
      </c>
      <c r="F10" t="s">
        <v>79</v>
      </c>
      <c r="G10">
        <v>22.761915790423998</v>
      </c>
      <c r="H10" t="s">
        <v>84</v>
      </c>
      <c r="I10" t="b">
        <v>0</v>
      </c>
      <c r="J10">
        <v>152.228128286627</v>
      </c>
      <c r="K10">
        <v>152.79955685805601</v>
      </c>
      <c r="L10">
        <v>12.712421117851999</v>
      </c>
      <c r="O10" t="s">
        <v>118</v>
      </c>
      <c r="P10" t="s">
        <v>130</v>
      </c>
      <c r="Q10" t="s">
        <v>35</v>
      </c>
      <c r="R10" t="s">
        <v>85</v>
      </c>
      <c r="S10" t="s">
        <v>86</v>
      </c>
      <c r="T10" t="s">
        <v>133</v>
      </c>
      <c r="U10">
        <v>1.73419655094605</v>
      </c>
      <c r="V10">
        <v>6.8917100117114796</v>
      </c>
      <c r="W10" t="s">
        <v>121</v>
      </c>
      <c r="X10" t="s">
        <v>40</v>
      </c>
    </row>
    <row r="11" spans="1:24" x14ac:dyDescent="0.2">
      <c r="A11" t="s">
        <v>117</v>
      </c>
      <c r="B11" t="s">
        <v>69</v>
      </c>
      <c r="C11" t="s">
        <v>31</v>
      </c>
      <c r="D11">
        <v>8.3311995846990394E-2</v>
      </c>
      <c r="E11">
        <v>0.18164659857170301</v>
      </c>
      <c r="F11" t="s">
        <v>79</v>
      </c>
      <c r="G11">
        <v>13.2117728579309</v>
      </c>
      <c r="H11" t="s">
        <v>90</v>
      </c>
      <c r="I11" t="b">
        <v>0</v>
      </c>
      <c r="J11">
        <v>153.97789568417301</v>
      </c>
      <c r="K11">
        <v>154.577895684173</v>
      </c>
      <c r="L11">
        <v>20.642707094993</v>
      </c>
      <c r="O11" t="s">
        <v>122</v>
      </c>
      <c r="P11">
        <f>-5.53232432352316 - 31.955870039385</f>
        <v>-37.48819436290816</v>
      </c>
      <c r="Q11" t="s">
        <v>43</v>
      </c>
      <c r="R11" t="s">
        <v>91</v>
      </c>
      <c r="S11" t="s">
        <v>33</v>
      </c>
      <c r="T11" t="s">
        <v>92</v>
      </c>
      <c r="U11">
        <v>3.7788929787185901</v>
      </c>
      <c r="V11">
        <v>9.5633148884969703</v>
      </c>
      <c r="W11" t="s">
        <v>121</v>
      </c>
      <c r="X11" t="s">
        <v>40</v>
      </c>
    </row>
    <row r="12" spans="1:24" x14ac:dyDescent="0.2">
      <c r="A12" t="s">
        <v>117</v>
      </c>
      <c r="B12" t="s">
        <v>69</v>
      </c>
      <c r="C12" t="s">
        <v>31</v>
      </c>
      <c r="D12">
        <v>0.48393918027280702</v>
      </c>
      <c r="E12">
        <v>2.281796204917E-4</v>
      </c>
      <c r="F12" t="s">
        <v>79</v>
      </c>
      <c r="G12">
        <v>41.9061277632849</v>
      </c>
      <c r="H12" t="s">
        <v>80</v>
      </c>
      <c r="I12" t="b">
        <v>0</v>
      </c>
      <c r="J12">
        <v>141.76813250959501</v>
      </c>
      <c r="K12">
        <v>142.368132509595</v>
      </c>
      <c r="L12">
        <v>8.4329439204149992</v>
      </c>
      <c r="O12" t="s">
        <v>122</v>
      </c>
      <c r="P12" t="s">
        <v>134</v>
      </c>
      <c r="Q12" t="s">
        <v>43</v>
      </c>
      <c r="R12" t="s">
        <v>81</v>
      </c>
      <c r="S12" t="s">
        <v>82</v>
      </c>
      <c r="T12" t="s">
        <v>135</v>
      </c>
      <c r="U12">
        <v>-0.54955446657928197</v>
      </c>
      <c r="V12">
        <v>9.4432815229209996</v>
      </c>
      <c r="W12" t="s">
        <v>121</v>
      </c>
      <c r="X12" t="s">
        <v>40</v>
      </c>
    </row>
    <row r="13" spans="1:24" x14ac:dyDescent="0.2">
      <c r="A13" t="s">
        <v>117</v>
      </c>
      <c r="B13" t="s">
        <v>69</v>
      </c>
      <c r="C13" t="s">
        <v>31</v>
      </c>
      <c r="D13">
        <v>8.3311995846990394E-2</v>
      </c>
      <c r="E13">
        <v>0.18164659857170301</v>
      </c>
      <c r="F13" t="s">
        <v>79</v>
      </c>
      <c r="G13">
        <v>13.2117728579309</v>
      </c>
      <c r="H13" t="s">
        <v>84</v>
      </c>
      <c r="I13" t="b">
        <v>0</v>
      </c>
      <c r="J13">
        <v>153.97789568417301</v>
      </c>
      <c r="K13">
        <v>154.577895684173</v>
      </c>
      <c r="L13">
        <v>20.642707094993</v>
      </c>
      <c r="O13" t="s">
        <v>122</v>
      </c>
      <c r="P13">
        <f>-5.53232432352316 - 31.955870039385</f>
        <v>-37.48819436290816</v>
      </c>
      <c r="Q13" t="s">
        <v>43</v>
      </c>
      <c r="R13" t="s">
        <v>85</v>
      </c>
      <c r="S13" t="s">
        <v>86</v>
      </c>
      <c r="T13" t="s">
        <v>136</v>
      </c>
      <c r="U13">
        <v>3.7788929787185901</v>
      </c>
      <c r="V13">
        <v>9.5633148884969703</v>
      </c>
      <c r="W13" t="s">
        <v>121</v>
      </c>
      <c r="X13" t="s">
        <v>40</v>
      </c>
    </row>
    <row r="14" spans="1:24" x14ac:dyDescent="0.2">
      <c r="A14" t="s">
        <v>117</v>
      </c>
      <c r="B14" t="s">
        <v>45</v>
      </c>
      <c r="C14" t="s">
        <v>31</v>
      </c>
      <c r="D14">
        <v>0.40578126523296498</v>
      </c>
      <c r="E14">
        <v>8.1569444920810003E-4</v>
      </c>
      <c r="F14" t="s">
        <v>79</v>
      </c>
      <c r="G14">
        <v>10.9037762469864</v>
      </c>
      <c r="H14" t="s">
        <v>90</v>
      </c>
      <c r="I14" t="b">
        <v>0</v>
      </c>
      <c r="J14">
        <v>149.40044044026601</v>
      </c>
      <c r="K14">
        <v>149.97186901169499</v>
      </c>
      <c r="L14">
        <v>12.151945269614901</v>
      </c>
      <c r="O14" t="s">
        <v>125</v>
      </c>
      <c r="P14" t="s">
        <v>137</v>
      </c>
      <c r="Q14" t="s">
        <v>48</v>
      </c>
      <c r="R14" t="s">
        <v>91</v>
      </c>
      <c r="S14" t="s">
        <v>33</v>
      </c>
      <c r="T14" t="s">
        <v>92</v>
      </c>
      <c r="U14">
        <v>2.83241709117583</v>
      </c>
      <c r="V14">
        <v>2.81314918936588</v>
      </c>
      <c r="W14" t="s">
        <v>121</v>
      </c>
      <c r="X14" t="s">
        <v>40</v>
      </c>
    </row>
    <row r="15" spans="1:24" x14ac:dyDescent="0.2">
      <c r="A15" t="s">
        <v>117</v>
      </c>
      <c r="B15" t="s">
        <v>45</v>
      </c>
      <c r="C15" t="s">
        <v>31</v>
      </c>
      <c r="D15">
        <v>0.51572766399747105</v>
      </c>
      <c r="E15" s="6">
        <v>7.7604281297105602E-5</v>
      </c>
      <c r="F15" t="s">
        <v>79</v>
      </c>
      <c r="G15">
        <v>13.257443767857801</v>
      </c>
      <c r="H15" t="s">
        <v>80</v>
      </c>
      <c r="I15" t="b">
        <v>0</v>
      </c>
      <c r="J15">
        <v>144.25230516868399</v>
      </c>
      <c r="K15">
        <v>144.823733740113</v>
      </c>
      <c r="L15">
        <v>7.0038099980329998</v>
      </c>
      <c r="O15" t="s">
        <v>125</v>
      </c>
      <c r="P15" t="s">
        <v>138</v>
      </c>
      <c r="Q15" t="s">
        <v>48</v>
      </c>
      <c r="R15" t="s">
        <v>81</v>
      </c>
      <c r="S15" t="s">
        <v>82</v>
      </c>
      <c r="T15" t="s">
        <v>139</v>
      </c>
      <c r="U15">
        <v>2.2071835788123302</v>
      </c>
      <c r="V15">
        <v>2.7389434758552</v>
      </c>
      <c r="W15" t="s">
        <v>121</v>
      </c>
      <c r="X15" t="s">
        <v>40</v>
      </c>
    </row>
    <row r="16" spans="1:24" x14ac:dyDescent="0.2">
      <c r="A16" t="s">
        <v>117</v>
      </c>
      <c r="B16" t="s">
        <v>45</v>
      </c>
      <c r="C16" t="s">
        <v>31</v>
      </c>
      <c r="D16">
        <v>0.40578126523296498</v>
      </c>
      <c r="E16">
        <v>8.1569444920810003E-4</v>
      </c>
      <c r="F16" t="s">
        <v>79</v>
      </c>
      <c r="G16">
        <v>10.9037762469864</v>
      </c>
      <c r="H16" t="s">
        <v>84</v>
      </c>
      <c r="I16" t="b">
        <v>0</v>
      </c>
      <c r="J16">
        <v>149.40044044026601</v>
      </c>
      <c r="K16">
        <v>149.97186901169499</v>
      </c>
      <c r="L16">
        <v>12.151945269614901</v>
      </c>
      <c r="O16" t="s">
        <v>125</v>
      </c>
      <c r="P16" t="s">
        <v>137</v>
      </c>
      <c r="Q16" t="s">
        <v>48</v>
      </c>
      <c r="R16" t="s">
        <v>85</v>
      </c>
      <c r="S16" t="s">
        <v>86</v>
      </c>
      <c r="T16" t="s">
        <v>140</v>
      </c>
      <c r="U16">
        <v>2.83241709117583</v>
      </c>
      <c r="V16">
        <v>2.81314918936588</v>
      </c>
      <c r="W16" t="s">
        <v>121</v>
      </c>
      <c r="X16" t="s">
        <v>40</v>
      </c>
    </row>
    <row r="17" spans="1:24" x14ac:dyDescent="0.2">
      <c r="A17" t="s">
        <v>117</v>
      </c>
      <c r="B17" t="s">
        <v>50</v>
      </c>
      <c r="C17" t="s">
        <v>31</v>
      </c>
      <c r="D17">
        <v>0.108256172939805</v>
      </c>
      <c r="E17">
        <v>0.116437067612885</v>
      </c>
      <c r="F17" t="s">
        <v>79</v>
      </c>
      <c r="G17">
        <v>16.288185846943598</v>
      </c>
      <c r="H17" t="s">
        <v>90</v>
      </c>
      <c r="I17" t="b">
        <v>0</v>
      </c>
      <c r="J17">
        <v>159.14279428054201</v>
      </c>
      <c r="K17">
        <v>159.71422285196999</v>
      </c>
      <c r="L17">
        <v>9.7587529516769909</v>
      </c>
      <c r="O17" t="s">
        <v>128</v>
      </c>
      <c r="P17">
        <f>-3.24671304659052 - 35.8230847404777</f>
        <v>-39.069797787068218</v>
      </c>
      <c r="Q17" t="s">
        <v>52</v>
      </c>
      <c r="R17" t="s">
        <v>91</v>
      </c>
      <c r="S17" t="s">
        <v>33</v>
      </c>
      <c r="T17" t="s">
        <v>92</v>
      </c>
      <c r="U17">
        <v>3.8252431246738499</v>
      </c>
      <c r="V17">
        <v>9.9667851497622895</v>
      </c>
      <c r="W17" t="s">
        <v>121</v>
      </c>
      <c r="X17" t="s">
        <v>40</v>
      </c>
    </row>
    <row r="18" spans="1:24" x14ac:dyDescent="0.2">
      <c r="A18" t="s">
        <v>117</v>
      </c>
      <c r="B18" t="s">
        <v>50</v>
      </c>
      <c r="C18" t="s">
        <v>31</v>
      </c>
      <c r="D18">
        <v>0.24170544042223499</v>
      </c>
      <c r="E18">
        <v>1.4688249877951301E-2</v>
      </c>
      <c r="F18" t="s">
        <v>79</v>
      </c>
      <c r="G18">
        <v>32.127466955490398</v>
      </c>
      <c r="H18" t="s">
        <v>80</v>
      </c>
      <c r="I18" t="b">
        <v>0</v>
      </c>
      <c r="J18">
        <v>155.59878953600801</v>
      </c>
      <c r="K18">
        <v>156.17021810743699</v>
      </c>
      <c r="L18">
        <v>6.2147482071439901</v>
      </c>
      <c r="O18" t="s">
        <v>128</v>
      </c>
      <c r="P18" t="s">
        <v>141</v>
      </c>
      <c r="Q18" t="s">
        <v>52</v>
      </c>
      <c r="R18" t="s">
        <v>81</v>
      </c>
      <c r="S18" t="s">
        <v>82</v>
      </c>
      <c r="T18" t="s">
        <v>142</v>
      </c>
      <c r="U18">
        <v>2.2770491884954498</v>
      </c>
      <c r="V18">
        <v>12.132237468267601</v>
      </c>
      <c r="W18" t="s">
        <v>121</v>
      </c>
      <c r="X18" t="s">
        <v>40</v>
      </c>
    </row>
    <row r="19" spans="1:24" x14ac:dyDescent="0.2">
      <c r="A19" t="s">
        <v>117</v>
      </c>
      <c r="B19" t="s">
        <v>50</v>
      </c>
      <c r="C19" t="s">
        <v>31</v>
      </c>
      <c r="D19">
        <v>0.108256172939805</v>
      </c>
      <c r="E19">
        <v>0.116437067612885</v>
      </c>
      <c r="F19" t="s">
        <v>79</v>
      </c>
      <c r="G19">
        <v>16.288185846943598</v>
      </c>
      <c r="H19" t="s">
        <v>84</v>
      </c>
      <c r="I19" t="b">
        <v>0</v>
      </c>
      <c r="J19">
        <v>159.14279428054201</v>
      </c>
      <c r="K19">
        <v>159.71422285196999</v>
      </c>
      <c r="L19">
        <v>9.7587529516769909</v>
      </c>
      <c r="O19" t="s">
        <v>128</v>
      </c>
      <c r="P19">
        <f>-3.24671304659052 - 35.8230847404777</f>
        <v>-39.069797787068218</v>
      </c>
      <c r="Q19" t="s">
        <v>52</v>
      </c>
      <c r="R19" t="s">
        <v>85</v>
      </c>
      <c r="S19" t="s">
        <v>86</v>
      </c>
      <c r="T19" t="s">
        <v>143</v>
      </c>
      <c r="U19">
        <v>3.8252431246738499</v>
      </c>
      <c r="V19">
        <v>9.9667851497622895</v>
      </c>
      <c r="W19" t="s">
        <v>121</v>
      </c>
      <c r="X19" t="s">
        <v>40</v>
      </c>
    </row>
  </sheetData>
  <mergeCells count="2">
    <mergeCell ref="A1:K1"/>
    <mergeCell ref="A2:K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77ED24-1F23-0245-A24D-FEB73393BEA3}">
  <dimension ref="A1:Y99"/>
  <sheetViews>
    <sheetView tabSelected="1" workbookViewId="0">
      <selection activeCell="D11" sqref="D11"/>
    </sheetView>
  </sheetViews>
  <sheetFormatPr baseColWidth="10" defaultRowHeight="16" x14ac:dyDescent="0.2"/>
  <sheetData>
    <row r="1" spans="1:25" ht="21" x14ac:dyDescent="0.2">
      <c r="A1" s="11" t="s">
        <v>2</v>
      </c>
      <c r="B1" s="11"/>
      <c r="C1" s="11"/>
      <c r="D1" s="11"/>
      <c r="E1" s="11"/>
      <c r="F1" s="11"/>
      <c r="G1" s="11"/>
      <c r="H1" s="11"/>
      <c r="I1" s="11"/>
      <c r="J1" s="11"/>
      <c r="K1" s="11"/>
      <c r="L1" s="2"/>
      <c r="M1" s="2"/>
      <c r="N1" s="2"/>
      <c r="O1" s="2"/>
      <c r="P1" s="2"/>
      <c r="Q1" s="2"/>
      <c r="R1" s="2"/>
      <c r="S1" s="2"/>
      <c r="T1" s="2"/>
      <c r="U1" s="2"/>
      <c r="V1" s="2"/>
      <c r="W1" s="2"/>
      <c r="X1" s="2"/>
      <c r="Y1" s="2"/>
    </row>
    <row r="2" spans="1:25" ht="128" customHeight="1" x14ac:dyDescent="0.2">
      <c r="A2" s="12" t="s">
        <v>4</v>
      </c>
      <c r="B2" s="12"/>
      <c r="C2" s="12"/>
      <c r="D2" s="12"/>
      <c r="E2" s="12"/>
      <c r="F2" s="12"/>
      <c r="G2" s="12"/>
      <c r="H2" s="12"/>
      <c r="I2" s="12"/>
      <c r="J2" s="12"/>
      <c r="K2" s="12"/>
      <c r="L2" s="2"/>
      <c r="M2" s="2"/>
      <c r="N2" s="2"/>
      <c r="O2" s="2"/>
      <c r="P2" s="2"/>
      <c r="Q2" s="2"/>
      <c r="R2" s="2"/>
      <c r="S2" s="2"/>
      <c r="T2" s="2"/>
      <c r="U2" s="2"/>
      <c r="V2" s="2"/>
      <c r="W2" s="2"/>
      <c r="X2" s="2"/>
      <c r="Y2" s="2"/>
    </row>
    <row r="3" spans="1:25" s="1" customFormat="1" x14ac:dyDescent="0.2">
      <c r="A3" s="1" t="s">
        <v>5</v>
      </c>
      <c r="B3" s="1" t="s">
        <v>6</v>
      </c>
      <c r="C3" s="1" t="s">
        <v>7</v>
      </c>
      <c r="D3" s="1" t="s">
        <v>8</v>
      </c>
      <c r="E3" s="1" t="s">
        <v>9</v>
      </c>
      <c r="F3" s="1" t="s">
        <v>10</v>
      </c>
      <c r="G3" s="1" t="s">
        <v>11</v>
      </c>
      <c r="H3" s="1" t="s">
        <v>12</v>
      </c>
      <c r="I3" s="1" t="s">
        <v>13</v>
      </c>
      <c r="J3" s="1" t="s">
        <v>14</v>
      </c>
      <c r="K3" s="1" t="s">
        <v>15</v>
      </c>
      <c r="L3" s="1" t="s">
        <v>16</v>
      </c>
      <c r="M3" s="1" t="s">
        <v>17</v>
      </c>
      <c r="N3" s="1" t="s">
        <v>18</v>
      </c>
      <c r="O3" s="1" t="s">
        <v>19</v>
      </c>
      <c r="P3" s="1" t="s">
        <v>20</v>
      </c>
      <c r="Q3" s="1" t="s">
        <v>21</v>
      </c>
      <c r="R3" s="1" t="s">
        <v>22</v>
      </c>
      <c r="S3" s="1" t="s">
        <v>23</v>
      </c>
      <c r="T3" s="1" t="s">
        <v>24</v>
      </c>
      <c r="U3" s="1" t="s">
        <v>25</v>
      </c>
      <c r="V3" s="1" t="s">
        <v>26</v>
      </c>
      <c r="W3" s="1" t="s">
        <v>27</v>
      </c>
      <c r="X3" s="1" t="s">
        <v>28</v>
      </c>
    </row>
    <row r="4" spans="1:25" x14ac:dyDescent="0.2">
      <c r="A4" t="s">
        <v>145</v>
      </c>
      <c r="B4" t="s">
        <v>75</v>
      </c>
      <c r="C4" t="s">
        <v>31</v>
      </c>
      <c r="D4">
        <v>0.49983779024244901</v>
      </c>
      <c r="E4">
        <v>1.121925497222E-4</v>
      </c>
      <c r="F4">
        <v>2.6926211933327999E-3</v>
      </c>
      <c r="G4">
        <v>48.750674524383797</v>
      </c>
      <c r="H4" t="s">
        <v>32</v>
      </c>
      <c r="I4" t="b">
        <v>1</v>
      </c>
      <c r="J4">
        <v>136.86442175486201</v>
      </c>
      <c r="K4">
        <v>137.43585032629099</v>
      </c>
      <c r="L4">
        <v>0</v>
      </c>
      <c r="M4" t="s">
        <v>146</v>
      </c>
      <c r="N4" t="s">
        <v>147</v>
      </c>
      <c r="O4" t="s">
        <v>148</v>
      </c>
      <c r="P4" t="s">
        <v>149</v>
      </c>
      <c r="Q4" t="s">
        <v>35</v>
      </c>
      <c r="R4" t="s">
        <v>36</v>
      </c>
      <c r="S4" t="s">
        <v>37</v>
      </c>
      <c r="T4" t="s">
        <v>150</v>
      </c>
      <c r="U4">
        <v>-3.5046885074509899</v>
      </c>
      <c r="V4">
        <v>10.397051190766501</v>
      </c>
      <c r="W4" t="s">
        <v>39</v>
      </c>
      <c r="X4" t="s">
        <v>40</v>
      </c>
    </row>
    <row r="5" spans="1:25" x14ac:dyDescent="0.2">
      <c r="A5" t="s">
        <v>145</v>
      </c>
      <c r="B5" t="s">
        <v>50</v>
      </c>
      <c r="C5" t="s">
        <v>31</v>
      </c>
      <c r="D5">
        <v>3.5964147143171601E-2</v>
      </c>
      <c r="E5">
        <v>0.423245560690652</v>
      </c>
      <c r="F5">
        <v>0.82349068898884503</v>
      </c>
      <c r="G5">
        <v>7.5408591146206003</v>
      </c>
      <c r="H5" t="s">
        <v>32</v>
      </c>
      <c r="I5" t="b">
        <v>1</v>
      </c>
      <c r="J5">
        <v>119.49892528778901</v>
      </c>
      <c r="K5">
        <v>120.204807640731</v>
      </c>
      <c r="L5">
        <v>0</v>
      </c>
      <c r="M5" t="s">
        <v>151</v>
      </c>
      <c r="N5" t="s">
        <v>152</v>
      </c>
      <c r="O5" t="s">
        <v>153</v>
      </c>
      <c r="P5">
        <f>-10.4956446068235 - 25.5773628360647</f>
        <v>-36.073007442888198</v>
      </c>
      <c r="Q5" t="s">
        <v>52</v>
      </c>
      <c r="R5" t="s">
        <v>36</v>
      </c>
      <c r="S5" t="s">
        <v>37</v>
      </c>
      <c r="T5" t="s">
        <v>154</v>
      </c>
      <c r="U5">
        <v>2.2779427848403899</v>
      </c>
      <c r="V5">
        <v>9.2022978170633305</v>
      </c>
      <c r="W5" t="s">
        <v>39</v>
      </c>
      <c r="X5" t="s">
        <v>40</v>
      </c>
    </row>
    <row r="6" spans="1:25" x14ac:dyDescent="0.2">
      <c r="A6" t="s">
        <v>145</v>
      </c>
      <c r="B6" t="s">
        <v>63</v>
      </c>
      <c r="C6" t="s">
        <v>31</v>
      </c>
      <c r="D6">
        <v>0.247660968650147</v>
      </c>
      <c r="E6">
        <v>0.255761262119021</v>
      </c>
      <c r="F6">
        <v>0.76728378635706296</v>
      </c>
      <c r="G6">
        <v>-4.6099733088935998E-3</v>
      </c>
      <c r="H6" t="s">
        <v>84</v>
      </c>
      <c r="I6" t="b">
        <v>1</v>
      </c>
      <c r="J6">
        <v>24.451751788323602</v>
      </c>
      <c r="K6">
        <v>27.451751788323602</v>
      </c>
      <c r="L6">
        <v>0</v>
      </c>
      <c r="M6" t="s">
        <v>151</v>
      </c>
      <c r="N6" t="s">
        <v>147</v>
      </c>
      <c r="O6" t="s">
        <v>155</v>
      </c>
      <c r="P6">
        <f>-0.0116528079756221 - 0.00243286135783487</f>
        <v>-1.4085669333456969E-2</v>
      </c>
      <c r="Q6" t="s">
        <v>52</v>
      </c>
      <c r="R6" t="s">
        <v>85</v>
      </c>
      <c r="S6" t="s">
        <v>86</v>
      </c>
      <c r="T6" t="s">
        <v>156</v>
      </c>
      <c r="U6">
        <v>2.6931912748973699</v>
      </c>
      <c r="V6">
        <v>3.5932829932288001E-3</v>
      </c>
      <c r="W6" t="s">
        <v>39</v>
      </c>
      <c r="X6" t="s">
        <v>40</v>
      </c>
    </row>
    <row r="7" spans="1:25" x14ac:dyDescent="0.2">
      <c r="A7" t="s">
        <v>145</v>
      </c>
      <c r="B7" t="s">
        <v>72</v>
      </c>
      <c r="C7" t="s">
        <v>31</v>
      </c>
      <c r="D7">
        <v>0.140239879837881</v>
      </c>
      <c r="E7">
        <v>0.103790621686707</v>
      </c>
      <c r="F7">
        <v>0.43118098975522801</v>
      </c>
      <c r="G7">
        <v>19.045157350365301</v>
      </c>
      <c r="H7" t="s">
        <v>32</v>
      </c>
      <c r="I7" t="b">
        <v>1</v>
      </c>
      <c r="J7">
        <v>117.20942398011201</v>
      </c>
      <c r="K7">
        <v>117.915306333053</v>
      </c>
      <c r="L7">
        <v>0</v>
      </c>
      <c r="M7" t="s">
        <v>151</v>
      </c>
      <c r="N7" t="s">
        <v>152</v>
      </c>
      <c r="O7" t="s">
        <v>157</v>
      </c>
      <c r="P7">
        <f>-2.73982772493019 - 40.8301424256609</f>
        <v>-43.569970150591089</v>
      </c>
      <c r="Q7" t="s">
        <v>52</v>
      </c>
      <c r="R7" t="s">
        <v>36</v>
      </c>
      <c r="S7" t="s">
        <v>37</v>
      </c>
      <c r="T7" t="s">
        <v>158</v>
      </c>
      <c r="U7">
        <v>-13.746177905698399</v>
      </c>
      <c r="V7">
        <v>11.1147883037222</v>
      </c>
      <c r="W7" t="s">
        <v>39</v>
      </c>
      <c r="X7" t="s">
        <v>40</v>
      </c>
    </row>
    <row r="8" spans="1:25" x14ac:dyDescent="0.2">
      <c r="A8" t="s">
        <v>145</v>
      </c>
      <c r="B8" t="s">
        <v>41</v>
      </c>
      <c r="C8" t="s">
        <v>31</v>
      </c>
      <c r="D8">
        <v>9.3873248901447395E-2</v>
      </c>
      <c r="E8">
        <v>9.9615128086239804E-2</v>
      </c>
      <c r="F8">
        <v>0.43118098975522801</v>
      </c>
      <c r="G8">
        <v>11.638357134157101</v>
      </c>
      <c r="H8" t="s">
        <v>32</v>
      </c>
      <c r="I8" t="b">
        <v>1</v>
      </c>
      <c r="J8">
        <v>165.68291547655701</v>
      </c>
      <c r="K8">
        <v>166.12735992100099</v>
      </c>
      <c r="L8">
        <v>0</v>
      </c>
      <c r="M8" t="s">
        <v>159</v>
      </c>
      <c r="N8" t="s">
        <v>147</v>
      </c>
      <c r="O8" t="s">
        <v>160</v>
      </c>
      <c r="P8">
        <f>-1.75508751121328 - 25.0318017795275</f>
        <v>-26.786889290740778</v>
      </c>
      <c r="Q8" t="s">
        <v>43</v>
      </c>
      <c r="R8" t="s">
        <v>36</v>
      </c>
      <c r="S8" t="s">
        <v>37</v>
      </c>
      <c r="T8" t="s">
        <v>161</v>
      </c>
      <c r="U8">
        <v>-7.1172143404502002</v>
      </c>
      <c r="V8">
        <v>6.8333901251889699</v>
      </c>
      <c r="W8" t="s">
        <v>39</v>
      </c>
      <c r="X8" t="s">
        <v>40</v>
      </c>
    </row>
    <row r="9" spans="1:25" x14ac:dyDescent="0.2">
      <c r="A9" t="s">
        <v>145</v>
      </c>
      <c r="B9" t="s">
        <v>60</v>
      </c>
      <c r="C9" t="s">
        <v>31</v>
      </c>
      <c r="D9">
        <v>5.0836357005005703E-2</v>
      </c>
      <c r="E9">
        <v>0.531103814934198</v>
      </c>
      <c r="F9">
        <v>0.82349068898884503</v>
      </c>
      <c r="G9">
        <v>-2.68730413160909E-2</v>
      </c>
      <c r="H9" t="s">
        <v>32</v>
      </c>
      <c r="I9" t="b">
        <v>1</v>
      </c>
      <c r="J9">
        <v>68.030588359784403</v>
      </c>
      <c r="K9">
        <v>69.744874074070097</v>
      </c>
      <c r="L9">
        <v>0</v>
      </c>
      <c r="M9" t="s">
        <v>159</v>
      </c>
      <c r="N9" t="s">
        <v>152</v>
      </c>
      <c r="O9" t="s">
        <v>162</v>
      </c>
      <c r="P9">
        <f>-0.107338822984649 - 0.0535927403524669</f>
        <v>-0.16093156333711589</v>
      </c>
      <c r="Q9" t="s">
        <v>43</v>
      </c>
      <c r="R9" t="s">
        <v>36</v>
      </c>
      <c r="S9" t="s">
        <v>37</v>
      </c>
      <c r="T9" t="s">
        <v>163</v>
      </c>
      <c r="U9">
        <v>5.9132971722974004</v>
      </c>
      <c r="V9">
        <v>4.10539702390601E-2</v>
      </c>
      <c r="W9" t="s">
        <v>39</v>
      </c>
      <c r="X9" t="s">
        <v>40</v>
      </c>
    </row>
    <row r="10" spans="1:25" x14ac:dyDescent="0.2">
      <c r="A10" t="s">
        <v>145</v>
      </c>
      <c r="B10" t="s">
        <v>45</v>
      </c>
      <c r="C10" t="s">
        <v>31</v>
      </c>
      <c r="D10">
        <v>0.40110339039833098</v>
      </c>
      <c r="E10">
        <v>6.7795175103110004E-4</v>
      </c>
      <c r="F10">
        <v>8.1354210123732E-3</v>
      </c>
      <c r="G10">
        <v>23.367837823787902</v>
      </c>
      <c r="H10" t="s">
        <v>32</v>
      </c>
      <c r="I10" t="b">
        <v>1</v>
      </c>
      <c r="J10">
        <v>145.63433247979199</v>
      </c>
      <c r="K10">
        <v>146.17978702524599</v>
      </c>
      <c r="L10">
        <v>0</v>
      </c>
      <c r="M10" t="s">
        <v>164</v>
      </c>
      <c r="N10" t="s">
        <v>147</v>
      </c>
      <c r="O10" t="s">
        <v>165</v>
      </c>
      <c r="P10" t="s">
        <v>166</v>
      </c>
      <c r="Q10" t="s">
        <v>48</v>
      </c>
      <c r="R10" t="s">
        <v>36</v>
      </c>
      <c r="S10" t="s">
        <v>37</v>
      </c>
      <c r="T10" t="s">
        <v>167</v>
      </c>
      <c r="U10">
        <v>-0.469686692675507</v>
      </c>
      <c r="V10">
        <v>5.9539114692362904</v>
      </c>
      <c r="W10" t="s">
        <v>39</v>
      </c>
      <c r="X10" t="s">
        <v>40</v>
      </c>
    </row>
    <row r="11" spans="1:25" x14ac:dyDescent="0.2">
      <c r="A11" t="s">
        <v>145</v>
      </c>
      <c r="B11" t="s">
        <v>60</v>
      </c>
      <c r="C11" t="s">
        <v>31</v>
      </c>
      <c r="D11">
        <v>2.5907194730045501E-2</v>
      </c>
      <c r="E11">
        <v>0.39549288075015399</v>
      </c>
      <c r="F11">
        <v>0.82349068898884503</v>
      </c>
      <c r="G11">
        <v>-1.11067472026253E-2</v>
      </c>
      <c r="H11" t="s">
        <v>32</v>
      </c>
      <c r="I11" t="b">
        <v>1</v>
      </c>
      <c r="J11">
        <v>167.725777870944</v>
      </c>
      <c r="K11">
        <v>168.170222315388</v>
      </c>
      <c r="L11">
        <v>0</v>
      </c>
      <c r="M11" t="s">
        <v>159</v>
      </c>
      <c r="N11" t="s">
        <v>147</v>
      </c>
      <c r="O11" t="s">
        <v>168</v>
      </c>
      <c r="P11">
        <f>-0.0363330680951387 - 0.0141195736898881</f>
        <v>-5.04526417850268E-2</v>
      </c>
      <c r="Q11" t="s">
        <v>43</v>
      </c>
      <c r="R11" t="s">
        <v>36</v>
      </c>
      <c r="S11" t="s">
        <v>37</v>
      </c>
      <c r="T11" t="s">
        <v>169</v>
      </c>
      <c r="U11">
        <v>4.6667518711548004</v>
      </c>
      <c r="V11">
        <v>1.28705718839354E-2</v>
      </c>
      <c r="W11" t="s">
        <v>39</v>
      </c>
      <c r="X11" t="s">
        <v>40</v>
      </c>
    </row>
    <row r="12" spans="1:25" x14ac:dyDescent="0.2">
      <c r="A12" t="s">
        <v>145</v>
      </c>
      <c r="B12" t="s">
        <v>75</v>
      </c>
      <c r="C12" t="s">
        <v>31</v>
      </c>
      <c r="D12">
        <v>6.3190830538991494E-2</v>
      </c>
      <c r="E12">
        <v>0.314310543339202</v>
      </c>
      <c r="F12">
        <v>0.80847339587950295</v>
      </c>
      <c r="G12">
        <v>3.1959250042010101</v>
      </c>
      <c r="H12" t="s">
        <v>32</v>
      </c>
      <c r="I12" t="b">
        <v>1</v>
      </c>
      <c r="J12">
        <v>71.788808255188698</v>
      </c>
      <c r="K12">
        <v>72.588808255188695</v>
      </c>
      <c r="L12">
        <v>0</v>
      </c>
      <c r="M12" t="s">
        <v>146</v>
      </c>
      <c r="N12" t="s">
        <v>152</v>
      </c>
      <c r="O12" t="s">
        <v>170</v>
      </c>
      <c r="P12">
        <f>-2.83371237175952 - 9.22556238016153</f>
        <v>-12.05927475192105</v>
      </c>
      <c r="Q12" t="s">
        <v>35</v>
      </c>
      <c r="R12" t="s">
        <v>36</v>
      </c>
      <c r="S12" t="s">
        <v>37</v>
      </c>
      <c r="T12" t="s">
        <v>171</v>
      </c>
      <c r="U12">
        <v>1.1594414899852299</v>
      </c>
      <c r="V12">
        <v>3.0763455999798599</v>
      </c>
      <c r="W12" t="s">
        <v>39</v>
      </c>
      <c r="X12" t="s">
        <v>40</v>
      </c>
    </row>
    <row r="13" spans="1:25" x14ac:dyDescent="0.2">
      <c r="A13" t="s">
        <v>145</v>
      </c>
      <c r="B13" t="s">
        <v>63</v>
      </c>
      <c r="C13" t="s">
        <v>31</v>
      </c>
      <c r="D13">
        <v>2.2223421316257801E-2</v>
      </c>
      <c r="E13">
        <v>0.53047702224125204</v>
      </c>
      <c r="F13">
        <v>0.82349068898884503</v>
      </c>
      <c r="G13">
        <v>-7.6399547349414003E-3</v>
      </c>
      <c r="H13" t="s">
        <v>32</v>
      </c>
      <c r="I13" t="b">
        <v>1</v>
      </c>
      <c r="J13">
        <v>119.78197950987</v>
      </c>
      <c r="K13">
        <v>120.487861862811</v>
      </c>
      <c r="L13">
        <v>0</v>
      </c>
      <c r="M13" t="s">
        <v>151</v>
      </c>
      <c r="N13" t="s">
        <v>152</v>
      </c>
      <c r="O13" t="s">
        <v>172</v>
      </c>
      <c r="P13">
        <f>-0.0310512239683483 - 0.0157713144984653</f>
        <v>-4.6822538466813599E-2</v>
      </c>
      <c r="Q13" t="s">
        <v>52</v>
      </c>
      <c r="R13" t="s">
        <v>36</v>
      </c>
      <c r="S13" t="s">
        <v>37</v>
      </c>
      <c r="T13" t="s">
        <v>173</v>
      </c>
      <c r="U13">
        <v>4.7264201931660299</v>
      </c>
      <c r="V13">
        <v>1.19445251190851E-2</v>
      </c>
      <c r="W13" t="s">
        <v>39</v>
      </c>
      <c r="X13" t="s">
        <v>40</v>
      </c>
    </row>
    <row r="14" spans="1:25" x14ac:dyDescent="0.2">
      <c r="A14" t="s">
        <v>145</v>
      </c>
      <c r="B14" t="s">
        <v>50</v>
      </c>
      <c r="C14" t="s">
        <v>31</v>
      </c>
      <c r="D14">
        <v>0.565297613212282</v>
      </c>
      <c r="E14">
        <v>5.12706726199883E-2</v>
      </c>
      <c r="F14">
        <v>0.41016538095990601</v>
      </c>
      <c r="G14">
        <v>10.247316496341799</v>
      </c>
      <c r="H14" t="s">
        <v>84</v>
      </c>
      <c r="I14" t="b">
        <v>1</v>
      </c>
      <c r="J14">
        <v>21.389217129974</v>
      </c>
      <c r="K14">
        <v>24.389217129974</v>
      </c>
      <c r="L14">
        <v>0</v>
      </c>
      <c r="M14" t="s">
        <v>151</v>
      </c>
      <c r="N14" t="s">
        <v>147</v>
      </c>
      <c r="O14" t="s">
        <v>174</v>
      </c>
      <c r="P14" t="s">
        <v>175</v>
      </c>
      <c r="Q14" t="s">
        <v>52</v>
      </c>
      <c r="R14" t="s">
        <v>85</v>
      </c>
      <c r="S14" t="s">
        <v>86</v>
      </c>
      <c r="T14" t="s">
        <v>176</v>
      </c>
      <c r="U14">
        <v>1.12933184345101</v>
      </c>
      <c r="V14">
        <v>4.0186722154891603</v>
      </c>
      <c r="W14" t="s">
        <v>39</v>
      </c>
      <c r="X14" t="s">
        <v>40</v>
      </c>
    </row>
    <row r="15" spans="1:25" x14ac:dyDescent="0.2">
      <c r="A15" t="s">
        <v>145</v>
      </c>
      <c r="B15" t="s">
        <v>69</v>
      </c>
      <c r="C15" t="s">
        <v>31</v>
      </c>
      <c r="D15">
        <v>3.29760672666825E-2</v>
      </c>
      <c r="E15">
        <v>0.33686391494979301</v>
      </c>
      <c r="F15">
        <v>0.80847339587950295</v>
      </c>
      <c r="G15">
        <v>5.9283211141195302</v>
      </c>
      <c r="H15" t="s">
        <v>32</v>
      </c>
      <c r="I15" t="b">
        <v>1</v>
      </c>
      <c r="J15">
        <v>167.482124782239</v>
      </c>
      <c r="K15">
        <v>167.92656922668399</v>
      </c>
      <c r="L15">
        <v>0</v>
      </c>
      <c r="M15" t="s">
        <v>159</v>
      </c>
      <c r="N15" t="s">
        <v>147</v>
      </c>
      <c r="O15" t="s">
        <v>177</v>
      </c>
      <c r="P15">
        <f>-5.9629411159293 - 17.8195833441684</f>
        <v>-23.782524460097701</v>
      </c>
      <c r="Q15" t="s">
        <v>43</v>
      </c>
      <c r="R15" t="s">
        <v>36</v>
      </c>
      <c r="S15" t="s">
        <v>37</v>
      </c>
      <c r="T15" t="s">
        <v>178</v>
      </c>
      <c r="U15">
        <v>2.5468354082441298</v>
      </c>
      <c r="V15">
        <v>6.0669705255351198</v>
      </c>
      <c r="W15" t="s">
        <v>39</v>
      </c>
      <c r="X15" t="s">
        <v>40</v>
      </c>
    </row>
    <row r="16" spans="1:25" x14ac:dyDescent="0.2">
      <c r="A16" t="s">
        <v>145</v>
      </c>
      <c r="B16" t="s">
        <v>69</v>
      </c>
      <c r="C16" t="s">
        <v>31</v>
      </c>
      <c r="D16">
        <v>2.1745917527031599E-2</v>
      </c>
      <c r="E16">
        <v>0.68434411494910896</v>
      </c>
      <c r="F16">
        <v>0.86443467151466402</v>
      </c>
      <c r="G16">
        <v>5.8589164179266504</v>
      </c>
      <c r="H16" t="s">
        <v>32</v>
      </c>
      <c r="I16" t="b">
        <v>1</v>
      </c>
      <c r="J16">
        <v>68.332470492597395</v>
      </c>
      <c r="K16">
        <v>70.046756206883103</v>
      </c>
      <c r="L16">
        <v>0</v>
      </c>
      <c r="M16" t="s">
        <v>159</v>
      </c>
      <c r="N16" t="s">
        <v>152</v>
      </c>
      <c r="O16" t="s">
        <v>179</v>
      </c>
      <c r="P16">
        <f>-21.3721937104563 - 33.0900265463096</f>
        <v>-54.462220256765903</v>
      </c>
      <c r="Q16" t="s">
        <v>43</v>
      </c>
      <c r="R16" t="s">
        <v>36</v>
      </c>
      <c r="S16" t="s">
        <v>37</v>
      </c>
      <c r="T16" t="s">
        <v>180</v>
      </c>
      <c r="U16">
        <v>1.9546475377783299</v>
      </c>
      <c r="V16">
        <v>13.893423534889299</v>
      </c>
      <c r="W16" t="s">
        <v>39</v>
      </c>
      <c r="X16" t="s">
        <v>40</v>
      </c>
    </row>
    <row r="17" spans="1:24" x14ac:dyDescent="0.2">
      <c r="A17" t="s">
        <v>145</v>
      </c>
      <c r="B17" t="s">
        <v>72</v>
      </c>
      <c r="C17" t="s">
        <v>31</v>
      </c>
      <c r="D17">
        <v>1.0093931605750599E-2</v>
      </c>
      <c r="E17">
        <v>0.83029878395039103</v>
      </c>
      <c r="F17">
        <v>0.90578049158224405</v>
      </c>
      <c r="G17">
        <v>-0.68038559723373004</v>
      </c>
      <c r="H17" t="s">
        <v>84</v>
      </c>
      <c r="I17" t="b">
        <v>1</v>
      </c>
      <c r="J17">
        <v>26.254098131208099</v>
      </c>
      <c r="K17">
        <v>29.254098131208099</v>
      </c>
      <c r="L17">
        <v>0</v>
      </c>
      <c r="M17" t="s">
        <v>151</v>
      </c>
      <c r="N17" t="s">
        <v>147</v>
      </c>
      <c r="O17" t="s">
        <v>181</v>
      </c>
      <c r="P17">
        <f>-6.58637951382056 - 5.2256083193531</f>
        <v>-11.81198783317366</v>
      </c>
      <c r="Q17" t="s">
        <v>52</v>
      </c>
      <c r="R17" t="s">
        <v>85</v>
      </c>
      <c r="S17" t="s">
        <v>86</v>
      </c>
      <c r="T17" t="s">
        <v>182</v>
      </c>
      <c r="U17">
        <v>2.6393082893947901</v>
      </c>
      <c r="V17">
        <v>3.0132622023402198</v>
      </c>
      <c r="W17" t="s">
        <v>39</v>
      </c>
      <c r="X17" t="s">
        <v>40</v>
      </c>
    </row>
    <row r="18" spans="1:24" x14ac:dyDescent="0.2">
      <c r="A18" t="s">
        <v>145</v>
      </c>
      <c r="B18" t="s">
        <v>30</v>
      </c>
      <c r="C18" t="s">
        <v>31</v>
      </c>
      <c r="D18" s="6">
        <v>5.6253632358987397E-5</v>
      </c>
      <c r="E18">
        <v>0.97225327134175399</v>
      </c>
      <c r="F18">
        <v>0.97225327134175399</v>
      </c>
      <c r="G18">
        <v>-6.1402297836239998E-4</v>
      </c>
      <c r="H18" t="s">
        <v>32</v>
      </c>
      <c r="I18" t="b">
        <v>1</v>
      </c>
      <c r="J18">
        <v>153.49081915748999</v>
      </c>
      <c r="K18">
        <v>154.06224772891801</v>
      </c>
      <c r="L18">
        <v>0</v>
      </c>
      <c r="M18" t="s">
        <v>146</v>
      </c>
      <c r="N18" t="s">
        <v>147</v>
      </c>
      <c r="O18" t="s">
        <v>183</v>
      </c>
      <c r="P18">
        <f>-0.0348231391512143 - 0.0335950931944894</f>
        <v>-6.8418232345703711E-2</v>
      </c>
      <c r="Q18" t="s">
        <v>35</v>
      </c>
      <c r="R18" t="s">
        <v>36</v>
      </c>
      <c r="S18" t="s">
        <v>37</v>
      </c>
      <c r="T18" t="s">
        <v>184</v>
      </c>
      <c r="U18">
        <v>4.1849559904855997</v>
      </c>
      <c r="V18">
        <v>1.74536307004346E-2</v>
      </c>
      <c r="W18" t="s">
        <v>39</v>
      </c>
      <c r="X18" t="s">
        <v>40</v>
      </c>
    </row>
    <row r="19" spans="1:24" x14ac:dyDescent="0.2">
      <c r="A19" t="s">
        <v>145</v>
      </c>
      <c r="B19" t="s">
        <v>57</v>
      </c>
      <c r="C19" t="s">
        <v>31</v>
      </c>
      <c r="D19">
        <v>2.3700185031276501E-2</v>
      </c>
      <c r="E19">
        <v>0.61556084600848004</v>
      </c>
      <c r="F19">
        <v>0.86443467151466402</v>
      </c>
      <c r="G19">
        <v>-3.9475272220230999</v>
      </c>
      <c r="H19" t="s">
        <v>32</v>
      </c>
      <c r="I19" t="b">
        <v>1</v>
      </c>
      <c r="J19">
        <v>47.790724279191203</v>
      </c>
      <c r="K19">
        <v>48.990724279191198</v>
      </c>
      <c r="L19">
        <v>0</v>
      </c>
      <c r="M19" t="s">
        <v>164</v>
      </c>
      <c r="N19" t="s">
        <v>152</v>
      </c>
      <c r="O19" t="s">
        <v>185</v>
      </c>
      <c r="P19">
        <f>-18.9202435838812 - 11.025189139835</f>
        <v>-29.945432723716198</v>
      </c>
      <c r="Q19" t="s">
        <v>48</v>
      </c>
      <c r="R19" t="s">
        <v>36</v>
      </c>
      <c r="S19" t="s">
        <v>37</v>
      </c>
      <c r="T19" t="s">
        <v>186</v>
      </c>
      <c r="U19">
        <v>5.0378828613047499</v>
      </c>
      <c r="V19">
        <v>7.6391410009480198</v>
      </c>
      <c r="W19" t="s">
        <v>39</v>
      </c>
      <c r="X19" t="s">
        <v>40</v>
      </c>
    </row>
    <row r="20" spans="1:24" x14ac:dyDescent="0.2">
      <c r="A20" t="s">
        <v>145</v>
      </c>
      <c r="B20" t="s">
        <v>54</v>
      </c>
      <c r="C20" t="s">
        <v>31</v>
      </c>
      <c r="D20">
        <v>1.5829976168615999E-2</v>
      </c>
      <c r="E20">
        <v>0.54899379265922998</v>
      </c>
      <c r="F20">
        <v>0.82349068898884503</v>
      </c>
      <c r="G20">
        <v>6.8394961069988E-3</v>
      </c>
      <c r="H20" t="s">
        <v>32</v>
      </c>
      <c r="I20" t="b">
        <v>1</v>
      </c>
      <c r="J20">
        <v>158.052074788808</v>
      </c>
      <c r="K20">
        <v>158.59752933426199</v>
      </c>
      <c r="L20">
        <v>0</v>
      </c>
      <c r="M20" t="s">
        <v>164</v>
      </c>
      <c r="N20" t="s">
        <v>147</v>
      </c>
      <c r="O20" t="s">
        <v>187</v>
      </c>
      <c r="P20">
        <f>-0.0152004838898458 - 0.0288794761038435</f>
        <v>-4.4079959993689299E-2</v>
      </c>
      <c r="Q20" t="s">
        <v>48</v>
      </c>
      <c r="R20" t="s">
        <v>36</v>
      </c>
      <c r="S20" t="s">
        <v>37</v>
      </c>
      <c r="T20" t="s">
        <v>188</v>
      </c>
      <c r="U20">
        <v>3.2603846607679299</v>
      </c>
      <c r="V20">
        <v>1.1244887753492199E-2</v>
      </c>
      <c r="W20" t="s">
        <v>39</v>
      </c>
      <c r="X20" t="s">
        <v>40</v>
      </c>
    </row>
    <row r="21" spans="1:24" x14ac:dyDescent="0.2">
      <c r="A21" t="s">
        <v>145</v>
      </c>
      <c r="B21" t="s">
        <v>54</v>
      </c>
      <c r="C21" t="s">
        <v>31</v>
      </c>
      <c r="D21">
        <v>6.6441035596845003E-3</v>
      </c>
      <c r="E21">
        <v>0.79122516245772201</v>
      </c>
      <c r="F21">
        <v>0.90578049158224405</v>
      </c>
      <c r="G21">
        <v>-1.2921491752361999E-3</v>
      </c>
      <c r="H21" t="s">
        <v>32</v>
      </c>
      <c r="I21" t="b">
        <v>1</v>
      </c>
      <c r="J21">
        <v>48.015874898416797</v>
      </c>
      <c r="K21">
        <v>49.2158748984168</v>
      </c>
      <c r="L21">
        <v>0</v>
      </c>
      <c r="M21" t="s">
        <v>164</v>
      </c>
      <c r="N21" t="s">
        <v>152</v>
      </c>
      <c r="O21" t="s">
        <v>189</v>
      </c>
      <c r="P21">
        <f>-0.0106291333771609 - 0.00804483502668833</f>
        <v>-1.8673968403849231E-2</v>
      </c>
      <c r="Q21" t="s">
        <v>48</v>
      </c>
      <c r="R21" t="s">
        <v>36</v>
      </c>
      <c r="S21" t="s">
        <v>37</v>
      </c>
      <c r="T21" t="s">
        <v>190</v>
      </c>
      <c r="U21">
        <v>1.66762485021667</v>
      </c>
      <c r="V21">
        <v>4.7637674499614998E-3</v>
      </c>
      <c r="W21" t="s">
        <v>39</v>
      </c>
      <c r="X21" t="s">
        <v>40</v>
      </c>
    </row>
    <row r="22" spans="1:24" x14ac:dyDescent="0.2">
      <c r="A22" t="s">
        <v>145</v>
      </c>
      <c r="B22" t="s">
        <v>45</v>
      </c>
      <c r="C22" t="s">
        <v>31</v>
      </c>
      <c r="D22">
        <v>1.1973718326346E-3</v>
      </c>
      <c r="E22">
        <v>0.91064593391559701</v>
      </c>
      <c r="F22">
        <v>0.95023923539018795</v>
      </c>
      <c r="G22">
        <v>-0.362957351532884</v>
      </c>
      <c r="H22" t="s">
        <v>32</v>
      </c>
      <c r="I22" t="b">
        <v>1</v>
      </c>
      <c r="J22">
        <v>48.086961298431397</v>
      </c>
      <c r="K22">
        <v>49.2869612984314</v>
      </c>
      <c r="L22">
        <v>0</v>
      </c>
      <c r="M22" t="s">
        <v>164</v>
      </c>
      <c r="N22" t="s">
        <v>152</v>
      </c>
      <c r="O22" t="s">
        <v>191</v>
      </c>
      <c r="P22">
        <f>-6.55794786319203 - 5.83203316012626</f>
        <v>-12.38998102331829</v>
      </c>
      <c r="Q22" t="s">
        <v>48</v>
      </c>
      <c r="R22" t="s">
        <v>36</v>
      </c>
      <c r="S22" t="s">
        <v>37</v>
      </c>
      <c r="T22" t="s">
        <v>192</v>
      </c>
      <c r="U22">
        <v>1.4725741669902099</v>
      </c>
      <c r="V22">
        <v>3.1607094447240498</v>
      </c>
      <c r="W22" t="s">
        <v>39</v>
      </c>
      <c r="X22" t="s">
        <v>40</v>
      </c>
    </row>
    <row r="23" spans="1:24" x14ac:dyDescent="0.2">
      <c r="A23" t="s">
        <v>145</v>
      </c>
      <c r="B23" t="s">
        <v>66</v>
      </c>
      <c r="C23" t="s">
        <v>31</v>
      </c>
      <c r="D23">
        <v>7.7909343778305704E-2</v>
      </c>
      <c r="E23">
        <v>0.18655108404366599</v>
      </c>
      <c r="F23">
        <v>0.63960371672114003</v>
      </c>
      <c r="G23">
        <v>17.014648865664402</v>
      </c>
      <c r="H23" t="s">
        <v>32</v>
      </c>
      <c r="I23" t="b">
        <v>1</v>
      </c>
      <c r="J23">
        <v>151.54548765130201</v>
      </c>
      <c r="K23">
        <v>152.11691622273099</v>
      </c>
      <c r="L23">
        <v>0</v>
      </c>
      <c r="M23" t="s">
        <v>146</v>
      </c>
      <c r="N23" t="s">
        <v>147</v>
      </c>
      <c r="O23" t="s">
        <v>193</v>
      </c>
      <c r="P23">
        <f>-7.44553736660251 - 41.4748350979312</f>
        <v>-48.920372464533706</v>
      </c>
      <c r="Q23" t="s">
        <v>35</v>
      </c>
      <c r="R23" t="s">
        <v>36</v>
      </c>
      <c r="S23" t="s">
        <v>37</v>
      </c>
      <c r="T23" t="s">
        <v>194</v>
      </c>
      <c r="U23">
        <v>-11.8660959891834</v>
      </c>
      <c r="V23">
        <v>12.4796868531974</v>
      </c>
      <c r="W23" t="s">
        <v>39</v>
      </c>
      <c r="X23" t="s">
        <v>40</v>
      </c>
    </row>
    <row r="24" spans="1:24" x14ac:dyDescent="0.2">
      <c r="A24" t="s">
        <v>145</v>
      </c>
      <c r="B24" t="s">
        <v>41</v>
      </c>
      <c r="C24" t="s">
        <v>31</v>
      </c>
      <c r="D24">
        <v>2.6624474967212999E-2</v>
      </c>
      <c r="E24">
        <v>0.65241779705761804</v>
      </c>
      <c r="F24">
        <v>0.86443467151466402</v>
      </c>
      <c r="G24">
        <v>14.4446113424515</v>
      </c>
      <c r="H24" t="s">
        <v>32</v>
      </c>
      <c r="I24" t="b">
        <v>1</v>
      </c>
      <c r="J24">
        <v>68.282475682281301</v>
      </c>
      <c r="K24">
        <v>69.996761396566995</v>
      </c>
      <c r="L24">
        <v>0</v>
      </c>
      <c r="M24" t="s">
        <v>159</v>
      </c>
      <c r="N24" t="s">
        <v>152</v>
      </c>
      <c r="O24" t="s">
        <v>195</v>
      </c>
      <c r="P24">
        <f>-46.0778558365628 - 74.9670785214657</f>
        <v>-121.04493435802848</v>
      </c>
      <c r="Q24" t="s">
        <v>43</v>
      </c>
      <c r="R24" t="s">
        <v>36</v>
      </c>
      <c r="S24" t="s">
        <v>37</v>
      </c>
      <c r="T24" t="s">
        <v>196</v>
      </c>
      <c r="U24">
        <v>-9.0307155559869408</v>
      </c>
      <c r="V24">
        <v>30.878809785211399</v>
      </c>
      <c r="W24" t="s">
        <v>39</v>
      </c>
      <c r="X24" t="s">
        <v>40</v>
      </c>
    </row>
    <row r="25" spans="1:24" x14ac:dyDescent="0.2">
      <c r="A25" t="s">
        <v>145</v>
      </c>
      <c r="B25" t="s">
        <v>66</v>
      </c>
      <c r="C25" t="s">
        <v>31</v>
      </c>
      <c r="D25">
        <v>4.4025388249120997E-3</v>
      </c>
      <c r="E25">
        <v>0.79364199196125695</v>
      </c>
      <c r="F25">
        <v>0.90578049158224405</v>
      </c>
      <c r="G25">
        <v>1.2666496126907401</v>
      </c>
      <c r="H25" t="s">
        <v>32</v>
      </c>
      <c r="I25" t="b">
        <v>1</v>
      </c>
      <c r="J25">
        <v>72.884349817756103</v>
      </c>
      <c r="K25">
        <v>73.6843498177561</v>
      </c>
      <c r="L25">
        <v>0</v>
      </c>
      <c r="M25" t="s">
        <v>146</v>
      </c>
      <c r="N25" t="s">
        <v>152</v>
      </c>
      <c r="O25" t="s">
        <v>197</v>
      </c>
      <c r="P25">
        <f>-8.06681462207596 - 10.6001138474574</f>
        <v>-18.66692846953336</v>
      </c>
      <c r="Q25" t="s">
        <v>35</v>
      </c>
      <c r="R25" t="s">
        <v>36</v>
      </c>
      <c r="S25" t="s">
        <v>37</v>
      </c>
      <c r="T25" t="s">
        <v>198</v>
      </c>
      <c r="U25">
        <v>0.52108956346134505</v>
      </c>
      <c r="V25">
        <v>4.7619715483503597</v>
      </c>
      <c r="W25" t="s">
        <v>39</v>
      </c>
      <c r="X25" t="s">
        <v>40</v>
      </c>
    </row>
    <row r="26" spans="1:24" x14ac:dyDescent="0.2">
      <c r="A26" t="s">
        <v>145</v>
      </c>
      <c r="B26" t="s">
        <v>57</v>
      </c>
      <c r="C26" t="s">
        <v>31</v>
      </c>
      <c r="D26">
        <v>1.8709885726975399E-2</v>
      </c>
      <c r="E26">
        <v>0.51441300325723605</v>
      </c>
      <c r="F26">
        <v>0.82349068898884503</v>
      </c>
      <c r="G26">
        <v>7.9505075674471799</v>
      </c>
      <c r="H26" t="s">
        <v>32</v>
      </c>
      <c r="I26" t="b">
        <v>1</v>
      </c>
      <c r="J26">
        <v>157.97881175071399</v>
      </c>
      <c r="K26">
        <v>158.52426629616801</v>
      </c>
      <c r="L26">
        <v>0</v>
      </c>
      <c r="M26" t="s">
        <v>164</v>
      </c>
      <c r="N26" t="s">
        <v>147</v>
      </c>
      <c r="O26" t="s">
        <v>199</v>
      </c>
      <c r="P26">
        <f>-15.5810217514188 - 31.4820368863132</f>
        <v>-47.063058637731999</v>
      </c>
      <c r="Q26" t="s">
        <v>48</v>
      </c>
      <c r="R26" t="s">
        <v>36</v>
      </c>
      <c r="S26" t="s">
        <v>37</v>
      </c>
      <c r="T26" t="s">
        <v>200</v>
      </c>
      <c r="U26">
        <v>-2.8552864389778798</v>
      </c>
      <c r="V26">
        <v>12.005882305543899</v>
      </c>
      <c r="W26" t="s">
        <v>39</v>
      </c>
      <c r="X26" t="s">
        <v>40</v>
      </c>
    </row>
    <row r="27" spans="1:24" x14ac:dyDescent="0.2">
      <c r="A27" t="s">
        <v>145</v>
      </c>
      <c r="B27" t="s">
        <v>30</v>
      </c>
      <c r="C27" t="s">
        <v>31</v>
      </c>
      <c r="D27">
        <v>0.15354127943670201</v>
      </c>
      <c r="E27">
        <v>0.107795247438807</v>
      </c>
      <c r="F27">
        <v>0.43118098975522801</v>
      </c>
      <c r="G27">
        <v>-8.4288484642726005E-3</v>
      </c>
      <c r="H27" t="s">
        <v>32</v>
      </c>
      <c r="I27" t="b">
        <v>1</v>
      </c>
      <c r="J27">
        <v>70.469994092997695</v>
      </c>
      <c r="K27">
        <v>71.269994092997706</v>
      </c>
      <c r="L27">
        <v>0</v>
      </c>
      <c r="M27" t="s">
        <v>146</v>
      </c>
      <c r="N27" t="s">
        <v>152</v>
      </c>
      <c r="O27" t="s">
        <v>201</v>
      </c>
      <c r="P27">
        <f>-0.0181262335144016 - 0.00126853658585636</f>
        <v>-1.939477010025796E-2</v>
      </c>
      <c r="Q27" t="s">
        <v>35</v>
      </c>
      <c r="R27" t="s">
        <v>36</v>
      </c>
      <c r="S27" t="s">
        <v>37</v>
      </c>
      <c r="T27" t="s">
        <v>202</v>
      </c>
      <c r="U27">
        <v>3.24077491535345</v>
      </c>
      <c r="V27">
        <v>4.9476454337391996E-3</v>
      </c>
      <c r="W27" t="s">
        <v>39</v>
      </c>
      <c r="X27" t="s">
        <v>40</v>
      </c>
    </row>
    <row r="28" spans="1:24" x14ac:dyDescent="0.2">
      <c r="A28" t="s">
        <v>145</v>
      </c>
      <c r="B28" t="s">
        <v>45</v>
      </c>
      <c r="C28" t="s">
        <v>31</v>
      </c>
      <c r="D28">
        <v>0.44255654147553902</v>
      </c>
      <c r="E28">
        <v>2.850337224717E-4</v>
      </c>
      <c r="F28" t="s">
        <v>79</v>
      </c>
      <c r="G28">
        <v>22.9833483998129</v>
      </c>
      <c r="H28" t="s">
        <v>84</v>
      </c>
      <c r="I28" t="b">
        <v>0</v>
      </c>
      <c r="J28">
        <v>161.07490810308599</v>
      </c>
      <c r="K28">
        <v>161.62036264854001</v>
      </c>
      <c r="L28">
        <v>15.440575623294</v>
      </c>
      <c r="M28" t="s">
        <v>164</v>
      </c>
      <c r="N28" t="s">
        <v>147</v>
      </c>
      <c r="O28" t="s">
        <v>165</v>
      </c>
      <c r="P28" t="s">
        <v>203</v>
      </c>
      <c r="Q28" t="s">
        <v>48</v>
      </c>
      <c r="R28" t="s">
        <v>85</v>
      </c>
      <c r="S28" t="s">
        <v>86</v>
      </c>
      <c r="T28" t="s">
        <v>204</v>
      </c>
      <c r="U28">
        <v>0.36686198983356799</v>
      </c>
      <c r="V28">
        <v>5.37855249813967</v>
      </c>
      <c r="W28" t="s">
        <v>39</v>
      </c>
      <c r="X28" t="s">
        <v>40</v>
      </c>
    </row>
    <row r="29" spans="1:24" x14ac:dyDescent="0.2">
      <c r="A29" t="s">
        <v>145</v>
      </c>
      <c r="B29" t="s">
        <v>45</v>
      </c>
      <c r="C29" t="s">
        <v>31</v>
      </c>
      <c r="D29">
        <v>0.44255654147553902</v>
      </c>
      <c r="E29">
        <v>2.850337224717E-4</v>
      </c>
      <c r="F29" t="s">
        <v>79</v>
      </c>
      <c r="G29">
        <v>22.9833483998129</v>
      </c>
      <c r="H29" t="s">
        <v>90</v>
      </c>
      <c r="I29" t="b">
        <v>0</v>
      </c>
      <c r="J29">
        <v>161.07490810308599</v>
      </c>
      <c r="K29">
        <v>161.62036264854001</v>
      </c>
      <c r="L29">
        <v>15.440575623294</v>
      </c>
      <c r="M29" t="s">
        <v>164</v>
      </c>
      <c r="N29" t="s">
        <v>147</v>
      </c>
      <c r="O29" t="s">
        <v>165</v>
      </c>
      <c r="P29" t="s">
        <v>203</v>
      </c>
      <c r="Q29" t="s">
        <v>48</v>
      </c>
      <c r="R29" t="s">
        <v>91</v>
      </c>
      <c r="S29" t="s">
        <v>33</v>
      </c>
      <c r="T29" t="s">
        <v>92</v>
      </c>
      <c r="U29">
        <v>0.36686198983356799</v>
      </c>
      <c r="V29">
        <v>5.37855249813967</v>
      </c>
      <c r="W29" t="s">
        <v>39</v>
      </c>
      <c r="X29" t="s">
        <v>40</v>
      </c>
    </row>
    <row r="30" spans="1:24" x14ac:dyDescent="0.2">
      <c r="A30" t="s">
        <v>145</v>
      </c>
      <c r="B30" t="s">
        <v>30</v>
      </c>
      <c r="C30" t="s">
        <v>31</v>
      </c>
      <c r="D30">
        <v>0.21232896097231499</v>
      </c>
      <c r="E30">
        <v>5.4290489413576302E-2</v>
      </c>
      <c r="F30" t="s">
        <v>79</v>
      </c>
      <c r="G30">
        <v>-1.53015624746249E-2</v>
      </c>
      <c r="H30" t="s">
        <v>84</v>
      </c>
      <c r="I30" t="b">
        <v>0</v>
      </c>
      <c r="J30">
        <v>95.727785674081602</v>
      </c>
      <c r="K30">
        <v>96.527785674081599</v>
      </c>
      <c r="L30">
        <v>25.257791581083801</v>
      </c>
      <c r="M30" t="s">
        <v>146</v>
      </c>
      <c r="N30" t="s">
        <v>152</v>
      </c>
      <c r="O30" t="s">
        <v>201</v>
      </c>
      <c r="P30">
        <f>-0.0297426427247977 - -0.000860482224452055</f>
        <v>-2.8882160500345647E-2</v>
      </c>
      <c r="Q30" t="s">
        <v>35</v>
      </c>
      <c r="R30" t="s">
        <v>85</v>
      </c>
      <c r="S30" t="s">
        <v>86</v>
      </c>
      <c r="T30" t="s">
        <v>205</v>
      </c>
      <c r="U30">
        <v>4.7965906258178599</v>
      </c>
      <c r="V30">
        <v>7.3678980868228001E-3</v>
      </c>
      <c r="W30" t="s">
        <v>39</v>
      </c>
      <c r="X30" t="s">
        <v>40</v>
      </c>
    </row>
    <row r="31" spans="1:24" x14ac:dyDescent="0.2">
      <c r="A31" t="s">
        <v>145</v>
      </c>
      <c r="B31" t="s">
        <v>45</v>
      </c>
      <c r="C31" t="s">
        <v>31</v>
      </c>
      <c r="D31">
        <v>7.6430970558292899E-2</v>
      </c>
      <c r="E31">
        <v>0.36052711950961802</v>
      </c>
      <c r="F31" t="s">
        <v>79</v>
      </c>
      <c r="G31">
        <v>-4.5130383780379004</v>
      </c>
      <c r="H31" t="s">
        <v>90</v>
      </c>
      <c r="I31" t="b">
        <v>0</v>
      </c>
      <c r="J31">
        <v>72.5487474140361</v>
      </c>
      <c r="K31">
        <v>73.748747414036103</v>
      </c>
      <c r="L31">
        <v>24.461786115604699</v>
      </c>
      <c r="M31" t="s">
        <v>164</v>
      </c>
      <c r="N31" t="s">
        <v>152</v>
      </c>
      <c r="O31" t="s">
        <v>191</v>
      </c>
      <c r="P31">
        <f>-13.7840846519287 - 4.75800789585292</f>
        <v>-18.542092547781621</v>
      </c>
      <c r="Q31" t="s">
        <v>48</v>
      </c>
      <c r="R31" t="s">
        <v>91</v>
      </c>
      <c r="S31" t="s">
        <v>33</v>
      </c>
      <c r="T31" t="s">
        <v>92</v>
      </c>
      <c r="U31">
        <v>2.2898423036669699</v>
      </c>
      <c r="V31">
        <v>4.7301256499442896</v>
      </c>
      <c r="W31" t="s">
        <v>39</v>
      </c>
      <c r="X31" t="s">
        <v>40</v>
      </c>
    </row>
    <row r="32" spans="1:24" x14ac:dyDescent="0.2">
      <c r="A32" t="s">
        <v>145</v>
      </c>
      <c r="B32" t="s">
        <v>75</v>
      </c>
      <c r="C32" t="s">
        <v>31</v>
      </c>
      <c r="D32">
        <v>3.8463845593531498E-2</v>
      </c>
      <c r="E32">
        <v>0.4354143440953</v>
      </c>
      <c r="F32" t="s">
        <v>79</v>
      </c>
      <c r="G32">
        <v>2.5858839680024999</v>
      </c>
      <c r="H32" t="s">
        <v>80</v>
      </c>
      <c r="I32" t="b">
        <v>0</v>
      </c>
      <c r="J32">
        <v>80.309864993397298</v>
      </c>
      <c r="K32">
        <v>81.109864993397295</v>
      </c>
      <c r="L32">
        <v>8.5210567382085998</v>
      </c>
      <c r="M32" t="s">
        <v>146</v>
      </c>
      <c r="N32" t="s">
        <v>152</v>
      </c>
      <c r="O32" t="s">
        <v>170</v>
      </c>
      <c r="P32">
        <f>-3.7493341453984 - 8.92110208140339</f>
        <v>-12.67043622680179</v>
      </c>
      <c r="Q32" t="s">
        <v>35</v>
      </c>
      <c r="R32" t="s">
        <v>81</v>
      </c>
      <c r="S32" t="s">
        <v>82</v>
      </c>
      <c r="T32" t="s">
        <v>206</v>
      </c>
      <c r="U32">
        <v>2.21035835061718</v>
      </c>
      <c r="V32">
        <v>3.2322541394902502</v>
      </c>
      <c r="W32" t="s">
        <v>39</v>
      </c>
      <c r="X32" t="s">
        <v>40</v>
      </c>
    </row>
    <row r="33" spans="1:24" x14ac:dyDescent="0.2">
      <c r="A33" t="s">
        <v>145</v>
      </c>
      <c r="B33" t="s">
        <v>75</v>
      </c>
      <c r="C33" t="s">
        <v>31</v>
      </c>
      <c r="D33">
        <v>0.60991765051355395</v>
      </c>
      <c r="E33" s="6">
        <v>6.6824829283440604E-6</v>
      </c>
      <c r="F33" t="s">
        <v>79</v>
      </c>
      <c r="G33">
        <v>57.171102097314503</v>
      </c>
      <c r="H33" t="s">
        <v>80</v>
      </c>
      <c r="I33" t="b">
        <v>0</v>
      </c>
      <c r="J33">
        <v>145.18456426770399</v>
      </c>
      <c r="K33">
        <v>145.75599283913201</v>
      </c>
      <c r="L33">
        <v>8.3201425128410094</v>
      </c>
      <c r="M33" t="s">
        <v>146</v>
      </c>
      <c r="N33" t="s">
        <v>147</v>
      </c>
      <c r="O33" t="s">
        <v>148</v>
      </c>
      <c r="P33" t="s">
        <v>207</v>
      </c>
      <c r="Q33" t="s">
        <v>35</v>
      </c>
      <c r="R33" t="s">
        <v>81</v>
      </c>
      <c r="S33" t="s">
        <v>82</v>
      </c>
      <c r="T33" t="s">
        <v>208</v>
      </c>
      <c r="U33">
        <v>-5.1324760064011103</v>
      </c>
      <c r="V33">
        <v>9.7478261014017598</v>
      </c>
      <c r="W33" t="s">
        <v>39</v>
      </c>
      <c r="X33" t="s">
        <v>40</v>
      </c>
    </row>
    <row r="34" spans="1:24" x14ac:dyDescent="0.2">
      <c r="A34" t="s">
        <v>145</v>
      </c>
      <c r="B34" t="s">
        <v>66</v>
      </c>
      <c r="C34" t="s">
        <v>31</v>
      </c>
      <c r="D34">
        <v>1.20982929203699E-2</v>
      </c>
      <c r="E34">
        <v>0.60890235039280904</v>
      </c>
      <c r="F34" t="s">
        <v>79</v>
      </c>
      <c r="G34">
        <v>8.7760531968480802</v>
      </c>
      <c r="H34" t="s">
        <v>84</v>
      </c>
      <c r="I34" t="b">
        <v>0</v>
      </c>
      <c r="J34">
        <v>175.37994051464699</v>
      </c>
      <c r="K34">
        <v>175.951369086075</v>
      </c>
      <c r="L34">
        <v>23.834452863344001</v>
      </c>
      <c r="M34" t="s">
        <v>146</v>
      </c>
      <c r="N34" t="s">
        <v>147</v>
      </c>
      <c r="O34" t="s">
        <v>193</v>
      </c>
      <c r="P34">
        <f>-24.3629009650582 - 41.9150073587543</f>
        <v>-66.277908323812497</v>
      </c>
      <c r="Q34" t="s">
        <v>35</v>
      </c>
      <c r="R34" t="s">
        <v>85</v>
      </c>
      <c r="S34" t="s">
        <v>86</v>
      </c>
      <c r="T34" t="s">
        <v>209</v>
      </c>
      <c r="U34">
        <v>-4.4211957611308703</v>
      </c>
      <c r="V34">
        <v>16.907629674441999</v>
      </c>
      <c r="W34" t="s">
        <v>39</v>
      </c>
      <c r="X34" t="s">
        <v>40</v>
      </c>
    </row>
    <row r="35" spans="1:24" x14ac:dyDescent="0.2">
      <c r="A35" t="s">
        <v>145</v>
      </c>
      <c r="B35" t="s">
        <v>66</v>
      </c>
      <c r="C35" t="s">
        <v>31</v>
      </c>
      <c r="D35">
        <v>4.8725947644960002E-4</v>
      </c>
      <c r="E35">
        <v>0.93072043817510097</v>
      </c>
      <c r="F35" t="s">
        <v>79</v>
      </c>
      <c r="G35">
        <v>-0.44730882828850699</v>
      </c>
      <c r="H35" t="s">
        <v>90</v>
      </c>
      <c r="I35" t="b">
        <v>0</v>
      </c>
      <c r="J35">
        <v>100.01515817609901</v>
      </c>
      <c r="K35">
        <v>100.815158176099</v>
      </c>
      <c r="L35">
        <v>27.1308083583429</v>
      </c>
      <c r="M35" t="s">
        <v>146</v>
      </c>
      <c r="N35" t="s">
        <v>152</v>
      </c>
      <c r="O35" t="s">
        <v>197</v>
      </c>
      <c r="P35">
        <f>-10.3742984939352 - 9.4796808373582</f>
        <v>-19.853979331293402</v>
      </c>
      <c r="Q35" t="s">
        <v>35</v>
      </c>
      <c r="R35" t="s">
        <v>91</v>
      </c>
      <c r="S35" t="s">
        <v>33</v>
      </c>
      <c r="T35" t="s">
        <v>92</v>
      </c>
      <c r="U35">
        <v>2.7438954269189</v>
      </c>
      <c r="V35">
        <v>5.0647906457381202</v>
      </c>
      <c r="W35" t="s">
        <v>39</v>
      </c>
      <c r="X35" t="s">
        <v>40</v>
      </c>
    </row>
    <row r="36" spans="1:24" x14ac:dyDescent="0.2">
      <c r="A36" t="s">
        <v>145</v>
      </c>
      <c r="B36" t="s">
        <v>69</v>
      </c>
      <c r="C36" t="s">
        <v>31</v>
      </c>
      <c r="D36">
        <v>2.3419897537399999E-4</v>
      </c>
      <c r="E36">
        <v>0.96653129966131501</v>
      </c>
      <c r="F36" t="s">
        <v>79</v>
      </c>
      <c r="G36">
        <v>0.57788003379694397</v>
      </c>
      <c r="H36" t="s">
        <v>80</v>
      </c>
      <c r="I36" t="b">
        <v>0</v>
      </c>
      <c r="J36">
        <v>71.133143424880203</v>
      </c>
      <c r="K36">
        <v>72.847429139165897</v>
      </c>
      <c r="L36">
        <v>2.8006729322827901</v>
      </c>
      <c r="M36" t="s">
        <v>159</v>
      </c>
      <c r="N36" t="s">
        <v>152</v>
      </c>
      <c r="O36" t="s">
        <v>179</v>
      </c>
      <c r="P36">
        <f>-25.5861964743585 - 26.7419565419524</f>
        <v>-52.3281530163109</v>
      </c>
      <c r="Q36" t="s">
        <v>43</v>
      </c>
      <c r="R36" t="s">
        <v>81</v>
      </c>
      <c r="S36" t="s">
        <v>82</v>
      </c>
      <c r="T36" t="s">
        <v>210</v>
      </c>
      <c r="U36">
        <v>4.20052158042024</v>
      </c>
      <c r="V36">
        <v>13.349018626609899</v>
      </c>
      <c r="W36" t="s">
        <v>39</v>
      </c>
      <c r="X36" t="s">
        <v>40</v>
      </c>
    </row>
    <row r="37" spans="1:24" x14ac:dyDescent="0.2">
      <c r="A37" t="s">
        <v>145</v>
      </c>
      <c r="B37" t="s">
        <v>30</v>
      </c>
      <c r="C37" t="s">
        <v>31</v>
      </c>
      <c r="D37">
        <v>1.4172281770908001E-2</v>
      </c>
      <c r="E37">
        <v>0.57954226966233302</v>
      </c>
      <c r="F37" t="s">
        <v>79</v>
      </c>
      <c r="G37">
        <v>1.15186039991052E-2</v>
      </c>
      <c r="H37" t="s">
        <v>80</v>
      </c>
      <c r="I37" t="b">
        <v>0</v>
      </c>
      <c r="J37">
        <v>166.14904733517099</v>
      </c>
      <c r="K37">
        <v>166.72047590659901</v>
      </c>
      <c r="L37">
        <v>12.6582281776809</v>
      </c>
      <c r="M37" t="s">
        <v>146</v>
      </c>
      <c r="N37" t="s">
        <v>147</v>
      </c>
      <c r="O37" t="s">
        <v>183</v>
      </c>
      <c r="P37">
        <f>-0.0286258173305106 - 0.051663025328721</f>
        <v>-8.0288842659231599E-2</v>
      </c>
      <c r="Q37" t="s">
        <v>35</v>
      </c>
      <c r="R37" t="s">
        <v>81</v>
      </c>
      <c r="S37" t="s">
        <v>82</v>
      </c>
      <c r="T37" t="s">
        <v>211</v>
      </c>
      <c r="U37">
        <v>1.8373589652665201</v>
      </c>
      <c r="V37">
        <v>2.0481847617150901E-2</v>
      </c>
      <c r="W37" t="s">
        <v>39</v>
      </c>
      <c r="X37" t="s">
        <v>40</v>
      </c>
    </row>
    <row r="38" spans="1:24" x14ac:dyDescent="0.2">
      <c r="A38" t="s">
        <v>145</v>
      </c>
      <c r="B38" t="s">
        <v>75</v>
      </c>
      <c r="C38" t="s">
        <v>31</v>
      </c>
      <c r="D38">
        <v>0.668312624802198</v>
      </c>
      <c r="E38" s="6">
        <v>1.07828051176817E-6</v>
      </c>
      <c r="F38" t="s">
        <v>79</v>
      </c>
      <c r="G38">
        <v>60.453881661542901</v>
      </c>
      <c r="H38" t="s">
        <v>90</v>
      </c>
      <c r="I38" t="b">
        <v>0</v>
      </c>
      <c r="J38">
        <v>149.18657279352101</v>
      </c>
      <c r="K38">
        <v>149.758001364949</v>
      </c>
      <c r="L38">
        <v>12.322151038657999</v>
      </c>
      <c r="M38" t="s">
        <v>146</v>
      </c>
      <c r="N38" t="s">
        <v>147</v>
      </c>
      <c r="O38" t="s">
        <v>148</v>
      </c>
      <c r="P38" t="s">
        <v>212</v>
      </c>
      <c r="Q38" t="s">
        <v>35</v>
      </c>
      <c r="R38" t="s">
        <v>91</v>
      </c>
      <c r="S38" t="s">
        <v>33</v>
      </c>
      <c r="T38" t="s">
        <v>92</v>
      </c>
      <c r="U38">
        <v>-5.1475815508309202</v>
      </c>
      <c r="V38">
        <v>9.0800343043271994</v>
      </c>
      <c r="W38" t="s">
        <v>39</v>
      </c>
      <c r="X38" t="s">
        <v>40</v>
      </c>
    </row>
    <row r="39" spans="1:24" x14ac:dyDescent="0.2">
      <c r="A39" t="s">
        <v>145</v>
      </c>
      <c r="B39" t="s">
        <v>60</v>
      </c>
      <c r="C39" t="s">
        <v>31</v>
      </c>
      <c r="D39">
        <v>1.1684953340572299E-2</v>
      </c>
      <c r="E39">
        <v>0.56963863785126601</v>
      </c>
      <c r="F39" t="s">
        <v>79</v>
      </c>
      <c r="G39">
        <v>-4.8110264764039999E-3</v>
      </c>
      <c r="H39" t="s">
        <v>84</v>
      </c>
      <c r="I39" t="b">
        <v>0</v>
      </c>
      <c r="J39">
        <v>175.952049176076</v>
      </c>
      <c r="K39">
        <v>176.39649362052</v>
      </c>
      <c r="L39">
        <v>8.2262713051320002</v>
      </c>
      <c r="M39" t="s">
        <v>159</v>
      </c>
      <c r="N39" t="s">
        <v>147</v>
      </c>
      <c r="O39" t="s">
        <v>168</v>
      </c>
      <c r="P39">
        <f>-0.021199896654238 - 0.0115778437014298</f>
        <v>-3.27777403556678E-2</v>
      </c>
      <c r="Q39" t="s">
        <v>43</v>
      </c>
      <c r="R39" t="s">
        <v>85</v>
      </c>
      <c r="S39" t="s">
        <v>86</v>
      </c>
      <c r="T39" t="s">
        <v>213</v>
      </c>
      <c r="U39">
        <v>4.4397897699252997</v>
      </c>
      <c r="V39">
        <v>8.3616684580784997E-3</v>
      </c>
      <c r="W39" t="s">
        <v>39</v>
      </c>
      <c r="X39" t="s">
        <v>40</v>
      </c>
    </row>
    <row r="40" spans="1:24" x14ac:dyDescent="0.2">
      <c r="A40" t="s">
        <v>145</v>
      </c>
      <c r="B40" t="s">
        <v>75</v>
      </c>
      <c r="C40" t="s">
        <v>31</v>
      </c>
      <c r="D40">
        <v>0.14709335287032799</v>
      </c>
      <c r="E40">
        <v>0.116151499475312</v>
      </c>
      <c r="F40" t="s">
        <v>79</v>
      </c>
      <c r="G40">
        <v>4.9120428183612699</v>
      </c>
      <c r="H40" t="s">
        <v>90</v>
      </c>
      <c r="I40" t="b">
        <v>0</v>
      </c>
      <c r="J40">
        <v>97.160037777921005</v>
      </c>
      <c r="K40">
        <v>97.960037777921002</v>
      </c>
      <c r="L40">
        <v>25.3712295227323</v>
      </c>
      <c r="M40" t="s">
        <v>146</v>
      </c>
      <c r="N40" t="s">
        <v>152</v>
      </c>
      <c r="O40" t="s">
        <v>170</v>
      </c>
      <c r="P40">
        <f>-0.883744626591966 - 10.7078302633145</f>
        <v>-11.591574889906466</v>
      </c>
      <c r="Q40" t="s">
        <v>35</v>
      </c>
      <c r="R40" t="s">
        <v>91</v>
      </c>
      <c r="S40" t="s">
        <v>33</v>
      </c>
      <c r="T40" t="s">
        <v>92</v>
      </c>
      <c r="U40">
        <v>1.4243470344570901</v>
      </c>
      <c r="V40">
        <v>2.9570344106904298</v>
      </c>
      <c r="W40" t="s">
        <v>39</v>
      </c>
      <c r="X40" t="s">
        <v>40</v>
      </c>
    </row>
    <row r="41" spans="1:24" x14ac:dyDescent="0.2">
      <c r="A41" t="s">
        <v>145</v>
      </c>
      <c r="B41" t="s">
        <v>41</v>
      </c>
      <c r="C41" t="s">
        <v>31</v>
      </c>
      <c r="D41">
        <v>2.5592047514617501E-2</v>
      </c>
      <c r="E41">
        <v>0.65887351139059103</v>
      </c>
      <c r="F41" t="s">
        <v>79</v>
      </c>
      <c r="G41">
        <v>11.848432353269599</v>
      </c>
      <c r="H41" t="s">
        <v>80</v>
      </c>
      <c r="I41" t="b">
        <v>0</v>
      </c>
      <c r="J41">
        <v>70.876233482501206</v>
      </c>
      <c r="K41">
        <v>72.5905191967869</v>
      </c>
      <c r="L41">
        <v>2.5937578002199002</v>
      </c>
      <c r="M41" t="s">
        <v>159</v>
      </c>
      <c r="N41" t="s">
        <v>152</v>
      </c>
      <c r="O41" t="s">
        <v>195</v>
      </c>
      <c r="P41">
        <f>-38.8144464998884 - 62.5113112064275</f>
        <v>-101.3257577063159</v>
      </c>
      <c r="Q41" t="s">
        <v>43</v>
      </c>
      <c r="R41" t="s">
        <v>81</v>
      </c>
      <c r="S41" t="s">
        <v>82</v>
      </c>
      <c r="T41" t="s">
        <v>214</v>
      </c>
      <c r="U41">
        <v>-6.4785498505230503</v>
      </c>
      <c r="V41">
        <v>25.848407578141799</v>
      </c>
      <c r="W41" t="s">
        <v>39</v>
      </c>
      <c r="X41" t="s">
        <v>40</v>
      </c>
    </row>
    <row r="42" spans="1:24" x14ac:dyDescent="0.2">
      <c r="A42" t="s">
        <v>145</v>
      </c>
      <c r="B42" t="s">
        <v>69</v>
      </c>
      <c r="C42" t="s">
        <v>31</v>
      </c>
      <c r="D42">
        <v>4.6938773820120001E-3</v>
      </c>
      <c r="E42">
        <v>0.71904682523521002</v>
      </c>
      <c r="F42" t="s">
        <v>79</v>
      </c>
      <c r="G42">
        <v>1.43761638065796</v>
      </c>
      <c r="H42" t="s">
        <v>84</v>
      </c>
      <c r="I42" t="b">
        <v>0</v>
      </c>
      <c r="J42">
        <v>176.16351409730299</v>
      </c>
      <c r="K42">
        <v>176.60795854174799</v>
      </c>
      <c r="L42">
        <v>8.6813893150639903</v>
      </c>
      <c r="M42" t="s">
        <v>159</v>
      </c>
      <c r="N42" t="s">
        <v>147</v>
      </c>
      <c r="O42" t="s">
        <v>177</v>
      </c>
      <c r="P42">
        <f>-6.31650394494398 - 9.19173670625989</f>
        <v>-15.50824065120387</v>
      </c>
      <c r="Q42" t="s">
        <v>43</v>
      </c>
      <c r="R42" t="s">
        <v>85</v>
      </c>
      <c r="S42" t="s">
        <v>86</v>
      </c>
      <c r="T42" t="s">
        <v>215</v>
      </c>
      <c r="U42">
        <v>3.6876562808257698</v>
      </c>
      <c r="V42">
        <v>3.9561838395928199</v>
      </c>
      <c r="W42" t="s">
        <v>39</v>
      </c>
      <c r="X42" t="s">
        <v>40</v>
      </c>
    </row>
    <row r="43" spans="1:24" x14ac:dyDescent="0.2">
      <c r="A43" t="s">
        <v>145</v>
      </c>
      <c r="B43" t="s">
        <v>50</v>
      </c>
      <c r="C43" t="s">
        <v>31</v>
      </c>
      <c r="D43">
        <v>8.9753776005889893E-2</v>
      </c>
      <c r="E43">
        <v>0.199403111947139</v>
      </c>
      <c r="F43" t="s">
        <v>79</v>
      </c>
      <c r="G43">
        <v>11.3221141779498</v>
      </c>
      <c r="H43" t="s">
        <v>90</v>
      </c>
      <c r="I43" t="b">
        <v>0</v>
      </c>
      <c r="J43">
        <v>125.679597539707</v>
      </c>
      <c r="K43">
        <v>126.38547989264799</v>
      </c>
      <c r="L43">
        <v>6.1806722519169801</v>
      </c>
      <c r="M43" t="s">
        <v>151</v>
      </c>
      <c r="N43" t="s">
        <v>152</v>
      </c>
      <c r="O43" t="s">
        <v>153</v>
      </c>
      <c r="P43">
        <f>-5.33502550575886 - 27.9792538616585</f>
        <v>-33.314279367417356</v>
      </c>
      <c r="Q43" t="s">
        <v>52</v>
      </c>
      <c r="R43" t="s">
        <v>91</v>
      </c>
      <c r="S43" t="s">
        <v>33</v>
      </c>
      <c r="T43" t="s">
        <v>92</v>
      </c>
      <c r="U43">
        <v>2.7322903427383398</v>
      </c>
      <c r="V43">
        <v>8.4985406549534197</v>
      </c>
      <c r="W43" t="s">
        <v>39</v>
      </c>
      <c r="X43" t="s">
        <v>40</v>
      </c>
    </row>
    <row r="44" spans="1:24" x14ac:dyDescent="0.2">
      <c r="A44" t="s">
        <v>145</v>
      </c>
      <c r="B44" t="s">
        <v>63</v>
      </c>
      <c r="C44" t="s">
        <v>31</v>
      </c>
      <c r="D44">
        <v>0.100238447368273</v>
      </c>
      <c r="E44">
        <v>0.173822570474676</v>
      </c>
      <c r="F44" t="s">
        <v>79</v>
      </c>
      <c r="G44">
        <v>-1.33427977378706E-2</v>
      </c>
      <c r="H44" t="s">
        <v>90</v>
      </c>
      <c r="I44" t="b">
        <v>0</v>
      </c>
      <c r="J44">
        <v>125.447890499132</v>
      </c>
      <c r="K44">
        <v>126.153772852073</v>
      </c>
      <c r="L44">
        <v>5.6659109892619997</v>
      </c>
      <c r="M44" t="s">
        <v>151</v>
      </c>
      <c r="N44" t="s">
        <v>152</v>
      </c>
      <c r="O44" t="s">
        <v>172</v>
      </c>
      <c r="P44">
        <f>-0.0318105173276765 - 0.00512492185193524</f>
        <v>-3.6935439179611743E-2</v>
      </c>
      <c r="Q44" t="s">
        <v>52</v>
      </c>
      <c r="R44" t="s">
        <v>91</v>
      </c>
      <c r="S44" t="s">
        <v>33</v>
      </c>
      <c r="T44" t="s">
        <v>92</v>
      </c>
      <c r="U44">
        <v>6.8657551859381103</v>
      </c>
      <c r="V44">
        <v>9.4223059131661995E-3</v>
      </c>
      <c r="W44" t="s">
        <v>39</v>
      </c>
      <c r="X44" t="s">
        <v>40</v>
      </c>
    </row>
    <row r="45" spans="1:24" x14ac:dyDescent="0.2">
      <c r="A45" t="s">
        <v>145</v>
      </c>
      <c r="B45" t="s">
        <v>54</v>
      </c>
      <c r="C45" t="s">
        <v>31</v>
      </c>
      <c r="D45">
        <v>0.115885281249259</v>
      </c>
      <c r="E45">
        <v>9.58899939203577E-2</v>
      </c>
      <c r="F45" t="s">
        <v>79</v>
      </c>
      <c r="G45">
        <v>2.4596428717581401E-2</v>
      </c>
      <c r="H45" t="s">
        <v>84</v>
      </c>
      <c r="I45" t="b">
        <v>0</v>
      </c>
      <c r="J45">
        <v>172.60555180449899</v>
      </c>
      <c r="K45">
        <v>173.15100634995301</v>
      </c>
      <c r="L45">
        <v>14.553477015691</v>
      </c>
      <c r="M45" t="s">
        <v>164</v>
      </c>
      <c r="N45" t="s">
        <v>147</v>
      </c>
      <c r="O45" t="s">
        <v>187</v>
      </c>
      <c r="P45">
        <f>-0.00316899966279767 - 0.0523618570979605</f>
        <v>-5.5530856760758168E-2</v>
      </c>
      <c r="Q45" t="s">
        <v>48</v>
      </c>
      <c r="R45" t="s">
        <v>85</v>
      </c>
      <c r="S45" t="s">
        <v>86</v>
      </c>
      <c r="T45" t="s">
        <v>216</v>
      </c>
      <c r="U45">
        <v>0.78201318019153698</v>
      </c>
      <c r="V45">
        <v>1.41660348879485E-2</v>
      </c>
      <c r="W45" t="s">
        <v>39</v>
      </c>
      <c r="X45" t="s">
        <v>40</v>
      </c>
    </row>
    <row r="46" spans="1:24" x14ac:dyDescent="0.2">
      <c r="A46" t="s">
        <v>145</v>
      </c>
      <c r="B46" t="s">
        <v>54</v>
      </c>
      <c r="C46" t="s">
        <v>31</v>
      </c>
      <c r="D46">
        <v>8.6873705187358007E-3</v>
      </c>
      <c r="E46">
        <v>0.76199875432945097</v>
      </c>
      <c r="F46" t="s">
        <v>79</v>
      </c>
      <c r="G46">
        <v>-2.6658345139186001E-3</v>
      </c>
      <c r="H46" t="s">
        <v>90</v>
      </c>
      <c r="I46" t="b">
        <v>0</v>
      </c>
      <c r="J46">
        <v>73.468944728411202</v>
      </c>
      <c r="K46">
        <v>74.668944728411205</v>
      </c>
      <c r="L46">
        <v>25.453069829994401</v>
      </c>
      <c r="M46" t="s">
        <v>164</v>
      </c>
      <c r="N46" t="s">
        <v>152</v>
      </c>
      <c r="O46" t="s">
        <v>189</v>
      </c>
      <c r="P46">
        <f>-0.0194946699027449 - 0.0141630008749076</f>
        <v>-3.3657670777652499E-2</v>
      </c>
      <c r="Q46" t="s">
        <v>48</v>
      </c>
      <c r="R46" t="s">
        <v>91</v>
      </c>
      <c r="S46" t="s">
        <v>33</v>
      </c>
      <c r="T46" t="s">
        <v>92</v>
      </c>
      <c r="U46">
        <v>2.0545627814885101</v>
      </c>
      <c r="V46">
        <v>8.5861405045030998E-3</v>
      </c>
      <c r="W46" t="s">
        <v>39</v>
      </c>
      <c r="X46" t="s">
        <v>40</v>
      </c>
    </row>
    <row r="47" spans="1:24" x14ac:dyDescent="0.2">
      <c r="A47" t="s">
        <v>145</v>
      </c>
      <c r="B47" t="s">
        <v>72</v>
      </c>
      <c r="C47" t="s">
        <v>31</v>
      </c>
      <c r="D47">
        <v>9.0118895767831594E-2</v>
      </c>
      <c r="E47">
        <v>0.198446886917959</v>
      </c>
      <c r="F47" t="s">
        <v>79</v>
      </c>
      <c r="G47">
        <v>10.502541523859099</v>
      </c>
      <c r="H47" t="s">
        <v>80</v>
      </c>
      <c r="I47" t="b">
        <v>0</v>
      </c>
      <c r="J47">
        <v>124.637916336537</v>
      </c>
      <c r="K47">
        <v>125.34379868947801</v>
      </c>
      <c r="L47">
        <v>7.4284923564250098</v>
      </c>
      <c r="M47" t="s">
        <v>151</v>
      </c>
      <c r="N47" t="s">
        <v>152</v>
      </c>
      <c r="O47" t="s">
        <v>157</v>
      </c>
      <c r="P47">
        <f>-4.9144139555188 - 25.9194970032371</f>
        <v>-30.833910958755901</v>
      </c>
      <c r="Q47" t="s">
        <v>52</v>
      </c>
      <c r="R47" t="s">
        <v>81</v>
      </c>
      <c r="S47" t="s">
        <v>82</v>
      </c>
      <c r="T47" t="s">
        <v>217</v>
      </c>
      <c r="U47">
        <v>-5.0917355520521701</v>
      </c>
      <c r="V47">
        <v>7.8657936119275202</v>
      </c>
      <c r="W47" t="s">
        <v>39</v>
      </c>
      <c r="X47" t="s">
        <v>40</v>
      </c>
    </row>
    <row r="48" spans="1:24" x14ac:dyDescent="0.2">
      <c r="A48" t="s">
        <v>145</v>
      </c>
      <c r="B48" t="s">
        <v>72</v>
      </c>
      <c r="C48" t="s">
        <v>31</v>
      </c>
      <c r="D48">
        <v>9.3086599992232399E-2</v>
      </c>
      <c r="E48">
        <v>0.190857078993453</v>
      </c>
      <c r="F48" t="s">
        <v>79</v>
      </c>
      <c r="G48">
        <v>8.8891143945850608</v>
      </c>
      <c r="H48" t="s">
        <v>90</v>
      </c>
      <c r="I48" t="b">
        <v>0</v>
      </c>
      <c r="J48">
        <v>125.606234084359</v>
      </c>
      <c r="K48">
        <v>126.31211643730001</v>
      </c>
      <c r="L48">
        <v>8.3968101042470096</v>
      </c>
      <c r="M48" t="s">
        <v>151</v>
      </c>
      <c r="N48" t="s">
        <v>152</v>
      </c>
      <c r="O48" t="s">
        <v>157</v>
      </c>
      <c r="P48">
        <f>-3.92880804788184 - 21.707036837052</f>
        <v>-25.635844884933842</v>
      </c>
      <c r="Q48" t="s">
        <v>52</v>
      </c>
      <c r="R48" t="s">
        <v>91</v>
      </c>
      <c r="S48" t="s">
        <v>33</v>
      </c>
      <c r="T48" t="s">
        <v>92</v>
      </c>
      <c r="U48">
        <v>-3.76420639803673</v>
      </c>
      <c r="V48">
        <v>6.5397563481974004</v>
      </c>
      <c r="W48" t="s">
        <v>39</v>
      </c>
      <c r="X48" t="s">
        <v>40</v>
      </c>
    </row>
    <row r="49" spans="1:24" x14ac:dyDescent="0.2">
      <c r="A49" t="s">
        <v>145</v>
      </c>
      <c r="B49" t="s">
        <v>41</v>
      </c>
      <c r="C49" t="s">
        <v>31</v>
      </c>
      <c r="D49">
        <v>6.1534287229018603E-2</v>
      </c>
      <c r="E49">
        <v>0.186260275394909</v>
      </c>
      <c r="F49" t="s">
        <v>79</v>
      </c>
      <c r="G49">
        <v>9.6327293525508608</v>
      </c>
      <c r="H49" t="s">
        <v>84</v>
      </c>
      <c r="I49" t="b">
        <v>0</v>
      </c>
      <c r="J49">
        <v>174.39939321294199</v>
      </c>
      <c r="K49">
        <v>174.84383765738599</v>
      </c>
      <c r="L49">
        <v>8.7164777363850003</v>
      </c>
      <c r="M49" t="s">
        <v>159</v>
      </c>
      <c r="N49" t="s">
        <v>147</v>
      </c>
      <c r="O49" t="s">
        <v>160</v>
      </c>
      <c r="P49">
        <f>-4.30130996950736 - 23.5667686746091</f>
        <v>-27.868078644116462</v>
      </c>
      <c r="Q49" t="s">
        <v>43</v>
      </c>
      <c r="R49" t="s">
        <v>85</v>
      </c>
      <c r="S49" t="s">
        <v>86</v>
      </c>
      <c r="T49" t="s">
        <v>218</v>
      </c>
      <c r="U49">
        <v>-4.7770235845163702</v>
      </c>
      <c r="V49">
        <v>7.1092037357439901</v>
      </c>
      <c r="W49" t="s">
        <v>39</v>
      </c>
      <c r="X49" t="s">
        <v>40</v>
      </c>
    </row>
    <row r="50" spans="1:24" x14ac:dyDescent="0.2">
      <c r="A50" t="s">
        <v>145</v>
      </c>
      <c r="B50" t="s">
        <v>50</v>
      </c>
      <c r="C50" t="s">
        <v>31</v>
      </c>
      <c r="D50">
        <v>0.408867906785084</v>
      </c>
      <c r="E50">
        <v>0.122023625259851</v>
      </c>
      <c r="F50" t="s">
        <v>79</v>
      </c>
      <c r="G50">
        <v>9.82009971880046</v>
      </c>
      <c r="H50" t="s">
        <v>32</v>
      </c>
      <c r="I50" t="b">
        <v>0</v>
      </c>
      <c r="J50">
        <v>22.645851622331701</v>
      </c>
      <c r="K50">
        <v>25.645851622331701</v>
      </c>
      <c r="L50">
        <v>1.2566344923577</v>
      </c>
      <c r="M50" t="s">
        <v>151</v>
      </c>
      <c r="N50" t="s">
        <v>147</v>
      </c>
      <c r="O50" t="s">
        <v>174</v>
      </c>
      <c r="P50">
        <f>-0.529837722951278 - 20.1700371605522</f>
        <v>-20.69987488350348</v>
      </c>
      <c r="Q50" t="s">
        <v>52</v>
      </c>
      <c r="R50" t="s">
        <v>36</v>
      </c>
      <c r="S50" t="s">
        <v>37</v>
      </c>
      <c r="T50" t="s">
        <v>219</v>
      </c>
      <c r="U50">
        <v>1.2090012353919</v>
      </c>
      <c r="V50">
        <v>5.2805803274243601</v>
      </c>
      <c r="W50" t="s">
        <v>39</v>
      </c>
      <c r="X50" t="s">
        <v>40</v>
      </c>
    </row>
    <row r="51" spans="1:24" x14ac:dyDescent="0.2">
      <c r="A51" t="s">
        <v>145</v>
      </c>
      <c r="B51" t="s">
        <v>75</v>
      </c>
      <c r="C51" t="s">
        <v>31</v>
      </c>
      <c r="D51">
        <v>0.14709335287032799</v>
      </c>
      <c r="E51">
        <v>0.116151499475312</v>
      </c>
      <c r="F51" t="s">
        <v>79</v>
      </c>
      <c r="G51">
        <v>4.9120428183612699</v>
      </c>
      <c r="H51" t="s">
        <v>84</v>
      </c>
      <c r="I51" t="b">
        <v>0</v>
      </c>
      <c r="J51">
        <v>97.160037777921005</v>
      </c>
      <c r="K51">
        <v>97.960037777921002</v>
      </c>
      <c r="L51">
        <v>25.3712295227323</v>
      </c>
      <c r="M51" t="s">
        <v>146</v>
      </c>
      <c r="N51" t="s">
        <v>152</v>
      </c>
      <c r="O51" t="s">
        <v>170</v>
      </c>
      <c r="P51">
        <f>-0.883744626591966 - 10.7078302633145</f>
        <v>-11.591574889906466</v>
      </c>
      <c r="Q51" t="s">
        <v>35</v>
      </c>
      <c r="R51" t="s">
        <v>85</v>
      </c>
      <c r="S51" t="s">
        <v>86</v>
      </c>
      <c r="T51" t="s">
        <v>220</v>
      </c>
      <c r="U51">
        <v>1.4243470344570901</v>
      </c>
      <c r="V51">
        <v>2.9570344106904298</v>
      </c>
      <c r="W51" t="s">
        <v>39</v>
      </c>
      <c r="X51" t="s">
        <v>40</v>
      </c>
    </row>
    <row r="52" spans="1:24" x14ac:dyDescent="0.2">
      <c r="A52" t="s">
        <v>145</v>
      </c>
      <c r="B52" t="s">
        <v>69</v>
      </c>
      <c r="C52" t="s">
        <v>31</v>
      </c>
      <c r="D52">
        <v>2.9921912896990001E-4</v>
      </c>
      <c r="E52">
        <v>0.96217205111264903</v>
      </c>
      <c r="F52" t="s">
        <v>79</v>
      </c>
      <c r="G52">
        <v>-0.70536157232546404</v>
      </c>
      <c r="H52" t="s">
        <v>90</v>
      </c>
      <c r="I52" t="b">
        <v>0</v>
      </c>
      <c r="J52">
        <v>78.2736226401491</v>
      </c>
      <c r="K52">
        <v>79.987908354434893</v>
      </c>
      <c r="L52">
        <v>9.9411521475517901</v>
      </c>
      <c r="M52" t="s">
        <v>159</v>
      </c>
      <c r="N52" t="s">
        <v>152</v>
      </c>
      <c r="O52" t="s">
        <v>179</v>
      </c>
      <c r="P52">
        <f>-28.9582732762845 - 27.5475501316335</f>
        <v>-56.505823407918001</v>
      </c>
      <c r="Q52" t="s">
        <v>43</v>
      </c>
      <c r="R52" t="s">
        <v>91</v>
      </c>
      <c r="S52" t="s">
        <v>33</v>
      </c>
      <c r="T52" t="s">
        <v>92</v>
      </c>
      <c r="U52">
        <v>3.5923593506704798</v>
      </c>
      <c r="V52">
        <v>14.414750869366801</v>
      </c>
      <c r="W52" t="s">
        <v>39</v>
      </c>
      <c r="X52" t="s">
        <v>40</v>
      </c>
    </row>
    <row r="53" spans="1:24" x14ac:dyDescent="0.2">
      <c r="A53" t="s">
        <v>145</v>
      </c>
      <c r="B53" t="s">
        <v>57</v>
      </c>
      <c r="C53" t="s">
        <v>31</v>
      </c>
      <c r="D53">
        <v>2.3779517940013999E-3</v>
      </c>
      <c r="E53">
        <v>0.87430063844987105</v>
      </c>
      <c r="F53" t="s">
        <v>79</v>
      </c>
      <c r="G53">
        <v>1.3712401534998899</v>
      </c>
      <c r="H53" t="s">
        <v>90</v>
      </c>
      <c r="I53" t="b">
        <v>0</v>
      </c>
      <c r="J53">
        <v>73.551423775591999</v>
      </c>
      <c r="K53">
        <v>74.751423775592002</v>
      </c>
      <c r="L53">
        <v>25.7606994964008</v>
      </c>
      <c r="M53" t="s">
        <v>164</v>
      </c>
      <c r="N53" t="s">
        <v>152</v>
      </c>
      <c r="O53" t="s">
        <v>185</v>
      </c>
      <c r="P53">
        <f>-15.2267211243361 - 17.9692014313358</f>
        <v>-33.195922555671899</v>
      </c>
      <c r="Q53" t="s">
        <v>48</v>
      </c>
      <c r="R53" t="s">
        <v>91</v>
      </c>
      <c r="S53" t="s">
        <v>33</v>
      </c>
      <c r="T53" t="s">
        <v>92</v>
      </c>
      <c r="U53">
        <v>0.25882694204050299</v>
      </c>
      <c r="V53">
        <v>8.4683475907326304</v>
      </c>
      <c r="W53" t="s">
        <v>39</v>
      </c>
      <c r="X53" t="s">
        <v>40</v>
      </c>
    </row>
    <row r="54" spans="1:24" x14ac:dyDescent="0.2">
      <c r="A54" t="s">
        <v>145</v>
      </c>
      <c r="B54" t="s">
        <v>30</v>
      </c>
      <c r="C54" t="s">
        <v>31</v>
      </c>
      <c r="D54">
        <v>0.21232896097231499</v>
      </c>
      <c r="E54">
        <v>5.4290489413576302E-2</v>
      </c>
      <c r="F54" t="s">
        <v>79</v>
      </c>
      <c r="G54">
        <v>-1.53015624746249E-2</v>
      </c>
      <c r="H54" t="s">
        <v>90</v>
      </c>
      <c r="I54" t="b">
        <v>0</v>
      </c>
      <c r="J54">
        <v>95.727785674081602</v>
      </c>
      <c r="K54">
        <v>96.527785674081599</v>
      </c>
      <c r="L54">
        <v>25.257791581083801</v>
      </c>
      <c r="M54" t="s">
        <v>146</v>
      </c>
      <c r="N54" t="s">
        <v>152</v>
      </c>
      <c r="O54" t="s">
        <v>201</v>
      </c>
      <c r="P54">
        <f>-0.0297426427247977 - -0.000860482224452055</f>
        <v>-2.8882160500345647E-2</v>
      </c>
      <c r="Q54" t="s">
        <v>35</v>
      </c>
      <c r="R54" t="s">
        <v>91</v>
      </c>
      <c r="S54" t="s">
        <v>33</v>
      </c>
      <c r="T54" t="s">
        <v>92</v>
      </c>
      <c r="U54">
        <v>4.7965906258178599</v>
      </c>
      <c r="V54">
        <v>7.3678980868228001E-3</v>
      </c>
      <c r="W54" t="s">
        <v>39</v>
      </c>
      <c r="X54" t="s">
        <v>40</v>
      </c>
    </row>
    <row r="55" spans="1:24" x14ac:dyDescent="0.2">
      <c r="A55" t="s">
        <v>145</v>
      </c>
      <c r="B55" t="s">
        <v>50</v>
      </c>
      <c r="C55" t="s">
        <v>31</v>
      </c>
      <c r="D55">
        <v>8.2748094997659796E-2</v>
      </c>
      <c r="E55">
        <v>0.21876469647087199</v>
      </c>
      <c r="F55" t="s">
        <v>79</v>
      </c>
      <c r="G55">
        <v>11.2686465837893</v>
      </c>
      <c r="H55" t="s">
        <v>80</v>
      </c>
      <c r="I55" t="b">
        <v>0</v>
      </c>
      <c r="J55">
        <v>124.80167009686799</v>
      </c>
      <c r="K55">
        <v>125.507552449809</v>
      </c>
      <c r="L55">
        <v>5.3027448090779901</v>
      </c>
      <c r="M55" t="s">
        <v>151</v>
      </c>
      <c r="N55" t="s">
        <v>152</v>
      </c>
      <c r="O55" t="s">
        <v>153</v>
      </c>
      <c r="P55">
        <f>-6.06368090272117 - 28.6009740702997</f>
        <v>-34.664654973020873</v>
      </c>
      <c r="Q55" t="s">
        <v>52</v>
      </c>
      <c r="R55" t="s">
        <v>81</v>
      </c>
      <c r="S55" t="s">
        <v>82</v>
      </c>
      <c r="T55" t="s">
        <v>221</v>
      </c>
      <c r="U55">
        <v>2.8611457716376698</v>
      </c>
      <c r="V55">
        <v>8.8430242278114495</v>
      </c>
      <c r="W55" t="s">
        <v>39</v>
      </c>
      <c r="X55" t="s">
        <v>40</v>
      </c>
    </row>
    <row r="56" spans="1:24" x14ac:dyDescent="0.2">
      <c r="A56" t="s">
        <v>145</v>
      </c>
      <c r="B56" t="s">
        <v>57</v>
      </c>
      <c r="C56" t="s">
        <v>31</v>
      </c>
      <c r="D56">
        <v>1.3347676365260399E-2</v>
      </c>
      <c r="E56">
        <v>0.70703059680691305</v>
      </c>
      <c r="F56" t="s">
        <v>79</v>
      </c>
      <c r="G56">
        <v>-3.0957930546541199</v>
      </c>
      <c r="H56" t="s">
        <v>80</v>
      </c>
      <c r="I56" t="b">
        <v>0</v>
      </c>
      <c r="J56">
        <v>55.8596036455762</v>
      </c>
      <c r="K56">
        <v>57.059603645576203</v>
      </c>
      <c r="L56">
        <v>8.0688793663849996</v>
      </c>
      <c r="M56" t="s">
        <v>164</v>
      </c>
      <c r="N56" t="s">
        <v>152</v>
      </c>
      <c r="O56" t="s">
        <v>185</v>
      </c>
      <c r="P56">
        <f>-18.8251470992373 - 12.633560989929</f>
        <v>-31.458708089166301</v>
      </c>
      <c r="Q56" t="s">
        <v>48</v>
      </c>
      <c r="R56" t="s">
        <v>81</v>
      </c>
      <c r="S56" t="s">
        <v>82</v>
      </c>
      <c r="T56" t="s">
        <v>222</v>
      </c>
      <c r="U56">
        <v>4.2931195382607603</v>
      </c>
      <c r="V56">
        <v>8.0251806349914094</v>
      </c>
      <c r="W56" t="s">
        <v>39</v>
      </c>
      <c r="X56" t="s">
        <v>40</v>
      </c>
    </row>
    <row r="57" spans="1:24" x14ac:dyDescent="0.2">
      <c r="A57" t="s">
        <v>145</v>
      </c>
      <c r="B57" t="s">
        <v>75</v>
      </c>
      <c r="C57" t="s">
        <v>31</v>
      </c>
      <c r="D57">
        <v>0.668312624802198</v>
      </c>
      <c r="E57" s="6">
        <v>1.07828051176817E-6</v>
      </c>
      <c r="F57" t="s">
        <v>79</v>
      </c>
      <c r="G57">
        <v>60.453881661542901</v>
      </c>
      <c r="H57" t="s">
        <v>84</v>
      </c>
      <c r="I57" t="b">
        <v>0</v>
      </c>
      <c r="J57">
        <v>149.18657279352101</v>
      </c>
      <c r="K57">
        <v>149.758001364949</v>
      </c>
      <c r="L57">
        <v>12.322151038657999</v>
      </c>
      <c r="M57" t="s">
        <v>146</v>
      </c>
      <c r="N57" t="s">
        <v>147</v>
      </c>
      <c r="O57" t="s">
        <v>148</v>
      </c>
      <c r="P57" t="s">
        <v>212</v>
      </c>
      <c r="Q57" t="s">
        <v>35</v>
      </c>
      <c r="R57" t="s">
        <v>85</v>
      </c>
      <c r="S57" t="s">
        <v>86</v>
      </c>
      <c r="T57" t="s">
        <v>223</v>
      </c>
      <c r="U57">
        <v>-5.1475815508309202</v>
      </c>
      <c r="V57">
        <v>9.0800343043271994</v>
      </c>
      <c r="W57" t="s">
        <v>39</v>
      </c>
      <c r="X57" t="s">
        <v>40</v>
      </c>
    </row>
    <row r="58" spans="1:24" x14ac:dyDescent="0.2">
      <c r="A58" t="s">
        <v>145</v>
      </c>
      <c r="B58" t="s">
        <v>41</v>
      </c>
      <c r="C58" t="s">
        <v>31</v>
      </c>
      <c r="D58">
        <v>6.1534287229018103E-2</v>
      </c>
      <c r="E58">
        <v>0.186260275394908</v>
      </c>
      <c r="F58" t="s">
        <v>79</v>
      </c>
      <c r="G58">
        <v>9.6327293525508697</v>
      </c>
      <c r="H58" t="s">
        <v>80</v>
      </c>
      <c r="I58" t="b">
        <v>0</v>
      </c>
      <c r="J58">
        <v>174.39939321294199</v>
      </c>
      <c r="K58">
        <v>174.84383765738599</v>
      </c>
      <c r="L58">
        <v>8.7164777363850003</v>
      </c>
      <c r="M58" t="s">
        <v>159</v>
      </c>
      <c r="N58" t="s">
        <v>147</v>
      </c>
      <c r="O58" t="s">
        <v>160</v>
      </c>
      <c r="P58">
        <f>-4.30130996950734 - 23.5667686746091</f>
        <v>-27.868078644116441</v>
      </c>
      <c r="Q58" t="s">
        <v>43</v>
      </c>
      <c r="R58" t="s">
        <v>81</v>
      </c>
      <c r="S58" t="s">
        <v>82</v>
      </c>
      <c r="T58" t="s">
        <v>224</v>
      </c>
      <c r="U58">
        <v>-4.7770235845164004</v>
      </c>
      <c r="V58">
        <v>7.1092037357439901</v>
      </c>
      <c r="W58" t="s">
        <v>39</v>
      </c>
      <c r="X58" t="s">
        <v>40</v>
      </c>
    </row>
    <row r="59" spans="1:24" x14ac:dyDescent="0.2">
      <c r="A59" t="s">
        <v>145</v>
      </c>
      <c r="B59" t="s">
        <v>57</v>
      </c>
      <c r="C59" t="s">
        <v>31</v>
      </c>
      <c r="D59">
        <v>8.3071073818459995E-4</v>
      </c>
      <c r="E59">
        <v>0.89122020612333896</v>
      </c>
      <c r="F59" t="s">
        <v>79</v>
      </c>
      <c r="G59">
        <v>-0.65599581253757</v>
      </c>
      <c r="H59" t="s">
        <v>84</v>
      </c>
      <c r="I59" t="b">
        <v>0</v>
      </c>
      <c r="J59">
        <v>175.66398671580299</v>
      </c>
      <c r="K59">
        <v>176.20944126125801</v>
      </c>
      <c r="L59">
        <v>17.685174965089999</v>
      </c>
      <c r="M59" t="s">
        <v>164</v>
      </c>
      <c r="N59" t="s">
        <v>147</v>
      </c>
      <c r="O59" t="s">
        <v>199</v>
      </c>
      <c r="P59">
        <f>-9.95395952163794 - 8.6419678965628</f>
        <v>-18.595927418200738</v>
      </c>
      <c r="Q59" t="s">
        <v>48</v>
      </c>
      <c r="R59" t="s">
        <v>85</v>
      </c>
      <c r="S59" t="s">
        <v>86</v>
      </c>
      <c r="T59" t="s">
        <v>225</v>
      </c>
      <c r="U59">
        <v>5.2484264043929603</v>
      </c>
      <c r="V59">
        <v>4.7438590352552898</v>
      </c>
      <c r="W59" t="s">
        <v>39</v>
      </c>
      <c r="X59" t="s">
        <v>40</v>
      </c>
    </row>
    <row r="60" spans="1:24" x14ac:dyDescent="0.2">
      <c r="A60" t="s">
        <v>145</v>
      </c>
      <c r="B60" t="s">
        <v>45</v>
      </c>
      <c r="C60" t="s">
        <v>31</v>
      </c>
      <c r="D60">
        <v>7.6430970558292899E-2</v>
      </c>
      <c r="E60">
        <v>0.36052711950961802</v>
      </c>
      <c r="F60" t="s">
        <v>79</v>
      </c>
      <c r="G60">
        <v>-4.5130383780379004</v>
      </c>
      <c r="H60" t="s">
        <v>84</v>
      </c>
      <c r="I60" t="b">
        <v>0</v>
      </c>
      <c r="J60">
        <v>72.5487474140361</v>
      </c>
      <c r="K60">
        <v>73.748747414036103</v>
      </c>
      <c r="L60">
        <v>24.461786115604699</v>
      </c>
      <c r="M60" t="s">
        <v>164</v>
      </c>
      <c r="N60" t="s">
        <v>152</v>
      </c>
      <c r="O60" t="s">
        <v>191</v>
      </c>
      <c r="P60">
        <f>-13.7840846519287 - 4.75800789585292</f>
        <v>-18.542092547781621</v>
      </c>
      <c r="Q60" t="s">
        <v>48</v>
      </c>
      <c r="R60" t="s">
        <v>85</v>
      </c>
      <c r="S60" t="s">
        <v>86</v>
      </c>
      <c r="T60" t="s">
        <v>226</v>
      </c>
      <c r="U60">
        <v>2.2898423036669699</v>
      </c>
      <c r="V60">
        <v>4.7301256499442896</v>
      </c>
      <c r="W60" t="s">
        <v>39</v>
      </c>
      <c r="X60" t="s">
        <v>40</v>
      </c>
    </row>
    <row r="61" spans="1:24" x14ac:dyDescent="0.2">
      <c r="A61" t="s">
        <v>145</v>
      </c>
      <c r="B61" t="s">
        <v>54</v>
      </c>
      <c r="C61" t="s">
        <v>31</v>
      </c>
      <c r="D61">
        <v>4.4807741514794802E-2</v>
      </c>
      <c r="E61">
        <v>0.48752775253597003</v>
      </c>
      <c r="F61" t="s">
        <v>79</v>
      </c>
      <c r="G61">
        <v>-3.8698735178669002E-3</v>
      </c>
      <c r="H61" t="s">
        <v>80</v>
      </c>
      <c r="I61" t="b">
        <v>0</v>
      </c>
      <c r="J61">
        <v>55.438337557696201</v>
      </c>
      <c r="K61">
        <v>56.638337557696197</v>
      </c>
      <c r="L61">
        <v>7.4224626592793896</v>
      </c>
      <c r="M61" t="s">
        <v>164</v>
      </c>
      <c r="N61" t="s">
        <v>152</v>
      </c>
      <c r="O61" t="s">
        <v>189</v>
      </c>
      <c r="P61">
        <f>-0.0144289362356204 - 0.00668918919988657</f>
        <v>-2.1118125435506969E-2</v>
      </c>
      <c r="Q61" t="s">
        <v>48</v>
      </c>
      <c r="R61" t="s">
        <v>81</v>
      </c>
      <c r="S61" t="s">
        <v>82</v>
      </c>
      <c r="T61" t="s">
        <v>227</v>
      </c>
      <c r="U61">
        <v>2.1840579310560999</v>
      </c>
      <c r="V61">
        <v>5.3872768968129996E-3</v>
      </c>
      <c r="W61" t="s">
        <v>39</v>
      </c>
      <c r="X61" t="s">
        <v>40</v>
      </c>
    </row>
    <row r="62" spans="1:24" x14ac:dyDescent="0.2">
      <c r="A62" t="s">
        <v>145</v>
      </c>
      <c r="B62" t="s">
        <v>45</v>
      </c>
      <c r="C62" t="s">
        <v>31</v>
      </c>
      <c r="D62">
        <v>1.8575127874412699E-2</v>
      </c>
      <c r="E62">
        <v>0.65706398833964796</v>
      </c>
      <c r="F62" t="s">
        <v>79</v>
      </c>
      <c r="G62">
        <v>-1.48553722957585</v>
      </c>
      <c r="H62" t="s">
        <v>80</v>
      </c>
      <c r="I62" t="b">
        <v>0</v>
      </c>
      <c r="J62">
        <v>55.790544332681897</v>
      </c>
      <c r="K62">
        <v>56.9905443326819</v>
      </c>
      <c r="L62">
        <v>7.7035830342504896</v>
      </c>
      <c r="M62" t="s">
        <v>164</v>
      </c>
      <c r="N62" t="s">
        <v>152</v>
      </c>
      <c r="O62" t="s">
        <v>191</v>
      </c>
      <c r="P62">
        <f>-7.8667891919764 - 4.8957147328247</f>
        <v>-12.7625039248011</v>
      </c>
      <c r="Q62" t="s">
        <v>48</v>
      </c>
      <c r="R62" t="s">
        <v>81</v>
      </c>
      <c r="S62" t="s">
        <v>82</v>
      </c>
      <c r="T62" t="s">
        <v>228</v>
      </c>
      <c r="U62">
        <v>1.59106856120917</v>
      </c>
      <c r="V62">
        <v>3.2557407971431398</v>
      </c>
      <c r="W62" t="s">
        <v>39</v>
      </c>
      <c r="X62" t="s">
        <v>40</v>
      </c>
    </row>
    <row r="63" spans="1:24" x14ac:dyDescent="0.2">
      <c r="A63" t="s">
        <v>145</v>
      </c>
      <c r="B63" t="s">
        <v>63</v>
      </c>
      <c r="C63" t="s">
        <v>31</v>
      </c>
      <c r="D63">
        <v>0.21789224736427401</v>
      </c>
      <c r="E63">
        <v>0.29098777573371798</v>
      </c>
      <c r="F63" t="s">
        <v>79</v>
      </c>
      <c r="G63">
        <v>-4.6103193722516998E-3</v>
      </c>
      <c r="H63" t="s">
        <v>90</v>
      </c>
      <c r="I63" t="b">
        <v>0</v>
      </c>
      <c r="J63">
        <v>24.605522774494201</v>
      </c>
      <c r="K63">
        <v>27.605522774494201</v>
      </c>
      <c r="L63">
        <v>0.15377098617059901</v>
      </c>
      <c r="M63" t="s">
        <v>151</v>
      </c>
      <c r="N63" t="s">
        <v>147</v>
      </c>
      <c r="O63" t="s">
        <v>155</v>
      </c>
      <c r="P63">
        <f>-0.0122665408289224 - 0.00304590208441896</f>
        <v>-1.531244291334136E-2</v>
      </c>
      <c r="Q63" t="s">
        <v>52</v>
      </c>
      <c r="R63" t="s">
        <v>91</v>
      </c>
      <c r="S63" t="s">
        <v>33</v>
      </c>
      <c r="T63" t="s">
        <v>92</v>
      </c>
      <c r="U63">
        <v>2.71164281154193</v>
      </c>
      <c r="V63">
        <v>3.9062354370768002E-3</v>
      </c>
      <c r="W63" t="s">
        <v>39</v>
      </c>
      <c r="X63" t="s">
        <v>40</v>
      </c>
    </row>
    <row r="64" spans="1:24" x14ac:dyDescent="0.2">
      <c r="A64" t="s">
        <v>145</v>
      </c>
      <c r="B64" t="s">
        <v>54</v>
      </c>
      <c r="C64" t="s">
        <v>31</v>
      </c>
      <c r="D64">
        <v>8.6873705187358007E-3</v>
      </c>
      <c r="E64">
        <v>0.76199875432945097</v>
      </c>
      <c r="F64" t="s">
        <v>79</v>
      </c>
      <c r="G64">
        <v>-2.6658345139186001E-3</v>
      </c>
      <c r="H64" t="s">
        <v>84</v>
      </c>
      <c r="I64" t="b">
        <v>0</v>
      </c>
      <c r="J64">
        <v>73.468944728411202</v>
      </c>
      <c r="K64">
        <v>74.668944728411205</v>
      </c>
      <c r="L64">
        <v>25.453069829994401</v>
      </c>
      <c r="M64" t="s">
        <v>164</v>
      </c>
      <c r="N64" t="s">
        <v>152</v>
      </c>
      <c r="O64" t="s">
        <v>189</v>
      </c>
      <c r="P64">
        <f>-0.0194946699027449 - 0.0141630008749076</f>
        <v>-3.3657670777652499E-2</v>
      </c>
      <c r="Q64" t="s">
        <v>48</v>
      </c>
      <c r="R64" t="s">
        <v>85</v>
      </c>
      <c r="S64" t="s">
        <v>86</v>
      </c>
      <c r="T64" t="s">
        <v>229</v>
      </c>
      <c r="U64">
        <v>2.0545627814885101</v>
      </c>
      <c r="V64">
        <v>8.5861405045030998E-3</v>
      </c>
      <c r="W64" t="s">
        <v>39</v>
      </c>
      <c r="X64" t="s">
        <v>40</v>
      </c>
    </row>
    <row r="65" spans="1:24" x14ac:dyDescent="0.2">
      <c r="A65" t="s">
        <v>145</v>
      </c>
      <c r="B65" t="s">
        <v>63</v>
      </c>
      <c r="C65" t="s">
        <v>31</v>
      </c>
      <c r="D65">
        <v>7.3065338472022207E-2</v>
      </c>
      <c r="E65">
        <v>0.24906442533022299</v>
      </c>
      <c r="F65" t="s">
        <v>79</v>
      </c>
      <c r="G65">
        <v>-1.20820772357066E-2</v>
      </c>
      <c r="H65" t="s">
        <v>80</v>
      </c>
      <c r="I65" t="b">
        <v>0</v>
      </c>
      <c r="J65">
        <v>125.24757634736601</v>
      </c>
      <c r="K65">
        <v>125.953458700307</v>
      </c>
      <c r="L65">
        <v>5.4655968374959896</v>
      </c>
      <c r="M65" t="s">
        <v>151</v>
      </c>
      <c r="N65" t="s">
        <v>152</v>
      </c>
      <c r="O65" t="s">
        <v>172</v>
      </c>
      <c r="P65">
        <f>-0.0319627138599092 - 0.00779855938849603</f>
        <v>-3.9761273248405234E-2</v>
      </c>
      <c r="Q65" t="s">
        <v>52</v>
      </c>
      <c r="R65" t="s">
        <v>81</v>
      </c>
      <c r="S65" t="s">
        <v>82</v>
      </c>
      <c r="T65" t="s">
        <v>230</v>
      </c>
      <c r="U65">
        <v>6.7240298672210601</v>
      </c>
      <c r="V65">
        <v>1.0143181951123801E-2</v>
      </c>
      <c r="W65" t="s">
        <v>39</v>
      </c>
      <c r="X65" t="s">
        <v>40</v>
      </c>
    </row>
    <row r="66" spans="1:24" x14ac:dyDescent="0.2">
      <c r="A66" t="s">
        <v>145</v>
      </c>
      <c r="B66" t="s">
        <v>66</v>
      </c>
      <c r="C66" t="s">
        <v>31</v>
      </c>
      <c r="D66">
        <v>8.2701351760495999E-3</v>
      </c>
      <c r="E66">
        <v>0.71969014797859199</v>
      </c>
      <c r="F66" t="s">
        <v>79</v>
      </c>
      <c r="G66">
        <v>-1.73404905918242</v>
      </c>
      <c r="H66" t="s">
        <v>80</v>
      </c>
      <c r="I66" t="b">
        <v>0</v>
      </c>
      <c r="J66">
        <v>80.866399615314904</v>
      </c>
      <c r="K66">
        <v>81.666399615314901</v>
      </c>
      <c r="L66">
        <v>7.9820497975588003</v>
      </c>
      <c r="M66" t="s">
        <v>146</v>
      </c>
      <c r="N66" t="s">
        <v>152</v>
      </c>
      <c r="O66" t="s">
        <v>197</v>
      </c>
      <c r="P66">
        <f>-11.0386521499437 - 7.57055403157888</f>
        <v>-18.60920618152258</v>
      </c>
      <c r="Q66" t="s">
        <v>35</v>
      </c>
      <c r="R66" t="s">
        <v>81</v>
      </c>
      <c r="S66" t="s">
        <v>82</v>
      </c>
      <c r="T66" t="s">
        <v>231</v>
      </c>
      <c r="U66">
        <v>4.3747713362595801</v>
      </c>
      <c r="V66">
        <v>4.7472464748782199</v>
      </c>
      <c r="W66" t="s">
        <v>39</v>
      </c>
      <c r="X66" t="s">
        <v>40</v>
      </c>
    </row>
    <row r="67" spans="1:24" x14ac:dyDescent="0.2">
      <c r="A67" t="s">
        <v>145</v>
      </c>
      <c r="B67" t="s">
        <v>54</v>
      </c>
      <c r="C67" t="s">
        <v>31</v>
      </c>
      <c r="D67">
        <v>0.115885281249259</v>
      </c>
      <c r="E67">
        <v>9.58899939203577E-2</v>
      </c>
      <c r="F67" t="s">
        <v>79</v>
      </c>
      <c r="G67">
        <v>2.4596428717581401E-2</v>
      </c>
      <c r="H67" t="s">
        <v>90</v>
      </c>
      <c r="I67" t="b">
        <v>0</v>
      </c>
      <c r="J67">
        <v>172.60555180449899</v>
      </c>
      <c r="K67">
        <v>173.15100634995301</v>
      </c>
      <c r="L67">
        <v>14.553477015691</v>
      </c>
      <c r="M67" t="s">
        <v>164</v>
      </c>
      <c r="N67" t="s">
        <v>147</v>
      </c>
      <c r="O67" t="s">
        <v>187</v>
      </c>
      <c r="P67">
        <f>-0.00316899966279767 - 0.0523618570979605</f>
        <v>-5.5530856760758168E-2</v>
      </c>
      <c r="Q67" t="s">
        <v>48</v>
      </c>
      <c r="R67" t="s">
        <v>91</v>
      </c>
      <c r="S67" t="s">
        <v>33</v>
      </c>
      <c r="T67" t="s">
        <v>92</v>
      </c>
      <c r="U67">
        <v>0.78201318019153698</v>
      </c>
      <c r="V67">
        <v>1.41660348879485E-2</v>
      </c>
      <c r="W67" t="s">
        <v>39</v>
      </c>
      <c r="X67" t="s">
        <v>40</v>
      </c>
    </row>
    <row r="68" spans="1:24" x14ac:dyDescent="0.2">
      <c r="A68" t="s">
        <v>145</v>
      </c>
      <c r="B68" t="s">
        <v>41</v>
      </c>
      <c r="C68" t="s">
        <v>31</v>
      </c>
      <c r="D68">
        <v>1.9495165052111E-3</v>
      </c>
      <c r="E68">
        <v>0.90360266643615095</v>
      </c>
      <c r="F68" t="s">
        <v>79</v>
      </c>
      <c r="G68">
        <v>-3.3742769986862098</v>
      </c>
      <c r="H68" t="s">
        <v>84</v>
      </c>
      <c r="I68" t="b">
        <v>0</v>
      </c>
      <c r="J68">
        <v>78.257101086329399</v>
      </c>
      <c r="K68">
        <v>79.971386800615093</v>
      </c>
      <c r="L68">
        <v>9.9746254040480906</v>
      </c>
      <c r="M68" t="s">
        <v>159</v>
      </c>
      <c r="N68" t="s">
        <v>152</v>
      </c>
      <c r="O68" t="s">
        <v>195</v>
      </c>
      <c r="P68">
        <f>-56.2802378027011 - 49.5316838053287</f>
        <v>-105.81192160802979</v>
      </c>
      <c r="Q68" t="s">
        <v>43</v>
      </c>
      <c r="R68" t="s">
        <v>85</v>
      </c>
      <c r="S68" t="s">
        <v>86</v>
      </c>
      <c r="T68" t="s">
        <v>232</v>
      </c>
      <c r="U68">
        <v>6.4194301501950299</v>
      </c>
      <c r="V68">
        <v>26.9928371449056</v>
      </c>
      <c r="W68" t="s">
        <v>39</v>
      </c>
      <c r="X68" t="s">
        <v>40</v>
      </c>
    </row>
    <row r="69" spans="1:24" x14ac:dyDescent="0.2">
      <c r="A69" t="s">
        <v>145</v>
      </c>
      <c r="B69" t="s">
        <v>30</v>
      </c>
      <c r="C69" t="s">
        <v>31</v>
      </c>
      <c r="D69">
        <v>3.3227807401731202E-2</v>
      </c>
      <c r="E69">
        <v>0.39392884380663301</v>
      </c>
      <c r="F69" t="s">
        <v>79</v>
      </c>
      <c r="G69">
        <v>2.4028939499098099E-2</v>
      </c>
      <c r="H69" t="s">
        <v>90</v>
      </c>
      <c r="I69" t="b">
        <v>0</v>
      </c>
      <c r="J69">
        <v>174.86105283627899</v>
      </c>
      <c r="K69">
        <v>175.432481407708</v>
      </c>
      <c r="L69">
        <v>21.370233678789901</v>
      </c>
      <c r="M69" t="s">
        <v>146</v>
      </c>
      <c r="N69" t="s">
        <v>147</v>
      </c>
      <c r="O69" t="s">
        <v>183</v>
      </c>
      <c r="P69">
        <f>-0.0301325460524307 - 0.078190425050627</f>
        <v>-0.10832297110305769</v>
      </c>
      <c r="Q69" t="s">
        <v>35</v>
      </c>
      <c r="R69" t="s">
        <v>91</v>
      </c>
      <c r="S69" t="s">
        <v>33</v>
      </c>
      <c r="T69" t="s">
        <v>92</v>
      </c>
      <c r="U69">
        <v>0.41190874487812901</v>
      </c>
      <c r="V69">
        <v>2.7633410995677999E-2</v>
      </c>
      <c r="W69" t="s">
        <v>39</v>
      </c>
      <c r="X69" t="s">
        <v>40</v>
      </c>
    </row>
    <row r="70" spans="1:24" x14ac:dyDescent="0.2">
      <c r="A70" t="s">
        <v>145</v>
      </c>
      <c r="B70" t="s">
        <v>69</v>
      </c>
      <c r="C70" t="s">
        <v>31</v>
      </c>
      <c r="D70">
        <v>2.9921912896990001E-4</v>
      </c>
      <c r="E70">
        <v>0.96217205111264903</v>
      </c>
      <c r="F70" t="s">
        <v>79</v>
      </c>
      <c r="G70">
        <v>-0.70536157232546404</v>
      </c>
      <c r="H70" t="s">
        <v>84</v>
      </c>
      <c r="I70" t="b">
        <v>0</v>
      </c>
      <c r="J70">
        <v>78.2736226401491</v>
      </c>
      <c r="K70">
        <v>79.987908354434893</v>
      </c>
      <c r="L70">
        <v>9.9411521475517901</v>
      </c>
      <c r="M70" t="s">
        <v>159</v>
      </c>
      <c r="N70" t="s">
        <v>152</v>
      </c>
      <c r="O70" t="s">
        <v>179</v>
      </c>
      <c r="P70">
        <f>-28.9582732762845 - 27.5475501316335</f>
        <v>-56.505823407918001</v>
      </c>
      <c r="Q70" t="s">
        <v>43</v>
      </c>
      <c r="R70" t="s">
        <v>85</v>
      </c>
      <c r="S70" t="s">
        <v>86</v>
      </c>
      <c r="T70" t="s">
        <v>233</v>
      </c>
      <c r="U70">
        <v>3.5923593506704798</v>
      </c>
      <c r="V70">
        <v>14.414750869366801</v>
      </c>
      <c r="W70" t="s">
        <v>39</v>
      </c>
      <c r="X70" t="s">
        <v>40</v>
      </c>
    </row>
    <row r="71" spans="1:24" x14ac:dyDescent="0.2">
      <c r="A71" t="s">
        <v>145</v>
      </c>
      <c r="B71" t="s">
        <v>69</v>
      </c>
      <c r="C71" t="s">
        <v>31</v>
      </c>
      <c r="D71">
        <v>4.6938773820120001E-3</v>
      </c>
      <c r="E71">
        <v>0.71904682523521002</v>
      </c>
      <c r="F71" t="s">
        <v>79</v>
      </c>
      <c r="G71">
        <v>1.43761638065796</v>
      </c>
      <c r="H71" t="s">
        <v>90</v>
      </c>
      <c r="I71" t="b">
        <v>0</v>
      </c>
      <c r="J71">
        <v>176.16351409730299</v>
      </c>
      <c r="K71">
        <v>176.60795854174799</v>
      </c>
      <c r="L71">
        <v>8.6813893150639903</v>
      </c>
      <c r="M71" t="s">
        <v>159</v>
      </c>
      <c r="N71" t="s">
        <v>147</v>
      </c>
      <c r="O71" t="s">
        <v>177</v>
      </c>
      <c r="P71">
        <f>-6.31650394494398 - 9.19173670625989</f>
        <v>-15.50824065120387</v>
      </c>
      <c r="Q71" t="s">
        <v>43</v>
      </c>
      <c r="R71" t="s">
        <v>91</v>
      </c>
      <c r="S71" t="s">
        <v>33</v>
      </c>
      <c r="T71" t="s">
        <v>92</v>
      </c>
      <c r="U71">
        <v>3.6876562808257698</v>
      </c>
      <c r="V71">
        <v>3.9561838395928199</v>
      </c>
      <c r="W71" t="s">
        <v>39</v>
      </c>
      <c r="X71" t="s">
        <v>40</v>
      </c>
    </row>
    <row r="72" spans="1:24" x14ac:dyDescent="0.2">
      <c r="A72" t="s">
        <v>145</v>
      </c>
      <c r="B72" t="s">
        <v>69</v>
      </c>
      <c r="C72" t="s">
        <v>31</v>
      </c>
      <c r="D72">
        <v>5.4723346103729004E-3</v>
      </c>
      <c r="E72">
        <v>0.69764948045337305</v>
      </c>
      <c r="F72" t="s">
        <v>79</v>
      </c>
      <c r="G72">
        <v>1.5923205207540401</v>
      </c>
      <c r="H72" t="s">
        <v>80</v>
      </c>
      <c r="I72" t="b">
        <v>0</v>
      </c>
      <c r="J72">
        <v>176.15496365210001</v>
      </c>
      <c r="K72">
        <v>176.59940809654401</v>
      </c>
      <c r="L72">
        <v>8.6728388698600103</v>
      </c>
      <c r="M72" t="s">
        <v>159</v>
      </c>
      <c r="N72" t="s">
        <v>147</v>
      </c>
      <c r="O72" t="s">
        <v>177</v>
      </c>
      <c r="P72">
        <f>-6.35882422589776 - 9.54346526740585</f>
        <v>-15.902289493303609</v>
      </c>
      <c r="Q72" t="s">
        <v>43</v>
      </c>
      <c r="R72" t="s">
        <v>81</v>
      </c>
      <c r="S72" t="s">
        <v>82</v>
      </c>
      <c r="T72" t="s">
        <v>234</v>
      </c>
      <c r="U72">
        <v>3.6504438622249</v>
      </c>
      <c r="V72">
        <v>4.0567065033937801</v>
      </c>
      <c r="W72" t="s">
        <v>39</v>
      </c>
      <c r="X72" t="s">
        <v>40</v>
      </c>
    </row>
    <row r="73" spans="1:24" x14ac:dyDescent="0.2">
      <c r="A73" t="s">
        <v>145</v>
      </c>
      <c r="B73" t="s">
        <v>30</v>
      </c>
      <c r="C73" t="s">
        <v>31</v>
      </c>
      <c r="D73">
        <v>3.3227807401731202E-2</v>
      </c>
      <c r="E73">
        <v>0.39392884380663301</v>
      </c>
      <c r="F73" t="s">
        <v>79</v>
      </c>
      <c r="G73">
        <v>2.4028939499098099E-2</v>
      </c>
      <c r="H73" t="s">
        <v>84</v>
      </c>
      <c r="I73" t="b">
        <v>0</v>
      </c>
      <c r="J73">
        <v>174.86105283627899</v>
      </c>
      <c r="K73">
        <v>175.432481407708</v>
      </c>
      <c r="L73">
        <v>21.370233678789901</v>
      </c>
      <c r="M73" t="s">
        <v>146</v>
      </c>
      <c r="N73" t="s">
        <v>147</v>
      </c>
      <c r="O73" t="s">
        <v>183</v>
      </c>
      <c r="P73">
        <f>-0.0301325460524307 - 0.078190425050627</f>
        <v>-0.10832297110305769</v>
      </c>
      <c r="Q73" t="s">
        <v>35</v>
      </c>
      <c r="R73" t="s">
        <v>85</v>
      </c>
      <c r="S73" t="s">
        <v>86</v>
      </c>
      <c r="T73" t="s">
        <v>235</v>
      </c>
      <c r="U73">
        <v>0.41190874487812901</v>
      </c>
      <c r="V73">
        <v>2.7633410995677999E-2</v>
      </c>
      <c r="W73" t="s">
        <v>39</v>
      </c>
      <c r="X73" t="s">
        <v>40</v>
      </c>
    </row>
    <row r="74" spans="1:24" x14ac:dyDescent="0.2">
      <c r="A74" t="s">
        <v>145</v>
      </c>
      <c r="B74" t="s">
        <v>66</v>
      </c>
      <c r="C74" t="s">
        <v>31</v>
      </c>
      <c r="D74">
        <v>1.8167404452587799E-2</v>
      </c>
      <c r="E74">
        <v>0.53004185588859498</v>
      </c>
      <c r="F74" t="s">
        <v>79</v>
      </c>
      <c r="G74">
        <v>10.584784156724</v>
      </c>
      <c r="H74" t="s">
        <v>80</v>
      </c>
      <c r="I74" t="b">
        <v>0</v>
      </c>
      <c r="J74">
        <v>166.051588362758</v>
      </c>
      <c r="K74">
        <v>166.62301693418601</v>
      </c>
      <c r="L74">
        <v>14.506100711455</v>
      </c>
      <c r="M74" t="s">
        <v>146</v>
      </c>
      <c r="N74" t="s">
        <v>147</v>
      </c>
      <c r="O74" t="s">
        <v>193</v>
      </c>
      <c r="P74">
        <f>-21.9313583265623 - 43.1009266400103</f>
        <v>-65.032284966572604</v>
      </c>
      <c r="Q74" t="s">
        <v>35</v>
      </c>
      <c r="R74" t="s">
        <v>81</v>
      </c>
      <c r="S74" t="s">
        <v>82</v>
      </c>
      <c r="T74" t="s">
        <v>236</v>
      </c>
      <c r="U74">
        <v>-6.45156838159222</v>
      </c>
      <c r="V74">
        <v>16.589868613921599</v>
      </c>
      <c r="W74" t="s">
        <v>39</v>
      </c>
      <c r="X74" t="s">
        <v>40</v>
      </c>
    </row>
    <row r="75" spans="1:24" x14ac:dyDescent="0.2">
      <c r="A75" t="s">
        <v>145</v>
      </c>
      <c r="B75" t="s">
        <v>41</v>
      </c>
      <c r="C75" t="s">
        <v>31</v>
      </c>
      <c r="D75">
        <v>6.1534287229018603E-2</v>
      </c>
      <c r="E75">
        <v>0.186260275394909</v>
      </c>
      <c r="F75" t="s">
        <v>79</v>
      </c>
      <c r="G75">
        <v>9.6327293525508608</v>
      </c>
      <c r="H75" t="s">
        <v>90</v>
      </c>
      <c r="I75" t="b">
        <v>0</v>
      </c>
      <c r="J75">
        <v>174.39939321294199</v>
      </c>
      <c r="K75">
        <v>174.84383765738599</v>
      </c>
      <c r="L75">
        <v>8.7164777363850003</v>
      </c>
      <c r="M75" t="s">
        <v>159</v>
      </c>
      <c r="N75" t="s">
        <v>147</v>
      </c>
      <c r="O75" t="s">
        <v>160</v>
      </c>
      <c r="P75">
        <f>-4.30130996950736 - 23.5667686746091</f>
        <v>-27.868078644116462</v>
      </c>
      <c r="Q75" t="s">
        <v>43</v>
      </c>
      <c r="R75" t="s">
        <v>91</v>
      </c>
      <c r="S75" t="s">
        <v>33</v>
      </c>
      <c r="T75" t="s">
        <v>92</v>
      </c>
      <c r="U75">
        <v>-4.7770235845163702</v>
      </c>
      <c r="V75">
        <v>7.1092037357439901</v>
      </c>
      <c r="W75" t="s">
        <v>39</v>
      </c>
      <c r="X75" t="s">
        <v>40</v>
      </c>
    </row>
    <row r="76" spans="1:24" x14ac:dyDescent="0.2">
      <c r="A76" t="s">
        <v>145</v>
      </c>
      <c r="B76" t="s">
        <v>60</v>
      </c>
      <c r="C76" t="s">
        <v>31</v>
      </c>
      <c r="D76">
        <v>2.07365846396796E-2</v>
      </c>
      <c r="E76">
        <v>0.69144680464821595</v>
      </c>
      <c r="F76" t="s">
        <v>79</v>
      </c>
      <c r="G76">
        <v>-1.4799168880115701E-2</v>
      </c>
      <c r="H76" t="s">
        <v>80</v>
      </c>
      <c r="I76" t="b">
        <v>0</v>
      </c>
      <c r="J76">
        <v>70.925939619898102</v>
      </c>
      <c r="K76">
        <v>72.640225334183896</v>
      </c>
      <c r="L76">
        <v>2.8953512601137898</v>
      </c>
      <c r="M76" t="s">
        <v>159</v>
      </c>
      <c r="N76" t="s">
        <v>152</v>
      </c>
      <c r="O76" t="s">
        <v>162</v>
      </c>
      <c r="P76">
        <f>-0.0852732715125542 - 0.0556749337523229</f>
        <v>-0.14094820526487711</v>
      </c>
      <c r="Q76" t="s">
        <v>43</v>
      </c>
      <c r="R76" t="s">
        <v>81</v>
      </c>
      <c r="S76" t="s">
        <v>82</v>
      </c>
      <c r="T76" t="s">
        <v>237</v>
      </c>
      <c r="U76">
        <v>5.7870606813811198</v>
      </c>
      <c r="V76">
        <v>3.59561748124686E-2</v>
      </c>
      <c r="W76" t="s">
        <v>39</v>
      </c>
      <c r="X76" t="s">
        <v>40</v>
      </c>
    </row>
    <row r="77" spans="1:24" x14ac:dyDescent="0.2">
      <c r="A77" t="s">
        <v>145</v>
      </c>
      <c r="B77" t="s">
        <v>60</v>
      </c>
      <c r="C77" t="s">
        <v>31</v>
      </c>
      <c r="D77">
        <v>1.2842794741488301E-2</v>
      </c>
      <c r="E77">
        <v>0.55099929039585105</v>
      </c>
      <c r="F77" t="s">
        <v>79</v>
      </c>
      <c r="G77">
        <v>-5.3541424157102996E-3</v>
      </c>
      <c r="H77" t="s">
        <v>80</v>
      </c>
      <c r="I77" t="b">
        <v>0</v>
      </c>
      <c r="J77">
        <v>175.93797027815799</v>
      </c>
      <c r="K77">
        <v>176.38241472260199</v>
      </c>
      <c r="L77">
        <v>8.2121924072139905</v>
      </c>
      <c r="M77" t="s">
        <v>159</v>
      </c>
      <c r="N77" t="s">
        <v>147</v>
      </c>
      <c r="O77" t="s">
        <v>168</v>
      </c>
      <c r="P77">
        <f>-0.0227413709995152 - 0.0120330861680946</f>
        <v>-3.4774457167609796E-2</v>
      </c>
      <c r="Q77" t="s">
        <v>43</v>
      </c>
      <c r="R77" t="s">
        <v>81</v>
      </c>
      <c r="S77" t="s">
        <v>82</v>
      </c>
      <c r="T77" t="s">
        <v>238</v>
      </c>
      <c r="U77">
        <v>4.48581418243384</v>
      </c>
      <c r="V77">
        <v>8.8710349917371003E-3</v>
      </c>
      <c r="W77" t="s">
        <v>39</v>
      </c>
      <c r="X77" t="s">
        <v>40</v>
      </c>
    </row>
    <row r="78" spans="1:24" x14ac:dyDescent="0.2">
      <c r="A78" t="s">
        <v>145</v>
      </c>
      <c r="B78" t="s">
        <v>66</v>
      </c>
      <c r="C78" t="s">
        <v>31</v>
      </c>
      <c r="D78">
        <v>1.20982929203699E-2</v>
      </c>
      <c r="E78">
        <v>0.60890235039280904</v>
      </c>
      <c r="F78" t="s">
        <v>79</v>
      </c>
      <c r="G78">
        <v>8.7760531968480802</v>
      </c>
      <c r="H78" t="s">
        <v>90</v>
      </c>
      <c r="I78" t="b">
        <v>0</v>
      </c>
      <c r="J78">
        <v>175.37994051464699</v>
      </c>
      <c r="K78">
        <v>175.951369086075</v>
      </c>
      <c r="L78">
        <v>23.834452863344001</v>
      </c>
      <c r="M78" t="s">
        <v>146</v>
      </c>
      <c r="N78" t="s">
        <v>147</v>
      </c>
      <c r="O78" t="s">
        <v>193</v>
      </c>
      <c r="P78">
        <f>-24.3629009650582 - 41.9150073587543</f>
        <v>-66.277908323812497</v>
      </c>
      <c r="Q78" t="s">
        <v>35</v>
      </c>
      <c r="R78" t="s">
        <v>91</v>
      </c>
      <c r="S78" t="s">
        <v>33</v>
      </c>
      <c r="T78" t="s">
        <v>92</v>
      </c>
      <c r="U78">
        <v>-4.4211957611308703</v>
      </c>
      <c r="V78">
        <v>16.907629674441999</v>
      </c>
      <c r="W78" t="s">
        <v>39</v>
      </c>
      <c r="X78" t="s">
        <v>40</v>
      </c>
    </row>
    <row r="79" spans="1:24" x14ac:dyDescent="0.2">
      <c r="A79" t="s">
        <v>145</v>
      </c>
      <c r="B79" t="s">
        <v>54</v>
      </c>
      <c r="C79" t="s">
        <v>31</v>
      </c>
      <c r="D79">
        <v>0.112083638830293</v>
      </c>
      <c r="E79">
        <v>0.10187153236237</v>
      </c>
      <c r="F79" t="s">
        <v>79</v>
      </c>
      <c r="G79">
        <v>2.50461623429678E-2</v>
      </c>
      <c r="H79" t="s">
        <v>80</v>
      </c>
      <c r="I79" t="b">
        <v>0</v>
      </c>
      <c r="J79">
        <v>169.014767906088</v>
      </c>
      <c r="K79">
        <v>169.56022245154199</v>
      </c>
      <c r="L79">
        <v>10.962693117279899</v>
      </c>
      <c r="M79" t="s">
        <v>164</v>
      </c>
      <c r="N79" t="s">
        <v>147</v>
      </c>
      <c r="O79" t="s">
        <v>187</v>
      </c>
      <c r="P79">
        <f>-0.00376416965105965 - 0.0538564943369952</f>
        <v>-5.7620663988054849E-2</v>
      </c>
      <c r="Q79" t="s">
        <v>48</v>
      </c>
      <c r="R79" t="s">
        <v>81</v>
      </c>
      <c r="S79" t="s">
        <v>82</v>
      </c>
      <c r="T79" t="s">
        <v>239</v>
      </c>
      <c r="U79">
        <v>0.93094877533440101</v>
      </c>
      <c r="V79">
        <v>1.4699148976544601E-2</v>
      </c>
      <c r="W79" t="s">
        <v>39</v>
      </c>
      <c r="X79" t="s">
        <v>40</v>
      </c>
    </row>
    <row r="80" spans="1:24" x14ac:dyDescent="0.2">
      <c r="A80" t="s">
        <v>145</v>
      </c>
      <c r="B80" t="s">
        <v>60</v>
      </c>
      <c r="C80" t="s">
        <v>31</v>
      </c>
      <c r="D80">
        <v>9.3331922075293505E-2</v>
      </c>
      <c r="E80">
        <v>0.390670103745413</v>
      </c>
      <c r="F80" t="s">
        <v>79</v>
      </c>
      <c r="G80">
        <v>-2.71644959866809E-2</v>
      </c>
      <c r="H80" t="s">
        <v>84</v>
      </c>
      <c r="I80" t="b">
        <v>0</v>
      </c>
      <c r="J80">
        <v>77.296826760920496</v>
      </c>
      <c r="K80">
        <v>79.011112475206204</v>
      </c>
      <c r="L80">
        <v>9.2662384011360999</v>
      </c>
      <c r="M80" t="s">
        <v>159</v>
      </c>
      <c r="N80" t="s">
        <v>152</v>
      </c>
      <c r="O80" t="s">
        <v>162</v>
      </c>
      <c r="P80">
        <f>-0.0858352658721158 - 0.0315062738987539</f>
        <v>-0.1173415397708697</v>
      </c>
      <c r="Q80" t="s">
        <v>43</v>
      </c>
      <c r="R80" t="s">
        <v>85</v>
      </c>
      <c r="S80" t="s">
        <v>86</v>
      </c>
      <c r="T80" t="s">
        <v>240</v>
      </c>
      <c r="U80">
        <v>5.7300373445925104</v>
      </c>
      <c r="V80">
        <v>2.9934066268078999E-2</v>
      </c>
      <c r="W80" t="s">
        <v>39</v>
      </c>
      <c r="X80" t="s">
        <v>40</v>
      </c>
    </row>
    <row r="81" spans="1:24" x14ac:dyDescent="0.2">
      <c r="A81" t="s">
        <v>145</v>
      </c>
      <c r="B81" t="s">
        <v>60</v>
      </c>
      <c r="C81" t="s">
        <v>31</v>
      </c>
      <c r="D81">
        <v>9.3331922075293505E-2</v>
      </c>
      <c r="E81">
        <v>0.390670103745413</v>
      </c>
      <c r="F81" t="s">
        <v>79</v>
      </c>
      <c r="G81">
        <v>-2.71644959866809E-2</v>
      </c>
      <c r="H81" t="s">
        <v>90</v>
      </c>
      <c r="I81" t="b">
        <v>0</v>
      </c>
      <c r="J81">
        <v>77.296826760920496</v>
      </c>
      <c r="K81">
        <v>79.011112475206204</v>
      </c>
      <c r="L81">
        <v>9.2662384011360999</v>
      </c>
      <c r="M81" t="s">
        <v>159</v>
      </c>
      <c r="N81" t="s">
        <v>152</v>
      </c>
      <c r="O81" t="s">
        <v>162</v>
      </c>
      <c r="P81">
        <f>-0.0858352658721158 - 0.0315062738987539</f>
        <v>-0.1173415397708697</v>
      </c>
      <c r="Q81" t="s">
        <v>43</v>
      </c>
      <c r="R81" t="s">
        <v>91</v>
      </c>
      <c r="S81" t="s">
        <v>33</v>
      </c>
      <c r="T81" t="s">
        <v>92</v>
      </c>
      <c r="U81">
        <v>5.7300373445925104</v>
      </c>
      <c r="V81">
        <v>2.9934066268078999E-2</v>
      </c>
      <c r="W81" t="s">
        <v>39</v>
      </c>
      <c r="X81" t="s">
        <v>40</v>
      </c>
    </row>
    <row r="82" spans="1:24" x14ac:dyDescent="0.2">
      <c r="A82" t="s">
        <v>145</v>
      </c>
      <c r="B82" t="s">
        <v>60</v>
      </c>
      <c r="C82" t="s">
        <v>31</v>
      </c>
      <c r="D82">
        <v>1.1684953340572299E-2</v>
      </c>
      <c r="E82">
        <v>0.56963863785126601</v>
      </c>
      <c r="F82" t="s">
        <v>79</v>
      </c>
      <c r="G82">
        <v>-4.8110264764039999E-3</v>
      </c>
      <c r="H82" t="s">
        <v>90</v>
      </c>
      <c r="I82" t="b">
        <v>0</v>
      </c>
      <c r="J82">
        <v>175.952049176076</v>
      </c>
      <c r="K82">
        <v>176.39649362052</v>
      </c>
      <c r="L82">
        <v>8.2262713051320002</v>
      </c>
      <c r="M82" t="s">
        <v>159</v>
      </c>
      <c r="N82" t="s">
        <v>147</v>
      </c>
      <c r="O82" t="s">
        <v>168</v>
      </c>
      <c r="P82">
        <f>-0.021199896654238 - 0.0115778437014298</f>
        <v>-3.27777403556678E-2</v>
      </c>
      <c r="Q82" t="s">
        <v>43</v>
      </c>
      <c r="R82" t="s">
        <v>91</v>
      </c>
      <c r="S82" t="s">
        <v>33</v>
      </c>
      <c r="T82" t="s">
        <v>92</v>
      </c>
      <c r="U82">
        <v>4.4397897699252997</v>
      </c>
      <c r="V82">
        <v>8.3616684580784997E-3</v>
      </c>
      <c r="W82" t="s">
        <v>39</v>
      </c>
      <c r="X82" t="s">
        <v>40</v>
      </c>
    </row>
    <row r="83" spans="1:24" x14ac:dyDescent="0.2">
      <c r="A83" t="s">
        <v>145</v>
      </c>
      <c r="B83" t="s">
        <v>57</v>
      </c>
      <c r="C83" t="s">
        <v>31</v>
      </c>
      <c r="D83">
        <v>8.3071073818459995E-4</v>
      </c>
      <c r="E83">
        <v>0.89122020612333896</v>
      </c>
      <c r="F83" t="s">
        <v>79</v>
      </c>
      <c r="G83">
        <v>-0.65599581253757</v>
      </c>
      <c r="H83" t="s">
        <v>90</v>
      </c>
      <c r="I83" t="b">
        <v>0</v>
      </c>
      <c r="J83">
        <v>175.66398671580299</v>
      </c>
      <c r="K83">
        <v>176.20944126125801</v>
      </c>
      <c r="L83">
        <v>17.685174965089999</v>
      </c>
      <c r="M83" t="s">
        <v>164</v>
      </c>
      <c r="N83" t="s">
        <v>147</v>
      </c>
      <c r="O83" t="s">
        <v>199</v>
      </c>
      <c r="P83">
        <f>-9.95395952163794 - 8.6419678965628</f>
        <v>-18.595927418200738</v>
      </c>
      <c r="Q83" t="s">
        <v>48</v>
      </c>
      <c r="R83" t="s">
        <v>91</v>
      </c>
      <c r="S83" t="s">
        <v>33</v>
      </c>
      <c r="T83" t="s">
        <v>92</v>
      </c>
      <c r="U83">
        <v>5.2484264043929603</v>
      </c>
      <c r="V83">
        <v>4.7438590352552898</v>
      </c>
      <c r="W83" t="s">
        <v>39</v>
      </c>
      <c r="X83" t="s">
        <v>40</v>
      </c>
    </row>
    <row r="84" spans="1:24" x14ac:dyDescent="0.2">
      <c r="A84" t="s">
        <v>145</v>
      </c>
      <c r="B84" t="s">
        <v>41</v>
      </c>
      <c r="C84" t="s">
        <v>31</v>
      </c>
      <c r="D84">
        <v>1.9495165052111E-3</v>
      </c>
      <c r="E84">
        <v>0.90360266643615095</v>
      </c>
      <c r="F84" t="s">
        <v>79</v>
      </c>
      <c r="G84">
        <v>-3.3742769986862098</v>
      </c>
      <c r="H84" t="s">
        <v>90</v>
      </c>
      <c r="I84" t="b">
        <v>0</v>
      </c>
      <c r="J84">
        <v>78.257101086329399</v>
      </c>
      <c r="K84">
        <v>79.971386800615093</v>
      </c>
      <c r="L84">
        <v>9.9746254040480906</v>
      </c>
      <c r="M84" t="s">
        <v>159</v>
      </c>
      <c r="N84" t="s">
        <v>152</v>
      </c>
      <c r="O84" t="s">
        <v>195</v>
      </c>
      <c r="P84">
        <f>-56.2802378027011 - 49.5316838053287</f>
        <v>-105.81192160802979</v>
      </c>
      <c r="Q84" t="s">
        <v>43</v>
      </c>
      <c r="R84" t="s">
        <v>91</v>
      </c>
      <c r="S84" t="s">
        <v>33</v>
      </c>
      <c r="T84" t="s">
        <v>92</v>
      </c>
      <c r="U84">
        <v>6.4194301501950299</v>
      </c>
      <c r="V84">
        <v>26.9928371449056</v>
      </c>
      <c r="W84" t="s">
        <v>39</v>
      </c>
      <c r="X84" t="s">
        <v>40</v>
      </c>
    </row>
    <row r="85" spans="1:24" x14ac:dyDescent="0.2">
      <c r="A85" t="s">
        <v>145</v>
      </c>
      <c r="B85" t="s">
        <v>30</v>
      </c>
      <c r="C85" t="s">
        <v>31</v>
      </c>
      <c r="D85">
        <v>0.145605075514876</v>
      </c>
      <c r="E85">
        <v>0.11817053960200299</v>
      </c>
      <c r="F85" t="s">
        <v>79</v>
      </c>
      <c r="G85">
        <v>-1.0539498184457499E-2</v>
      </c>
      <c r="H85" t="s">
        <v>80</v>
      </c>
      <c r="I85" t="b">
        <v>0</v>
      </c>
      <c r="J85">
        <v>78.183369497447799</v>
      </c>
      <c r="K85">
        <v>78.983369497447796</v>
      </c>
      <c r="L85">
        <v>7.7133754044500904</v>
      </c>
      <c r="M85" t="s">
        <v>146</v>
      </c>
      <c r="N85" t="s">
        <v>152</v>
      </c>
      <c r="O85" t="s">
        <v>201</v>
      </c>
      <c r="P85">
        <f>-0.0230494917503525 - 0.00197049538143743</f>
        <v>-2.501998713178993E-2</v>
      </c>
      <c r="Q85" t="s">
        <v>35</v>
      </c>
      <c r="R85" t="s">
        <v>81</v>
      </c>
      <c r="S85" t="s">
        <v>82</v>
      </c>
      <c r="T85" t="s">
        <v>241</v>
      </c>
      <c r="U85">
        <v>4.2441112838149904</v>
      </c>
      <c r="V85">
        <v>6.3826497785178004E-3</v>
      </c>
      <c r="W85" t="s">
        <v>39</v>
      </c>
      <c r="X85" t="s">
        <v>40</v>
      </c>
    </row>
    <row r="86" spans="1:24" x14ac:dyDescent="0.2">
      <c r="A86" t="s">
        <v>145</v>
      </c>
      <c r="B86" t="s">
        <v>57</v>
      </c>
      <c r="C86" t="s">
        <v>31</v>
      </c>
      <c r="D86">
        <v>2.0060733173021999E-3</v>
      </c>
      <c r="E86">
        <v>0.83164899659381997</v>
      </c>
      <c r="F86" t="s">
        <v>79</v>
      </c>
      <c r="G86">
        <v>2.48659703008162</v>
      </c>
      <c r="H86" t="s">
        <v>80</v>
      </c>
      <c r="I86" t="b">
        <v>0</v>
      </c>
      <c r="J86">
        <v>171.77872120280799</v>
      </c>
      <c r="K86">
        <v>172.324175748263</v>
      </c>
      <c r="L86">
        <v>13.7999094520949</v>
      </c>
      <c r="M86" t="s">
        <v>164</v>
      </c>
      <c r="N86" t="s">
        <v>147</v>
      </c>
      <c r="O86" t="s">
        <v>199</v>
      </c>
      <c r="P86">
        <f>-20.1800933550206 - 25.1532874151838</f>
        <v>-45.3333807702044</v>
      </c>
      <c r="Q86" t="s">
        <v>48</v>
      </c>
      <c r="R86" t="s">
        <v>81</v>
      </c>
      <c r="S86" t="s">
        <v>82</v>
      </c>
      <c r="T86" t="s">
        <v>242</v>
      </c>
      <c r="U86">
        <v>2.6943290384137799</v>
      </c>
      <c r="V86">
        <v>11.5646379515828</v>
      </c>
      <c r="W86" t="s">
        <v>39</v>
      </c>
      <c r="X86" t="s">
        <v>40</v>
      </c>
    </row>
    <row r="87" spans="1:24" x14ac:dyDescent="0.2">
      <c r="A87" t="s">
        <v>145</v>
      </c>
      <c r="B87" t="s">
        <v>45</v>
      </c>
      <c r="C87" t="s">
        <v>31</v>
      </c>
      <c r="D87">
        <v>0.50591721095337405</v>
      </c>
      <c r="E87" s="6">
        <v>6.7197807683605504E-5</v>
      </c>
      <c r="F87" t="s">
        <v>79</v>
      </c>
      <c r="G87">
        <v>27.9675690524159</v>
      </c>
      <c r="H87" t="s">
        <v>80</v>
      </c>
      <c r="I87" t="b">
        <v>0</v>
      </c>
      <c r="J87">
        <v>154.26850245944499</v>
      </c>
      <c r="K87">
        <v>154.81395700489901</v>
      </c>
      <c r="L87">
        <v>8.63416997965302</v>
      </c>
      <c r="M87" t="s">
        <v>164</v>
      </c>
      <c r="N87" t="s">
        <v>147</v>
      </c>
      <c r="O87" t="s">
        <v>165</v>
      </c>
      <c r="P87" t="s">
        <v>243</v>
      </c>
      <c r="Q87" t="s">
        <v>48</v>
      </c>
      <c r="R87" t="s">
        <v>81</v>
      </c>
      <c r="S87" t="s">
        <v>82</v>
      </c>
      <c r="T87" t="s">
        <v>244</v>
      </c>
      <c r="U87">
        <v>-0.43620108993473</v>
      </c>
      <c r="V87">
        <v>5.7630307508905796</v>
      </c>
      <c r="W87" t="s">
        <v>39</v>
      </c>
      <c r="X87" t="s">
        <v>40</v>
      </c>
    </row>
    <row r="88" spans="1:24" x14ac:dyDescent="0.2">
      <c r="A88" t="s">
        <v>145</v>
      </c>
      <c r="B88" t="s">
        <v>57</v>
      </c>
      <c r="C88" t="s">
        <v>31</v>
      </c>
      <c r="D88">
        <v>2.3779517940013999E-3</v>
      </c>
      <c r="E88">
        <v>0.87430063844987105</v>
      </c>
      <c r="F88" t="s">
        <v>79</v>
      </c>
      <c r="G88">
        <v>1.3712401534998899</v>
      </c>
      <c r="H88" t="s">
        <v>84</v>
      </c>
      <c r="I88" t="b">
        <v>0</v>
      </c>
      <c r="J88">
        <v>73.551423775591999</v>
      </c>
      <c r="K88">
        <v>74.751423775592002</v>
      </c>
      <c r="L88">
        <v>25.7606994964008</v>
      </c>
      <c r="M88" t="s">
        <v>164</v>
      </c>
      <c r="N88" t="s">
        <v>152</v>
      </c>
      <c r="O88" t="s">
        <v>185</v>
      </c>
      <c r="P88">
        <f>-15.2267211243361 - 17.9692014313358</f>
        <v>-33.195922555671899</v>
      </c>
      <c r="Q88" t="s">
        <v>48</v>
      </c>
      <c r="R88" t="s">
        <v>85</v>
      </c>
      <c r="S88" t="s">
        <v>86</v>
      </c>
      <c r="T88" t="s">
        <v>245</v>
      </c>
      <c r="U88">
        <v>0.25882694204050299</v>
      </c>
      <c r="V88">
        <v>8.4683475907326304</v>
      </c>
      <c r="W88" t="s">
        <v>39</v>
      </c>
      <c r="X88" t="s">
        <v>40</v>
      </c>
    </row>
    <row r="89" spans="1:24" x14ac:dyDescent="0.2">
      <c r="A89" t="s">
        <v>145</v>
      </c>
      <c r="B89" t="s">
        <v>50</v>
      </c>
      <c r="C89" t="s">
        <v>31</v>
      </c>
      <c r="D89">
        <v>0.408867906785084</v>
      </c>
      <c r="E89">
        <v>0.122023625259851</v>
      </c>
      <c r="F89" t="s">
        <v>79</v>
      </c>
      <c r="G89">
        <v>9.82009971880046</v>
      </c>
      <c r="H89" t="s">
        <v>90</v>
      </c>
      <c r="I89" t="b">
        <v>0</v>
      </c>
      <c r="J89">
        <v>22.645851622331701</v>
      </c>
      <c r="K89">
        <v>25.645851622331701</v>
      </c>
      <c r="L89">
        <v>1.2566344923577</v>
      </c>
      <c r="M89" t="s">
        <v>151</v>
      </c>
      <c r="N89" t="s">
        <v>147</v>
      </c>
      <c r="O89" t="s">
        <v>174</v>
      </c>
      <c r="P89">
        <f>-0.529837722951278 - 20.1700371605522</f>
        <v>-20.69987488350348</v>
      </c>
      <c r="Q89" t="s">
        <v>52</v>
      </c>
      <c r="R89" t="s">
        <v>91</v>
      </c>
      <c r="S89" t="s">
        <v>33</v>
      </c>
      <c r="T89" t="s">
        <v>92</v>
      </c>
      <c r="U89">
        <v>1.2090012353919</v>
      </c>
      <c r="V89">
        <v>5.2805803274243601</v>
      </c>
      <c r="W89" t="s">
        <v>39</v>
      </c>
      <c r="X89" t="s">
        <v>40</v>
      </c>
    </row>
    <row r="90" spans="1:24" x14ac:dyDescent="0.2">
      <c r="A90" t="s">
        <v>145</v>
      </c>
      <c r="B90" t="s">
        <v>50</v>
      </c>
      <c r="C90" t="s">
        <v>31</v>
      </c>
      <c r="D90">
        <v>0.408867906785084</v>
      </c>
      <c r="E90">
        <v>0.122023625259851</v>
      </c>
      <c r="F90" t="s">
        <v>79</v>
      </c>
      <c r="G90">
        <v>9.82009971880046</v>
      </c>
      <c r="H90" t="s">
        <v>80</v>
      </c>
      <c r="I90" t="b">
        <v>0</v>
      </c>
      <c r="J90">
        <v>22.645851622331701</v>
      </c>
      <c r="K90">
        <v>25.645851622331701</v>
      </c>
      <c r="L90">
        <v>1.2566344923577</v>
      </c>
      <c r="M90" t="s">
        <v>151</v>
      </c>
      <c r="N90" t="s">
        <v>147</v>
      </c>
      <c r="O90" t="s">
        <v>174</v>
      </c>
      <c r="P90">
        <f>-0.529837722951278 - 20.1700371605522</f>
        <v>-20.69987488350348</v>
      </c>
      <c r="Q90" t="s">
        <v>52</v>
      </c>
      <c r="R90" t="s">
        <v>81</v>
      </c>
      <c r="S90" t="s">
        <v>82</v>
      </c>
      <c r="T90" t="s">
        <v>246</v>
      </c>
      <c r="U90">
        <v>1.2090012353919</v>
      </c>
      <c r="V90">
        <v>5.2805803274243601</v>
      </c>
      <c r="W90" t="s">
        <v>39</v>
      </c>
      <c r="X90" t="s">
        <v>40</v>
      </c>
    </row>
    <row r="91" spans="1:24" x14ac:dyDescent="0.2">
      <c r="A91" t="s">
        <v>145</v>
      </c>
      <c r="B91" t="s">
        <v>50</v>
      </c>
      <c r="C91" t="s">
        <v>31</v>
      </c>
      <c r="D91">
        <v>8.9753776005889893E-2</v>
      </c>
      <c r="E91">
        <v>0.199403111947139</v>
      </c>
      <c r="F91" t="s">
        <v>79</v>
      </c>
      <c r="G91">
        <v>11.3221141779498</v>
      </c>
      <c r="H91" t="s">
        <v>84</v>
      </c>
      <c r="I91" t="b">
        <v>0</v>
      </c>
      <c r="J91">
        <v>125.679597539707</v>
      </c>
      <c r="K91">
        <v>126.38547989264799</v>
      </c>
      <c r="L91">
        <v>6.1806722519169801</v>
      </c>
      <c r="M91" t="s">
        <v>151</v>
      </c>
      <c r="N91" t="s">
        <v>152</v>
      </c>
      <c r="O91" t="s">
        <v>153</v>
      </c>
      <c r="P91">
        <f>-5.33502550575886 - 27.9792538616585</f>
        <v>-33.314279367417356</v>
      </c>
      <c r="Q91" t="s">
        <v>52</v>
      </c>
      <c r="R91" t="s">
        <v>85</v>
      </c>
      <c r="S91" t="s">
        <v>86</v>
      </c>
      <c r="T91" t="s">
        <v>247</v>
      </c>
      <c r="U91">
        <v>2.7322903427383398</v>
      </c>
      <c r="V91">
        <v>8.4985406549534197</v>
      </c>
      <c r="W91" t="s">
        <v>39</v>
      </c>
      <c r="X91" t="s">
        <v>40</v>
      </c>
    </row>
    <row r="92" spans="1:24" x14ac:dyDescent="0.2">
      <c r="A92" t="s">
        <v>145</v>
      </c>
      <c r="B92" t="s">
        <v>72</v>
      </c>
      <c r="C92" t="s">
        <v>31</v>
      </c>
      <c r="D92">
        <v>9.9845259811700005E-3</v>
      </c>
      <c r="E92">
        <v>0.83121171285168505</v>
      </c>
      <c r="F92" t="s">
        <v>79</v>
      </c>
      <c r="G92">
        <v>-0.68086089006707196</v>
      </c>
      <c r="H92" t="s">
        <v>80</v>
      </c>
      <c r="I92" t="b">
        <v>0</v>
      </c>
      <c r="J92">
        <v>26.255619132763002</v>
      </c>
      <c r="K92">
        <v>29.255619132763002</v>
      </c>
      <c r="L92">
        <v>1.52100155490231E-3</v>
      </c>
      <c r="M92" t="s">
        <v>151</v>
      </c>
      <c r="N92" t="s">
        <v>147</v>
      </c>
      <c r="O92" t="s">
        <v>181</v>
      </c>
      <c r="P92">
        <f>-6.62360079592142 - 5.26187901578728</f>
        <v>-11.8854798117087</v>
      </c>
      <c r="Q92" t="s">
        <v>52</v>
      </c>
      <c r="R92" t="s">
        <v>81</v>
      </c>
      <c r="S92" t="s">
        <v>82</v>
      </c>
      <c r="T92" t="s">
        <v>246</v>
      </c>
      <c r="U92">
        <v>2.6418940669219002</v>
      </c>
      <c r="V92">
        <v>3.0320101560481398</v>
      </c>
      <c r="W92" t="s">
        <v>39</v>
      </c>
      <c r="X92" t="s">
        <v>40</v>
      </c>
    </row>
    <row r="93" spans="1:24" x14ac:dyDescent="0.2">
      <c r="A93" t="s">
        <v>145</v>
      </c>
      <c r="B93" t="s">
        <v>63</v>
      </c>
      <c r="C93" t="s">
        <v>31</v>
      </c>
      <c r="D93">
        <v>0.21789224736427401</v>
      </c>
      <c r="E93">
        <v>0.29098777573371798</v>
      </c>
      <c r="F93" t="s">
        <v>79</v>
      </c>
      <c r="G93">
        <v>-4.6103193722516998E-3</v>
      </c>
      <c r="H93" t="s">
        <v>32</v>
      </c>
      <c r="I93" t="b">
        <v>0</v>
      </c>
      <c r="J93">
        <v>24.605522774494201</v>
      </c>
      <c r="K93">
        <v>27.605522774494201</v>
      </c>
      <c r="L93">
        <v>0.15377098617059901</v>
      </c>
      <c r="M93" t="s">
        <v>151</v>
      </c>
      <c r="N93" t="s">
        <v>147</v>
      </c>
      <c r="O93" t="s">
        <v>155</v>
      </c>
      <c r="P93">
        <f>-0.0122665408289224 - 0.00304590208441896</f>
        <v>-1.531244291334136E-2</v>
      </c>
      <c r="Q93" t="s">
        <v>52</v>
      </c>
      <c r="R93" t="s">
        <v>36</v>
      </c>
      <c r="S93" t="s">
        <v>37</v>
      </c>
      <c r="T93" t="s">
        <v>248</v>
      </c>
      <c r="U93">
        <v>2.71164281154193</v>
      </c>
      <c r="V93">
        <v>3.9062354370768002E-3</v>
      </c>
      <c r="W93" t="s">
        <v>39</v>
      </c>
      <c r="X93" t="s">
        <v>40</v>
      </c>
    </row>
    <row r="94" spans="1:24" x14ac:dyDescent="0.2">
      <c r="A94" t="s">
        <v>145</v>
      </c>
      <c r="B94" t="s">
        <v>63</v>
      </c>
      <c r="C94" t="s">
        <v>31</v>
      </c>
      <c r="D94">
        <v>0.21789224736427401</v>
      </c>
      <c r="E94">
        <v>0.29098777573371798</v>
      </c>
      <c r="F94" t="s">
        <v>79</v>
      </c>
      <c r="G94">
        <v>-4.6103193722516998E-3</v>
      </c>
      <c r="H94" t="s">
        <v>80</v>
      </c>
      <c r="I94" t="b">
        <v>0</v>
      </c>
      <c r="J94">
        <v>24.605522774494201</v>
      </c>
      <c r="K94">
        <v>27.605522774494201</v>
      </c>
      <c r="L94">
        <v>0.15377098617059901</v>
      </c>
      <c r="M94" t="s">
        <v>151</v>
      </c>
      <c r="N94" t="s">
        <v>147</v>
      </c>
      <c r="O94" t="s">
        <v>155</v>
      </c>
      <c r="P94">
        <f>-0.0122665408289224 - 0.00304590208441896</f>
        <v>-1.531244291334136E-2</v>
      </c>
      <c r="Q94" t="s">
        <v>52</v>
      </c>
      <c r="R94" t="s">
        <v>81</v>
      </c>
      <c r="S94" t="s">
        <v>82</v>
      </c>
      <c r="T94" t="s">
        <v>246</v>
      </c>
      <c r="U94">
        <v>2.71164281154193</v>
      </c>
      <c r="V94">
        <v>3.9062354370768002E-3</v>
      </c>
      <c r="W94" t="s">
        <v>39</v>
      </c>
      <c r="X94" t="s">
        <v>40</v>
      </c>
    </row>
    <row r="95" spans="1:24" x14ac:dyDescent="0.2">
      <c r="A95" t="s">
        <v>145</v>
      </c>
      <c r="B95" t="s">
        <v>66</v>
      </c>
      <c r="C95" t="s">
        <v>31</v>
      </c>
      <c r="D95">
        <v>4.8725947644960002E-4</v>
      </c>
      <c r="E95">
        <v>0.93072043817510097</v>
      </c>
      <c r="F95" t="s">
        <v>79</v>
      </c>
      <c r="G95">
        <v>-0.44730882828850699</v>
      </c>
      <c r="H95" t="s">
        <v>84</v>
      </c>
      <c r="I95" t="b">
        <v>0</v>
      </c>
      <c r="J95">
        <v>100.01515817609901</v>
      </c>
      <c r="K95">
        <v>100.815158176099</v>
      </c>
      <c r="L95">
        <v>27.1308083583429</v>
      </c>
      <c r="M95" t="s">
        <v>146</v>
      </c>
      <c r="N95" t="s">
        <v>152</v>
      </c>
      <c r="O95" t="s">
        <v>197</v>
      </c>
      <c r="P95">
        <f>-10.3742984939352 - 9.4796808373582</f>
        <v>-19.853979331293402</v>
      </c>
      <c r="Q95" t="s">
        <v>35</v>
      </c>
      <c r="R95" t="s">
        <v>85</v>
      </c>
      <c r="S95" t="s">
        <v>86</v>
      </c>
      <c r="T95" t="s">
        <v>249</v>
      </c>
      <c r="U95">
        <v>2.7438954269189</v>
      </c>
      <c r="V95">
        <v>5.0647906457381202</v>
      </c>
      <c r="W95" t="s">
        <v>39</v>
      </c>
      <c r="X95" t="s">
        <v>40</v>
      </c>
    </row>
    <row r="96" spans="1:24" x14ac:dyDescent="0.2">
      <c r="A96" t="s">
        <v>145</v>
      </c>
      <c r="B96" t="s">
        <v>63</v>
      </c>
      <c r="C96" t="s">
        <v>31</v>
      </c>
      <c r="D96">
        <v>0.100238447368273</v>
      </c>
      <c r="E96">
        <v>0.173822570474676</v>
      </c>
      <c r="F96" t="s">
        <v>79</v>
      </c>
      <c r="G96">
        <v>-1.33427977378706E-2</v>
      </c>
      <c r="H96" t="s">
        <v>84</v>
      </c>
      <c r="I96" t="b">
        <v>0</v>
      </c>
      <c r="J96">
        <v>125.447890499132</v>
      </c>
      <c r="K96">
        <v>126.153772852073</v>
      </c>
      <c r="L96">
        <v>5.6659109892619997</v>
      </c>
      <c r="M96" t="s">
        <v>151</v>
      </c>
      <c r="N96" t="s">
        <v>152</v>
      </c>
      <c r="O96" t="s">
        <v>172</v>
      </c>
      <c r="P96">
        <f>-0.0318105173276765 - 0.00512492185193524</f>
        <v>-3.6935439179611743E-2</v>
      </c>
      <c r="Q96" t="s">
        <v>52</v>
      </c>
      <c r="R96" t="s">
        <v>85</v>
      </c>
      <c r="S96" t="s">
        <v>86</v>
      </c>
      <c r="T96" t="s">
        <v>250</v>
      </c>
      <c r="U96">
        <v>6.8657551859381103</v>
      </c>
      <c r="V96">
        <v>9.4223059131661995E-3</v>
      </c>
      <c r="W96" t="s">
        <v>39</v>
      </c>
      <c r="X96" t="s">
        <v>40</v>
      </c>
    </row>
    <row r="97" spans="1:24" x14ac:dyDescent="0.2">
      <c r="A97" t="s">
        <v>145</v>
      </c>
      <c r="B97" t="s">
        <v>72</v>
      </c>
      <c r="C97" t="s">
        <v>31</v>
      </c>
      <c r="D97">
        <v>9.9845259811703006E-3</v>
      </c>
      <c r="E97">
        <v>0.83121171285168505</v>
      </c>
      <c r="F97" t="s">
        <v>79</v>
      </c>
      <c r="G97">
        <v>-0.68086089006707196</v>
      </c>
      <c r="H97" t="s">
        <v>90</v>
      </c>
      <c r="I97" t="b">
        <v>0</v>
      </c>
      <c r="J97">
        <v>26.255619132763002</v>
      </c>
      <c r="K97">
        <v>29.255619132763002</v>
      </c>
      <c r="L97">
        <v>1.52100155490231E-3</v>
      </c>
      <c r="M97" t="s">
        <v>151</v>
      </c>
      <c r="N97" t="s">
        <v>147</v>
      </c>
      <c r="O97" t="s">
        <v>181</v>
      </c>
      <c r="P97">
        <f>-6.62360079592142 - 5.26187901578728</f>
        <v>-11.8854798117087</v>
      </c>
      <c r="Q97" t="s">
        <v>52</v>
      </c>
      <c r="R97" t="s">
        <v>91</v>
      </c>
      <c r="S97" t="s">
        <v>33</v>
      </c>
      <c r="T97" t="s">
        <v>92</v>
      </c>
      <c r="U97">
        <v>2.6418940669219002</v>
      </c>
      <c r="V97">
        <v>3.0320101560481398</v>
      </c>
      <c r="W97" t="s">
        <v>39</v>
      </c>
      <c r="X97" t="s">
        <v>40</v>
      </c>
    </row>
    <row r="98" spans="1:24" x14ac:dyDescent="0.2">
      <c r="A98" t="s">
        <v>145</v>
      </c>
      <c r="B98" t="s">
        <v>72</v>
      </c>
      <c r="C98" t="s">
        <v>31</v>
      </c>
      <c r="D98">
        <v>9.9845259811703006E-3</v>
      </c>
      <c r="E98">
        <v>0.83121171285168505</v>
      </c>
      <c r="F98" t="s">
        <v>79</v>
      </c>
      <c r="G98">
        <v>-0.68086089006707196</v>
      </c>
      <c r="H98" t="s">
        <v>32</v>
      </c>
      <c r="I98" t="b">
        <v>0</v>
      </c>
      <c r="J98">
        <v>26.255619132763002</v>
      </c>
      <c r="K98">
        <v>29.255619132763002</v>
      </c>
      <c r="L98">
        <v>1.52100155490231E-3</v>
      </c>
      <c r="M98" t="s">
        <v>151</v>
      </c>
      <c r="N98" t="s">
        <v>147</v>
      </c>
      <c r="O98" t="s">
        <v>181</v>
      </c>
      <c r="P98">
        <f>-6.62360079592142 - 5.26187901578728</f>
        <v>-11.8854798117087</v>
      </c>
      <c r="Q98" t="s">
        <v>52</v>
      </c>
      <c r="R98" t="s">
        <v>36</v>
      </c>
      <c r="S98" t="s">
        <v>37</v>
      </c>
      <c r="T98" t="s">
        <v>251</v>
      </c>
      <c r="U98">
        <v>2.6418940669219002</v>
      </c>
      <c r="V98">
        <v>3.0320101560481398</v>
      </c>
      <c r="W98" t="s">
        <v>39</v>
      </c>
      <c r="X98" t="s">
        <v>40</v>
      </c>
    </row>
    <row r="99" spans="1:24" x14ac:dyDescent="0.2">
      <c r="A99" t="s">
        <v>145</v>
      </c>
      <c r="B99" t="s">
        <v>72</v>
      </c>
      <c r="C99" t="s">
        <v>31</v>
      </c>
      <c r="D99">
        <v>9.3086599992232399E-2</v>
      </c>
      <c r="E99">
        <v>0.190857078993453</v>
      </c>
      <c r="F99" t="s">
        <v>79</v>
      </c>
      <c r="G99">
        <v>8.8891143945850608</v>
      </c>
      <c r="H99" t="s">
        <v>84</v>
      </c>
      <c r="I99" t="b">
        <v>0</v>
      </c>
      <c r="J99">
        <v>125.606234084359</v>
      </c>
      <c r="K99">
        <v>126.31211643730001</v>
      </c>
      <c r="L99">
        <v>8.3968101042470096</v>
      </c>
      <c r="M99" t="s">
        <v>151</v>
      </c>
      <c r="N99" t="s">
        <v>152</v>
      </c>
      <c r="O99" t="s">
        <v>157</v>
      </c>
      <c r="P99">
        <f>-3.92880804788184 - 21.707036837052</f>
        <v>-25.635844884933842</v>
      </c>
      <c r="Q99" t="s">
        <v>52</v>
      </c>
      <c r="R99" t="s">
        <v>85</v>
      </c>
      <c r="S99" t="s">
        <v>86</v>
      </c>
      <c r="T99" t="s">
        <v>252</v>
      </c>
      <c r="U99">
        <v>-3.76420639803673</v>
      </c>
      <c r="V99">
        <v>6.5397563481974004</v>
      </c>
      <c r="W99" t="s">
        <v>39</v>
      </c>
      <c r="X99" t="s">
        <v>40</v>
      </c>
    </row>
  </sheetData>
  <mergeCells count="2">
    <mergeCell ref="A1:K1"/>
    <mergeCell ref="A2:K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Table 3a</vt:lpstr>
      <vt:lpstr>Table 3b</vt:lpstr>
      <vt:lpstr>Table 3c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2023-02-27T21:28:17Z</dcterms:created>
  <dcterms:modified xsi:type="dcterms:W3CDTF">2023-03-07T00:50:01Z</dcterms:modified>
</cp:coreProperties>
</file>