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Work_Files\GCMP\stats_analysis\"/>
    </mc:Choice>
  </mc:AlternateContent>
  <xr:revisionPtr revIDLastSave="0" documentId="13_ncr:1_{90BF7448-4C44-4D65-B0E3-56BA2B1DA97A}" xr6:coauthVersionLast="47" xr6:coauthVersionMax="47" xr10:uidLastSave="{00000000-0000-0000-0000-000000000000}"/>
  <bookViews>
    <workbookView xWindow="-108" yWindow="-108" windowWidth="23256" windowHeight="12576" firstSheet="10" activeTab="12" xr2:uid="{42C5DB18-6696-0944-B339-FA9DF0685468}"/>
  </bookViews>
  <sheets>
    <sheet name="Table S1 - Alpha Div vs Dis" sheetId="1" r:id="rId1"/>
    <sheet name="Table S2 - Aust A Div vs Dis" sheetId="2" r:id="rId2"/>
    <sheet name="Table S3 - Beta Div vs Dis" sheetId="4" r:id="rId3"/>
    <sheet name="Table S4 - Gamma vs Dis" sheetId="3" r:id="rId4"/>
    <sheet name="Table S5- Endo vs Dis &amp; Dom" sheetId="5" r:id="rId5"/>
    <sheet name="Table S6 - PGLS Opport vs Dis" sheetId="6" r:id="rId6"/>
    <sheet name="Table S7 - Life Hist vs Endo" sheetId="8" r:id="rId7"/>
    <sheet name="Table S8 - Endo vs Dis Str Tol" sheetId="7" r:id="rId8"/>
    <sheet name="Table S9 - Endo vs G Rate" sheetId="10" r:id="rId9"/>
    <sheet name="Table S10 - Endo vs G Rate" sheetId="12" r:id="rId10"/>
    <sheet name="Table S11 - Endo vs G Rate N Wd" sheetId="13" r:id="rId11"/>
    <sheet name="Table S12 - Endo vs G Rate N Wd" sheetId="14" r:id="rId12"/>
    <sheet name="Table S13 G Rate vs Dis" sheetId="15"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15" l="1"/>
  <c r="P6" i="15"/>
  <c r="P5" i="15"/>
  <c r="P4" i="15"/>
  <c r="P6" i="13"/>
  <c r="P4" i="13"/>
  <c r="P6" i="10"/>
  <c r="P4" i="10"/>
  <c r="P15" i="8"/>
  <c r="P14" i="8"/>
  <c r="P13" i="8"/>
  <c r="P12" i="8"/>
  <c r="P11" i="8"/>
  <c r="P10" i="8"/>
  <c r="P9" i="8"/>
  <c r="P7" i="8"/>
  <c r="P6" i="8"/>
  <c r="P5" i="8"/>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P9" i="6"/>
  <c r="P8" i="6"/>
  <c r="P7" i="6"/>
  <c r="P6" i="6"/>
  <c r="P5" i="6"/>
  <c r="P4" i="6"/>
  <c r="P16" i="5"/>
  <c r="P15" i="5"/>
  <c r="P14" i="5"/>
  <c r="P13" i="5"/>
  <c r="P12" i="5"/>
  <c r="P11" i="5"/>
  <c r="P6" i="5"/>
  <c r="P5" i="5"/>
  <c r="P99" i="3"/>
  <c r="P98" i="3"/>
  <c r="P97" i="3"/>
  <c r="P96" i="3"/>
  <c r="P95" i="3"/>
  <c r="P94" i="3"/>
  <c r="P93" i="3"/>
  <c r="P92" i="3"/>
  <c r="P91" i="3"/>
  <c r="P90" i="3"/>
  <c r="P89" i="3"/>
  <c r="P88"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6" i="3"/>
  <c r="P55" i="3"/>
  <c r="P54" i="3"/>
  <c r="P53" i="3"/>
  <c r="P52" i="3"/>
  <c r="P51" i="3"/>
  <c r="P50" i="3"/>
  <c r="P49" i="3"/>
  <c r="P48" i="3"/>
  <c r="P47" i="3"/>
  <c r="P46" i="3"/>
  <c r="P45" i="3"/>
  <c r="P44" i="3"/>
  <c r="P43" i="3"/>
  <c r="P42" i="3"/>
  <c r="P41" i="3"/>
  <c r="P40" i="3"/>
  <c r="P39" i="3"/>
  <c r="P37" i="3"/>
  <c r="P36" i="3"/>
  <c r="P35" i="3"/>
  <c r="P34" i="3"/>
  <c r="P32" i="3"/>
  <c r="P31" i="3"/>
  <c r="P30" i="3"/>
  <c r="P27" i="3"/>
  <c r="P26" i="3"/>
  <c r="P25" i="3"/>
  <c r="P24" i="3"/>
  <c r="P23" i="3"/>
  <c r="P22" i="3"/>
  <c r="P21" i="3"/>
  <c r="P20" i="3"/>
  <c r="P19" i="3"/>
  <c r="P18" i="3"/>
  <c r="P17" i="3"/>
  <c r="P16" i="3"/>
  <c r="P15" i="3"/>
  <c r="P13" i="3"/>
  <c r="P12" i="3"/>
  <c r="P11" i="3"/>
  <c r="P9" i="3"/>
  <c r="P8" i="3"/>
  <c r="P7" i="3"/>
  <c r="P6" i="3"/>
  <c r="P5" i="3"/>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19" i="2"/>
  <c r="P17" i="2"/>
  <c r="P13" i="2"/>
  <c r="P11" i="2"/>
  <c r="P7" i="2"/>
  <c r="P51" i="1"/>
  <c r="P50" i="1"/>
  <c r="P48" i="1"/>
  <c r="P47" i="1"/>
  <c r="P46" i="1"/>
  <c r="P45" i="1"/>
  <c r="P44" i="1"/>
  <c r="P42" i="1"/>
  <c r="P40" i="1"/>
  <c r="P39" i="1"/>
  <c r="P38" i="1"/>
  <c r="P37" i="1"/>
  <c r="P36" i="1"/>
  <c r="P33" i="1"/>
  <c r="P32" i="1"/>
  <c r="P31" i="1"/>
  <c r="P30" i="1"/>
  <c r="P29" i="1"/>
  <c r="P28" i="1"/>
  <c r="P27" i="1"/>
  <c r="P26" i="1"/>
  <c r="P24" i="1"/>
  <c r="P23" i="1"/>
  <c r="P22" i="1"/>
  <c r="P21" i="1"/>
  <c r="P20" i="1"/>
  <c r="P19" i="1"/>
  <c r="P18" i="1"/>
  <c r="P17" i="1"/>
  <c r="P16" i="1"/>
  <c r="P14" i="1"/>
  <c r="P13" i="1"/>
  <c r="P12" i="1"/>
  <c r="P11" i="1"/>
  <c r="P10" i="1"/>
  <c r="P9" i="1"/>
  <c r="P8" i="1"/>
  <c r="P7" i="1"/>
  <c r="P5" i="1"/>
  <c r="P4" i="1"/>
</calcChain>
</file>

<file path=xl/sharedStrings.xml><?xml version="1.0" encoding="utf-8"?>
<sst xmlns="http://schemas.openxmlformats.org/spreadsheetml/2006/main" count="5032" uniqueCount="496">
  <si>
    <t>Table S1</t>
  </si>
  <si>
    <t>Table S2</t>
  </si>
  <si>
    <t>Table S3</t>
  </si>
  <si>
    <t>observed_features_tissue</t>
  </si>
  <si>
    <t>gini_index_tissue</t>
  </si>
  <si>
    <t>dominance_tissue</t>
  </si>
  <si>
    <t>observed_features_skeleton</t>
  </si>
  <si>
    <t>gini_index_skeleton</t>
  </si>
  <si>
    <t>dominance_skeleton</t>
  </si>
  <si>
    <t>observed_features_mucus</t>
  </si>
  <si>
    <t>gini_index_mucus</t>
  </si>
  <si>
    <t>dominance_mucus</t>
  </si>
  <si>
    <t>observed_features_all</t>
  </si>
  <si>
    <t>gini_index_all</t>
  </si>
  <si>
    <t>dominance_all</t>
  </si>
  <si>
    <t>Table S4</t>
  </si>
  <si>
    <t>p</t>
  </si>
  <si>
    <t>analysis_label</t>
  </si>
  <si>
    <t>x_trait</t>
  </si>
  <si>
    <t>y_trait</t>
  </si>
  <si>
    <t>R2</t>
  </si>
  <si>
    <t>FDR_q</t>
  </si>
  <si>
    <t>slope</t>
  </si>
  <si>
    <t>model_name</t>
  </si>
  <si>
    <t>best_model</t>
  </si>
  <si>
    <t>AIC</t>
  </si>
  <si>
    <t>AICc</t>
  </si>
  <si>
    <t>delta_AICc</t>
  </si>
  <si>
    <t>filter_column</t>
  </si>
  <si>
    <t>filter_value</t>
  </si>
  <si>
    <t>results_dir</t>
  </si>
  <si>
    <t>x_trait_slope_95CI</t>
  </si>
  <si>
    <t>compartment</t>
  </si>
  <si>
    <t>branch_length_transformation</t>
  </si>
  <si>
    <t>estimated_parameter</t>
  </si>
  <si>
    <t>parameter_value</t>
  </si>
  <si>
    <t>intercept</t>
  </si>
  <si>
    <t>x_trait_slope_stdev</t>
  </si>
  <si>
    <t>trait_table</t>
  </si>
  <si>
    <t>tree</t>
  </si>
  <si>
    <t>alpha_diversity_vs_disease</t>
  </si>
  <si>
    <t>perc_dis</t>
  </si>
  <si>
    <t>BM_Lambda</t>
  </si>
  <si>
    <t>None</t>
  </si>
  <si>
    <t>../output/PIC_results/A1_alpha_diversity_vs_disease/PIC_observed_features_all_vs_perc_dis/PGLS_results.tsv</t>
  </si>
  <si>
    <t>all</t>
  </si>
  <si>
    <t>lambda=ML delta=1kappa=1</t>
  </si>
  <si>
    <t>lambda</t>
  </si>
  <si>
    <t>lambda : 1e-06 (95% CI  NA  -  0.244444540544028 )</t>
  </si>
  <si>
    <t>../output/GCMP_trait_table_with_abundances_and_adiv_and_metadata_zeros.tsv</t>
  </si>
  <si>
    <t>../output/huang_roy_genus_tree.newick</t>
  </si>
  <si>
    <t>../output/PIC_results/A1_alpha_diversity_vs_disease/PIC_gini_index_mucus_vs_perc_dis/PGLS_results.tsv</t>
  </si>
  <si>
    <t>mucus</t>
  </si>
  <si>
    <t>lambda : 1e-06 (95% CI  NA  -  0.243692382427815 )</t>
  </si>
  <si>
    <t>../output/PIC_results/A1_alpha_diversity_vs_disease/PIC_dominance_tissue_vs_perc_dis/PGLS_results.tsv</t>
  </si>
  <si>
    <t>7.90418086490031 - 25.4188094554246</t>
  </si>
  <si>
    <t>tissue</t>
  </si>
  <si>
    <t>lambda : 1e-06 (95% CI  NA  -  0.277369813805761 )</t>
  </si>
  <si>
    <t>../output/PIC_results/A1_alpha_diversity_vs_disease/PIC_dominance_skeleton_vs_perc_dis/PGLS_results.tsv</t>
  </si>
  <si>
    <t>skeleton</t>
  </si>
  <si>
    <t>lambda : 1e-06 (95% CI  NA  -  0.244883128326734 )</t>
  </si>
  <si>
    <t>../output/PIC_results/A1_alpha_diversity_vs_disease/PIC_observed_features_tissue_vs_perc_dis/PGLS_results.tsv</t>
  </si>
  <si>
    <t>lambda : 1e-06 (95% CI  NA  -  0.240949828222544 )</t>
  </si>
  <si>
    <t>../output/PIC_results/A1_alpha_diversity_vs_disease/PIC_gini_index_tissue_vs_perc_dis/PGLS_results.tsv</t>
  </si>
  <si>
    <t>lambda : 1e-06 (95% CI  NA  -  0.236307502967153 )</t>
  </si>
  <si>
    <t>../output/PIC_results/A1_alpha_diversity_vs_disease/PIC_observed_features_mucus_vs_perc_dis/PGLS_results.tsv</t>
  </si>
  <si>
    <t>lambda : 1e-06 (95% CI  NA  -  0.301833113389224 )</t>
  </si>
  <si>
    <t>../output/PIC_results/A1_alpha_diversity_vs_disease/PIC_observed_features_skeleton_vs_perc_dis/PGLS_results.tsv</t>
  </si>
  <si>
    <t>lambda : 1e-06 (95% CI  NA  -  0.238060846211266 )</t>
  </si>
  <si>
    <t>../output/PIC_results/A1_alpha_diversity_vs_disease/PIC_gini_index_all_vs_perc_dis/PGLS_results.tsv</t>
  </si>
  <si>
    <t>lambda : 1e-06 (95% CI  NA  -  0.217683123298543 )</t>
  </si>
  <si>
    <t>../output/PIC_results/A1_alpha_diversity_vs_disease/PIC_dominance_mucus_vs_perc_dis/PGLS_results.tsv</t>
  </si>
  <si>
    <t>lambda : 1e-06 (95% CI  NA  -  0.301355349590762 )</t>
  </si>
  <si>
    <t>../output/PIC_results/A1_alpha_diversity_vs_disease/PIC_gini_index_skeleton_vs_perc_dis/PGLS_results.tsv</t>
  </si>
  <si>
    <t>lambda : 1e-06 (95% CI  NA  -  0.228376065459091 )</t>
  </si>
  <si>
    <t>../output/PIC_results/A1_alpha_diversity_vs_disease/PIC_dominance_all_vs_perc_dis/PGLS_results.tsv</t>
  </si>
  <si>
    <t>2.46037149100516 - 25.7034482053119</t>
  </si>
  <si>
    <t>lambda : 1e-06 (95% CI  NA  -  0.270416363557044 )</t>
  </si>
  <si>
    <t>NA (q values only calculated for best models by AIC)</t>
  </si>
  <si>
    <t>BM_Kappa</t>
  </si>
  <si>
    <t>lambda=1 delta=1kappa=ML</t>
  </si>
  <si>
    <t>kappa</t>
  </si>
  <si>
    <t>kappa : 0.6362088675198 (95% CI  0.0910829421675218  -  NA )</t>
  </si>
  <si>
    <t>BM_Delta</t>
  </si>
  <si>
    <t>lambda=1 delta=MLkappa=1</t>
  </si>
  <si>
    <t>delta</t>
  </si>
  <si>
    <t>delta : 1 (95% CI  0.380911833346047  -  NA )</t>
  </si>
  <si>
    <t>kappa : 0.658819893843684 (95% CI  0.117118543591611  -  NA )</t>
  </si>
  <si>
    <t>kappa : 0.520591555534334 (95% CI  NA  -  NA )</t>
  </si>
  <si>
    <t>BM</t>
  </si>
  <si>
    <t>lambda=1 delta=1kappa=1</t>
  </si>
  <si>
    <t>All parameters fixed</t>
  </si>
  <si>
    <t>delta : 1 (95% CI  0.385389307069562  -  NA )</t>
  </si>
  <si>
    <t>delta : 1 (95% CI  0.38410877550706  -  NA )</t>
  </si>
  <si>
    <t>2.55146991451955 - 22.0654318279732</t>
  </si>
  <si>
    <t>kappa : 0.573136618960674 (95% CI  0.0551101395184736  -  NA )</t>
  </si>
  <si>
    <t>kappa : 0.506675275850199 (95% CI  NA  -  NA )</t>
  </si>
  <si>
    <t>delta : 1 (95% CI  0.381512985300476  -  NA )</t>
  </si>
  <si>
    <t>delta : 1 (95% CI  0.384136006562489  -  NA )</t>
  </si>
  <si>
    <t>kappa : 0.608051673706598 (95% CI  0.0354058978208583  -  NA )</t>
  </si>
  <si>
    <t>kappa : 0.604796903382693 (95% CI  0.0325150722404553  -  NA )</t>
  </si>
  <si>
    <t>3.16787882870977 - 19.7708277298297</t>
  </si>
  <si>
    <t>delta : 1 (95% CI  0.39912567058736  -  NA )</t>
  </si>
  <si>
    <t>1.3807377057156 - 17.6939115768178</t>
  </si>
  <si>
    <t>delta : 1 (95% CI  0.378213185377572  -  NA )</t>
  </si>
  <si>
    <t>kappa : 0.588122845442969 (95% CI  0.022023513442985  -  NA )</t>
  </si>
  <si>
    <t>delta : 1 (95% CI  0.386835858641176  -  NA )</t>
  </si>
  <si>
    <t>kappa : 0.481357145805482 (95% CI  NA  -  NA )</t>
  </si>
  <si>
    <t>delta : 1 (95% CI  0.381463976811953  -  NA )</t>
  </si>
  <si>
    <t>delta : 1 (95% CI  0.383717267525458  -  NA )</t>
  </si>
  <si>
    <t>kappa : 0.56080400159632 (95% CI  NA  -  NA )</t>
  </si>
  <si>
    <t>delta : 1 (95% CI  0.384476549345131  -  NA )</t>
  </si>
  <si>
    <t>7.07097952061582 - 24.8912913173623</t>
  </si>
  <si>
    <t>kappa : 0.33659168555637 (95% CI  NA  -  0.843927800421344 )</t>
  </si>
  <si>
    <t>kappa : 0.594128913467957 (95% CI  0.0306003977228916  -  NA )</t>
  </si>
  <si>
    <t>delta : 1 (95% CI  0.383277639601734  -  NA )</t>
  </si>
  <si>
    <t>alpha_diversity_vs_disease_australia_only</t>
  </si>
  <si>
    <t>../output/PIC_results/A2_alpha_diversity_vs_disease_australia_only/PIC_dominance_all_vs_perc_dis/PGLS_results.tsv</t>
  </si>
  <si>
    <t>14.4694666423403 - 43.923164124569</t>
  </si>
  <si>
    <t>lambda : 1e-06 (95% CI  NA  -  0.587880300513103 )</t>
  </si>
  <si>
    <t>../output/GCMP_trait_table_genus_australia_only.tsv</t>
  </si>
  <si>
    <t>../output/PIC_results/A2_alpha_diversity_vs_disease_australia_only/PIC_dominance_mucus_vs_perc_dis/PGLS_results.tsv</t>
  </si>
  <si>
    <t>23.5108476773166 - 66.7138734020571</t>
  </si>
  <si>
    <t>lambda : 1e-06 (95% CI  NA  -  0.395859283896101 )</t>
  </si>
  <si>
    <t>../output/PIC_results/A2_alpha_diversity_vs_disease_australia_only/PIC_dominance_tissue_vs_perc_dis/PGLS_results.tsv</t>
  </si>
  <si>
    <t>7.94637328496198 - 20.1743558775802</t>
  </si>
  <si>
    <t>lambda : 0.0723257536864812 (95% CI  NA  -  0.661526491391795 )</t>
  </si>
  <si>
    <t>../output/PIC_results/A2_alpha_diversity_vs_disease_australia_only/PIC_dominance_skeleton_vs_perc_dis/PGLS_results.tsv</t>
  </si>
  <si>
    <t>lambda : 1e-06 (95% CI  NA  -  0.533600011969186 )</t>
  </si>
  <si>
    <t>9.25416416746954 - 36.2696674133785</t>
  </si>
  <si>
    <t>18.6381346264221 - 42.3598297792873</t>
  </si>
  <si>
    <t>kappa : 1e-06 (95% CI  NA  -  0.543397184206051 )</t>
  </si>
  <si>
    <t>delta : 1 (95% CI  0.30847377197554  -  NA )</t>
  </si>
  <si>
    <t>23.3972959783598 - 60.4149595482101</t>
  </si>
  <si>
    <t>kappa : 1e-06 (95% CI  NA  -  0.311289106852145 )</t>
  </si>
  <si>
    <t>delta : 1 (95% CI  0.298742145659379  -  NA )</t>
  </si>
  <si>
    <t>5.39000383582923 - 16.4175486581435</t>
  </si>
  <si>
    <t>7.88911455518161 - 18.625772980534</t>
  </si>
  <si>
    <t>kappa : 0.105637582599873 (95% CI  NA  -  0.865034265030119 )</t>
  </si>
  <si>
    <t>delta : 1 (95% CI  0.303862455307446  -  NA )</t>
  </si>
  <si>
    <t>8.34828151768599 - 55.9066523932949</t>
  </si>
  <si>
    <t>kappa : 1e-06 (95% CI  NA  -  NA )</t>
  </si>
  <si>
    <t>delta : 1 (95% CI  0.285523542996564  -  NA )</t>
  </si>
  <si>
    <t>beta_diversity_vs_disease</t>
  </si>
  <si>
    <t>all_unweighted_unifrac_ordination_PC1</t>
  </si>
  <si>
    <t>../output/PIC_results/A3_beta_diversity_vs_disease/PIC_all_unweighted_unifrac_ordination_PC1_vs_perc_dis/PGLS_results.tsv</t>
  </si>
  <si>
    <t>lambda : 0.952696745517665 (95% CI  NA  -  NA )</t>
  </si>
  <si>
    <t>../output/GCMP_trait_table_with_abundances_and_adiv_and_metadata_and_growth_data_pcoa_zeros.tsv</t>
  </si>
  <si>
    <t>skeleton_weighted_unifrac_ordination_PC2</t>
  </si>
  <si>
    <t>../output/PIC_results/A3_beta_diversity_vs_disease/PIC_skeleton_weighted_unifrac_ordination_PC2_vs_perc_dis/PGLS_results.tsv</t>
  </si>
  <si>
    <t>lambda : 0.944556369337437 (95% CI  NA  -  NA )</t>
  </si>
  <si>
    <t>tissue_weighted_unifrac_ordination_PC2</t>
  </si>
  <si>
    <t>../output/PIC_results/A3_beta_diversity_vs_disease/PIC_tissue_weighted_unifrac_ordination_PC2_vs_perc_dis/PGLS_results.tsv</t>
  </si>
  <si>
    <t>lambda : 0.0714298658785429 (95% CI  NA  -  NA )</t>
  </si>
  <si>
    <t>skeleton_weighted_unifrac_ordination_PC3</t>
  </si>
  <si>
    <t>../output/PIC_results/A3_beta_diversity_vs_disease/PIC_skeleton_weighted_unifrac_ordination_PC3_vs_perc_dis/PGLS_results.tsv</t>
  </si>
  <si>
    <t>lambda : 0.946837317367716 (95% CI  NA  -  NA )</t>
  </si>
  <si>
    <t>all_weighted_unifrac_ordination_PC2</t>
  </si>
  <si>
    <t>../output/PIC_results/A3_beta_diversity_vs_disease/PIC_all_weighted_unifrac_ordination_PC2_vs_perc_dis/PGLS_results.tsv</t>
  </si>
  <si>
    <t>lambda : 0.942314197757491 (95% CI  NA  -  NA )</t>
  </si>
  <si>
    <t>all_unweighted_unifrac_ordination_PC3</t>
  </si>
  <si>
    <t>../output/PIC_results/A3_beta_diversity_vs_disease/PIC_all_unweighted_unifrac_ordination_PC3_vs_perc_dis/PGLS_results.tsv</t>
  </si>
  <si>
    <t>lambda : 0.94782889483219 (95% CI  NA  -  NA )</t>
  </si>
  <si>
    <t>mucus_unweighted_unifrac_ordination_PC1</t>
  </si>
  <si>
    <t>../output/PIC_results/A3_beta_diversity_vs_disease/PIC_mucus_unweighted_unifrac_ordination_PC1_vs_perc_dis/PGLS_results.tsv</t>
  </si>
  <si>
    <t>tissue_unweighted_unifrac_ordination_PC2</t>
  </si>
  <si>
    <t>../output/PIC_results/A3_beta_diversity_vs_disease/PIC_tissue_unweighted_unifrac_ordination_PC2_vs_perc_dis/PGLS_results.tsv</t>
  </si>
  <si>
    <t>lambda : 0.942240249086524 (95% CI  NA  -  NA )</t>
  </si>
  <si>
    <t>all_weighted_unifrac_ordination_PC1</t>
  </si>
  <si>
    <t>../output/PIC_results/A3_beta_diversity_vs_disease/PIC_all_weighted_unifrac_ordination_PC1_vs_perc_dis/PGLS_results.tsv</t>
  </si>
  <si>
    <t>lambda : 0.954213137499522 (95% CI  NA  -  NA )</t>
  </si>
  <si>
    <t>tissue_unweighted_unifrac_ordination_PC3</t>
  </si>
  <si>
    <t>../output/PIC_results/A3_beta_diversity_vs_disease/PIC_tissue_unweighted_unifrac_ordination_PC3_vs_perc_dis/PGLS_results.tsv</t>
  </si>
  <si>
    <t>lambda : 1e-06 (95% CI  NA  -  NA )</t>
  </si>
  <si>
    <t>skeleton_unweighted_unifrac_ordination_PC2</t>
  </si>
  <si>
    <t>../output/PIC_results/A3_beta_diversity_vs_disease/PIC_skeleton_unweighted_unifrac_ordination_PC2_vs_perc_dis/PGLS_results.tsv</t>
  </si>
  <si>
    <t>lambda : 0.953124685620381 (95% CI  NA  -  NA )</t>
  </si>
  <si>
    <t>mucus_unweighted_unifrac_ordination_PC3</t>
  </si>
  <si>
    <t>../output/PIC_results/A3_beta_diversity_vs_disease/PIC_mucus_unweighted_unifrac_ordination_PC3_vs_perc_dis/PGLS_results.tsv</t>
  </si>
  <si>
    <t>mucus_weighted_unifrac_ordination_PC3</t>
  </si>
  <si>
    <t>../output/PIC_results/A3_beta_diversity_vs_disease/PIC_mucus_weighted_unifrac_ordination_PC3_vs_perc_dis/PGLS_results.tsv</t>
  </si>
  <si>
    <t>all_weighted_unifrac_ordination_PC3</t>
  </si>
  <si>
    <t>../output/PIC_results/A3_beta_diversity_vs_disease/PIC_all_weighted_unifrac_ordination_PC3_vs_perc_dis/PGLS_results.tsv</t>
  </si>
  <si>
    <t>lambda : 0.968346591774972 (95% CI  NA  -  NA )</t>
  </si>
  <si>
    <t>mucus_weighted_unifrac_ordination_PC1</t>
  </si>
  <si>
    <t>../output/PIC_results/A3_beta_diversity_vs_disease/PIC_mucus_weighted_unifrac_ordination_PC1_vs_perc_dis/PGLS_results.tsv</t>
  </si>
  <si>
    <t>mucus_weighted_unifrac_ordination_PC2</t>
  </si>
  <si>
    <t>../output/PIC_results/A3_beta_diversity_vs_disease/PIC_mucus_weighted_unifrac_ordination_PC2_vs_perc_dis/PGLS_results.tsv</t>
  </si>
  <si>
    <t>tissue_weighted_unifrac_ordination_PC1</t>
  </si>
  <si>
    <t>../output/PIC_results/A3_beta_diversity_vs_disease/PIC_tissue_weighted_unifrac_ordination_PC1_vs_perc_dis/PGLS_results.tsv</t>
  </si>
  <si>
    <t>lambda : 0.938909563243833 (95% CI  NA  -  NA )</t>
  </si>
  <si>
    <t>tissue_weighted_unifrac_ordination_PC3</t>
  </si>
  <si>
    <t>../output/PIC_results/A3_beta_diversity_vs_disease/PIC_tissue_weighted_unifrac_ordination_PC3_vs_perc_dis/PGLS_results.tsv</t>
  </si>
  <si>
    <t>lambda : 0.944121218081088 (95% CI  NA  -  NA )</t>
  </si>
  <si>
    <t>all_unweighted_unifrac_ordination_PC2</t>
  </si>
  <si>
    <t>../output/PIC_results/A3_beta_diversity_vs_disease/PIC_all_unweighted_unifrac_ordination_PC2_vs_perc_dis/PGLS_results.tsv</t>
  </si>
  <si>
    <t>lambda : 0.957632150272224 (95% CI  NA  -  NA )</t>
  </si>
  <si>
    <t>skeleton_weighted_unifrac_ordination_PC1</t>
  </si>
  <si>
    <t>../output/PIC_results/A3_beta_diversity_vs_disease/PIC_skeleton_weighted_unifrac_ordination_PC1_vs_perc_dis/PGLS_results.tsv</t>
  </si>
  <si>
    <t>lambda : 0.942125842276085 (95% CI  NA  -  NA )</t>
  </si>
  <si>
    <t>tissue_unweighted_unifrac_ordination_PC1</t>
  </si>
  <si>
    <t>../output/PIC_results/A3_beta_diversity_vs_disease/PIC_tissue_unweighted_unifrac_ordination_PC1_vs_perc_dis/PGLS_results.tsv</t>
  </si>
  <si>
    <t>lambda : 0.940789330511089 (95% CI  NA  -  NA )</t>
  </si>
  <si>
    <t>skeleton_unweighted_unifrac_ordination_PC3</t>
  </si>
  <si>
    <t>../output/PIC_results/A3_beta_diversity_vs_disease/PIC_skeleton_unweighted_unifrac_ordination_PC3_vs_perc_dis/PGLS_results.tsv</t>
  </si>
  <si>
    <t>lambda : 0.951778228305893 (95% CI  NA  -  NA )</t>
  </si>
  <si>
    <t>mucus_unweighted_unifrac_ordination_PC2</t>
  </si>
  <si>
    <t>../output/PIC_results/A3_beta_diversity_vs_disease/PIC_mucus_unweighted_unifrac_ordination_PC2_vs_perc_dis/PGLS_results.tsv</t>
  </si>
  <si>
    <t>skeleton_unweighted_unifrac_ordination_PC1</t>
  </si>
  <si>
    <t>../output/PIC_results/A3_beta_diversity_vs_disease/PIC_skeleton_unweighted_unifrac_ordination_PC1_vs_perc_dis/PGLS_results.tsv</t>
  </si>
  <si>
    <t>lambda : 0.946187214100755 (95% CI  NA  -  NA )</t>
  </si>
  <si>
    <t>lambda : 1 (95% CI  0.70759688900053  -  NA )</t>
  </si>
  <si>
    <t>delta : 1 (95% CI  0.238620581808796  -  NA )</t>
  </si>
  <si>
    <t>delta : 1 (95% CI  0.242537426861165  -  NA )</t>
  </si>
  <si>
    <t>kappa : 1 (95% CI  0.575181742352454  -  NA )</t>
  </si>
  <si>
    <t>kappa : 1 (95% CI  0.254454250697414  -  NA )</t>
  </si>
  <si>
    <t>kappa : 0.698811112562306 (95% CI  0.108925881745064  -  NA )</t>
  </si>
  <si>
    <t>delta : 1 (95% CI  0.16719830555115  -  NA )</t>
  </si>
  <si>
    <t>kappa : 0.744472867079561 (95% CI  0.133902765423709  -  NA )</t>
  </si>
  <si>
    <t>kappa : 0.706322450052742 (95% CI  0.137076179823985  -  NA )</t>
  </si>
  <si>
    <t>delta : 1 (95% CI  0.223717421520776  -  NA )</t>
  </si>
  <si>
    <t>lambda : 1 (95% CI  NA  -  NA )</t>
  </si>
  <si>
    <t>delta : 1 (95% CI  0.221189925574673  -  NA )</t>
  </si>
  <si>
    <t>kappa : 1 (95% CI  0.518621857116882  -  NA )</t>
  </si>
  <si>
    <t>lambda : 0.212255700036425 (95% CI  NA  -  NA )</t>
  </si>
  <si>
    <t>kappa : 0.683060833703634 (95% CI  NA  -  NA )</t>
  </si>
  <si>
    <t>kappa : 0.832999076231776 (95% CI  0.206846674528124  -  NA )</t>
  </si>
  <si>
    <t>kappa : 0.760702769322233 (95% CI  0.18325538955946  -  NA )</t>
  </si>
  <si>
    <t>delta : 1 (95% CI  0.235674046958191  -  NA )</t>
  </si>
  <si>
    <t>delta : 1 (95% CI  0.153512194086578  -  NA )</t>
  </si>
  <si>
    <t>delta : 1 (95% CI  0.234656072186642  -  NA )</t>
  </si>
  <si>
    <t>delta : 1 (95% CI  0.235307138889397  -  NA )</t>
  </si>
  <si>
    <t>kappa : 1 (95% CI  0.552991674203436  -  NA )</t>
  </si>
  <si>
    <t>delta : 1 (95% CI  0.213854403413027  -  NA )</t>
  </si>
  <si>
    <t>delta : 1 (95% CI  0.242651739949769  -  NA )</t>
  </si>
  <si>
    <t>kappa : 0.722927674317943 (95% CI  0.141828902514964  -  NA )</t>
  </si>
  <si>
    <t>lambda : 1 (95% CI  0.673015667468664  -  NA )</t>
  </si>
  <si>
    <t>delta : 1 (95% CI  0.220205503767308  -  NA )</t>
  </si>
  <si>
    <t>lambda : 1 (95% CI  0.753217075800477  -  NA )</t>
  </si>
  <si>
    <t>kappa : 1 (95% CI  0.534340121866065  -  NA )</t>
  </si>
  <si>
    <t>kappa : 0.767866809256055 (95% CI  0.178935726270687  -  NA )</t>
  </si>
  <si>
    <t>delta : 1 (95% CI  0.206128616412942  -  NA )</t>
  </si>
  <si>
    <t>delta : 1 (95% CI  0.188892522423442  -  NA )</t>
  </si>
  <si>
    <t>delta : 1 (95% CI  0.224107060197394  -  NA )</t>
  </si>
  <si>
    <t>kappa : 0.679570762749031 (95% CI  0.0632369141808565  -  NA )</t>
  </si>
  <si>
    <t>kappa : 0.785916341311351 (95% CI  0.203283885509855  -  NA )</t>
  </si>
  <si>
    <t>delta : 1 (95% CI  0.237329407349459  -  NA )</t>
  </si>
  <si>
    <t>kappa : 0.86530225883281 (95% CI  0.201855195381966  -  NA )</t>
  </si>
  <si>
    <t>kappa : 1 (95% CI  0.590081684304865  -  NA )</t>
  </si>
  <si>
    <t>kappa : 0.62424528450369 (95% CI  NA  -  NA )</t>
  </si>
  <si>
    <t>kappa : 0.707541807498782 (95% CI  0.124607640657782  -  NA )</t>
  </si>
  <si>
    <t>delta : 1 (95% CI  0.147246008990671  -  NA )</t>
  </si>
  <si>
    <t>kappa : 0.85985257979421 (95% CI  0.104543975956456  -  NA )</t>
  </si>
  <si>
    <t>delta : 1 (95% CI  0.232679414687621  -  NA )</t>
  </si>
  <si>
    <t>kappa : 0.769042982512335 (95% CI  0.165424137002266  -  NA )</t>
  </si>
  <si>
    <t>kappa : 0.720290256640974 (95% CI  0.129488140970012  -  NA )</t>
  </si>
  <si>
    <t>lambda : 1 (95% CI  0.780942223963863  -  NA )</t>
  </si>
  <si>
    <t>delta : 1 (95% CI  0.161227620293165  -  NA )</t>
  </si>
  <si>
    <t>delta : 1 (95% CI  0.240941023814951  -  NA )</t>
  </si>
  <si>
    <t>kappa : 0.722574554840226 (95% CI  0.154857243195053  -  NA )</t>
  </si>
  <si>
    <t>delta : 1 (95% CI  0.228689676125408  -  NA )</t>
  </si>
  <si>
    <t>delta : 1 (95% CI  0.158222219164655  -  NA )</t>
  </si>
  <si>
    <t>kappa : 1 (95% CI  0.296859968664675  -  NA )</t>
  </si>
  <si>
    <t>delta : 1 (95% CI  0.154497270138009  -  NA )</t>
  </si>
  <si>
    <t>delta : 1 (95% CI  0.227020502659246  -  NA )</t>
  </si>
  <si>
    <t>gamma_proteobacteria_dominance_vs_disease</t>
  </si>
  <si>
    <t>most_abundant_class_all</t>
  </si>
  <si>
    <t>D_0__Bacteria;D_1__Proteobacteria;D_2__Gammaproteobacteria</t>
  </si>
  <si>
    <t>../output/PIC_results/A4_gamma_proteobacteria_dominance_vs_disease/PIC_dominance_all_vs_perc_dis_most_abundant_class_all_is_D_0__Bacteria_D_1__Proteobacteria_D_2__Gammaproteobacteria/PGLS_results.tsv</t>
  </si>
  <si>
    <t>28.3724541904814 - 69.1288948582862</t>
  </si>
  <si>
    <t>lambda : 1e-06 (95% CI  NA  -  0.498278180976615 )</t>
  </si>
  <si>
    <t>most_abundant_class_skeleton</t>
  </si>
  <si>
    <t>D_0__Bacteria;D_1__Proteobacteria;D_2__Alphaproteobacteria</t>
  </si>
  <si>
    <t>../output/PIC_results/A4_gamma_proteobacteria_dominance_vs_disease/PIC_dominance_skeleton_vs_perc_dis_most_abundant_class_skeleton_is_D_0__Bacteria_D_1__Proteobacteria_D_2__Alphaproteobacteria/PGLS_results.tsv</t>
  </si>
  <si>
    <t>lambda : 1e-06 (95% CI  NA  -  0.944768021013655 )</t>
  </si>
  <si>
    <t>../output/PIC_results/A4_gamma_proteobacteria_dominance_vs_disease/PIC_observed_features_skeleton_vs_perc_dis_most_abundant_class_skeleton_is_D_0__Bacteria_D_1__Proteobacteria_D_2__Gammaproteobacteria/PGLS_results.tsv</t>
  </si>
  <si>
    <t>delta : 0.654788600914862 (95% CI  0.0336328076232054  -  NA )</t>
  </si>
  <si>
    <t>../output/PIC_results/A4_gamma_proteobacteria_dominance_vs_disease/PIC_gini_index_skeleton_vs_perc_dis_most_abundant_class_skeleton_is_D_0__Bacteria_D_1__Proteobacteria_D_2__Alphaproteobacteria/PGLS_results.tsv</t>
  </si>
  <si>
    <t>lambda : 1e-06 (95% CI  NA  -  0.672347417652944 )</t>
  </si>
  <si>
    <t>most_abundant_class_mucus</t>
  </si>
  <si>
    <t>../output/PIC_results/A4_gamma_proteobacteria_dominance_vs_disease/PIC_gini_index_mucus_vs_perc_dis_most_abundant_class_mucus_is_D_0__Bacteria_D_1__Proteobacteria_D_2__Gammaproteobacteria/PGLS_results.tsv</t>
  </si>
  <si>
    <t>lambda : 0.0376433296925156 (95% CI  NA  -  0.709081432030689 )</t>
  </si>
  <si>
    <t>../output/PIC_results/A4_gamma_proteobacteria_dominance_vs_disease/PIC_observed_features_mucus_vs_perc_dis_most_abundant_class_mucus_is_D_0__Bacteria_D_1__Proteobacteria_D_2__Alphaproteobacteria/PGLS_results.tsv</t>
  </si>
  <si>
    <t>lambda : 1e-06 (95% CI  NA  -  0.551823809415837 )</t>
  </si>
  <si>
    <t>most_abundant_class_tissue</t>
  </si>
  <si>
    <t>../output/PIC_results/A4_gamma_proteobacteria_dominance_vs_disease/PIC_dominance_tissue_vs_perc_dis_most_abundant_class_tissue_is_D_0__Bacteria_D_1__Proteobacteria_D_2__Gammaproteobacteria/PGLS_results.tsv</t>
  </si>
  <si>
    <t>11.6981713440848 - 35.037504303491</t>
  </si>
  <si>
    <t>lambda : 1e-06 (95% CI  NA  -  0.532109198401374 )</t>
  </si>
  <si>
    <t>../output/PIC_results/A4_gamma_proteobacteria_dominance_vs_disease/PIC_observed_features_mucus_vs_perc_dis_most_abundant_class_mucus_is_D_0__Bacteria_D_1__Proteobacteria_D_2__Gammaproteobacteria/PGLS_results.tsv</t>
  </si>
  <si>
    <t>lambda : 0.138866215851876 (95% CI  NA  -  0.757465207501403 )</t>
  </si>
  <si>
    <t>../output/PIC_results/A4_gamma_proteobacteria_dominance_vs_disease/PIC_dominance_all_vs_perc_dis_most_abundant_class_all_is_D_0__Bacteria_D_1__Proteobacteria_D_2__Alphaproteobacteria/PGLS_results.tsv</t>
  </si>
  <si>
    <t>lambda : 1e-06 (95% CI  NA  -  0.694460120940752 )</t>
  </si>
  <si>
    <t>../output/PIC_results/A4_gamma_proteobacteria_dominance_vs_disease/PIC_observed_features_skeleton_vs_perc_dis_most_abundant_class_skeleton_is_D_0__Bacteria_D_1__Proteobacteria_D_2__Alphaproteobacteria/PGLS_results.tsv</t>
  </si>
  <si>
    <t>lambda : 1e-06 (95% CI  NA  -  0.823175161239 )</t>
  </si>
  <si>
    <t>../output/PIC_results/A4_gamma_proteobacteria_dominance_vs_disease/PIC_dominance_skeleton_vs_perc_dis_most_abundant_class_skeleton_is_D_0__Bacteria_D_1__Proteobacteria_D_2__Gammaproteobacteria/PGLS_results.tsv</t>
  </si>
  <si>
    <t>2.37071895398304 - 18.1239140387005</t>
  </si>
  <si>
    <t>delta : 0.299030411266278 (95% CI  0.0147478768818129  -  NA )</t>
  </si>
  <si>
    <t>../output/PIC_results/A4_gamma_proteobacteria_dominance_vs_disease/PIC_dominance_mucus_vs_perc_dis_most_abundant_class_mucus_is_D_0__Bacteria_D_1__Proteobacteria_D_2__Gammaproteobacteria/PGLS_results.tsv</t>
  </si>
  <si>
    <t>lambda : 0.110742023156183 (95% CI  NA  -  0.732233834425093 )</t>
  </si>
  <si>
    <t>../output/PIC_results/A4_gamma_proteobacteria_dominance_vs_disease/PIC_dominance_mucus_vs_perc_dis_most_abundant_class_mucus_is_D_0__Bacteria_D_1__Proteobacteria_D_2__Alphaproteobacteria/PGLS_results.tsv</t>
  </si>
  <si>
    <t>lambda : 1e-06 (95% CI  NA  -  0.551182351649086 )</t>
  </si>
  <si>
    <t>../output/PIC_results/A4_gamma_proteobacteria_dominance_vs_disease/PIC_gini_index_skeleton_vs_perc_dis_most_abundant_class_skeleton_is_D_0__Bacteria_D_1__Proteobacteria_D_2__Gammaproteobacteria/PGLS_results.tsv</t>
  </si>
  <si>
    <t>delta : 0.958560426783391 (95% CI  0.0511166579915341  -  NA )</t>
  </si>
  <si>
    <t>../output/PIC_results/A4_gamma_proteobacteria_dominance_vs_disease/PIC_observed_features_all_vs_perc_dis_most_abundant_class_all_is_D_0__Bacteria_D_1__Proteobacteria_D_2__Gammaproteobacteria/PGLS_results.tsv</t>
  </si>
  <si>
    <t>lambda : 1e-06 (95% CI  NA  -  0.307209560627723 )</t>
  </si>
  <si>
    <t>../output/PIC_results/A4_gamma_proteobacteria_dominance_vs_disease/PIC_gini_index_tissue_vs_perc_dis_most_abundant_class_tissue_is_D_0__Bacteria_D_1__Proteobacteria_D_2__Alphaproteobacteria/PGLS_results.tsv</t>
  </si>
  <si>
    <t>lambda : 1e-06 (95% CI  NA  -  0.487937284737627 )</t>
  </si>
  <si>
    <t>../output/PIC_results/A4_gamma_proteobacteria_dominance_vs_disease/PIC_observed_features_tissue_vs_perc_dis_most_abundant_class_tissue_is_D_0__Bacteria_D_1__Proteobacteria_D_2__Gammaproteobacteria/PGLS_results.tsv</t>
  </si>
  <si>
    <t>lambda : 1e-06 (95% CI  NA  -  0.333331286055697 )</t>
  </si>
  <si>
    <t>../output/PIC_results/A4_gamma_proteobacteria_dominance_vs_disease/PIC_observed_features_tissue_vs_perc_dis_most_abundant_class_tissue_is_D_0__Bacteria_D_1__Proteobacteria_D_2__Alphaproteobacteria/PGLS_results.tsv</t>
  </si>
  <si>
    <t>lambda : 1e-06 (95% CI  NA  -  0.508070932672775 )</t>
  </si>
  <si>
    <t>../output/PIC_results/A4_gamma_proteobacteria_dominance_vs_disease/PIC_dominance_tissue_vs_perc_dis_most_abundant_class_tissue_is_D_0__Bacteria_D_1__Proteobacteria_D_2__Alphaproteobacteria/PGLS_results.tsv</t>
  </si>
  <si>
    <t>lambda : 1e-06 (95% CI  NA  -  0.481059692740632 )</t>
  </si>
  <si>
    <t>../output/PIC_results/A4_gamma_proteobacteria_dominance_vs_disease/PIC_gini_index_all_vs_perc_dis_most_abundant_class_all_is_D_0__Bacteria_D_1__Proteobacteria_D_2__Gammaproteobacteria/PGLS_results.tsv</t>
  </si>
  <si>
    <t>lambda : 1e-06 (95% CI  NA  -  0.274999860633366 )</t>
  </si>
  <si>
    <t>../output/PIC_results/A4_gamma_proteobacteria_dominance_vs_disease/PIC_gini_index_mucus_vs_perc_dis_most_abundant_class_mucus_is_D_0__Bacteria_D_1__Proteobacteria_D_2__Alphaproteobacteria/PGLS_results.tsv</t>
  </si>
  <si>
    <t>lambda : 1e-06 (95% CI  NA  -  0.581721348649964 )</t>
  </si>
  <si>
    <t>../output/PIC_results/A4_gamma_proteobacteria_dominance_vs_disease/PIC_gini_index_all_vs_perc_dis_most_abundant_class_all_is_D_0__Bacteria_D_1__Proteobacteria_D_2__Alphaproteobacteria/PGLS_results.tsv</t>
  </si>
  <si>
    <t>lambda : 1e-06 (95% CI  NA  -  0.648801249512514 )</t>
  </si>
  <si>
    <t>../output/PIC_results/A4_gamma_proteobacteria_dominance_vs_disease/PIC_gini_index_tissue_vs_perc_dis_most_abundant_class_tissue_is_D_0__Bacteria_D_1__Proteobacteria_D_2__Gammaproteobacteria/PGLS_results.tsv</t>
  </si>
  <si>
    <t>lambda : 1e-06 (95% CI  NA  -  0.303885567781902 )</t>
  </si>
  <si>
    <t>../output/PIC_results/A4_gamma_proteobacteria_dominance_vs_disease/PIC_observed_features_all_vs_perc_dis_most_abundant_class_all_is_D_0__Bacteria_D_1__Proteobacteria_D_2__Alphaproteobacteria/PGLS_results.tsv</t>
  </si>
  <si>
    <t>lambda : 0.0992500723188199 (95% CI  NA  -  0.758283078678317 )</t>
  </si>
  <si>
    <t>12.4413855034592 - 33.5253112961667</t>
  </si>
  <si>
    <t>delta : 1 (95% CI  0.320018799224691  -  NA )</t>
  </si>
  <si>
    <t>delta : 1 (95% CI  0.318423764418084  -  NA )</t>
  </si>
  <si>
    <t>kappa : 1e-06 (95% CI  NA  -  0.366075918050827 )</t>
  </si>
  <si>
    <t>38.0653629385671 - 76.276841256062</t>
  </si>
  <si>
    <t>kappa : 0.241308633036577 (95% CI  NA  -  0.984273926090342 )</t>
  </si>
  <si>
    <t>delta : 1 (95% CI  0.346039245523933  -  NA )</t>
  </si>
  <si>
    <t>kappa : 1e-06 (95% CI  NA  -  0.561405435866756 )</t>
  </si>
  <si>
    <t>kappa : 1e-06 (95% CI  NA  -  0.57601799020616 )</t>
  </si>
  <si>
    <t>42.6570144250616 - 78.2507488980242</t>
  </si>
  <si>
    <t>delta : 1 (95% CI  0.308635718191  -  NA )</t>
  </si>
  <si>
    <t>kappa : 1e-06 (95% CI  NA  -  0.533545080478165 )</t>
  </si>
  <si>
    <t>delta : 1 (95% CI  0.309299060092554  -  NA )</t>
  </si>
  <si>
    <t>delta : 1 (95% CI  0.302088731507647  -  NA )</t>
  </si>
  <si>
    <t>kappa : 0.67809819693241 (95% CI  NA  -  NA )</t>
  </si>
  <si>
    <t>delta : 1 (95% CI  0.309882319110904  -  NA )</t>
  </si>
  <si>
    <t>lambda : 1 (95% CI  0.446737133778261  -  NA )</t>
  </si>
  <si>
    <t>delta : 1 (95% CI  0.318784529640203  -  NA )</t>
  </si>
  <si>
    <t>kappa : 0.710782181992082 (95% CI  0.00486353480656315  -  NA )</t>
  </si>
  <si>
    <t>kappa : 1e-06 (95% CI  NA  -  0.247681592334311 )</t>
  </si>
  <si>
    <t>delta : 1 (95% CI  0.288919038229218  -  NA )</t>
  </si>
  <si>
    <t>kappa : 1 (95% CI  0.295230780729929  -  NA )</t>
  </si>
  <si>
    <t>delta : 1 (95% CI  0.320930933986796  -  NA )</t>
  </si>
  <si>
    <t>delta : 1 (95% CI  0.263031455245555  -  NA )</t>
  </si>
  <si>
    <t>kappa : 1e-06 (95% CI  NA  -  0.243729431192337 )</t>
  </si>
  <si>
    <t>kappa : 1e-06 (95% CI  NA  -  0.2707524502641 )</t>
  </si>
  <si>
    <t>delta : 1 (95% CI  0.266854659634006  -  NA )</t>
  </si>
  <si>
    <t>kappa : 0.843137453278794 (95% CI  0.0936642321343217  -  NA )</t>
  </si>
  <si>
    <t>kappa : 1e-06 (95% CI  NA  -  0.319822682700798 )</t>
  </si>
  <si>
    <t>delta : 1 (95% CI  0.239466706465727  -  NA )</t>
  </si>
  <si>
    <t>delta : 1 (95% CI  0.240077157932415  -  NA )</t>
  </si>
  <si>
    <t>kappa : 0.961306974860543 (95% CI  0.193017187003083  -  NA )</t>
  </si>
  <si>
    <t>delta : 1 (95% CI  0.33135791477052  -  NA )</t>
  </si>
  <si>
    <t>kappa : 1e-06 (95% CI  NA  -  0.541262236411689 )</t>
  </si>
  <si>
    <t>kappa : 1e-06 (95% CI  NA  -  0.613336502255229 )</t>
  </si>
  <si>
    <t>kappa : 0.952396457215496 (95% CI  0.246317361555913  -  NA )</t>
  </si>
  <si>
    <t>kappa : 0.306487481756335 (95% CI  NA  -  NA )</t>
  </si>
  <si>
    <t>delta : 1 (95% CI  0.237459084085744  -  NA )</t>
  </si>
  <si>
    <t>kappa : 1e-06 (95% CI  NA  -  0.355080915661231 )</t>
  </si>
  <si>
    <t>kappa : 0.10633550362718 (95% CI  NA  -  0.994730776481837 )</t>
  </si>
  <si>
    <t>16.6720287806703 - 39.2631093241614</t>
  </si>
  <si>
    <t>kappa : 0.0282631942537325 (95% CI  NA  -  0.752938433201062 )</t>
  </si>
  <si>
    <t>delta : 1 (95% CI  0.266281101607352  -  NA )</t>
  </si>
  <si>
    <t>kappa : 1 (95% CI  NA  -  NA )</t>
  </si>
  <si>
    <t>delta : 1 (95% CI  0.277638361776883  -  NA )</t>
  </si>
  <si>
    <t>lambda : 1 (95% CI  0.188643726374197  -  NA )</t>
  </si>
  <si>
    <t>delta : 1 (95% CI  0.322802360104525  -  NA )</t>
  </si>
  <si>
    <t>delta : 1 (95% CI  0.269381592948643  -  NA )</t>
  </si>
  <si>
    <t>lambda : 1 (95% CI  0.0576365621994755  -  NA )</t>
  </si>
  <si>
    <t>delta : 1 (95% CI  0.284862542032322  -  NA )</t>
  </si>
  <si>
    <t>Table S5</t>
  </si>
  <si>
    <t>Endozoicomonas_vs_dominance_and_disease</t>
  </si>
  <si>
    <t>tissue_D_0__Bacteria___D_1__Proteobacteria___D_2__Gammaproteobacteria___D_3__Oceanospirillales___D_4__Endozoicomonadaceae___D_5__Endozoicomonas</t>
  </si>
  <si>
    <t>../output/PIC_results/A5_Endozoicomonas_vs_dominance_and_disease/PIC_tissue_D_0__Bacteria___D_1__Proteobacteria___D_2__Gammaproteobacteria___D_3__Oceanospirillales___D_4__Endozoicomonadaceae___D_5__Endozoicomonas_vs_dominance_tissue/PGLS_results.tsv</t>
  </si>
  <si>
    <t>0.000504105394107334 - 0.000835724281959083</t>
  </si>
  <si>
    <t>lambda : 1e-06 (95% CI  NA  -  0.588663551739053 )</t>
  </si>
  <si>
    <t>../output/PIC_results/A5_Endozoicomonas_vs_dominance_and_disease/PIC_tissue_D_0__Bacteria___D_1__Proteobacteria___D_2__Gammaproteobacteria___D_3__Oceanospirillales___D_4__Endozoicomonadaceae___D_5__Endozoicomonas_vs_observed_features_tissue/PGLS_results.tsv</t>
  </si>
  <si>
    <t>lambda : 0.0357961118923065 (95% CI  NA  -  0.830773799162727 )</t>
  </si>
  <si>
    <t>../output/PIC_results/A5_Endozoicomonas_vs_dominance_and_disease/PIC_tissue_D_0__Bacteria___D_1__Proteobacteria___D_2__Gammaproteobacteria___D_3__Oceanospirillales___D_4__Endozoicomonadaceae___D_5__Endozoicomonas_vs_gini_index_tissue/PGLS_results.tsv</t>
  </si>
  <si>
    <t>lambda : 1e-06 (95% CI  NA  -  0.533765461558564 )</t>
  </si>
  <si>
    <t>../output/PIC_results/A5_Endozoicomonas_vs_dominance_and_disease/PIC_tissue_D_0__Bacteria___D_1__Proteobacteria___D_2__Gammaproteobacteria___D_3__Oceanospirillales___D_4__Endozoicomonadaceae___D_5__Endozoicomonas_vs_perc_dis/PGLS_results.tsv</t>
  </si>
  <si>
    <t>0.00776882626930944 - 0.0223094227323264</t>
  </si>
  <si>
    <t>lambda : 1e-06 (95% CI  NA  -  0.271255987848455 )</t>
  </si>
  <si>
    <t>0.000448276744717259 - 0.000811827562996169</t>
  </si>
  <si>
    <t>0.000493596567592817 - 0.00080393959513008</t>
  </si>
  <si>
    <t>kappa : 0.225348315903438 (95% CI  NA  -  0.539267521091377 )</t>
  </si>
  <si>
    <t>delta : 1 (95% CI  0.435538885291692  -  NA )</t>
  </si>
  <si>
    <t>kappa : 0.159760469547888 (95% CI  NA  -  0.660096548032606 )</t>
  </si>
  <si>
    <t>delta : 1 (95% CI  0.410539626250887  -  NA )</t>
  </si>
  <si>
    <t>kappa : 1e-06 (95% CI  NA  -  0.121362864741749 )</t>
  </si>
  <si>
    <t>delta : 1 (95% CI  0.493262414950923  -  NA )</t>
  </si>
  <si>
    <t>0.00523641443568262 - 0.0187517297621932</t>
  </si>
  <si>
    <t>0.00638108508209557 - 0.0205538332915471</t>
  </si>
  <si>
    <t>kappa : 0.468372104412783 (95% CI  NA  -  0.997791158040675 )</t>
  </si>
  <si>
    <t>delta : 1 (95% CI  0.392847285008373  -  NA )</t>
  </si>
  <si>
    <t>Table S6</t>
  </si>
  <si>
    <t>opportunists_vs_disease</t>
  </si>
  <si>
    <t>tissue_D_0__Bacteria___D_1__Proteobacteria___D_2__Gammaproteobacteria___D_3__Vibrionales</t>
  </si>
  <si>
    <t>../output/PIC_results/A6_opportunists_vs_disease/PIC_tissue_D_0__Bacteria___D_1__Proteobacteria___D_2__Gammaproteobacteria___D_3__Vibrionales_vs_perc_dis/PGLS_results.tsv</t>
  </si>
  <si>
    <t>lambda : 1e-06 (95% CI  NA  -  0.252309196294289 )</t>
  </si>
  <si>
    <t>tissue_D_0__Bacteria___D_1__Cyanobacteria___D_2__Oxyphotobacteria___D_3__Nostocales</t>
  </si>
  <si>
    <t>../output/PIC_results/A6_opportunists_vs_disease/PIC_tissue_D_0__Bacteria___D_1__Cyanobacteria___D_2__Oxyphotobacteria___D_3__Nostocales_vs_perc_dis/PGLS_results.tsv</t>
  </si>
  <si>
    <t>lambda : 1e-06 (95% CI  NA  -  0.235946706126899 )</t>
  </si>
  <si>
    <t>tissue_D_0__Bacteria___D_1__Proteobacteria___D_2__Alphaproteobacteria___D_3__Rickettsiales___D_4__Midichloriaceae___D_5__MD3_55</t>
  </si>
  <si>
    <t>../output/PIC_results/A6_opportunists_vs_disease/PIC_tissue_D_0__Bacteria___D_1__Proteobacteria___D_2__Alphaproteobacteria___D_3__Rickettsiales___D_4__Midichloriaceae___D_5__MD3_55_vs_perc_dis/PGLS_results.tsv</t>
  </si>
  <si>
    <t>lambda : 1e-06 (95% CI  NA  -  0.242545927926044 )</t>
  </si>
  <si>
    <t>kappa : 0.513148517637944 (95% CI  NA  -  NA )</t>
  </si>
  <si>
    <t>delta : 1 (95% CI  0.387654628591345  -  NA )</t>
  </si>
  <si>
    <t>kappa : 0.507584604323327 (95% CI  NA  -  NA )</t>
  </si>
  <si>
    <t>kappa : 0.508819142732241 (95% CI  NA  -  NA )</t>
  </si>
  <si>
    <t>delta : 1 (95% CI  0.38545379162167  -  NA )</t>
  </si>
  <si>
    <t>delta : 1 (95% CI  0.388006820767757  -  NA )</t>
  </si>
  <si>
    <t>Life_history_strategy_vs_Endozoicomonas</t>
  </si>
  <si>
    <t>Weedy</t>
  </si>
  <si>
    <t>../output/PIC_results/A7_Life_history_strategy_vs_Endozoicomonas/PIC_Weedy_vs_tissue_D_0__Bacteria___D_1__Proteobacteria___D_2__Gammaproteobacteria___D_3__Oceanospirillales___D_4__Endozoicomonadaceae___D_5__Endozoicomonas/PGLS_results.tsv</t>
  </si>
  <si>
    <t>77.0650544803659 - 378.576839944171</t>
  </si>
  <si>
    <t>lambda : 1e-06 (95% CI  NA  -  0.180565196749117 )</t>
  </si>
  <si>
    <t>Stress_tolerant</t>
  </si>
  <si>
    <t>../output/PIC_results/A7_Life_history_strategy_vs_Endozoicomonas/PIC_Stress_tolerant_vs_tissue_D_0__Bacteria___D_1__Proteobacteria___D_2__Gammaproteobacteria___D_3__Oceanospirillales___D_4__Endozoicomonadaceae___D_5__Endozoicomonas/PGLS_results.tsv</t>
  </si>
  <si>
    <t>lambda : 1e-06 (95% CI  NA  -  0.261702173778901 )</t>
  </si>
  <si>
    <t>Generalist</t>
  </si>
  <si>
    <t>../output/PIC_results/A7_Life_history_strategy_vs_Endozoicomonas/PIC_Generalist_vs_tissue_D_0__Bacteria___D_1__Proteobacteria___D_2__Gammaproteobacteria___D_3__Oceanospirillales___D_4__Endozoicomonadaceae___D_5__Endozoicomonas/PGLS_results.tsv</t>
  </si>
  <si>
    <t>lambda : 1e-06 (95% CI  NA  -  0.261232688349215 )</t>
  </si>
  <si>
    <t>23.2281071919854 - 523.007610066557</t>
  </si>
  <si>
    <t>kappa : 0.0183895435011849 (95% CI  NA  -  0.581456009087299 )</t>
  </si>
  <si>
    <t>delta : 1 (95% CI  0.432901165069079  -  NA )</t>
  </si>
  <si>
    <t>kappa : 0.182955324078069 (95% CI  NA  -  0.731055273919489 )</t>
  </si>
  <si>
    <t>delta : 1 (95% CI  0.42310263889354  -  NA )</t>
  </si>
  <si>
    <t>kappa : 0.219921808190774 (95% CI  NA  -  0.766951978026393 )</t>
  </si>
  <si>
    <t>delta : 1 (95% CI  0.41840300273109  -  NA )</t>
  </si>
  <si>
    <t>Table S7</t>
  </si>
  <si>
    <t>Endozoicomonas_vs_disease_in_stress_tolerant_corals</t>
  </si>
  <si>
    <t>../output/PIC_results/A8_Endozoicomonas_vs_disease_in_stress_tolerant_corals/PIC_tissue_D_0__Bacteria___D_1__Proteobacteria___D_2__Gammaproteobacteria___D_3__Oceanospirillales___D_4__Endozoicomonadaceae___D_5__Endozoicomonas_vs_perc_dis_Stress_tolerant_is_1/PGLS_results.tsv</t>
  </si>
  <si>
    <t>0.0227027010812898 - 0.0371245167305107</t>
  </si>
  <si>
    <t>lambda : 1e-06 (95% CI  NA  -  0.553879214051648 )</t>
  </si>
  <si>
    <t>0.0123248105783789 - 0.0297114913440805</t>
  </si>
  <si>
    <t>0.0216519098390312 - 0.0337855891745937</t>
  </si>
  <si>
    <t>kappa : 1e-06 (95% CI  NA  -  0.235812732735932 )</t>
  </si>
  <si>
    <t>delta : 1 (95% CI  0.255165909559593  -  NA )</t>
  </si>
  <si>
    <t>Table S8</t>
  </si>
  <si>
    <t>Endozoicomonas_vs_Growth_Rate_all_corals</t>
  </si>
  <si>
    <t>growth_rate_mm_per_year</t>
  </si>
  <si>
    <t>../output/PIC_results/A9a_Endozoicomonas_vs_Growth_Rate_all_corals/PIC_tissue_D_0__Bacteria___D_1__Proteobacteria___D_2__Gammaproteobacteria___D_3__Oceanospirillales___D_4__Endozoicomonadaceae___D_5__Endozoicomonas_vs_growth_rate_mm_per_year/PGLS_results.tsv</t>
  </si>
  <si>
    <t>lambda : 1e-06 (95% CI  NA  -  0.983616456028536 )</t>
  </si>
  <si>
    <t>2.45154097557843e-05 - 0.00028399132760563</t>
  </si>
  <si>
    <t>kappa : 0.519674981216379 (95% CI  NA  -  NA )</t>
  </si>
  <si>
    <t>delta : 1 (95% CI  0.248886762193731  -  NA )</t>
  </si>
  <si>
    <t>Endozoicomonas_vs_Growth_Rate_Endos_Present</t>
  </si>
  <si>
    <t>../output/PIC_results/A9b_Endozoicomonas_vs_Growth_Rate_Endos_Present/PIC_tissue_D_0__Bacteria___D_1__Proteobacteria___D_2__Gammaproteobacteria___D_3__Oceanospirillales___D_4__Endozoicomonadaceae___D_5__Endozoicomonas_vs_growth_rate_mm_per_year/PGLS_results.tsv</t>
  </si>
  <si>
    <t>4.00809251219546e-05 - 0.000318899242727334</t>
  </si>
  <si>
    <t>lambda : 0.268307770905663 (95% CI  NA  -  0.919718164861557 )</t>
  </si>
  <si>
    <t>../output/GCMP_trait_table_with_abundances_and_adiv_and_metadata_and_growth_data.tsv</t>
  </si>
  <si>
    <t>6.07867698122535e-05 - 0.000275942524545866</t>
  </si>
  <si>
    <t>1.70180614038003e-05 - 0.000256336685616132</t>
  </si>
  <si>
    <t>kappa : 0.0609529079070088 (95% CI  NA  -  0.730049885575897 )</t>
  </si>
  <si>
    <t>delta : 1 (95% CI  0.284023075024807  -  NA )</t>
  </si>
  <si>
    <t>Endozoicomonas_vs_Growth_Rate_in_Non_Weedy_Corals_all_corals</t>
  </si>
  <si>
    <t>../output/PIC_results/A10a_Endozoicomonas_vs_Growth_Rate_in_Non_Weedy_Corals_all_corals/PIC_tissue_D_0__Bacteria___D_1__Proteobacteria___D_2__Gammaproteobacteria___D_3__Oceanospirillales___D_4__Endozoicomonadaceae___D_5__Endozoicomonas_vs_growth_rate_mm_per_year_Weedy_is_0/PGLS_results.tsv</t>
  </si>
  <si>
    <t>lambda : 1e-06 (95% CI  NA  -  0.992979224778954 )</t>
  </si>
  <si>
    <t>3.86877045908903e-05 - 0.000470520083989498</t>
  </si>
  <si>
    <t>kappa : 0.588021502602926 (95% CI  NA  -  NA )</t>
  </si>
  <si>
    <t>delta : 1 (95% CI  0.215826104745426  -  NA )</t>
  </si>
  <si>
    <t>Table S11</t>
  </si>
  <si>
    <t>Endozoicomonas_vs_Growth_Rate_in_Non_Weedy_Corals_with_Endozoicomonas</t>
  </si>
  <si>
    <t>../output/PIC_results/A10b_Endozoicomonas_vs_Growth_Rate_in_Non_Weedy_Corals_with_Endozoicomonas/PIC_tissue_D_0__Bacteria___D_1__Proteobacteria___D_2__Gammaproteobacteria___D_3__Oceanospirillales___D_4__Endozoicomonadaceae___D_5__Endozoicomonas_vs_growth_rate_mm_per_year_Weedy_is_0/PGLS_results.tsv</t>
  </si>
  <si>
    <t>7.26728381108874e-05 - 0.000473858044878691</t>
  </si>
  <si>
    <t>lambda : 1e-06 (95% CI  NA  -  0.697362774626478 )</t>
  </si>
  <si>
    <t>0.000124516549467912 - 0.000453483999722157</t>
  </si>
  <si>
    <t>3.01718448016981e-05 - 0.000430223074656324</t>
  </si>
  <si>
    <t>kappa : 1e-06 (95% CI  NA  -  0.784265521906425 )</t>
  </si>
  <si>
    <t>delta : 1 (95% CI  0.254181787124214  -  NA )</t>
  </si>
  <si>
    <t>Table S12</t>
  </si>
  <si>
    <t>growth_rate_vs_disease</t>
  </si>
  <si>
    <t>../output/PIC_results/A11_growth_rate_vs_disease/PIC_growth_rate_mm_per_year_vs_perc_dis/PGLS_results.tsv</t>
  </si>
  <si>
    <t>lambda : 0.962403487747834 (95% CI  NA  -  NA )</t>
  </si>
  <si>
    <t>kappa : 0.845841023407306 (95% CI  0.272155908546565  -  NA )</t>
  </si>
  <si>
    <t>delta : 1 (95% CI  0.206877418293339  -  NA )</t>
  </si>
  <si>
    <t>Table S13</t>
  </si>
  <si>
    <r>
      <t xml:space="preserve">PGLS result summary of alpha diversity vs disease. </t>
    </r>
    <r>
      <rPr>
        <i/>
        <sz val="12"/>
        <color theme="1"/>
        <rFont val="Calibri"/>
        <family val="2"/>
        <scheme val="minor"/>
      </rPr>
      <t>Results generated from the PGLS analysis conducted between alpha diversity and percent disease. The alpha diversity traits (x_trait) could be observed features, gini index or dominance based on compartment (all, mucus, tissue, or skeleton).</t>
    </r>
    <r>
      <rPr>
        <b/>
        <i/>
        <sz val="12"/>
        <color theme="1"/>
        <rFont val="Calibri"/>
        <family val="2"/>
        <scheme val="minor"/>
      </rPr>
      <t xml:space="preserve"> </t>
    </r>
    <r>
      <rPr>
        <i/>
        <sz val="12"/>
        <color theme="1"/>
        <rFont val="Calibri"/>
        <family val="2"/>
        <scheme val="minor"/>
      </rPr>
      <t>PGLS models (Model_name) run had all componants as 1 for each of the variables (Lambda, Delta, or Kappa) as well as set to maximum likley hood (ML) for each of the variable (BM_Lambda, BM_Kappa, BM_Delta). Best model designation is based on the lowest AIC score of the 4 models run with each alpha diversity variable in the 4 compartments: all, mucus, tissue, and skeleton.</t>
    </r>
  </si>
  <si>
    <r>
      <t xml:space="preserve">PGLS results summary alpha diversity vs disease Australia only. </t>
    </r>
    <r>
      <rPr>
        <i/>
        <sz val="12"/>
        <color theme="1"/>
        <rFont val="Calibri"/>
        <family val="2"/>
        <scheme val="minor"/>
      </rPr>
      <t>Results generated from the PGLS analysis conducted between alpha diversity and percent disease for samples collected in Australia only. The alpha diversity traits (x_trait) could be observed features, gini index or dominance based on compartment (all, mucus, tissue, or skeleton). PGLS models (Model_name) run had all componants as 1 for each of the variables (Lambda, Delta, or Kappa) as well as set to maximum likley hood (ML) for each of the variable (BM_Lambda, BM_Kappa, BM_Delta). Best model designation is based on the lowest AIC score of the 4 models run with each alpha diversity variable in the 4 compartments: all, mucus, tissue, and skeleton.</t>
    </r>
  </si>
  <si>
    <r>
      <rPr>
        <b/>
        <sz val="12"/>
        <color theme="1"/>
        <rFont val="Calibri"/>
        <family val="2"/>
        <scheme val="minor"/>
      </rPr>
      <t xml:space="preserve">PGLS Results Summary Gamma Proteobacteria Dominance vs Disease. </t>
    </r>
    <r>
      <rPr>
        <sz val="12"/>
        <color theme="1"/>
        <rFont val="Calibri"/>
        <family val="2"/>
        <scheme val="minor"/>
      </rPr>
      <t>Results generated from the PGLS analysis conducted between alpha diversity and percent disease filtered by samples in which the most abundant bacteria was of the class Gamma Proteobacteria. The alpha diversity traits (x_trait) could be observed features, gini index or dominance based on compartment (all, mucus, tissue, or skeleton). PGLS models (Model_name) run had all componants as 1 for each of the variables (Lambda, Delta, or Kappa) as well as set to maximum likley hood (ML) for each of the variable (BM_Lambda, BM_Kappa, BM_Delta). Best model designation is based on the lowest AIC score of the 4 models run with each alpha diversity variable in the 4 compartments: all, mucus, tissue, and skeleton.</t>
    </r>
  </si>
  <si>
    <r>
      <t xml:space="preserve">PGLS Results Summary Endozoicomonas vs Disease and Dominance. </t>
    </r>
    <r>
      <rPr>
        <i/>
        <sz val="12"/>
        <color theme="1"/>
        <rFont val="Calibri"/>
        <family val="2"/>
        <scheme val="minor"/>
      </rPr>
      <t xml:space="preserve">Results generated from the PGLS analysis conducted between Endozoicomonas and alpha diversity filtered by samples in the tissue. The x_trait column was always filtered to Endozoicomonas wile the alpha diversity traits (y_trait) could be observed features, gini index or dominance in the tissue. PGLS models (Model_name) run had all componants as 1 for each of the variables (Lambda, Delta, or Kappa) as well as set to maximum likley hood (ML) for each of the variable (BM_Lambda, BM_Kappa, BM_Delta). Best model designation is based on the lowest AIC score of the 4 models run with each alpha diversity variable in the tissue compartment. </t>
    </r>
  </si>
  <si>
    <r>
      <t xml:space="preserve">PGLS results summary beta diversity vs disease. </t>
    </r>
    <r>
      <rPr>
        <i/>
        <sz val="12"/>
        <color theme="1"/>
        <rFont val="Calibri"/>
        <family val="2"/>
        <scheme val="minor"/>
      </rPr>
      <t>Results generated from the PGLS analysis conducted between beta diversity and percent disease. The beta diversity traits (x_trait) could be weighted unifrac or unweighted unifrac based on compartment (all, mucus, tissue, or skeleton) and principle components analysis axis (PC1, PC2, or PC3). PGLS models (Model_name) run had all componants as 1 for each of the variables (Lambda, Delta, or Kappa) as well as set to maximum likley hood (ML) for each of the variable (BM_Lambda, BM_Kappa, BM_Delta). Best model designation is based on the lowest AIC score of the 4 models run with each beta diversity and PC axis variable in the 4 compartments: all, mucus, tissue, and skeleton.</t>
    </r>
  </si>
  <si>
    <r>
      <t xml:space="preserve">PGLS Results Summary Opportunists vs Disease. </t>
    </r>
    <r>
      <rPr>
        <i/>
        <sz val="12"/>
        <color theme="1"/>
        <rFont val="Calibri"/>
        <family val="2"/>
        <scheme val="minor"/>
      </rPr>
      <t>Results generated from the PGLS analysis conducted between microbial opportunists and percent disease for samples in the tissue. The x_trait column could be Vibrionales, Nostocales, or Midichloriaceae (MD3 55) wile the y_trait was always percent disease in the tissue. PGLS models (Model_name) run had all componants as 1 for each of the variables (Lambda, Delta, or Kappa) as well as set to maximum likley hood (ML) for each of the variable (BM_Lambda, BM_Kappa, BM_Delta). Best model designation is based on the lowest AIC score of the 4 models run with each oportunist variable in the tissue compartment.</t>
    </r>
  </si>
  <si>
    <r>
      <t xml:space="preserve">PGLS Results Summary Life History Strategy vs Endozoicomonas. </t>
    </r>
    <r>
      <rPr>
        <sz val="12"/>
        <color theme="1"/>
        <rFont val="Calibri"/>
        <family val="2"/>
        <scheme val="minor"/>
      </rPr>
      <t>Results generated from the PGLS analysis conducted between coral life history strategy and Endozoicomonas for samples in the tissue. The life history strategy (x_trait column) could weedy, stress tolerant, or generalist wile the y_trait was Endozoicomonas in the tissue. PGLS models (Model_name) run had all componants as 1 for each of the variables (Lambda, Delta, or Kappa) as well as set to maximum likley hood (ML) for each of the variable (BM_Lambda, BM_Kappa, BM_Delta). Best model designation is based on the lowest AIC score of the 4 models run with each life history strategy in the tissue compartment.</t>
    </r>
  </si>
  <si>
    <r>
      <t xml:space="preserve">PGLS Results Summary Endozoicomonas vs Disease in Stress Tolerant Corals. </t>
    </r>
    <r>
      <rPr>
        <i/>
        <sz val="12"/>
        <color theme="1"/>
        <rFont val="Calibri"/>
        <family val="2"/>
        <scheme val="minor"/>
      </rPr>
      <t>Results generated from the PGLS analysis conducted between Endozoicomonas and percent disease in the tissue. The x_trait column was always Endozoicomonas wile the y_trait was percent disease in the tissue. PGLS models (Model_name) run had all componants as 1 for each of the variables (Lambda, Delta, or Kappa) as well as set to maximum likley hood (ML) for each of the variable (BM_Lambda, BM_Kappa, BM_Delta). Best model designation is based on the lowest AIC score of the 4 models run Endozoicomonas in the tissue compartment.</t>
    </r>
  </si>
  <si>
    <r>
      <t xml:space="preserve">PGLS Result Summary Endozoicomonas vs Growth Rate All Corals. </t>
    </r>
    <r>
      <rPr>
        <i/>
        <sz val="12"/>
        <color theme="1"/>
        <rFont val="Calibri"/>
        <family val="2"/>
        <scheme val="minor"/>
      </rPr>
      <t>Results generated from the PGLS analysis conducted between Endozoicomonas and growth rate in the tissue. The x_trait column was always Endozoicomonas wile the y_trait was growth rate in the tissue. PGLS models (Model_name) run had all componants as 1 for each of the variables (Lambda, Delta, or Kappa) as well as set to maximum likley hood (ML) for each of the variable (BM_Lambda, BM_Kappa, BM_Delta). Best model designation is based on the lowest AIC score of the 4 models run Endozoicomonas in the tissue compartment.</t>
    </r>
  </si>
  <si>
    <r>
      <t xml:space="preserve">PGLS Result Summary Endozoicomonas vs Growth Rate Endos Present. </t>
    </r>
    <r>
      <rPr>
        <i/>
        <sz val="12"/>
        <color theme="1"/>
        <rFont val="Calibri"/>
        <family val="2"/>
        <scheme val="minor"/>
      </rPr>
      <t>Results generated from the PGLS analysis conducted between Endozoicomonas and growth rate in the tissue. The x_trait column was always Endozoicomonas wile the y_trait was growth rate in the tissue. PGLS models (Model_name) run had all componants as 1 for each of the variables (Lambda, Delta, or Kappa) as well as set to maximum likley hood (ML) for each of the variable (BM_Lambda, BM_Kappa, BM_Delta). Best model designation is based on the lowest AIC score of the 4 models run Endozoicomonas in the tissue compartment.</t>
    </r>
  </si>
  <si>
    <r>
      <t>PGLS Result Summary Endozoicomonas vs Growth Rate in Non Weedy Corals all corals.</t>
    </r>
    <r>
      <rPr>
        <i/>
        <sz val="12"/>
        <color theme="1"/>
        <rFont val="Calibri"/>
        <family val="2"/>
        <scheme val="minor"/>
      </rPr>
      <t xml:space="preserve"> Results generated from the PGLS analysis conducted between Endozoicomonas and growth rate in the tissue with weedy corals filtered out. The x_trait column was always Endozoicomonas wile the y_trait was growth rate in the tissue. The weedy corals were filtered out of this analysis. PGLS models (Model_name) run had all componants as 1 for each of the variables (Lambda, Delta, or Kappa) as well as set to maximum likley hood (ML) for each of the variable (BM_Lambda, BM_Kappa, BM_Delta). Best model designation is based on the lowest AIC score of the 4 models run Endozoicomonas in the tissue compartment.</t>
    </r>
  </si>
  <si>
    <r>
      <t xml:space="preserve">PGLS Result Summary Endozoicomonas vs Growth Rate in Non Weedy Corals with Endozoicomonas. </t>
    </r>
    <r>
      <rPr>
        <i/>
        <sz val="12"/>
        <color theme="1"/>
        <rFont val="Calibri"/>
        <family val="2"/>
        <scheme val="minor"/>
      </rPr>
      <t>Results generated from the PGLS analysis conducted between Endozoicomonas and growth rate in the tissue with weedy corals filtered out. The x_trait column was always Endozoicomonas wile the y_trait was growth rate in the tissue. The weedy corals were filtered out of this analysis. PGLS models (Model_name) run had all componants as 1 for each of the variables (Lambda, Delta, or Kappa) as well as set to maximum likley hood (ML) for each of the variable (BM_Lambda, BM_Kappa, BM_Delta). Best model designation is based on the lowest AIC score of the 4 models run Endozoicomonas in the tissue compartment.</t>
    </r>
  </si>
  <si>
    <r>
      <t xml:space="preserve">PGLS Results Summary Growth Rate vs Disease. </t>
    </r>
    <r>
      <rPr>
        <i/>
        <sz val="12"/>
        <color theme="1"/>
        <rFont val="Calibri"/>
        <family val="2"/>
        <scheme val="minor"/>
      </rPr>
      <t>Results generated from the PGLS analysis conducted between growth rate and percent disease in the all compartments combined. The x_trait column was always growth rate wile the y_trait was percent disease.  PGLS models (Model_name) run had all componants as 1 for each of the variables (Lambda, Delta, or Kappa) as well as set to maximum likley hood (ML) for each of the variable (BM_Lambda, BM_Kappa, BM_Delta). Best model designation is based on the lowest AIC score of the 4 models run.</t>
    </r>
  </si>
  <si>
    <t>Table S9</t>
  </si>
  <si>
    <t>Table 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</si>
</sst>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i/>
      <sz val="12"/>
      <color theme="1"/>
      <name val="Calibri"/>
      <family val="2"/>
      <scheme val="minor"/>
    </font>
    <font>
      <b/>
      <sz val="16"/>
      <color theme="1"/>
      <name val="Calibri"/>
      <family val="2"/>
      <scheme val="minor"/>
    </font>
    <font>
      <sz val="16"/>
      <color theme="1"/>
      <name val="Calibri"/>
      <family val="2"/>
      <scheme val="minor"/>
    </font>
    <font>
      <b/>
      <i/>
      <sz val="12"/>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7">
    <border>
      <left/>
      <right/>
      <top/>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11" fontId="0" fillId="0" borderId="0" xfId="0" applyNumberFormat="1"/>
    <xf numFmtId="0" fontId="0" fillId="0" borderId="0" xfId="0" applyAlignment="1">
      <alignment wrapText="1"/>
    </xf>
    <xf numFmtId="0" fontId="3"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5" fillId="0" borderId="2" xfId="0" applyFont="1" applyBorder="1" applyAlignment="1">
      <alignment vertical="top" wrapText="1"/>
    </xf>
    <xf numFmtId="0" fontId="5" fillId="0" borderId="1" xfId="0" applyFont="1" applyBorder="1" applyAlignment="1">
      <alignment vertical="top" wrapText="1"/>
    </xf>
    <xf numFmtId="0" fontId="5" fillId="0" borderId="3" xfId="0" applyFont="1"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0" borderId="3" xfId="0" applyBorder="1" applyAlignment="1">
      <alignment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1" fillId="0" borderId="2"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CDD98-449C-BD4F-BBAF-4A889EF93CB9}">
  <dimension ref="A1:X51"/>
  <sheetViews>
    <sheetView workbookViewId="0">
      <selection activeCell="D18" sqref="D18"/>
    </sheetView>
  </sheetViews>
  <sheetFormatPr defaultColWidth="11.19921875" defaultRowHeight="15.6" x14ac:dyDescent="0.3"/>
  <cols>
    <col min="3" max="3" width="10.796875" customWidth="1"/>
  </cols>
  <sheetData>
    <row r="1" spans="1:24" ht="21" x14ac:dyDescent="0.3">
      <c r="A1" s="4" t="s">
        <v>0</v>
      </c>
      <c r="B1" s="5"/>
      <c r="C1" s="5"/>
      <c r="D1" s="5"/>
      <c r="E1" s="5"/>
      <c r="F1" s="5"/>
      <c r="G1" s="5"/>
      <c r="H1" s="5"/>
      <c r="I1" s="5"/>
      <c r="J1" s="5"/>
      <c r="K1" s="6"/>
    </row>
    <row r="2" spans="1:24" ht="85.2" customHeight="1" thickBot="1" x14ac:dyDescent="0.35">
      <c r="A2" s="7" t="s">
        <v>481</v>
      </c>
      <c r="B2" s="8"/>
      <c r="C2" s="8"/>
      <c r="D2" s="8"/>
      <c r="E2" s="8"/>
      <c r="F2" s="8"/>
      <c r="G2" s="8"/>
      <c r="H2" s="8"/>
      <c r="I2" s="8"/>
      <c r="J2" s="8"/>
      <c r="K2" s="9"/>
    </row>
    <row r="3" spans="1:24"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c r="X3" t="s">
        <v>39</v>
      </c>
    </row>
    <row r="4" spans="1:24" x14ac:dyDescent="0.3">
      <c r="A4" t="s">
        <v>40</v>
      </c>
      <c r="B4" t="s">
        <v>12</v>
      </c>
      <c r="C4" t="s">
        <v>41</v>
      </c>
      <c r="D4">
        <v>4.2656789388809003E-3</v>
      </c>
      <c r="E4">
        <v>0.67360166540775102</v>
      </c>
      <c r="F4">
        <v>0.86695517017851398</v>
      </c>
      <c r="G4">
        <v>-3.7032284261291999E-3</v>
      </c>
      <c r="H4" t="s">
        <v>42</v>
      </c>
      <c r="I4" t="b">
        <v>1</v>
      </c>
      <c r="J4">
        <v>258.269820574064</v>
      </c>
      <c r="K4">
        <v>258.562503500893</v>
      </c>
      <c r="L4">
        <v>0</v>
      </c>
      <c r="M4" t="s">
        <v>43</v>
      </c>
      <c r="N4" t="s">
        <v>43</v>
      </c>
      <c r="O4" t="s">
        <v>44</v>
      </c>
      <c r="P4">
        <f>-0.0208147876059056 - 0.0134083307536471</f>
        <v>-3.4223118359552704E-2</v>
      </c>
      <c r="Q4" t="s">
        <v>45</v>
      </c>
      <c r="R4" t="s">
        <v>46</v>
      </c>
      <c r="S4" t="s">
        <v>47</v>
      </c>
      <c r="T4" t="s">
        <v>48</v>
      </c>
      <c r="U4">
        <v>3.6047418189550799</v>
      </c>
      <c r="V4">
        <v>8.7303873366204997E-3</v>
      </c>
      <c r="W4" t="s">
        <v>49</v>
      </c>
      <c r="X4" t="s">
        <v>50</v>
      </c>
    </row>
    <row r="5" spans="1:24" x14ac:dyDescent="0.3">
      <c r="A5" t="s">
        <v>40</v>
      </c>
      <c r="B5" t="s">
        <v>10</v>
      </c>
      <c r="C5" t="s">
        <v>41</v>
      </c>
      <c r="D5">
        <v>6.7249306875739503E-2</v>
      </c>
      <c r="E5">
        <v>0.106119238083092</v>
      </c>
      <c r="F5">
        <v>0.42447695233236798</v>
      </c>
      <c r="G5">
        <v>12.5833338964772</v>
      </c>
      <c r="H5" t="s">
        <v>42</v>
      </c>
      <c r="I5" t="b">
        <v>1</v>
      </c>
      <c r="J5">
        <v>234.88822481965499</v>
      </c>
      <c r="K5">
        <v>235.212549143979</v>
      </c>
      <c r="L5">
        <v>0</v>
      </c>
      <c r="M5" t="s">
        <v>43</v>
      </c>
      <c r="N5" t="s">
        <v>43</v>
      </c>
      <c r="O5" t="s">
        <v>51</v>
      </c>
      <c r="P5">
        <f>-2.31709871540465 - 27.4837665083591</f>
        <v>-29.800865223763751</v>
      </c>
      <c r="Q5" t="s">
        <v>52</v>
      </c>
      <c r="R5" t="s">
        <v>46</v>
      </c>
      <c r="S5" t="s">
        <v>47</v>
      </c>
      <c r="T5" t="s">
        <v>53</v>
      </c>
      <c r="U5">
        <v>-7.9522946060836297</v>
      </c>
      <c r="V5">
        <v>7.6022615366744102</v>
      </c>
      <c r="W5" t="s">
        <v>49</v>
      </c>
      <c r="X5" t="s">
        <v>50</v>
      </c>
    </row>
    <row r="6" spans="1:24" x14ac:dyDescent="0.3">
      <c r="A6" t="s">
        <v>40</v>
      </c>
      <c r="B6" t="s">
        <v>5</v>
      </c>
      <c r="C6" t="s">
        <v>41</v>
      </c>
      <c r="D6">
        <v>0.26790555874456201</v>
      </c>
      <c r="E6">
        <v>6.2523601240680002E-4</v>
      </c>
      <c r="F6">
        <v>7.5028321488815998E-3</v>
      </c>
      <c r="G6">
        <v>16.661495160162499</v>
      </c>
      <c r="H6" t="s">
        <v>42</v>
      </c>
      <c r="I6" t="b">
        <v>1</v>
      </c>
      <c r="J6">
        <v>225.47419652714501</v>
      </c>
      <c r="K6">
        <v>225.79852085146999</v>
      </c>
      <c r="L6">
        <v>0</v>
      </c>
      <c r="M6" t="s">
        <v>43</v>
      </c>
      <c r="N6" t="s">
        <v>43</v>
      </c>
      <c r="O6" t="s">
        <v>54</v>
      </c>
      <c r="P6" t="s">
        <v>55</v>
      </c>
      <c r="Q6" t="s">
        <v>56</v>
      </c>
      <c r="R6" t="s">
        <v>46</v>
      </c>
      <c r="S6" t="s">
        <v>47</v>
      </c>
      <c r="T6" t="s">
        <v>57</v>
      </c>
      <c r="U6">
        <v>0.30960428800014</v>
      </c>
      <c r="V6">
        <v>4.4680174975827303</v>
      </c>
      <c r="W6" t="s">
        <v>49</v>
      </c>
      <c r="X6" t="s">
        <v>50</v>
      </c>
    </row>
    <row r="7" spans="1:24" x14ac:dyDescent="0.3">
      <c r="A7" t="s">
        <v>40</v>
      </c>
      <c r="B7" t="s">
        <v>8</v>
      </c>
      <c r="C7" t="s">
        <v>41</v>
      </c>
      <c r="D7">
        <v>1.7124283087749999E-3</v>
      </c>
      <c r="E7">
        <v>0.79470890599697197</v>
      </c>
      <c r="F7">
        <v>0.86695517017851398</v>
      </c>
      <c r="G7">
        <v>1.3733636127147499</v>
      </c>
      <c r="H7" t="s">
        <v>42</v>
      </c>
      <c r="I7" t="b">
        <v>1</v>
      </c>
      <c r="J7">
        <v>248.26170696951201</v>
      </c>
      <c r="K7">
        <v>248.56939927720401</v>
      </c>
      <c r="L7">
        <v>0</v>
      </c>
      <c r="M7" t="s">
        <v>43</v>
      </c>
      <c r="N7" t="s">
        <v>43</v>
      </c>
      <c r="O7" t="s">
        <v>58</v>
      </c>
      <c r="P7">
        <f>-8.90285287902029 - 11.6495801044498</f>
        <v>-20.552432983470091</v>
      </c>
      <c r="Q7" t="s">
        <v>59</v>
      </c>
      <c r="R7" t="s">
        <v>46</v>
      </c>
      <c r="S7" t="s">
        <v>47</v>
      </c>
      <c r="T7" t="s">
        <v>60</v>
      </c>
      <c r="U7">
        <v>2.9347382523795398</v>
      </c>
      <c r="V7">
        <v>5.2429675978240002</v>
      </c>
      <c r="W7" t="s">
        <v>49</v>
      </c>
      <c r="X7" t="s">
        <v>50</v>
      </c>
    </row>
    <row r="8" spans="1:24" x14ac:dyDescent="0.3">
      <c r="A8" t="s">
        <v>40</v>
      </c>
      <c r="B8" t="s">
        <v>3</v>
      </c>
      <c r="C8" t="s">
        <v>41</v>
      </c>
      <c r="D8">
        <v>3.0578095224328E-3</v>
      </c>
      <c r="E8">
        <v>0.73468404585486602</v>
      </c>
      <c r="F8">
        <v>0.86695517017851398</v>
      </c>
      <c r="G8">
        <v>2.5792390336561999E-3</v>
      </c>
      <c r="H8" t="s">
        <v>42</v>
      </c>
      <c r="I8" t="b">
        <v>1</v>
      </c>
      <c r="J8">
        <v>237.82552696955199</v>
      </c>
      <c r="K8">
        <v>238.149851293876</v>
      </c>
      <c r="L8">
        <v>0</v>
      </c>
      <c r="M8" t="s">
        <v>43</v>
      </c>
      <c r="N8" t="s">
        <v>43</v>
      </c>
      <c r="O8" t="s">
        <v>61</v>
      </c>
      <c r="P8">
        <f>-0.0122283938672776 - 0.0173868719345901</f>
        <v>-2.9615265801867699E-2</v>
      </c>
      <c r="Q8" t="s">
        <v>56</v>
      </c>
      <c r="R8" t="s">
        <v>46</v>
      </c>
      <c r="S8" t="s">
        <v>47</v>
      </c>
      <c r="T8" t="s">
        <v>62</v>
      </c>
      <c r="U8">
        <v>2.8374125996665902</v>
      </c>
      <c r="V8">
        <v>7.5549147453743996E-3</v>
      </c>
      <c r="W8" t="s">
        <v>49</v>
      </c>
      <c r="X8" t="s">
        <v>50</v>
      </c>
    </row>
    <row r="9" spans="1:24" x14ac:dyDescent="0.3">
      <c r="A9" t="s">
        <v>40</v>
      </c>
      <c r="B9" t="s">
        <v>4</v>
      </c>
      <c r="C9" t="s">
        <v>41</v>
      </c>
      <c r="D9">
        <v>6.8878167334729997E-4</v>
      </c>
      <c r="E9">
        <v>0.872290392179639</v>
      </c>
      <c r="F9">
        <v>0.872290392179639</v>
      </c>
      <c r="G9">
        <v>1.17341996146786</v>
      </c>
      <c r="H9" t="s">
        <v>42</v>
      </c>
      <c r="I9" t="b">
        <v>1</v>
      </c>
      <c r="J9">
        <v>237.920465976825</v>
      </c>
      <c r="K9">
        <v>238.24479030115</v>
      </c>
      <c r="L9">
        <v>0</v>
      </c>
      <c r="M9" t="s">
        <v>43</v>
      </c>
      <c r="N9" t="s">
        <v>43</v>
      </c>
      <c r="O9" t="s">
        <v>63</v>
      </c>
      <c r="P9">
        <f>-13.0376682352235 - 15.3845081581592</f>
        <v>-28.422176393382699</v>
      </c>
      <c r="Q9" t="s">
        <v>56</v>
      </c>
      <c r="R9" t="s">
        <v>46</v>
      </c>
      <c r="S9" t="s">
        <v>47</v>
      </c>
      <c r="T9" t="s">
        <v>64</v>
      </c>
      <c r="U9">
        <v>2.20791078718878</v>
      </c>
      <c r="V9">
        <v>7.2505552023935396</v>
      </c>
      <c r="W9" t="s">
        <v>49</v>
      </c>
      <c r="X9" t="s">
        <v>50</v>
      </c>
    </row>
    <row r="10" spans="1:24" x14ac:dyDescent="0.3">
      <c r="A10" t="s">
        <v>40</v>
      </c>
      <c r="B10" t="s">
        <v>9</v>
      </c>
      <c r="C10" t="s">
        <v>41</v>
      </c>
      <c r="D10">
        <v>2.6406052909523699E-2</v>
      </c>
      <c r="E10">
        <v>0.31642776995488398</v>
      </c>
      <c r="F10">
        <v>0.54244760563694305</v>
      </c>
      <c r="G10">
        <v>-1.35666241133784E-2</v>
      </c>
      <c r="H10" t="s">
        <v>42</v>
      </c>
      <c r="I10" t="b">
        <v>1</v>
      </c>
      <c r="J10">
        <v>236.602479596298</v>
      </c>
      <c r="K10">
        <v>236.92680392062201</v>
      </c>
      <c r="L10">
        <v>0</v>
      </c>
      <c r="M10" t="s">
        <v>43</v>
      </c>
      <c r="N10" t="s">
        <v>43</v>
      </c>
      <c r="O10" t="s">
        <v>65</v>
      </c>
      <c r="P10">
        <f>-0.0397589010128199 - 0.012625652786063</f>
        <v>-5.2384553798882898E-2</v>
      </c>
      <c r="Q10" t="s">
        <v>52</v>
      </c>
      <c r="R10" t="s">
        <v>46</v>
      </c>
      <c r="S10" t="s">
        <v>47</v>
      </c>
      <c r="T10" t="s">
        <v>66</v>
      </c>
      <c r="U10">
        <v>4.4335646929097798</v>
      </c>
      <c r="V10">
        <v>1.33634065813477E-2</v>
      </c>
      <c r="W10" t="s">
        <v>49</v>
      </c>
      <c r="X10" t="s">
        <v>50</v>
      </c>
    </row>
    <row r="11" spans="1:24" x14ac:dyDescent="0.3">
      <c r="A11" t="s">
        <v>40</v>
      </c>
      <c r="B11" t="s">
        <v>6</v>
      </c>
      <c r="C11" t="s">
        <v>41</v>
      </c>
      <c r="D11">
        <v>4.6732025531614997E-3</v>
      </c>
      <c r="E11">
        <v>0.66707733562413196</v>
      </c>
      <c r="F11">
        <v>0.86695517017851398</v>
      </c>
      <c r="G11">
        <v>-3.4099346245796002E-3</v>
      </c>
      <c r="H11" t="s">
        <v>42</v>
      </c>
      <c r="I11" t="b">
        <v>1</v>
      </c>
      <c r="J11">
        <v>248.13695605317301</v>
      </c>
      <c r="K11">
        <v>248.44464836086499</v>
      </c>
      <c r="L11">
        <v>0</v>
      </c>
      <c r="M11" t="s">
        <v>43</v>
      </c>
      <c r="N11" t="s">
        <v>43</v>
      </c>
      <c r="O11" t="s">
        <v>67</v>
      </c>
      <c r="P11">
        <f>-0.0188321823277538 - 0.0120123130785946</f>
        <v>-3.0844495406348399E-2</v>
      </c>
      <c r="Q11" t="s">
        <v>59</v>
      </c>
      <c r="R11" t="s">
        <v>46</v>
      </c>
      <c r="S11" t="s">
        <v>47</v>
      </c>
      <c r="T11" t="s">
        <v>68</v>
      </c>
      <c r="U11">
        <v>3.7019908077188899</v>
      </c>
      <c r="V11">
        <v>7.8684937261091995E-3</v>
      </c>
      <c r="W11" t="s">
        <v>49</v>
      </c>
      <c r="X11" t="s">
        <v>50</v>
      </c>
    </row>
    <row r="12" spans="1:24" x14ac:dyDescent="0.3">
      <c r="A12" t="s">
        <v>40</v>
      </c>
      <c r="B12" t="s">
        <v>13</v>
      </c>
      <c r="C12" t="s">
        <v>41</v>
      </c>
      <c r="D12">
        <v>3.50848824473056E-2</v>
      </c>
      <c r="E12">
        <v>0.22340890821573001</v>
      </c>
      <c r="F12">
        <v>0.51302049408165995</v>
      </c>
      <c r="G12">
        <v>9.0311124489340404</v>
      </c>
      <c r="H12" t="s">
        <v>42</v>
      </c>
      <c r="I12" t="b">
        <v>1</v>
      </c>
      <c r="J12">
        <v>256.88644562752302</v>
      </c>
      <c r="K12">
        <v>257.17912855435202</v>
      </c>
      <c r="L12">
        <v>0</v>
      </c>
      <c r="M12" t="s">
        <v>43</v>
      </c>
      <c r="N12" t="s">
        <v>43</v>
      </c>
      <c r="O12" t="s">
        <v>69</v>
      </c>
      <c r="P12">
        <f>-5.29265358035327 - 23.3548784782213</f>
        <v>-28.647532058574569</v>
      </c>
      <c r="Q12" t="s">
        <v>45</v>
      </c>
      <c r="R12" t="s">
        <v>46</v>
      </c>
      <c r="S12" t="s">
        <v>47</v>
      </c>
      <c r="T12" t="s">
        <v>70</v>
      </c>
      <c r="U12">
        <v>-5.3484243571427896</v>
      </c>
      <c r="V12">
        <v>7.3080438924935303</v>
      </c>
      <c r="W12" t="s">
        <v>49</v>
      </c>
      <c r="X12" t="s">
        <v>50</v>
      </c>
    </row>
    <row r="13" spans="1:24" x14ac:dyDescent="0.3">
      <c r="A13" t="s">
        <v>40</v>
      </c>
      <c r="B13" t="s">
        <v>11</v>
      </c>
      <c r="C13" t="s">
        <v>41</v>
      </c>
      <c r="D13">
        <v>3.3746271337067597E-2</v>
      </c>
      <c r="E13">
        <v>0.25651024704082998</v>
      </c>
      <c r="F13">
        <v>0.51302049408165995</v>
      </c>
      <c r="G13">
        <v>5.7865389746346603</v>
      </c>
      <c r="H13" t="s">
        <v>42</v>
      </c>
      <c r="I13" t="b">
        <v>1</v>
      </c>
      <c r="J13">
        <v>236.29976496351301</v>
      </c>
      <c r="K13">
        <v>236.62408928783799</v>
      </c>
      <c r="L13">
        <v>0</v>
      </c>
      <c r="M13" t="s">
        <v>43</v>
      </c>
      <c r="N13" t="s">
        <v>43</v>
      </c>
      <c r="O13" t="s">
        <v>71</v>
      </c>
      <c r="P13">
        <f>-4.05846396167726 - 15.6315419109466</f>
        <v>-19.69000587262386</v>
      </c>
      <c r="Q13" t="s">
        <v>52</v>
      </c>
      <c r="R13" t="s">
        <v>46</v>
      </c>
      <c r="S13" t="s">
        <v>47</v>
      </c>
      <c r="T13" t="s">
        <v>72</v>
      </c>
      <c r="U13">
        <v>2.0452215019831601</v>
      </c>
      <c r="V13">
        <v>5.0229606817918002</v>
      </c>
      <c r="W13" t="s">
        <v>49</v>
      </c>
      <c r="X13" t="s">
        <v>50</v>
      </c>
    </row>
    <row r="14" spans="1:24" x14ac:dyDescent="0.3">
      <c r="A14" t="s">
        <v>40</v>
      </c>
      <c r="B14" t="s">
        <v>7</v>
      </c>
      <c r="C14" t="s">
        <v>41</v>
      </c>
      <c r="D14">
        <v>3.2275703248874202E-2</v>
      </c>
      <c r="E14">
        <v>0.25493295967107499</v>
      </c>
      <c r="F14">
        <v>0.51302049408165995</v>
      </c>
      <c r="G14">
        <v>7.4663083512837698</v>
      </c>
      <c r="H14" t="s">
        <v>42</v>
      </c>
      <c r="I14" t="b">
        <v>1</v>
      </c>
      <c r="J14">
        <v>246.95575252295399</v>
      </c>
      <c r="K14">
        <v>247.26344483064599</v>
      </c>
      <c r="L14">
        <v>0</v>
      </c>
      <c r="M14" t="s">
        <v>43</v>
      </c>
      <c r="N14" t="s">
        <v>43</v>
      </c>
      <c r="O14" t="s">
        <v>73</v>
      </c>
      <c r="P14">
        <f>-5.20349759638305 - 20.1361142989506</f>
        <v>-25.339611895333647</v>
      </c>
      <c r="Q14" t="s">
        <v>59</v>
      </c>
      <c r="R14" t="s">
        <v>46</v>
      </c>
      <c r="S14" t="s">
        <v>47</v>
      </c>
      <c r="T14" t="s">
        <v>74</v>
      </c>
      <c r="U14">
        <v>-3.44283705964637</v>
      </c>
      <c r="V14">
        <v>6.4641867079932798</v>
      </c>
      <c r="W14" t="s">
        <v>49</v>
      </c>
      <c r="X14" t="s">
        <v>50</v>
      </c>
    </row>
    <row r="15" spans="1:24" x14ac:dyDescent="0.3">
      <c r="A15" t="s">
        <v>40</v>
      </c>
      <c r="B15" t="s">
        <v>14</v>
      </c>
      <c r="C15" t="s">
        <v>41</v>
      </c>
      <c r="D15">
        <v>0.11839485927533</v>
      </c>
      <c r="E15">
        <v>2.2194182557969899E-2</v>
      </c>
      <c r="F15">
        <v>0.13316509534781901</v>
      </c>
      <c r="G15">
        <v>14.081909848158499</v>
      </c>
      <c r="H15" t="s">
        <v>42</v>
      </c>
      <c r="I15" t="b">
        <v>1</v>
      </c>
      <c r="J15">
        <v>252.91342748512301</v>
      </c>
      <c r="K15">
        <v>253.20611041195301</v>
      </c>
      <c r="L15">
        <v>0</v>
      </c>
      <c r="M15" t="s">
        <v>43</v>
      </c>
      <c r="N15" t="s">
        <v>43</v>
      </c>
      <c r="O15" t="s">
        <v>75</v>
      </c>
      <c r="P15" t="s">
        <v>76</v>
      </c>
      <c r="Q15" t="s">
        <v>45</v>
      </c>
      <c r="R15" t="s">
        <v>46</v>
      </c>
      <c r="S15" t="s">
        <v>47</v>
      </c>
      <c r="T15" t="s">
        <v>77</v>
      </c>
      <c r="U15">
        <v>0.76527668160120399</v>
      </c>
      <c r="V15">
        <v>5.9293563046701001</v>
      </c>
      <c r="W15" t="s">
        <v>49</v>
      </c>
      <c r="X15" t="s">
        <v>50</v>
      </c>
    </row>
    <row r="16" spans="1:24" x14ac:dyDescent="0.3">
      <c r="A16" t="s">
        <v>40</v>
      </c>
      <c r="B16" t="s">
        <v>12</v>
      </c>
      <c r="C16" t="s">
        <v>41</v>
      </c>
      <c r="D16">
        <v>3.1498602894097002E-3</v>
      </c>
      <c r="E16">
        <v>0.71746412522459302</v>
      </c>
      <c r="F16" t="s">
        <v>78</v>
      </c>
      <c r="G16">
        <v>3.6029974990121E-3</v>
      </c>
      <c r="H16" t="s">
        <v>79</v>
      </c>
      <c r="I16" t="b">
        <v>0</v>
      </c>
      <c r="J16">
        <v>274.08989193206702</v>
      </c>
      <c r="K16">
        <v>274.38257485889699</v>
      </c>
      <c r="L16">
        <v>15.820071358003901</v>
      </c>
      <c r="M16" t="s">
        <v>43</v>
      </c>
      <c r="N16" t="s">
        <v>43</v>
      </c>
      <c r="O16" t="s">
        <v>44</v>
      </c>
      <c r="P16">
        <f>-0.0157819521907903 - 0.0229879471888146</f>
        <v>-3.87698993796049E-2</v>
      </c>
      <c r="Q16" t="s">
        <v>45</v>
      </c>
      <c r="R16" t="s">
        <v>80</v>
      </c>
      <c r="S16" t="s">
        <v>81</v>
      </c>
      <c r="T16" t="s">
        <v>82</v>
      </c>
      <c r="U16">
        <v>3.0068881987873599</v>
      </c>
      <c r="V16">
        <v>9.8902804539808004E-3</v>
      </c>
      <c r="W16" t="s">
        <v>49</v>
      </c>
      <c r="X16" t="s">
        <v>50</v>
      </c>
    </row>
    <row r="17" spans="1:24" x14ac:dyDescent="0.3">
      <c r="A17" t="s">
        <v>40</v>
      </c>
      <c r="B17" t="s">
        <v>3</v>
      </c>
      <c r="C17" t="s">
        <v>41</v>
      </c>
      <c r="D17">
        <v>4.1149816206371703E-2</v>
      </c>
      <c r="E17">
        <v>0.20934069876257599</v>
      </c>
      <c r="F17" t="s">
        <v>78</v>
      </c>
      <c r="G17">
        <v>1.00931169044265E-2</v>
      </c>
      <c r="H17" t="s">
        <v>83</v>
      </c>
      <c r="I17" t="b">
        <v>0</v>
      </c>
      <c r="J17">
        <v>255.97719106077199</v>
      </c>
      <c r="K17">
        <v>256.30151538509602</v>
      </c>
      <c r="L17">
        <v>18.151664091219999</v>
      </c>
      <c r="M17" t="s">
        <v>43</v>
      </c>
      <c r="N17" t="s">
        <v>43</v>
      </c>
      <c r="O17" t="s">
        <v>61</v>
      </c>
      <c r="P17">
        <f>-0.00539793840670985 - 0.0255841722155628</f>
        <v>-3.098211062227265E-2</v>
      </c>
      <c r="Q17" t="s">
        <v>56</v>
      </c>
      <c r="R17" t="s">
        <v>84</v>
      </c>
      <c r="S17" t="s">
        <v>85</v>
      </c>
      <c r="T17" t="s">
        <v>86</v>
      </c>
      <c r="U17">
        <v>1.95065640615284</v>
      </c>
      <c r="V17">
        <v>7.9035996485389004E-3</v>
      </c>
      <c r="W17" t="s">
        <v>49</v>
      </c>
      <c r="X17" t="s">
        <v>50</v>
      </c>
    </row>
    <row r="18" spans="1:24" x14ac:dyDescent="0.3">
      <c r="A18" t="s">
        <v>40</v>
      </c>
      <c r="B18" t="s">
        <v>13</v>
      </c>
      <c r="C18" t="s">
        <v>41</v>
      </c>
      <c r="D18">
        <v>2.2893070716524001E-3</v>
      </c>
      <c r="E18">
        <v>0.75776352702863603</v>
      </c>
      <c r="F18" t="s">
        <v>78</v>
      </c>
      <c r="G18">
        <v>2.1761000018079302</v>
      </c>
      <c r="H18" t="s">
        <v>79</v>
      </c>
      <c r="I18" t="b">
        <v>0</v>
      </c>
      <c r="J18">
        <v>274.12156087423602</v>
      </c>
      <c r="K18">
        <v>274.41424380106503</v>
      </c>
      <c r="L18">
        <v>17.235115246713001</v>
      </c>
      <c r="M18" t="s">
        <v>43</v>
      </c>
      <c r="N18" t="s">
        <v>43</v>
      </c>
      <c r="O18" t="s">
        <v>69</v>
      </c>
      <c r="P18">
        <f>-11.5630721082837 - 15.9152721118995</f>
        <v>-27.4783442201832</v>
      </c>
      <c r="Q18" t="s">
        <v>45</v>
      </c>
      <c r="R18" t="s">
        <v>80</v>
      </c>
      <c r="S18" t="s">
        <v>81</v>
      </c>
      <c r="T18" t="s">
        <v>87</v>
      </c>
      <c r="U18">
        <v>1.47542924812198</v>
      </c>
      <c r="V18">
        <v>7.0097816888222502</v>
      </c>
      <c r="W18" t="s">
        <v>49</v>
      </c>
      <c r="X18" t="s">
        <v>50</v>
      </c>
    </row>
    <row r="19" spans="1:24" x14ac:dyDescent="0.3">
      <c r="A19" t="s">
        <v>40</v>
      </c>
      <c r="B19" t="s">
        <v>11</v>
      </c>
      <c r="C19" t="s">
        <v>41</v>
      </c>
      <c r="D19">
        <v>7.3241030332721196E-2</v>
      </c>
      <c r="E19">
        <v>9.1214362906509E-2</v>
      </c>
      <c r="F19" t="s">
        <v>78</v>
      </c>
      <c r="G19">
        <v>7.4117234836717598</v>
      </c>
      <c r="H19" t="s">
        <v>79</v>
      </c>
      <c r="I19" t="b">
        <v>0</v>
      </c>
      <c r="J19">
        <v>249.81034411511101</v>
      </c>
      <c r="K19">
        <v>250.13466843943499</v>
      </c>
      <c r="L19">
        <v>13.510579151597</v>
      </c>
      <c r="M19" t="s">
        <v>43</v>
      </c>
      <c r="N19" t="s">
        <v>43</v>
      </c>
      <c r="O19" t="s">
        <v>71</v>
      </c>
      <c r="P19">
        <f>-0.971087191596876 - 15.7945341589404</f>
        <v>-16.765621350537273</v>
      </c>
      <c r="Q19" t="s">
        <v>52</v>
      </c>
      <c r="R19" t="s">
        <v>80</v>
      </c>
      <c r="S19" t="s">
        <v>81</v>
      </c>
      <c r="T19" t="s">
        <v>88</v>
      </c>
      <c r="U19">
        <v>2.1066705318546499</v>
      </c>
      <c r="V19">
        <v>4.27694422207583</v>
      </c>
      <c r="W19" t="s">
        <v>49</v>
      </c>
      <c r="X19" t="s">
        <v>50</v>
      </c>
    </row>
    <row r="20" spans="1:24" x14ac:dyDescent="0.3">
      <c r="A20" t="s">
        <v>40</v>
      </c>
      <c r="B20" t="s">
        <v>4</v>
      </c>
      <c r="C20" t="s">
        <v>41</v>
      </c>
      <c r="D20">
        <v>4.0431067328648004E-3</v>
      </c>
      <c r="E20">
        <v>0.696690159410427</v>
      </c>
      <c r="F20" t="s">
        <v>78</v>
      </c>
      <c r="G20">
        <v>-1.4696165794774501</v>
      </c>
      <c r="H20" t="s">
        <v>89</v>
      </c>
      <c r="I20" t="b">
        <v>0</v>
      </c>
      <c r="J20">
        <v>257.49595647656798</v>
      </c>
      <c r="K20">
        <v>257.82028080089202</v>
      </c>
      <c r="L20">
        <v>19.575490499741999</v>
      </c>
      <c r="M20" t="s">
        <v>43</v>
      </c>
      <c r="N20" t="s">
        <v>43</v>
      </c>
      <c r="O20" t="s">
        <v>63</v>
      </c>
      <c r="P20">
        <f>-8.80344902694051 - 5.8642158679856</f>
        <v>-14.66766489492611</v>
      </c>
      <c r="Q20" t="s">
        <v>56</v>
      </c>
      <c r="R20" t="s">
        <v>90</v>
      </c>
      <c r="S20" t="s">
        <v>43</v>
      </c>
      <c r="T20" t="s">
        <v>91</v>
      </c>
      <c r="U20">
        <v>4.9592385209270597</v>
      </c>
      <c r="V20">
        <v>3.7417512487056399</v>
      </c>
      <c r="W20" t="s">
        <v>49</v>
      </c>
      <c r="X20" t="s">
        <v>50</v>
      </c>
    </row>
    <row r="21" spans="1:24" x14ac:dyDescent="0.3">
      <c r="A21" t="s">
        <v>40</v>
      </c>
      <c r="B21" t="s">
        <v>12</v>
      </c>
      <c r="C21" t="s">
        <v>41</v>
      </c>
      <c r="D21">
        <v>1.05053729888E-4</v>
      </c>
      <c r="E21">
        <v>0.94735204377302495</v>
      </c>
      <c r="F21" t="s">
        <v>78</v>
      </c>
      <c r="G21">
        <v>6.0976000006089995E-4</v>
      </c>
      <c r="H21" t="s">
        <v>89</v>
      </c>
      <c r="I21" t="b">
        <v>0</v>
      </c>
      <c r="J21">
        <v>275.666311599349</v>
      </c>
      <c r="K21">
        <v>275.958994526178</v>
      </c>
      <c r="L21">
        <v>17.396491025284998</v>
      </c>
      <c r="M21" t="s">
        <v>43</v>
      </c>
      <c r="N21" t="s">
        <v>43</v>
      </c>
      <c r="O21" t="s">
        <v>44</v>
      </c>
      <c r="P21">
        <f>-0.0173815093739712 - 0.0186010293740932</f>
        <v>-3.5982538748064397E-2</v>
      </c>
      <c r="Q21" t="s">
        <v>45</v>
      </c>
      <c r="R21" t="s">
        <v>90</v>
      </c>
      <c r="S21" t="s">
        <v>43</v>
      </c>
      <c r="T21" t="s">
        <v>91</v>
      </c>
      <c r="U21">
        <v>3.5005061116226499</v>
      </c>
      <c r="V21">
        <v>9.1792190683837004E-3</v>
      </c>
      <c r="W21" t="s">
        <v>49</v>
      </c>
      <c r="X21" t="s">
        <v>50</v>
      </c>
    </row>
    <row r="22" spans="1:24" x14ac:dyDescent="0.3">
      <c r="A22" t="s">
        <v>40</v>
      </c>
      <c r="B22" t="s">
        <v>13</v>
      </c>
      <c r="C22" t="s">
        <v>41</v>
      </c>
      <c r="D22">
        <v>2.4225778123442001E-3</v>
      </c>
      <c r="E22">
        <v>0.75103126450912505</v>
      </c>
      <c r="F22" t="s">
        <v>78</v>
      </c>
      <c r="G22">
        <v>2.0438934608179702</v>
      </c>
      <c r="H22" t="s">
        <v>83</v>
      </c>
      <c r="I22" t="b">
        <v>0</v>
      </c>
      <c r="J22">
        <v>275.56421145819598</v>
      </c>
      <c r="K22">
        <v>275.85689438502601</v>
      </c>
      <c r="L22">
        <v>18.677765830673899</v>
      </c>
      <c r="M22" t="s">
        <v>43</v>
      </c>
      <c r="N22" t="s">
        <v>43</v>
      </c>
      <c r="O22" t="s">
        <v>69</v>
      </c>
      <c r="P22">
        <f>-10.4997620493634 - 14.5875489709993</f>
        <v>-25.087311020362698</v>
      </c>
      <c r="Q22" t="s">
        <v>45</v>
      </c>
      <c r="R22" t="s">
        <v>84</v>
      </c>
      <c r="S22" t="s">
        <v>85</v>
      </c>
      <c r="T22" t="s">
        <v>92</v>
      </c>
      <c r="U22">
        <v>1.64833027609867</v>
      </c>
      <c r="V22">
        <v>6.3998242398884404</v>
      </c>
      <c r="W22" t="s">
        <v>49</v>
      </c>
      <c r="X22" t="s">
        <v>50</v>
      </c>
    </row>
    <row r="23" spans="1:24" x14ac:dyDescent="0.3">
      <c r="A23" t="s">
        <v>40</v>
      </c>
      <c r="B23" t="s">
        <v>7</v>
      </c>
      <c r="C23" t="s">
        <v>41</v>
      </c>
      <c r="D23">
        <v>1.2347018992561001E-3</v>
      </c>
      <c r="E23">
        <v>0.825156162511125</v>
      </c>
      <c r="F23" t="s">
        <v>78</v>
      </c>
      <c r="G23">
        <v>1.28550333134598</v>
      </c>
      <c r="H23" t="s">
        <v>83</v>
      </c>
      <c r="I23" t="b">
        <v>0</v>
      </c>
      <c r="J23">
        <v>265.87909459344201</v>
      </c>
      <c r="K23">
        <v>266.18678690113398</v>
      </c>
      <c r="L23">
        <v>18.923342070487902</v>
      </c>
      <c r="M23" t="s">
        <v>43</v>
      </c>
      <c r="N23" t="s">
        <v>43</v>
      </c>
      <c r="O23" t="s">
        <v>73</v>
      </c>
      <c r="P23">
        <f>-10.0450193963633 - 12.6160260590553</f>
        <v>-22.661045455418602</v>
      </c>
      <c r="Q23" t="s">
        <v>59</v>
      </c>
      <c r="R23" t="s">
        <v>84</v>
      </c>
      <c r="S23" t="s">
        <v>85</v>
      </c>
      <c r="T23" t="s">
        <v>93</v>
      </c>
      <c r="U23">
        <v>2.4883229514782599</v>
      </c>
      <c r="V23">
        <v>5.7808789427088296</v>
      </c>
      <c r="W23" t="s">
        <v>49</v>
      </c>
      <c r="X23" t="s">
        <v>50</v>
      </c>
    </row>
    <row r="24" spans="1:24" x14ac:dyDescent="0.3">
      <c r="A24" t="s">
        <v>40</v>
      </c>
      <c r="B24" t="s">
        <v>11</v>
      </c>
      <c r="C24" t="s">
        <v>41</v>
      </c>
      <c r="D24">
        <v>6.2991977394391996E-2</v>
      </c>
      <c r="E24">
        <v>0.118255726034374</v>
      </c>
      <c r="F24" t="s">
        <v>78</v>
      </c>
      <c r="G24">
        <v>5.4665346524012204</v>
      </c>
      <c r="H24" t="s">
        <v>89</v>
      </c>
      <c r="I24" t="b">
        <v>0</v>
      </c>
      <c r="J24">
        <v>252.100867023647</v>
      </c>
      <c r="K24">
        <v>252.42519134797101</v>
      </c>
      <c r="L24">
        <v>15.801102060132999</v>
      </c>
      <c r="M24" t="s">
        <v>43</v>
      </c>
      <c r="N24" t="s">
        <v>43</v>
      </c>
      <c r="O24" t="s">
        <v>71</v>
      </c>
      <c r="P24">
        <f>-1.23702398121117 - 12.1700932860136</f>
        <v>-13.40711726722477</v>
      </c>
      <c r="Q24" t="s">
        <v>52</v>
      </c>
      <c r="R24" t="s">
        <v>90</v>
      </c>
      <c r="S24" t="s">
        <v>43</v>
      </c>
      <c r="T24" t="s">
        <v>91</v>
      </c>
      <c r="U24">
        <v>2.5881906811899098</v>
      </c>
      <c r="V24">
        <v>3.4201829763328502</v>
      </c>
      <c r="W24" t="s">
        <v>49</v>
      </c>
      <c r="X24" t="s">
        <v>50</v>
      </c>
    </row>
    <row r="25" spans="1:24" x14ac:dyDescent="0.3">
      <c r="A25" t="s">
        <v>40</v>
      </c>
      <c r="B25" t="s">
        <v>14</v>
      </c>
      <c r="C25" t="s">
        <v>41</v>
      </c>
      <c r="D25">
        <v>0.12706364550221999</v>
      </c>
      <c r="E25">
        <v>1.75479760889234E-2</v>
      </c>
      <c r="F25" t="s">
        <v>78</v>
      </c>
      <c r="G25">
        <v>12.3084508712464</v>
      </c>
      <c r="H25" t="s">
        <v>79</v>
      </c>
      <c r="I25" t="b">
        <v>0</v>
      </c>
      <c r="J25">
        <v>268.33581531375501</v>
      </c>
      <c r="K25">
        <v>268.62849824058497</v>
      </c>
      <c r="L25">
        <v>15.4223878286319</v>
      </c>
      <c r="M25" t="s">
        <v>43</v>
      </c>
      <c r="N25" t="s">
        <v>43</v>
      </c>
      <c r="O25" t="s">
        <v>75</v>
      </c>
      <c r="P25" t="s">
        <v>94</v>
      </c>
      <c r="Q25" t="s">
        <v>45</v>
      </c>
      <c r="R25" t="s">
        <v>80</v>
      </c>
      <c r="S25" t="s">
        <v>81</v>
      </c>
      <c r="T25" t="s">
        <v>95</v>
      </c>
      <c r="U25">
        <v>1.27015708368947</v>
      </c>
      <c r="V25">
        <v>4.9780515085340999</v>
      </c>
      <c r="W25" t="s">
        <v>49</v>
      </c>
      <c r="X25" t="s">
        <v>50</v>
      </c>
    </row>
    <row r="26" spans="1:24" x14ac:dyDescent="0.3">
      <c r="A26" t="s">
        <v>40</v>
      </c>
      <c r="B26" t="s">
        <v>6</v>
      </c>
      <c r="C26" t="s">
        <v>41</v>
      </c>
      <c r="D26">
        <v>6.0308116904905004E-3</v>
      </c>
      <c r="E26">
        <v>0.624959033339619</v>
      </c>
      <c r="F26" t="s">
        <v>78</v>
      </c>
      <c r="G26">
        <v>3.6315003757266999E-3</v>
      </c>
      <c r="H26" t="s">
        <v>89</v>
      </c>
      <c r="I26" t="b">
        <v>0</v>
      </c>
      <c r="J26">
        <v>265.67692315358403</v>
      </c>
      <c r="K26">
        <v>265.98461546127601</v>
      </c>
      <c r="L26">
        <v>17.539967100411001</v>
      </c>
      <c r="M26" t="s">
        <v>43</v>
      </c>
      <c r="N26" t="s">
        <v>43</v>
      </c>
      <c r="O26" t="s">
        <v>67</v>
      </c>
      <c r="P26">
        <f>-0.0108165998662236 - 0.0180796006176771</f>
        <v>-2.8896200483900701E-2</v>
      </c>
      <c r="Q26" t="s">
        <v>59</v>
      </c>
      <c r="R26" t="s">
        <v>90</v>
      </c>
      <c r="S26" t="s">
        <v>43</v>
      </c>
      <c r="T26" t="s">
        <v>91</v>
      </c>
      <c r="U26">
        <v>3.0283914777632899</v>
      </c>
      <c r="V26">
        <v>7.3714797152807003E-3</v>
      </c>
      <c r="W26" t="s">
        <v>49</v>
      </c>
      <c r="X26" t="s">
        <v>50</v>
      </c>
    </row>
    <row r="27" spans="1:24" x14ac:dyDescent="0.3">
      <c r="A27" t="s">
        <v>40</v>
      </c>
      <c r="B27" t="s">
        <v>4</v>
      </c>
      <c r="C27" t="s">
        <v>41</v>
      </c>
      <c r="D27">
        <v>7.4379590980440998E-3</v>
      </c>
      <c r="E27">
        <v>0.59670570850867</v>
      </c>
      <c r="F27" t="s">
        <v>78</v>
      </c>
      <c r="G27">
        <v>-3.1961223968414498</v>
      </c>
      <c r="H27" t="s">
        <v>79</v>
      </c>
      <c r="I27" t="b">
        <v>0</v>
      </c>
      <c r="J27">
        <v>254.85673479296099</v>
      </c>
      <c r="K27">
        <v>255.181059117285</v>
      </c>
      <c r="L27">
        <v>16.936268816134898</v>
      </c>
      <c r="M27" t="s">
        <v>43</v>
      </c>
      <c r="N27" t="s">
        <v>43</v>
      </c>
      <c r="O27" t="s">
        <v>63</v>
      </c>
      <c r="P27">
        <f>-14.9353524539895 - 8.54310766030664</f>
        <v>-23.478460114296141</v>
      </c>
      <c r="Q27" t="s">
        <v>56</v>
      </c>
      <c r="R27" t="s">
        <v>80</v>
      </c>
      <c r="S27" t="s">
        <v>81</v>
      </c>
      <c r="T27" t="s">
        <v>96</v>
      </c>
      <c r="U27">
        <v>6.4777299519871798</v>
      </c>
      <c r="V27">
        <v>5.9894030903816802</v>
      </c>
      <c r="W27" t="s">
        <v>49</v>
      </c>
      <c r="X27" t="s">
        <v>50</v>
      </c>
    </row>
    <row r="28" spans="1:24" x14ac:dyDescent="0.3">
      <c r="A28" t="s">
        <v>40</v>
      </c>
      <c r="B28" t="s">
        <v>9</v>
      </c>
      <c r="C28" t="s">
        <v>41</v>
      </c>
      <c r="D28">
        <v>1.8193086651695001E-2</v>
      </c>
      <c r="E28">
        <v>0.40664155542005997</v>
      </c>
      <c r="F28" t="s">
        <v>78</v>
      </c>
      <c r="G28">
        <v>-8.5755167562987008E-3</v>
      </c>
      <c r="H28" t="s">
        <v>83</v>
      </c>
      <c r="I28" t="b">
        <v>0</v>
      </c>
      <c r="J28">
        <v>253.968979779194</v>
      </c>
      <c r="K28">
        <v>254.29330410351801</v>
      </c>
      <c r="L28">
        <v>17.366500182896001</v>
      </c>
      <c r="M28" t="s">
        <v>43</v>
      </c>
      <c r="N28" t="s">
        <v>43</v>
      </c>
      <c r="O28" t="s">
        <v>65</v>
      </c>
      <c r="P28">
        <f>-0.0286056769129275 - 0.0114546434003301</f>
        <v>-4.0060320313257597E-2</v>
      </c>
      <c r="Q28" t="s">
        <v>52</v>
      </c>
      <c r="R28" t="s">
        <v>84</v>
      </c>
      <c r="S28" t="s">
        <v>85</v>
      </c>
      <c r="T28" t="s">
        <v>97</v>
      </c>
      <c r="U28">
        <v>4.5693338558160796</v>
      </c>
      <c r="V28">
        <v>1.02194694676678E-2</v>
      </c>
      <c r="W28" t="s">
        <v>49</v>
      </c>
      <c r="X28" t="s">
        <v>50</v>
      </c>
    </row>
    <row r="29" spans="1:24" x14ac:dyDescent="0.3">
      <c r="A29" t="s">
        <v>40</v>
      </c>
      <c r="B29" t="s">
        <v>10</v>
      </c>
      <c r="C29" t="s">
        <v>41</v>
      </c>
      <c r="D29">
        <v>3.1693589572139698E-2</v>
      </c>
      <c r="E29">
        <v>0.27174805454954598</v>
      </c>
      <c r="F29" t="s">
        <v>78</v>
      </c>
      <c r="G29">
        <v>8.2677186773174505</v>
      </c>
      <c r="H29" t="s">
        <v>83</v>
      </c>
      <c r="I29" t="b">
        <v>0</v>
      </c>
      <c r="J29">
        <v>253.415136330547</v>
      </c>
      <c r="K29">
        <v>253.73946065487101</v>
      </c>
      <c r="L29">
        <v>18.526911510891999</v>
      </c>
      <c r="M29" t="s">
        <v>43</v>
      </c>
      <c r="N29" t="s">
        <v>43</v>
      </c>
      <c r="O29" t="s">
        <v>51</v>
      </c>
      <c r="P29">
        <f>-6.26244988084349 - 22.7978872354784</f>
        <v>-29.06033711632189</v>
      </c>
      <c r="Q29" t="s">
        <v>52</v>
      </c>
      <c r="R29" t="s">
        <v>84</v>
      </c>
      <c r="S29" t="s">
        <v>85</v>
      </c>
      <c r="T29" t="s">
        <v>98</v>
      </c>
      <c r="U29">
        <v>-3.8014245858037499</v>
      </c>
      <c r="V29">
        <v>7.4133513051841504</v>
      </c>
      <c r="W29" t="s">
        <v>49</v>
      </c>
      <c r="X29" t="s">
        <v>50</v>
      </c>
    </row>
    <row r="30" spans="1:24" x14ac:dyDescent="0.3">
      <c r="A30" t="s">
        <v>40</v>
      </c>
      <c r="B30" t="s">
        <v>8</v>
      </c>
      <c r="C30" t="s">
        <v>41</v>
      </c>
      <c r="D30" s="2">
        <v>7.2065057923917706E-5</v>
      </c>
      <c r="E30">
        <v>0.95744797976223694</v>
      </c>
      <c r="F30" t="s">
        <v>78</v>
      </c>
      <c r="G30">
        <v>0.22210947170758499</v>
      </c>
      <c r="H30" t="s">
        <v>89</v>
      </c>
      <c r="I30" t="b">
        <v>0</v>
      </c>
      <c r="J30">
        <v>265.92795727235199</v>
      </c>
      <c r="K30">
        <v>266.23564958004499</v>
      </c>
      <c r="L30">
        <v>17.666250302840901</v>
      </c>
      <c r="M30" t="s">
        <v>43</v>
      </c>
      <c r="N30" t="s">
        <v>43</v>
      </c>
      <c r="O30" t="s">
        <v>58</v>
      </c>
      <c r="P30">
        <f>-7.88591658133457 - 8.33013552474974</f>
        <v>-16.216052106084312</v>
      </c>
      <c r="Q30" t="s">
        <v>59</v>
      </c>
      <c r="R30" t="s">
        <v>90</v>
      </c>
      <c r="S30" t="s">
        <v>43</v>
      </c>
      <c r="T30" t="s">
        <v>91</v>
      </c>
      <c r="U30">
        <v>3.5958107468808098</v>
      </c>
      <c r="V30">
        <v>4.1367479862460002</v>
      </c>
      <c r="W30" t="s">
        <v>49</v>
      </c>
      <c r="X30" t="s">
        <v>50</v>
      </c>
    </row>
    <row r="31" spans="1:24" x14ac:dyDescent="0.3">
      <c r="A31" t="s">
        <v>40</v>
      </c>
      <c r="B31" t="s">
        <v>8</v>
      </c>
      <c r="C31" t="s">
        <v>41</v>
      </c>
      <c r="D31">
        <v>5.3926569347520004E-4</v>
      </c>
      <c r="E31">
        <v>0.88394177770929805</v>
      </c>
      <c r="F31" t="s">
        <v>78</v>
      </c>
      <c r="G31">
        <v>0.67646123744275799</v>
      </c>
      <c r="H31" t="s">
        <v>79</v>
      </c>
      <c r="I31" t="b">
        <v>0</v>
      </c>
      <c r="J31">
        <v>264.29667915603301</v>
      </c>
      <c r="K31">
        <v>264.60437146372601</v>
      </c>
      <c r="L31">
        <v>16.034972186521902</v>
      </c>
      <c r="M31" t="s">
        <v>43</v>
      </c>
      <c r="N31" t="s">
        <v>43</v>
      </c>
      <c r="O31" t="s">
        <v>58</v>
      </c>
      <c r="P31">
        <f>-8.3486063605311 - 9.70152883541662</f>
        <v>-18.050135195947718</v>
      </c>
      <c r="Q31" t="s">
        <v>59</v>
      </c>
      <c r="R31" t="s">
        <v>80</v>
      </c>
      <c r="S31" t="s">
        <v>81</v>
      </c>
      <c r="T31" t="s">
        <v>99</v>
      </c>
      <c r="U31">
        <v>3.4897522373299998</v>
      </c>
      <c r="V31">
        <v>4.60462632549687</v>
      </c>
      <c r="W31" t="s">
        <v>49</v>
      </c>
      <c r="X31" t="s">
        <v>50</v>
      </c>
    </row>
    <row r="32" spans="1:24" x14ac:dyDescent="0.3">
      <c r="A32" t="s">
        <v>40</v>
      </c>
      <c r="B32" t="s">
        <v>13</v>
      </c>
      <c r="C32" t="s">
        <v>41</v>
      </c>
      <c r="D32">
        <v>2.4225778123442001E-3</v>
      </c>
      <c r="E32">
        <v>0.75103126450912505</v>
      </c>
      <c r="F32" t="s">
        <v>78</v>
      </c>
      <c r="G32">
        <v>2.0438934608179702</v>
      </c>
      <c r="H32" t="s">
        <v>89</v>
      </c>
      <c r="I32" t="b">
        <v>0</v>
      </c>
      <c r="J32">
        <v>275.56421145819598</v>
      </c>
      <c r="K32">
        <v>275.85689438502601</v>
      </c>
      <c r="L32">
        <v>18.677765830673899</v>
      </c>
      <c r="M32" t="s">
        <v>43</v>
      </c>
      <c r="N32" t="s">
        <v>43</v>
      </c>
      <c r="O32" t="s">
        <v>69</v>
      </c>
      <c r="P32">
        <f>-10.4997620493634 - 14.5875489709993</f>
        <v>-25.087311020362698</v>
      </c>
      <c r="Q32" t="s">
        <v>45</v>
      </c>
      <c r="R32" t="s">
        <v>90</v>
      </c>
      <c r="S32" t="s">
        <v>43</v>
      </c>
      <c r="T32" t="s">
        <v>91</v>
      </c>
      <c r="U32">
        <v>1.64833027609867</v>
      </c>
      <c r="V32">
        <v>6.3998242398884404</v>
      </c>
      <c r="W32" t="s">
        <v>49</v>
      </c>
      <c r="X32" t="s">
        <v>50</v>
      </c>
    </row>
    <row r="33" spans="1:24" x14ac:dyDescent="0.3">
      <c r="A33" t="s">
        <v>40</v>
      </c>
      <c r="B33" t="s">
        <v>7</v>
      </c>
      <c r="C33" t="s">
        <v>41</v>
      </c>
      <c r="D33">
        <v>2.409314020446E-3</v>
      </c>
      <c r="E33">
        <v>0.75755600814922797</v>
      </c>
      <c r="F33" t="s">
        <v>78</v>
      </c>
      <c r="G33">
        <v>1.95891924470465</v>
      </c>
      <c r="H33" t="s">
        <v>79</v>
      </c>
      <c r="I33" t="b">
        <v>0</v>
      </c>
      <c r="J33">
        <v>264.21844139921501</v>
      </c>
      <c r="K33">
        <v>264.52613370690801</v>
      </c>
      <c r="L33">
        <v>17.262688876262001</v>
      </c>
      <c r="M33" t="s">
        <v>43</v>
      </c>
      <c r="N33" t="s">
        <v>43</v>
      </c>
      <c r="O33" t="s">
        <v>73</v>
      </c>
      <c r="P33">
        <f>-10.3940709704168 - 14.3119094598261</f>
        <v>-24.705980430242903</v>
      </c>
      <c r="Q33" t="s">
        <v>59</v>
      </c>
      <c r="R33" t="s">
        <v>80</v>
      </c>
      <c r="S33" t="s">
        <v>81</v>
      </c>
      <c r="T33" t="s">
        <v>100</v>
      </c>
      <c r="U33">
        <v>1.8498886901849001</v>
      </c>
      <c r="V33">
        <v>6.30254602812317</v>
      </c>
      <c r="W33" t="s">
        <v>49</v>
      </c>
      <c r="X33" t="s">
        <v>50</v>
      </c>
    </row>
    <row r="34" spans="1:24" x14ac:dyDescent="0.3">
      <c r="A34" t="s">
        <v>40</v>
      </c>
      <c r="B34" t="s">
        <v>5</v>
      </c>
      <c r="C34" t="s">
        <v>41</v>
      </c>
      <c r="D34">
        <v>0.16175787004585801</v>
      </c>
      <c r="E34">
        <v>1.00913768742552E-2</v>
      </c>
      <c r="F34" t="s">
        <v>78</v>
      </c>
      <c r="G34">
        <v>11.4693532792698</v>
      </c>
      <c r="H34" t="s">
        <v>83</v>
      </c>
      <c r="I34" t="b">
        <v>0</v>
      </c>
      <c r="J34">
        <v>250.60007727035301</v>
      </c>
      <c r="K34">
        <v>250.92440159467699</v>
      </c>
      <c r="L34">
        <v>25.125880743206999</v>
      </c>
      <c r="M34" t="s">
        <v>43</v>
      </c>
      <c r="N34" t="s">
        <v>43</v>
      </c>
      <c r="O34" t="s">
        <v>54</v>
      </c>
      <c r="P34" t="s">
        <v>101</v>
      </c>
      <c r="Q34" t="s">
        <v>56</v>
      </c>
      <c r="R34" t="s">
        <v>84</v>
      </c>
      <c r="S34" t="s">
        <v>85</v>
      </c>
      <c r="T34" t="s">
        <v>102</v>
      </c>
      <c r="U34">
        <v>1.38265846465387</v>
      </c>
      <c r="V34">
        <v>4.2354461482448897</v>
      </c>
      <c r="W34" t="s">
        <v>49</v>
      </c>
      <c r="X34" t="s">
        <v>50</v>
      </c>
    </row>
    <row r="35" spans="1:24" x14ac:dyDescent="0.3">
      <c r="A35" t="s">
        <v>40</v>
      </c>
      <c r="B35" t="s">
        <v>14</v>
      </c>
      <c r="C35" t="s">
        <v>41</v>
      </c>
      <c r="D35">
        <v>0.111154107300903</v>
      </c>
      <c r="E35">
        <v>2.6998039146684898E-2</v>
      </c>
      <c r="F35" t="s">
        <v>78</v>
      </c>
      <c r="G35">
        <v>9.5373246412667108</v>
      </c>
      <c r="H35" t="s">
        <v>89</v>
      </c>
      <c r="I35" t="b">
        <v>0</v>
      </c>
      <c r="J35">
        <v>270.48635227452797</v>
      </c>
      <c r="K35">
        <v>270.77903520135698</v>
      </c>
      <c r="L35">
        <v>17.572924789403899</v>
      </c>
      <c r="M35" t="s">
        <v>43</v>
      </c>
      <c r="N35" t="s">
        <v>43</v>
      </c>
      <c r="O35" t="s">
        <v>75</v>
      </c>
      <c r="P35" t="s">
        <v>103</v>
      </c>
      <c r="Q35" t="s">
        <v>45</v>
      </c>
      <c r="R35" t="s">
        <v>90</v>
      </c>
      <c r="S35" t="s">
        <v>43</v>
      </c>
      <c r="T35" t="s">
        <v>91</v>
      </c>
      <c r="U35">
        <v>1.9354317725858901</v>
      </c>
      <c r="V35">
        <v>4.1615239467097496</v>
      </c>
      <c r="W35" t="s">
        <v>49</v>
      </c>
      <c r="X35" t="s">
        <v>50</v>
      </c>
    </row>
    <row r="36" spans="1:24" x14ac:dyDescent="0.3">
      <c r="A36" t="s">
        <v>40</v>
      </c>
      <c r="B36" t="s">
        <v>11</v>
      </c>
      <c r="C36" t="s">
        <v>41</v>
      </c>
      <c r="D36">
        <v>6.2991977394391996E-2</v>
      </c>
      <c r="E36">
        <v>0.118255726034374</v>
      </c>
      <c r="F36" t="s">
        <v>78</v>
      </c>
      <c r="G36">
        <v>5.4665346524012204</v>
      </c>
      <c r="H36" t="s">
        <v>83</v>
      </c>
      <c r="I36" t="b">
        <v>0</v>
      </c>
      <c r="J36">
        <v>252.100867023647</v>
      </c>
      <c r="K36">
        <v>252.42519134797101</v>
      </c>
      <c r="L36">
        <v>15.801102060132999</v>
      </c>
      <c r="M36" t="s">
        <v>43</v>
      </c>
      <c r="N36" t="s">
        <v>43</v>
      </c>
      <c r="O36" t="s">
        <v>71</v>
      </c>
      <c r="P36">
        <f>-1.23702398121117 - 12.1700932860136</f>
        <v>-13.40711726722477</v>
      </c>
      <c r="Q36" t="s">
        <v>52</v>
      </c>
      <c r="R36" t="s">
        <v>84</v>
      </c>
      <c r="S36" t="s">
        <v>85</v>
      </c>
      <c r="T36" t="s">
        <v>104</v>
      </c>
      <c r="U36">
        <v>2.5881906811899098</v>
      </c>
      <c r="V36">
        <v>3.4201829763328502</v>
      </c>
      <c r="W36" t="s">
        <v>49</v>
      </c>
      <c r="X36" t="s">
        <v>50</v>
      </c>
    </row>
    <row r="37" spans="1:24" x14ac:dyDescent="0.3">
      <c r="A37" t="s">
        <v>40</v>
      </c>
      <c r="B37" t="s">
        <v>9</v>
      </c>
      <c r="C37" t="s">
        <v>41</v>
      </c>
      <c r="D37">
        <v>1.8844415882751198E-2</v>
      </c>
      <c r="E37">
        <v>0.39828855184286099</v>
      </c>
      <c r="F37" t="s">
        <v>78</v>
      </c>
      <c r="G37">
        <v>-1.18085579651869E-2</v>
      </c>
      <c r="H37" t="s">
        <v>79</v>
      </c>
      <c r="I37" t="b">
        <v>0</v>
      </c>
      <c r="J37">
        <v>252.060604707127</v>
      </c>
      <c r="K37">
        <v>252.38492903145101</v>
      </c>
      <c r="L37">
        <v>15.458125110829</v>
      </c>
      <c r="M37" t="s">
        <v>43</v>
      </c>
      <c r="N37" t="s">
        <v>43</v>
      </c>
      <c r="O37" t="s">
        <v>65</v>
      </c>
      <c r="P37">
        <f>-0.038900412724415 - 0.0152832967940413</f>
        <v>-5.4183709518456302E-2</v>
      </c>
      <c r="Q37" t="s">
        <v>52</v>
      </c>
      <c r="R37" t="s">
        <v>80</v>
      </c>
      <c r="S37" t="s">
        <v>81</v>
      </c>
      <c r="T37" t="s">
        <v>105</v>
      </c>
      <c r="U37">
        <v>4.88471295217657</v>
      </c>
      <c r="V37">
        <v>1.3822374877157199E-2</v>
      </c>
      <c r="W37" t="s">
        <v>49</v>
      </c>
      <c r="X37" t="s">
        <v>50</v>
      </c>
    </row>
    <row r="38" spans="1:24" x14ac:dyDescent="0.3">
      <c r="A38" t="s">
        <v>40</v>
      </c>
      <c r="B38" t="s">
        <v>4</v>
      </c>
      <c r="C38" t="s">
        <v>41</v>
      </c>
      <c r="D38">
        <v>4.0431067328648004E-3</v>
      </c>
      <c r="E38">
        <v>0.696690159410427</v>
      </c>
      <c r="F38" t="s">
        <v>78</v>
      </c>
      <c r="G38">
        <v>-1.4696165794774501</v>
      </c>
      <c r="H38" t="s">
        <v>83</v>
      </c>
      <c r="I38" t="b">
        <v>0</v>
      </c>
      <c r="J38">
        <v>257.49595647656798</v>
      </c>
      <c r="K38">
        <v>257.82028080089202</v>
      </c>
      <c r="L38">
        <v>19.575490499741999</v>
      </c>
      <c r="M38" t="s">
        <v>43</v>
      </c>
      <c r="N38" t="s">
        <v>43</v>
      </c>
      <c r="O38" t="s">
        <v>63</v>
      </c>
      <c r="P38">
        <f>-8.80344902694051 - 5.8642158679856</f>
        <v>-14.66766489492611</v>
      </c>
      <c r="Q38" t="s">
        <v>56</v>
      </c>
      <c r="R38" t="s">
        <v>84</v>
      </c>
      <c r="S38" t="s">
        <v>85</v>
      </c>
      <c r="T38" t="s">
        <v>106</v>
      </c>
      <c r="U38">
        <v>4.9592385209270597</v>
      </c>
      <c r="V38">
        <v>3.7417512487056399</v>
      </c>
      <c r="W38" t="s">
        <v>49</v>
      </c>
      <c r="X38" t="s">
        <v>50</v>
      </c>
    </row>
    <row r="39" spans="1:24" x14ac:dyDescent="0.3">
      <c r="A39" t="s">
        <v>40</v>
      </c>
      <c r="B39" t="s">
        <v>9</v>
      </c>
      <c r="C39" t="s">
        <v>41</v>
      </c>
      <c r="D39">
        <v>1.8193086651695001E-2</v>
      </c>
      <c r="E39">
        <v>0.40664155542005997</v>
      </c>
      <c r="F39" t="s">
        <v>78</v>
      </c>
      <c r="G39">
        <v>-8.5755167562987008E-3</v>
      </c>
      <c r="H39" t="s">
        <v>89</v>
      </c>
      <c r="I39" t="b">
        <v>0</v>
      </c>
      <c r="J39">
        <v>253.968979779194</v>
      </c>
      <c r="K39">
        <v>254.29330410351801</v>
      </c>
      <c r="L39">
        <v>17.366500182896001</v>
      </c>
      <c r="M39" t="s">
        <v>43</v>
      </c>
      <c r="N39" t="s">
        <v>43</v>
      </c>
      <c r="O39" t="s">
        <v>65</v>
      </c>
      <c r="P39">
        <f>-0.0286056769129275 - 0.0114546434003301</f>
        <v>-4.0060320313257597E-2</v>
      </c>
      <c r="Q39" t="s">
        <v>52</v>
      </c>
      <c r="R39" t="s">
        <v>90</v>
      </c>
      <c r="S39" t="s">
        <v>43</v>
      </c>
      <c r="T39" t="s">
        <v>91</v>
      </c>
      <c r="U39">
        <v>4.5693338558160796</v>
      </c>
      <c r="V39">
        <v>1.02194694676678E-2</v>
      </c>
      <c r="W39" t="s">
        <v>49</v>
      </c>
      <c r="X39" t="s">
        <v>50</v>
      </c>
    </row>
    <row r="40" spans="1:24" x14ac:dyDescent="0.3">
      <c r="A40" t="s">
        <v>40</v>
      </c>
      <c r="B40" t="s">
        <v>3</v>
      </c>
      <c r="C40" t="s">
        <v>41</v>
      </c>
      <c r="D40">
        <v>5.3287067486724203E-2</v>
      </c>
      <c r="E40">
        <v>0.151828470266478</v>
      </c>
      <c r="F40" t="s">
        <v>78</v>
      </c>
      <c r="G40">
        <v>1.24512283811842E-2</v>
      </c>
      <c r="H40" t="s">
        <v>79</v>
      </c>
      <c r="I40" t="b">
        <v>0</v>
      </c>
      <c r="J40">
        <v>252.97524103065999</v>
      </c>
      <c r="K40">
        <v>253.29956535498499</v>
      </c>
      <c r="L40">
        <v>15.149714061108901</v>
      </c>
      <c r="M40" t="s">
        <v>43</v>
      </c>
      <c r="N40" t="s">
        <v>43</v>
      </c>
      <c r="O40" t="s">
        <v>61</v>
      </c>
      <c r="P40">
        <f>-0.00423563524514721 - 0.0291380920075156</f>
        <v>-3.3373727252662813E-2</v>
      </c>
      <c r="Q40" t="s">
        <v>56</v>
      </c>
      <c r="R40" t="s">
        <v>80</v>
      </c>
      <c r="S40" t="s">
        <v>81</v>
      </c>
      <c r="T40" t="s">
        <v>107</v>
      </c>
      <c r="U40">
        <v>1.60195182223946</v>
      </c>
      <c r="V40">
        <v>8.5137059318016999E-3</v>
      </c>
      <c r="W40" t="s">
        <v>49</v>
      </c>
      <c r="X40" t="s">
        <v>50</v>
      </c>
    </row>
    <row r="41" spans="1:24" x14ac:dyDescent="0.3">
      <c r="A41" t="s">
        <v>40</v>
      </c>
      <c r="B41" t="s">
        <v>5</v>
      </c>
      <c r="C41" t="s">
        <v>41</v>
      </c>
      <c r="D41">
        <v>0.16175787004585801</v>
      </c>
      <c r="E41">
        <v>1.00913768742552E-2</v>
      </c>
      <c r="F41" t="s">
        <v>78</v>
      </c>
      <c r="G41">
        <v>11.4693532792698</v>
      </c>
      <c r="H41" t="s">
        <v>89</v>
      </c>
      <c r="I41" t="b">
        <v>0</v>
      </c>
      <c r="J41">
        <v>250.60007727035301</v>
      </c>
      <c r="K41">
        <v>250.92440159467699</v>
      </c>
      <c r="L41">
        <v>25.125880743206999</v>
      </c>
      <c r="M41" t="s">
        <v>43</v>
      </c>
      <c r="N41" t="s">
        <v>43</v>
      </c>
      <c r="O41" t="s">
        <v>54</v>
      </c>
      <c r="P41" t="s">
        <v>101</v>
      </c>
      <c r="Q41" t="s">
        <v>56</v>
      </c>
      <c r="R41" t="s">
        <v>90</v>
      </c>
      <c r="S41" t="s">
        <v>43</v>
      </c>
      <c r="T41" t="s">
        <v>91</v>
      </c>
      <c r="U41">
        <v>1.38265846465387</v>
      </c>
      <c r="V41">
        <v>4.2354461482448897</v>
      </c>
      <c r="W41" t="s">
        <v>49</v>
      </c>
      <c r="X41" t="s">
        <v>50</v>
      </c>
    </row>
    <row r="42" spans="1:24" x14ac:dyDescent="0.3">
      <c r="A42" t="s">
        <v>40</v>
      </c>
      <c r="B42" t="s">
        <v>6</v>
      </c>
      <c r="C42" t="s">
        <v>41</v>
      </c>
      <c r="D42">
        <v>6.0308116904905004E-3</v>
      </c>
      <c r="E42">
        <v>0.624959033339619</v>
      </c>
      <c r="F42" t="s">
        <v>78</v>
      </c>
      <c r="G42">
        <v>3.6315003757266999E-3</v>
      </c>
      <c r="H42" t="s">
        <v>83</v>
      </c>
      <c r="I42" t="b">
        <v>0</v>
      </c>
      <c r="J42">
        <v>265.67692315358403</v>
      </c>
      <c r="K42">
        <v>265.98461546127601</v>
      </c>
      <c r="L42">
        <v>17.539967100411001</v>
      </c>
      <c r="M42" t="s">
        <v>43</v>
      </c>
      <c r="N42" t="s">
        <v>43</v>
      </c>
      <c r="O42" t="s">
        <v>67</v>
      </c>
      <c r="P42">
        <f>-0.0108165998662236 - 0.0180796006176771</f>
        <v>-2.8896200483900701E-2</v>
      </c>
      <c r="Q42" t="s">
        <v>59</v>
      </c>
      <c r="R42" t="s">
        <v>84</v>
      </c>
      <c r="S42" t="s">
        <v>85</v>
      </c>
      <c r="T42" t="s">
        <v>108</v>
      </c>
      <c r="U42">
        <v>3.0283914777632899</v>
      </c>
      <c r="V42">
        <v>7.3714797152807003E-3</v>
      </c>
      <c r="W42" t="s">
        <v>49</v>
      </c>
      <c r="X42" t="s">
        <v>50</v>
      </c>
    </row>
    <row r="43" spans="1:24" x14ac:dyDescent="0.3">
      <c r="A43" t="s">
        <v>40</v>
      </c>
      <c r="B43" t="s">
        <v>14</v>
      </c>
      <c r="C43" t="s">
        <v>41</v>
      </c>
      <c r="D43">
        <v>0.111154107300903</v>
      </c>
      <c r="E43">
        <v>2.6998039146684898E-2</v>
      </c>
      <c r="F43" t="s">
        <v>78</v>
      </c>
      <c r="G43">
        <v>9.5373246412667108</v>
      </c>
      <c r="H43" t="s">
        <v>83</v>
      </c>
      <c r="I43" t="b">
        <v>0</v>
      </c>
      <c r="J43">
        <v>270.48635227452797</v>
      </c>
      <c r="K43">
        <v>270.77903520135698</v>
      </c>
      <c r="L43">
        <v>17.572924789403899</v>
      </c>
      <c r="M43" t="s">
        <v>43</v>
      </c>
      <c r="N43" t="s">
        <v>43</v>
      </c>
      <c r="O43" t="s">
        <v>75</v>
      </c>
      <c r="P43" t="s">
        <v>103</v>
      </c>
      <c r="Q43" t="s">
        <v>45</v>
      </c>
      <c r="R43" t="s">
        <v>84</v>
      </c>
      <c r="S43" t="s">
        <v>85</v>
      </c>
      <c r="T43" t="s">
        <v>109</v>
      </c>
      <c r="U43">
        <v>1.9354317725858901</v>
      </c>
      <c r="V43">
        <v>4.1615239467097496</v>
      </c>
      <c r="W43" t="s">
        <v>49</v>
      </c>
      <c r="X43" t="s">
        <v>50</v>
      </c>
    </row>
    <row r="44" spans="1:24" x14ac:dyDescent="0.3">
      <c r="A44" t="s">
        <v>40</v>
      </c>
      <c r="B44" t="s">
        <v>10</v>
      </c>
      <c r="C44" t="s">
        <v>41</v>
      </c>
      <c r="D44">
        <v>3.2425665071494102E-2</v>
      </c>
      <c r="E44">
        <v>0.26619141297937099</v>
      </c>
      <c r="F44" t="s">
        <v>78</v>
      </c>
      <c r="G44">
        <v>9.5114182792121191</v>
      </c>
      <c r="H44" t="s">
        <v>79</v>
      </c>
      <c r="I44" t="b">
        <v>0</v>
      </c>
      <c r="J44">
        <v>251.50372142452201</v>
      </c>
      <c r="K44">
        <v>251.82804574884599</v>
      </c>
      <c r="L44">
        <v>16.615496604866902</v>
      </c>
      <c r="M44" t="s">
        <v>43</v>
      </c>
      <c r="N44" t="s">
        <v>43</v>
      </c>
      <c r="O44" t="s">
        <v>51</v>
      </c>
      <c r="P44">
        <f>-7.00847653359239 - 26.0313130920166</f>
        <v>-33.039789625608989</v>
      </c>
      <c r="Q44" t="s">
        <v>52</v>
      </c>
      <c r="R44" t="s">
        <v>80</v>
      </c>
      <c r="S44" t="s">
        <v>81</v>
      </c>
      <c r="T44" t="s">
        <v>110</v>
      </c>
      <c r="U44">
        <v>-5.0090793255124604</v>
      </c>
      <c r="V44">
        <v>8.42851776163495</v>
      </c>
      <c r="W44" t="s">
        <v>49</v>
      </c>
      <c r="X44" t="s">
        <v>50</v>
      </c>
    </row>
    <row r="45" spans="1:24" x14ac:dyDescent="0.3">
      <c r="A45" t="s">
        <v>40</v>
      </c>
      <c r="B45" t="s">
        <v>10</v>
      </c>
      <c r="C45" t="s">
        <v>41</v>
      </c>
      <c r="D45">
        <v>3.1693589572139698E-2</v>
      </c>
      <c r="E45">
        <v>0.27174805454954598</v>
      </c>
      <c r="F45" t="s">
        <v>78</v>
      </c>
      <c r="G45">
        <v>8.2677186773174505</v>
      </c>
      <c r="H45" t="s">
        <v>89</v>
      </c>
      <c r="I45" t="b">
        <v>0</v>
      </c>
      <c r="J45">
        <v>253.415136330547</v>
      </c>
      <c r="K45">
        <v>253.73946065487101</v>
      </c>
      <c r="L45">
        <v>18.526911510891999</v>
      </c>
      <c r="M45" t="s">
        <v>43</v>
      </c>
      <c r="N45" t="s">
        <v>43</v>
      </c>
      <c r="O45" t="s">
        <v>51</v>
      </c>
      <c r="P45">
        <f>-6.26244988084349 - 22.7978872354784</f>
        <v>-29.06033711632189</v>
      </c>
      <c r="Q45" t="s">
        <v>52</v>
      </c>
      <c r="R45" t="s">
        <v>90</v>
      </c>
      <c r="S45" t="s">
        <v>43</v>
      </c>
      <c r="T45" t="s">
        <v>91</v>
      </c>
      <c r="U45">
        <v>-3.8014245858037499</v>
      </c>
      <c r="V45">
        <v>7.4133513051841504</v>
      </c>
      <c r="W45" t="s">
        <v>49</v>
      </c>
      <c r="X45" t="s">
        <v>50</v>
      </c>
    </row>
    <row r="46" spans="1:24" x14ac:dyDescent="0.3">
      <c r="A46" t="s">
        <v>40</v>
      </c>
      <c r="B46" t="s">
        <v>3</v>
      </c>
      <c r="C46" t="s">
        <v>41</v>
      </c>
      <c r="D46">
        <v>4.1149816206371703E-2</v>
      </c>
      <c r="E46">
        <v>0.20934069876257599</v>
      </c>
      <c r="F46" t="s">
        <v>78</v>
      </c>
      <c r="G46">
        <v>1.00931169044265E-2</v>
      </c>
      <c r="H46" t="s">
        <v>89</v>
      </c>
      <c r="I46" t="b">
        <v>0</v>
      </c>
      <c r="J46">
        <v>255.97719106077199</v>
      </c>
      <c r="K46">
        <v>256.30151538509602</v>
      </c>
      <c r="L46">
        <v>18.151664091219999</v>
      </c>
      <c r="M46" t="s">
        <v>43</v>
      </c>
      <c r="N46" t="s">
        <v>43</v>
      </c>
      <c r="O46" t="s">
        <v>61</v>
      </c>
      <c r="P46">
        <f>-0.00539793840670985 - 0.0255841722155628</f>
        <v>-3.098211062227265E-2</v>
      </c>
      <c r="Q46" t="s">
        <v>56</v>
      </c>
      <c r="R46" t="s">
        <v>90</v>
      </c>
      <c r="S46" t="s">
        <v>43</v>
      </c>
      <c r="T46" t="s">
        <v>91</v>
      </c>
      <c r="U46">
        <v>1.95065640615284</v>
      </c>
      <c r="V46">
        <v>7.9035996485389004E-3</v>
      </c>
      <c r="W46" t="s">
        <v>49</v>
      </c>
      <c r="X46" t="s">
        <v>50</v>
      </c>
    </row>
    <row r="47" spans="1:24" x14ac:dyDescent="0.3">
      <c r="A47" t="s">
        <v>40</v>
      </c>
      <c r="B47" t="s">
        <v>12</v>
      </c>
      <c r="C47" t="s">
        <v>41</v>
      </c>
      <c r="D47">
        <v>1.05053729888E-4</v>
      </c>
      <c r="E47">
        <v>0.94735204377302495</v>
      </c>
      <c r="F47" t="s">
        <v>78</v>
      </c>
      <c r="G47">
        <v>6.0976000006089995E-4</v>
      </c>
      <c r="H47" t="s">
        <v>83</v>
      </c>
      <c r="I47" t="b">
        <v>0</v>
      </c>
      <c r="J47">
        <v>275.666311599349</v>
      </c>
      <c r="K47">
        <v>275.958994526178</v>
      </c>
      <c r="L47">
        <v>17.396491025284998</v>
      </c>
      <c r="M47" t="s">
        <v>43</v>
      </c>
      <c r="N47" t="s">
        <v>43</v>
      </c>
      <c r="O47" t="s">
        <v>44</v>
      </c>
      <c r="P47">
        <f>-0.0173815093739712 - 0.0186010293740932</f>
        <v>-3.5982538748064397E-2</v>
      </c>
      <c r="Q47" t="s">
        <v>45</v>
      </c>
      <c r="R47" t="s">
        <v>84</v>
      </c>
      <c r="S47" t="s">
        <v>85</v>
      </c>
      <c r="T47" t="s">
        <v>111</v>
      </c>
      <c r="U47">
        <v>3.5005061116226499</v>
      </c>
      <c r="V47">
        <v>9.1792190683837004E-3</v>
      </c>
      <c r="W47" t="s">
        <v>49</v>
      </c>
      <c r="X47" t="s">
        <v>50</v>
      </c>
    </row>
    <row r="48" spans="1:24" x14ac:dyDescent="0.3">
      <c r="A48" t="s">
        <v>40</v>
      </c>
      <c r="B48" t="s">
        <v>7</v>
      </c>
      <c r="C48" t="s">
        <v>41</v>
      </c>
      <c r="D48">
        <v>1.2347018992561001E-3</v>
      </c>
      <c r="E48">
        <v>0.825156162511125</v>
      </c>
      <c r="F48" t="s">
        <v>78</v>
      </c>
      <c r="G48">
        <v>1.28550333134598</v>
      </c>
      <c r="H48" t="s">
        <v>89</v>
      </c>
      <c r="I48" t="b">
        <v>0</v>
      </c>
      <c r="J48">
        <v>265.87909459344201</v>
      </c>
      <c r="K48">
        <v>266.18678690113398</v>
      </c>
      <c r="L48">
        <v>18.923342070487902</v>
      </c>
      <c r="M48" t="s">
        <v>43</v>
      </c>
      <c r="N48" t="s">
        <v>43</v>
      </c>
      <c r="O48" t="s">
        <v>73</v>
      </c>
      <c r="P48">
        <f>-10.0450193963633 - 12.6160260590553</f>
        <v>-22.661045455418602</v>
      </c>
      <c r="Q48" t="s">
        <v>59</v>
      </c>
      <c r="R48" t="s">
        <v>90</v>
      </c>
      <c r="S48" t="s">
        <v>43</v>
      </c>
      <c r="T48" t="s">
        <v>91</v>
      </c>
      <c r="U48">
        <v>2.4883229514782599</v>
      </c>
      <c r="V48">
        <v>5.7808789427088296</v>
      </c>
      <c r="W48" t="s">
        <v>49</v>
      </c>
      <c r="X48" t="s">
        <v>50</v>
      </c>
    </row>
    <row r="49" spans="1:24" x14ac:dyDescent="0.3">
      <c r="A49" t="s">
        <v>40</v>
      </c>
      <c r="B49" t="s">
        <v>5</v>
      </c>
      <c r="C49" t="s">
        <v>41</v>
      </c>
      <c r="D49">
        <v>0.245406586123283</v>
      </c>
      <c r="E49">
        <v>1.1535229060397E-3</v>
      </c>
      <c r="F49" t="s">
        <v>78</v>
      </c>
      <c r="G49">
        <v>15.9811354189891</v>
      </c>
      <c r="H49" t="s">
        <v>79</v>
      </c>
      <c r="I49" t="b">
        <v>0</v>
      </c>
      <c r="J49">
        <v>244.240271857034</v>
      </c>
      <c r="K49">
        <v>244.56459618135801</v>
      </c>
      <c r="L49">
        <v>18.766075329888</v>
      </c>
      <c r="M49" t="s">
        <v>43</v>
      </c>
      <c r="N49" t="s">
        <v>43</v>
      </c>
      <c r="O49" t="s">
        <v>54</v>
      </c>
      <c r="P49" t="s">
        <v>112</v>
      </c>
      <c r="Q49" t="s">
        <v>56</v>
      </c>
      <c r="R49" t="s">
        <v>80</v>
      </c>
      <c r="S49" t="s">
        <v>81</v>
      </c>
      <c r="T49" t="s">
        <v>113</v>
      </c>
      <c r="U49">
        <v>6.4108242887099404E-2</v>
      </c>
      <c r="V49">
        <v>4.5459979073332999</v>
      </c>
      <c r="W49" t="s">
        <v>49</v>
      </c>
      <c r="X49" t="s">
        <v>50</v>
      </c>
    </row>
    <row r="50" spans="1:24" x14ac:dyDescent="0.3">
      <c r="A50" t="s">
        <v>40</v>
      </c>
      <c r="B50" t="s">
        <v>6</v>
      </c>
      <c r="C50" t="s">
        <v>41</v>
      </c>
      <c r="D50">
        <v>1.06521491778608E-2</v>
      </c>
      <c r="E50">
        <v>0.51541628932481398</v>
      </c>
      <c r="F50" t="s">
        <v>78</v>
      </c>
      <c r="G50">
        <v>5.4524059737059002E-3</v>
      </c>
      <c r="H50" t="s">
        <v>79</v>
      </c>
      <c r="I50" t="b">
        <v>0</v>
      </c>
      <c r="J50">
        <v>263.87300258718898</v>
      </c>
      <c r="K50">
        <v>264.18069489488198</v>
      </c>
      <c r="L50">
        <v>15.7360465340169</v>
      </c>
      <c r="M50" t="s">
        <v>43</v>
      </c>
      <c r="N50" t="s">
        <v>43</v>
      </c>
      <c r="O50" t="s">
        <v>67</v>
      </c>
      <c r="P50">
        <f>-0.0108319335245818 - 0.0217367454719938</f>
        <v>-3.2568678996575604E-2</v>
      </c>
      <c r="Q50" t="s">
        <v>59</v>
      </c>
      <c r="R50" t="s">
        <v>80</v>
      </c>
      <c r="S50" t="s">
        <v>81</v>
      </c>
      <c r="T50" t="s">
        <v>114</v>
      </c>
      <c r="U50">
        <v>2.7028511884403299</v>
      </c>
      <c r="V50">
        <v>8.3083364787182E-3</v>
      </c>
      <c r="W50" t="s">
        <v>49</v>
      </c>
      <c r="X50" t="s">
        <v>50</v>
      </c>
    </row>
    <row r="51" spans="1:24" x14ac:dyDescent="0.3">
      <c r="A51" t="s">
        <v>40</v>
      </c>
      <c r="B51" t="s">
        <v>8</v>
      </c>
      <c r="C51" t="s">
        <v>41</v>
      </c>
      <c r="D51" s="2">
        <v>7.2065057923917706E-5</v>
      </c>
      <c r="E51">
        <v>0.95744797976223694</v>
      </c>
      <c r="F51" t="s">
        <v>78</v>
      </c>
      <c r="G51">
        <v>0.22210947170758499</v>
      </c>
      <c r="H51" t="s">
        <v>83</v>
      </c>
      <c r="I51" t="b">
        <v>0</v>
      </c>
      <c r="J51">
        <v>265.92795727235199</v>
      </c>
      <c r="K51">
        <v>266.23564958004499</v>
      </c>
      <c r="L51">
        <v>17.666250302840901</v>
      </c>
      <c r="M51" t="s">
        <v>43</v>
      </c>
      <c r="N51" t="s">
        <v>43</v>
      </c>
      <c r="O51" t="s">
        <v>58</v>
      </c>
      <c r="P51">
        <f>-7.88591658133457 - 8.33013552474974</f>
        <v>-16.216052106084312</v>
      </c>
      <c r="Q51" t="s">
        <v>59</v>
      </c>
      <c r="R51" t="s">
        <v>84</v>
      </c>
      <c r="S51" t="s">
        <v>85</v>
      </c>
      <c r="T51" t="s">
        <v>115</v>
      </c>
      <c r="U51">
        <v>3.5958107468808098</v>
      </c>
      <c r="V51">
        <v>4.1367479862460002</v>
      </c>
      <c r="W51" t="s">
        <v>49</v>
      </c>
      <c r="X51" t="s">
        <v>50</v>
      </c>
    </row>
  </sheetData>
  <mergeCells count="2">
    <mergeCell ref="A1:K1"/>
    <mergeCell ref="A2:K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1A26-BAF9-4CD6-BB47-B9AA0BE29379}">
  <dimension ref="A1:X7"/>
  <sheetViews>
    <sheetView workbookViewId="0">
      <selection activeCell="H18" sqref="H18"/>
    </sheetView>
  </sheetViews>
  <sheetFormatPr defaultColWidth="11.19921875" defaultRowHeight="15.6" x14ac:dyDescent="0.3"/>
  <sheetData>
    <row r="1" spans="1:24" ht="21" x14ac:dyDescent="0.3">
      <c r="A1" s="4" t="s">
        <v>495</v>
      </c>
      <c r="B1" s="5"/>
      <c r="C1" s="5"/>
      <c r="D1" s="5"/>
      <c r="E1" s="5"/>
      <c r="F1" s="5"/>
      <c r="G1" s="5"/>
      <c r="H1" s="5"/>
      <c r="I1" s="5"/>
      <c r="J1" s="5"/>
      <c r="K1" s="6"/>
    </row>
    <row r="2" spans="1:24" s="3" customFormat="1" ht="79.2" customHeight="1" thickBot="1" x14ac:dyDescent="0.35">
      <c r="A2" s="7" t="s">
        <v>490</v>
      </c>
      <c r="B2" s="13"/>
      <c r="C2" s="13"/>
      <c r="D2" s="13"/>
      <c r="E2" s="13"/>
      <c r="F2" s="13"/>
      <c r="G2" s="13"/>
      <c r="H2" s="13"/>
      <c r="I2" s="13"/>
      <c r="J2" s="13"/>
      <c r="K2" s="14"/>
    </row>
    <row r="3" spans="1:24"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c r="X3" t="s">
        <v>39</v>
      </c>
    </row>
    <row r="4" spans="1:24" x14ac:dyDescent="0.3">
      <c r="A4" t="s">
        <v>450</v>
      </c>
      <c r="B4" t="s">
        <v>375</v>
      </c>
      <c r="C4" t="s">
        <v>444</v>
      </c>
      <c r="D4">
        <v>0.31265094954233502</v>
      </c>
      <c r="E4">
        <v>2.4334769307578202E-2</v>
      </c>
      <c r="F4">
        <v>2.4334769307578202E-2</v>
      </c>
      <c r="G4">
        <v>1.7949008392459999E-4</v>
      </c>
      <c r="H4" t="s">
        <v>42</v>
      </c>
      <c r="I4" t="b">
        <v>1</v>
      </c>
      <c r="J4">
        <v>-46.663098731701297</v>
      </c>
      <c r="K4">
        <v>-45.740021808624398</v>
      </c>
      <c r="L4">
        <v>0</v>
      </c>
      <c r="M4" t="s">
        <v>43</v>
      </c>
      <c r="N4" t="s">
        <v>43</v>
      </c>
      <c r="O4" t="s">
        <v>451</v>
      </c>
      <c r="P4" t="s">
        <v>452</v>
      </c>
      <c r="Q4" t="s">
        <v>56</v>
      </c>
      <c r="R4" t="s">
        <v>46</v>
      </c>
      <c r="S4" t="s">
        <v>47</v>
      </c>
      <c r="T4" t="s">
        <v>453</v>
      </c>
      <c r="U4">
        <v>9.3724759848793901E-2</v>
      </c>
      <c r="V4" s="2">
        <v>7.1127121838107107E-5</v>
      </c>
      <c r="W4" t="s">
        <v>454</v>
      </c>
      <c r="X4" t="s">
        <v>50</v>
      </c>
    </row>
    <row r="5" spans="1:24" x14ac:dyDescent="0.3">
      <c r="A5" t="s">
        <v>450</v>
      </c>
      <c r="B5" t="s">
        <v>375</v>
      </c>
      <c r="C5" t="s">
        <v>444</v>
      </c>
      <c r="D5">
        <v>0.40195300893689401</v>
      </c>
      <c r="E5">
        <v>8.3545886922955E-3</v>
      </c>
      <c r="F5" t="s">
        <v>78</v>
      </c>
      <c r="G5">
        <v>1.6836464717900001E-4</v>
      </c>
      <c r="H5" t="s">
        <v>89</v>
      </c>
      <c r="I5" t="b">
        <v>0</v>
      </c>
      <c r="J5">
        <v>-37.6721394031442</v>
      </c>
      <c r="K5">
        <v>-36.749062480067302</v>
      </c>
      <c r="L5">
        <v>8.9909593285570892</v>
      </c>
      <c r="M5" t="s">
        <v>43</v>
      </c>
      <c r="N5" t="s">
        <v>43</v>
      </c>
      <c r="O5" t="s">
        <v>451</v>
      </c>
      <c r="P5" t="s">
        <v>455</v>
      </c>
      <c r="Q5" t="s">
        <v>56</v>
      </c>
      <c r="R5" t="s">
        <v>90</v>
      </c>
      <c r="S5" t="s">
        <v>43</v>
      </c>
      <c r="T5" t="s">
        <v>91</v>
      </c>
      <c r="U5">
        <v>8.9288692102497305E-2</v>
      </c>
      <c r="V5" s="2">
        <v>5.4886672125921599E-5</v>
      </c>
      <c r="W5" t="s">
        <v>454</v>
      </c>
      <c r="X5" t="s">
        <v>50</v>
      </c>
    </row>
    <row r="6" spans="1:24" x14ac:dyDescent="0.3">
      <c r="A6" t="s">
        <v>450</v>
      </c>
      <c r="B6" t="s">
        <v>375</v>
      </c>
      <c r="C6" t="s">
        <v>444</v>
      </c>
      <c r="D6">
        <v>0.26362356752683602</v>
      </c>
      <c r="E6">
        <v>4.1933256173801503E-2</v>
      </c>
      <c r="F6" t="s">
        <v>78</v>
      </c>
      <c r="G6">
        <v>1.3667737350989999E-4</v>
      </c>
      <c r="H6" t="s">
        <v>79</v>
      </c>
      <c r="I6" t="b">
        <v>0</v>
      </c>
      <c r="J6">
        <v>-44.869064489734399</v>
      </c>
      <c r="K6">
        <v>-43.9459875666575</v>
      </c>
      <c r="L6">
        <v>1.79403424196689</v>
      </c>
      <c r="M6" t="s">
        <v>43</v>
      </c>
      <c r="N6" t="s">
        <v>43</v>
      </c>
      <c r="O6" t="s">
        <v>451</v>
      </c>
      <c r="P6" t="s">
        <v>456</v>
      </c>
      <c r="Q6" t="s">
        <v>56</v>
      </c>
      <c r="R6" t="s">
        <v>80</v>
      </c>
      <c r="S6" t="s">
        <v>81</v>
      </c>
      <c r="T6" t="s">
        <v>457</v>
      </c>
      <c r="U6">
        <v>9.74871358536466E-2</v>
      </c>
      <c r="V6" s="2">
        <v>6.1050669441921405E-5</v>
      </c>
      <c r="W6" t="s">
        <v>454</v>
      </c>
      <c r="X6" t="s">
        <v>50</v>
      </c>
    </row>
    <row r="7" spans="1:24" x14ac:dyDescent="0.3">
      <c r="A7" t="s">
        <v>450</v>
      </c>
      <c r="B7" t="s">
        <v>375</v>
      </c>
      <c r="C7" t="s">
        <v>444</v>
      </c>
      <c r="D7">
        <v>0.40195300893689401</v>
      </c>
      <c r="E7">
        <v>8.3545886922955E-3</v>
      </c>
      <c r="F7" t="s">
        <v>78</v>
      </c>
      <c r="G7">
        <v>1.6836464717900001E-4</v>
      </c>
      <c r="H7" t="s">
        <v>83</v>
      </c>
      <c r="I7" t="b">
        <v>0</v>
      </c>
      <c r="J7">
        <v>-37.6721394031442</v>
      </c>
      <c r="K7">
        <v>-36.749062480067302</v>
      </c>
      <c r="L7">
        <v>8.9909593285570892</v>
      </c>
      <c r="M7" t="s">
        <v>43</v>
      </c>
      <c r="N7" t="s">
        <v>43</v>
      </c>
      <c r="O7" t="s">
        <v>451</v>
      </c>
      <c r="P7" t="s">
        <v>455</v>
      </c>
      <c r="Q7" t="s">
        <v>56</v>
      </c>
      <c r="R7" t="s">
        <v>84</v>
      </c>
      <c r="S7" t="s">
        <v>85</v>
      </c>
      <c r="T7" t="s">
        <v>458</v>
      </c>
      <c r="U7">
        <v>8.9288692102497305E-2</v>
      </c>
      <c r="V7" s="2">
        <v>5.4886672125921599E-5</v>
      </c>
      <c r="W7" t="s">
        <v>454</v>
      </c>
      <c r="X7" t="s">
        <v>50</v>
      </c>
    </row>
  </sheetData>
  <mergeCells count="2">
    <mergeCell ref="A1:K1"/>
    <mergeCell ref="A2: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CA32F-4D74-47FF-8FA2-2CCA144C88BE}">
  <dimension ref="A1:X7"/>
  <sheetViews>
    <sheetView workbookViewId="0">
      <selection activeCell="I13" sqref="I13"/>
    </sheetView>
  </sheetViews>
  <sheetFormatPr defaultColWidth="11.19921875" defaultRowHeight="15.6" x14ac:dyDescent="0.3"/>
  <sheetData>
    <row r="1" spans="1:24" ht="21" x14ac:dyDescent="0.3">
      <c r="A1" s="4" t="s">
        <v>465</v>
      </c>
      <c r="B1" s="5"/>
      <c r="C1" s="5"/>
      <c r="D1" s="5"/>
      <c r="E1" s="5"/>
      <c r="F1" s="5"/>
      <c r="G1" s="5"/>
      <c r="H1" s="5"/>
      <c r="I1" s="5"/>
      <c r="J1" s="5"/>
      <c r="K1" s="6"/>
    </row>
    <row r="2" spans="1:24" ht="81" customHeight="1" thickBot="1" x14ac:dyDescent="0.35">
      <c r="A2" s="7" t="s">
        <v>491</v>
      </c>
      <c r="B2" s="13"/>
      <c r="C2" s="13"/>
      <c r="D2" s="13"/>
      <c r="E2" s="13"/>
      <c r="F2" s="13"/>
      <c r="G2" s="13"/>
      <c r="H2" s="13"/>
      <c r="I2" s="13"/>
      <c r="J2" s="13"/>
      <c r="K2" s="14"/>
    </row>
    <row r="3" spans="1:24"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c r="X3" t="s">
        <v>39</v>
      </c>
    </row>
    <row r="4" spans="1:24" x14ac:dyDescent="0.3">
      <c r="A4" t="s">
        <v>459</v>
      </c>
      <c r="B4" t="s">
        <v>375</v>
      </c>
      <c r="C4" t="s">
        <v>444</v>
      </c>
      <c r="D4">
        <v>5.5590233746373403E-2</v>
      </c>
      <c r="E4">
        <v>0.41709037944796001</v>
      </c>
      <c r="F4">
        <v>0.41709037944796001</v>
      </c>
      <c r="G4">
        <v>1.4546312843819999E-4</v>
      </c>
      <c r="H4" t="s">
        <v>42</v>
      </c>
      <c r="I4" t="b">
        <v>1</v>
      </c>
      <c r="J4">
        <v>-29.465614444773099</v>
      </c>
      <c r="K4">
        <v>-28.374705353864002</v>
      </c>
      <c r="L4">
        <v>0</v>
      </c>
      <c r="M4" t="s">
        <v>416</v>
      </c>
      <c r="N4">
        <v>0</v>
      </c>
      <c r="O4" t="s">
        <v>460</v>
      </c>
      <c r="P4">
        <f>-0.00019377085853722 - 0.000484697115413667</f>
        <v>-6.7846797395088704E-4</v>
      </c>
      <c r="Q4" t="s">
        <v>56</v>
      </c>
      <c r="R4" t="s">
        <v>46</v>
      </c>
      <c r="S4" t="s">
        <v>47</v>
      </c>
      <c r="T4" t="s">
        <v>461</v>
      </c>
      <c r="U4">
        <v>0.113831360107275</v>
      </c>
      <c r="V4">
        <v>1.730785647833E-4</v>
      </c>
      <c r="W4" t="s">
        <v>147</v>
      </c>
      <c r="X4" t="s">
        <v>50</v>
      </c>
    </row>
    <row r="5" spans="1:24" x14ac:dyDescent="0.3">
      <c r="A5" t="s">
        <v>459</v>
      </c>
      <c r="B5" t="s">
        <v>375</v>
      </c>
      <c r="C5" t="s">
        <v>444</v>
      </c>
      <c r="D5">
        <v>0.30802254797011103</v>
      </c>
      <c r="E5">
        <v>3.9391085772142502E-2</v>
      </c>
      <c r="F5" t="s">
        <v>78</v>
      </c>
      <c r="G5">
        <v>2.5460389429009998E-4</v>
      </c>
      <c r="H5" t="s">
        <v>89</v>
      </c>
      <c r="I5" t="b">
        <v>0</v>
      </c>
      <c r="J5">
        <v>-25.497292717376698</v>
      </c>
      <c r="K5">
        <v>-24.406383626467601</v>
      </c>
      <c r="L5">
        <v>3.9683217273964</v>
      </c>
      <c r="M5" t="s">
        <v>416</v>
      </c>
      <c r="N5">
        <v>0</v>
      </c>
      <c r="O5" t="s">
        <v>460</v>
      </c>
      <c r="P5" t="s">
        <v>462</v>
      </c>
      <c r="Q5" t="s">
        <v>56</v>
      </c>
      <c r="R5" t="s">
        <v>90</v>
      </c>
      <c r="S5" t="s">
        <v>43</v>
      </c>
      <c r="T5" t="s">
        <v>91</v>
      </c>
      <c r="U5">
        <v>9.4212466741172396E-2</v>
      </c>
      <c r="V5">
        <v>1.1016132127509999E-4</v>
      </c>
      <c r="W5" t="s">
        <v>147</v>
      </c>
      <c r="X5" t="s">
        <v>50</v>
      </c>
    </row>
    <row r="6" spans="1:24" x14ac:dyDescent="0.3">
      <c r="A6" t="s">
        <v>459</v>
      </c>
      <c r="B6" t="s">
        <v>375</v>
      </c>
      <c r="C6" t="s">
        <v>444</v>
      </c>
      <c r="D6">
        <v>0.19536720963791901</v>
      </c>
      <c r="E6">
        <v>0.113553306065245</v>
      </c>
      <c r="F6" t="s">
        <v>78</v>
      </c>
      <c r="G6">
        <v>2.2231900812399999E-4</v>
      </c>
      <c r="H6" t="s">
        <v>79</v>
      </c>
      <c r="I6" t="b">
        <v>0</v>
      </c>
      <c r="J6">
        <v>-26.3603903390146</v>
      </c>
      <c r="K6">
        <v>-25.2694812481055</v>
      </c>
      <c r="L6">
        <v>3.1052241057584999</v>
      </c>
      <c r="M6" t="s">
        <v>416</v>
      </c>
      <c r="N6">
        <v>0</v>
      </c>
      <c r="O6" t="s">
        <v>460</v>
      </c>
      <c r="P6">
        <f>-0.0000329599808287611 - 0.000477597997076785</f>
        <v>-5.1055797790554606E-4</v>
      </c>
      <c r="Q6" t="s">
        <v>56</v>
      </c>
      <c r="R6" t="s">
        <v>80</v>
      </c>
      <c r="S6" t="s">
        <v>81</v>
      </c>
      <c r="T6" t="s">
        <v>463</v>
      </c>
      <c r="U6">
        <v>9.1286043347603096E-2</v>
      </c>
      <c r="V6">
        <v>1.302443821187E-4</v>
      </c>
      <c r="W6" t="s">
        <v>147</v>
      </c>
      <c r="X6" t="s">
        <v>50</v>
      </c>
    </row>
    <row r="7" spans="1:24" x14ac:dyDescent="0.3">
      <c r="A7" t="s">
        <v>459</v>
      </c>
      <c r="B7" t="s">
        <v>375</v>
      </c>
      <c r="C7" t="s">
        <v>444</v>
      </c>
      <c r="D7">
        <v>0.30802254797011103</v>
      </c>
      <c r="E7">
        <v>3.9391085772142502E-2</v>
      </c>
      <c r="F7" t="s">
        <v>78</v>
      </c>
      <c r="G7">
        <v>2.5460389429009998E-4</v>
      </c>
      <c r="H7" t="s">
        <v>83</v>
      </c>
      <c r="I7" t="b">
        <v>0</v>
      </c>
      <c r="J7">
        <v>-25.497292717376698</v>
      </c>
      <c r="K7">
        <v>-24.406383626467601</v>
      </c>
      <c r="L7">
        <v>3.9683217273964</v>
      </c>
      <c r="M7" t="s">
        <v>416</v>
      </c>
      <c r="N7">
        <v>0</v>
      </c>
      <c r="O7" t="s">
        <v>460</v>
      </c>
      <c r="P7" t="s">
        <v>462</v>
      </c>
      <c r="Q7" t="s">
        <v>56</v>
      </c>
      <c r="R7" t="s">
        <v>84</v>
      </c>
      <c r="S7" t="s">
        <v>85</v>
      </c>
      <c r="T7" t="s">
        <v>464</v>
      </c>
      <c r="U7">
        <v>9.4212466741172396E-2</v>
      </c>
      <c r="V7">
        <v>1.1016132127509999E-4</v>
      </c>
      <c r="W7" t="s">
        <v>147</v>
      </c>
      <c r="X7" t="s">
        <v>50</v>
      </c>
    </row>
  </sheetData>
  <mergeCells count="2">
    <mergeCell ref="A1:K1"/>
    <mergeCell ref="A2:K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CD4C-F6F5-4C83-9302-710ABA3A00FD}">
  <dimension ref="A1:X7"/>
  <sheetViews>
    <sheetView workbookViewId="0">
      <selection activeCell="J11" sqref="J11"/>
    </sheetView>
  </sheetViews>
  <sheetFormatPr defaultColWidth="11.19921875" defaultRowHeight="15.6" x14ac:dyDescent="0.3"/>
  <sheetData>
    <row r="1" spans="1:24" ht="21" x14ac:dyDescent="0.3">
      <c r="A1" s="4" t="s">
        <v>474</v>
      </c>
      <c r="B1" s="5"/>
      <c r="C1" s="5"/>
      <c r="D1" s="5"/>
      <c r="E1" s="5"/>
      <c r="F1" s="5"/>
      <c r="G1" s="5"/>
      <c r="H1" s="5"/>
      <c r="I1" s="5"/>
      <c r="J1" s="5"/>
      <c r="K1" s="6"/>
    </row>
    <row r="2" spans="1:24" ht="95.4" customHeight="1" thickBot="1" x14ac:dyDescent="0.35">
      <c r="A2" s="7" t="s">
        <v>492</v>
      </c>
      <c r="B2" s="13"/>
      <c r="C2" s="13"/>
      <c r="D2" s="13"/>
      <c r="E2" s="13"/>
      <c r="F2" s="13"/>
      <c r="G2" s="13"/>
      <c r="H2" s="13"/>
      <c r="I2" s="13"/>
      <c r="J2" s="13"/>
      <c r="K2" s="14"/>
    </row>
    <row r="3" spans="1:24"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c r="X3" t="s">
        <v>39</v>
      </c>
    </row>
    <row r="4" spans="1:24" x14ac:dyDescent="0.3">
      <c r="A4" t="s">
        <v>466</v>
      </c>
      <c r="B4" t="s">
        <v>375</v>
      </c>
      <c r="C4" t="s">
        <v>444</v>
      </c>
      <c r="D4">
        <v>0.41620769393067503</v>
      </c>
      <c r="E4">
        <v>2.3488926078992299E-2</v>
      </c>
      <c r="F4">
        <v>2.3488926078992299E-2</v>
      </c>
      <c r="G4">
        <v>2.7326544149469998E-4</v>
      </c>
      <c r="H4" t="s">
        <v>42</v>
      </c>
      <c r="I4" t="b">
        <v>1</v>
      </c>
      <c r="J4">
        <v>-38.486706375810797</v>
      </c>
      <c r="K4">
        <v>-37.153373042477398</v>
      </c>
      <c r="L4">
        <v>0</v>
      </c>
      <c r="M4" t="s">
        <v>416</v>
      </c>
      <c r="N4">
        <v>0</v>
      </c>
      <c r="O4" t="s">
        <v>467</v>
      </c>
      <c r="P4" t="s">
        <v>468</v>
      </c>
      <c r="Q4" t="s">
        <v>56</v>
      </c>
      <c r="R4" t="s">
        <v>46</v>
      </c>
      <c r="S4" t="s">
        <v>47</v>
      </c>
      <c r="T4" t="s">
        <v>469</v>
      </c>
      <c r="U4">
        <v>7.9494585326948697E-2</v>
      </c>
      <c r="V4">
        <v>1.023431649917E-4</v>
      </c>
      <c r="W4" t="s">
        <v>454</v>
      </c>
      <c r="X4" t="s">
        <v>50</v>
      </c>
    </row>
    <row r="5" spans="1:24" x14ac:dyDescent="0.3">
      <c r="A5" t="s">
        <v>466</v>
      </c>
      <c r="B5" t="s">
        <v>375</v>
      </c>
      <c r="C5" t="s">
        <v>444</v>
      </c>
      <c r="D5">
        <v>0.54253094202679497</v>
      </c>
      <c r="E5">
        <v>6.2917550868317003E-3</v>
      </c>
      <c r="F5" t="s">
        <v>78</v>
      </c>
      <c r="G5">
        <v>2.8900027459499998E-4</v>
      </c>
      <c r="H5" t="s">
        <v>89</v>
      </c>
      <c r="I5" t="b">
        <v>0</v>
      </c>
      <c r="J5">
        <v>-28.3987531697246</v>
      </c>
      <c r="K5">
        <v>-27.0654198363913</v>
      </c>
      <c r="L5">
        <v>10.087953206086</v>
      </c>
      <c r="M5" t="s">
        <v>416</v>
      </c>
      <c r="N5">
        <v>0</v>
      </c>
      <c r="O5" t="s">
        <v>467</v>
      </c>
      <c r="P5" t="s">
        <v>470</v>
      </c>
      <c r="Q5" t="s">
        <v>56</v>
      </c>
      <c r="R5" t="s">
        <v>90</v>
      </c>
      <c r="S5" t="s">
        <v>43</v>
      </c>
      <c r="T5" t="s">
        <v>91</v>
      </c>
      <c r="U5">
        <v>7.0142314956559898E-2</v>
      </c>
      <c r="V5" s="2">
        <v>8.3920267922001204E-5</v>
      </c>
      <c r="W5" t="s">
        <v>454</v>
      </c>
      <c r="X5" t="s">
        <v>50</v>
      </c>
    </row>
    <row r="6" spans="1:24" x14ac:dyDescent="0.3">
      <c r="A6" t="s">
        <v>466</v>
      </c>
      <c r="B6" t="s">
        <v>375</v>
      </c>
      <c r="C6" t="s">
        <v>444</v>
      </c>
      <c r="D6">
        <v>0.337218990570545</v>
      </c>
      <c r="E6">
        <v>4.7720017980274997E-2</v>
      </c>
      <c r="F6" t="s">
        <v>78</v>
      </c>
      <c r="G6">
        <v>2.30197459729E-4</v>
      </c>
      <c r="H6" t="s">
        <v>79</v>
      </c>
      <c r="I6" t="b">
        <v>0</v>
      </c>
      <c r="J6">
        <v>-34.483107249460502</v>
      </c>
      <c r="K6">
        <v>-33.149773916127103</v>
      </c>
      <c r="L6">
        <v>4.0035991263502897</v>
      </c>
      <c r="M6" t="s">
        <v>416</v>
      </c>
      <c r="N6">
        <v>0</v>
      </c>
      <c r="O6" t="s">
        <v>467</v>
      </c>
      <c r="P6" t="s">
        <v>471</v>
      </c>
      <c r="Q6" t="s">
        <v>56</v>
      </c>
      <c r="R6" t="s">
        <v>80</v>
      </c>
      <c r="S6" t="s">
        <v>81</v>
      </c>
      <c r="T6" t="s">
        <v>472</v>
      </c>
      <c r="U6">
        <v>7.2400592666699806E-2</v>
      </c>
      <c r="V6">
        <v>1.020538851669E-4</v>
      </c>
      <c r="W6" t="s">
        <v>454</v>
      </c>
      <c r="X6" t="s">
        <v>50</v>
      </c>
    </row>
    <row r="7" spans="1:24" x14ac:dyDescent="0.3">
      <c r="A7" t="s">
        <v>466</v>
      </c>
      <c r="B7" t="s">
        <v>375</v>
      </c>
      <c r="C7" t="s">
        <v>444</v>
      </c>
      <c r="D7">
        <v>0.54253094202679497</v>
      </c>
      <c r="E7">
        <v>6.2917550868317003E-3</v>
      </c>
      <c r="F7" t="s">
        <v>78</v>
      </c>
      <c r="G7">
        <v>2.8900027459499998E-4</v>
      </c>
      <c r="H7" t="s">
        <v>83</v>
      </c>
      <c r="I7" t="b">
        <v>0</v>
      </c>
      <c r="J7">
        <v>-28.3987531697246</v>
      </c>
      <c r="K7">
        <v>-27.0654198363913</v>
      </c>
      <c r="L7">
        <v>10.087953206086</v>
      </c>
      <c r="M7" t="s">
        <v>416</v>
      </c>
      <c r="N7">
        <v>0</v>
      </c>
      <c r="O7" t="s">
        <v>467</v>
      </c>
      <c r="P7" t="s">
        <v>470</v>
      </c>
      <c r="Q7" t="s">
        <v>56</v>
      </c>
      <c r="R7" t="s">
        <v>84</v>
      </c>
      <c r="S7" t="s">
        <v>85</v>
      </c>
      <c r="T7" t="s">
        <v>473</v>
      </c>
      <c r="U7">
        <v>7.0142314956559898E-2</v>
      </c>
      <c r="V7" s="2">
        <v>8.3920267922001204E-5</v>
      </c>
      <c r="W7" t="s">
        <v>454</v>
      </c>
      <c r="X7" t="s">
        <v>50</v>
      </c>
    </row>
  </sheetData>
  <mergeCells count="2">
    <mergeCell ref="A1:K1"/>
    <mergeCell ref="A2: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6248-3F09-4EEA-A568-CC07E1507B4A}">
  <dimension ref="A1:X7"/>
  <sheetViews>
    <sheetView tabSelected="1" workbookViewId="0">
      <selection activeCell="H14" sqref="H14"/>
    </sheetView>
  </sheetViews>
  <sheetFormatPr defaultColWidth="11.19921875" defaultRowHeight="15.6" x14ac:dyDescent="0.3"/>
  <sheetData>
    <row r="1" spans="1:24" ht="21" x14ac:dyDescent="0.3">
      <c r="A1" s="4" t="s">
        <v>480</v>
      </c>
      <c r="B1" s="5"/>
      <c r="C1" s="5"/>
      <c r="D1" s="5"/>
      <c r="E1" s="5"/>
      <c r="F1" s="5"/>
      <c r="G1" s="5"/>
      <c r="H1" s="5"/>
      <c r="I1" s="5"/>
      <c r="J1" s="5"/>
      <c r="K1" s="6"/>
    </row>
    <row r="2" spans="1:24" ht="66.599999999999994" customHeight="1" thickBot="1" x14ac:dyDescent="0.35">
      <c r="A2" s="7" t="s">
        <v>493</v>
      </c>
      <c r="B2" s="13"/>
      <c r="C2" s="13"/>
      <c r="D2" s="13"/>
      <c r="E2" s="13"/>
      <c r="F2" s="13"/>
      <c r="G2" s="13"/>
      <c r="H2" s="13"/>
      <c r="I2" s="13"/>
      <c r="J2" s="13"/>
      <c r="K2" s="14"/>
    </row>
    <row r="3" spans="1:24"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c r="X3" t="s">
        <v>39</v>
      </c>
    </row>
    <row r="4" spans="1:24" x14ac:dyDescent="0.3">
      <c r="A4" t="s">
        <v>475</v>
      </c>
      <c r="B4" t="s">
        <v>444</v>
      </c>
      <c r="C4" t="s">
        <v>41</v>
      </c>
      <c r="D4">
        <v>0.120719592136008</v>
      </c>
      <c r="E4">
        <v>0.171791572701497</v>
      </c>
      <c r="F4">
        <v>0.171791572701497</v>
      </c>
      <c r="G4">
        <v>17.140911854017101</v>
      </c>
      <c r="H4" t="s">
        <v>42</v>
      </c>
      <c r="I4" t="b">
        <v>1</v>
      </c>
      <c r="J4">
        <v>98.562995497329297</v>
      </c>
      <c r="K4">
        <v>99.420138354472201</v>
      </c>
      <c r="L4">
        <v>0</v>
      </c>
      <c r="M4" t="s">
        <v>43</v>
      </c>
      <c r="N4" t="s">
        <v>43</v>
      </c>
      <c r="O4" t="s">
        <v>476</v>
      </c>
      <c r="P4">
        <f>-6.27004593131153 - 40.5518696393457</f>
        <v>-46.821915570657232</v>
      </c>
      <c r="Q4" t="s">
        <v>43</v>
      </c>
      <c r="R4" t="s">
        <v>46</v>
      </c>
      <c r="S4" t="s">
        <v>47</v>
      </c>
      <c r="T4" t="s">
        <v>477</v>
      </c>
      <c r="U4">
        <v>3.8360056737309098</v>
      </c>
      <c r="V4">
        <v>11.944366217004401</v>
      </c>
      <c r="W4" t="s">
        <v>454</v>
      </c>
      <c r="X4" t="s">
        <v>50</v>
      </c>
    </row>
    <row r="5" spans="1:24" x14ac:dyDescent="0.3">
      <c r="A5" t="s">
        <v>475</v>
      </c>
      <c r="B5" t="s">
        <v>444</v>
      </c>
      <c r="C5" t="s">
        <v>41</v>
      </c>
      <c r="D5">
        <v>0.17495312309741001</v>
      </c>
      <c r="E5">
        <v>9.4750211494495404E-2</v>
      </c>
      <c r="F5" t="s">
        <v>78</v>
      </c>
      <c r="G5">
        <v>20.750445475858498</v>
      </c>
      <c r="H5" t="s">
        <v>89</v>
      </c>
      <c r="I5" t="b">
        <v>0</v>
      </c>
      <c r="J5">
        <v>100.5545683189</v>
      </c>
      <c r="K5">
        <v>101.411711176042</v>
      </c>
      <c r="L5">
        <v>1.9915728215698001</v>
      </c>
      <c r="M5" t="s">
        <v>43</v>
      </c>
      <c r="N5" t="s">
        <v>43</v>
      </c>
      <c r="O5" t="s">
        <v>476</v>
      </c>
      <c r="P5">
        <f>-2.05383264970865 - 43.5547236014256</f>
        <v>-45.608556251134253</v>
      </c>
      <c r="Q5" t="s">
        <v>43</v>
      </c>
      <c r="R5" t="s">
        <v>90</v>
      </c>
      <c r="S5" t="s">
        <v>43</v>
      </c>
      <c r="T5" t="s">
        <v>91</v>
      </c>
      <c r="U5">
        <v>3.4485148245251498</v>
      </c>
      <c r="V5">
        <v>11.634835778350601</v>
      </c>
      <c r="W5" t="s">
        <v>454</v>
      </c>
      <c r="X5" t="s">
        <v>50</v>
      </c>
    </row>
    <row r="6" spans="1:24" x14ac:dyDescent="0.3">
      <c r="A6" t="s">
        <v>475</v>
      </c>
      <c r="B6" t="s">
        <v>444</v>
      </c>
      <c r="C6" t="s">
        <v>41</v>
      </c>
      <c r="D6">
        <v>0.14600999149699601</v>
      </c>
      <c r="E6">
        <v>0.130125143397093</v>
      </c>
      <c r="F6" t="s">
        <v>78</v>
      </c>
      <c r="G6">
        <v>19.3656252267754</v>
      </c>
      <c r="H6" t="s">
        <v>79</v>
      </c>
      <c r="I6" t="b">
        <v>0</v>
      </c>
      <c r="J6">
        <v>100.216240543735</v>
      </c>
      <c r="K6">
        <v>101.073383400878</v>
      </c>
      <c r="L6">
        <v>1.6532450464057999</v>
      </c>
      <c r="M6" t="s">
        <v>43</v>
      </c>
      <c r="N6" t="s">
        <v>43</v>
      </c>
      <c r="O6" t="s">
        <v>476</v>
      </c>
      <c r="P6">
        <f>-4.33594242192788 - 43.0671928754788</f>
        <v>-47.403135297406685</v>
      </c>
      <c r="Q6" t="s">
        <v>43</v>
      </c>
      <c r="R6" t="s">
        <v>80</v>
      </c>
      <c r="S6" t="s">
        <v>81</v>
      </c>
      <c r="T6" t="s">
        <v>478</v>
      </c>
      <c r="U6">
        <v>3.7423101076489802</v>
      </c>
      <c r="V6">
        <v>12.092636555460899</v>
      </c>
      <c r="W6" t="s">
        <v>454</v>
      </c>
      <c r="X6" t="s">
        <v>50</v>
      </c>
    </row>
    <row r="7" spans="1:24" x14ac:dyDescent="0.3">
      <c r="A7" t="s">
        <v>475</v>
      </c>
      <c r="B7" t="s">
        <v>444</v>
      </c>
      <c r="C7" t="s">
        <v>41</v>
      </c>
      <c r="D7">
        <v>0.17495312309741001</v>
      </c>
      <c r="E7">
        <v>9.4750211494495404E-2</v>
      </c>
      <c r="F7" t="s">
        <v>78</v>
      </c>
      <c r="G7">
        <v>20.750445475858498</v>
      </c>
      <c r="H7" t="s">
        <v>83</v>
      </c>
      <c r="I7" t="b">
        <v>0</v>
      </c>
      <c r="J7">
        <v>100.5545683189</v>
      </c>
      <c r="K7">
        <v>101.411711176042</v>
      </c>
      <c r="L7">
        <v>1.9915728215698001</v>
      </c>
      <c r="M7" t="s">
        <v>43</v>
      </c>
      <c r="N7" t="s">
        <v>43</v>
      </c>
      <c r="O7" t="s">
        <v>476</v>
      </c>
      <c r="P7">
        <f>-2.05383264970865 - 43.5547236014256</f>
        <v>-45.608556251134253</v>
      </c>
      <c r="Q7" t="s">
        <v>43</v>
      </c>
      <c r="R7" t="s">
        <v>84</v>
      </c>
      <c r="S7" t="s">
        <v>85</v>
      </c>
      <c r="T7" t="s">
        <v>479</v>
      </c>
      <c r="U7">
        <v>3.4485148245251498</v>
      </c>
      <c r="V7">
        <v>11.634835778350601</v>
      </c>
      <c r="W7" t="s">
        <v>454</v>
      </c>
      <c r="X7" t="s">
        <v>50</v>
      </c>
    </row>
  </sheetData>
  <mergeCells count="2">
    <mergeCell ref="A1:K1"/>
    <mergeCell ref="A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71D0E-20AC-B146-83F0-257503C6B306}">
  <dimension ref="A1:X19"/>
  <sheetViews>
    <sheetView workbookViewId="0">
      <selection activeCell="G17" sqref="G17"/>
    </sheetView>
  </sheetViews>
  <sheetFormatPr defaultColWidth="11.19921875" defaultRowHeight="15.6" x14ac:dyDescent="0.3"/>
  <sheetData>
    <row r="1" spans="1:24" ht="21" x14ac:dyDescent="0.3">
      <c r="A1" s="4" t="s">
        <v>1</v>
      </c>
      <c r="B1" s="5"/>
      <c r="C1" s="5"/>
      <c r="D1" s="5"/>
      <c r="E1" s="5"/>
      <c r="F1" s="5"/>
      <c r="G1" s="5"/>
      <c r="H1" s="5"/>
      <c r="I1" s="5"/>
      <c r="J1" s="5"/>
      <c r="K1" s="6"/>
    </row>
    <row r="2" spans="1:24" ht="100.2" customHeight="1" thickBot="1" x14ac:dyDescent="0.35">
      <c r="A2" s="7" t="s">
        <v>482</v>
      </c>
      <c r="B2" s="8"/>
      <c r="C2" s="8"/>
      <c r="D2" s="8"/>
      <c r="E2" s="8"/>
      <c r="F2" s="8"/>
      <c r="G2" s="8"/>
      <c r="H2" s="8"/>
      <c r="I2" s="8"/>
      <c r="J2" s="8"/>
      <c r="K2" s="9"/>
    </row>
    <row r="3" spans="1:24"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c r="X3" t="s">
        <v>39</v>
      </c>
    </row>
    <row r="4" spans="1:24" x14ac:dyDescent="0.3">
      <c r="A4" t="s">
        <v>116</v>
      </c>
      <c r="B4" t="s">
        <v>14</v>
      </c>
      <c r="C4" t="s">
        <v>41</v>
      </c>
      <c r="D4">
        <v>0.40699232328402501</v>
      </c>
      <c r="E4">
        <v>7.9659914232150001E-4</v>
      </c>
      <c r="F4">
        <v>1.0621321897620001E-3</v>
      </c>
      <c r="G4">
        <v>29.1963153834546</v>
      </c>
      <c r="H4" t="s">
        <v>42</v>
      </c>
      <c r="I4" t="b">
        <v>1</v>
      </c>
      <c r="J4">
        <v>139.51570716877501</v>
      </c>
      <c r="K4">
        <v>140.08713574020399</v>
      </c>
      <c r="L4">
        <v>0</v>
      </c>
      <c r="O4" t="s">
        <v>117</v>
      </c>
      <c r="P4" t="s">
        <v>118</v>
      </c>
      <c r="Q4" t="s">
        <v>45</v>
      </c>
      <c r="R4" t="s">
        <v>46</v>
      </c>
      <c r="S4" t="s">
        <v>47</v>
      </c>
      <c r="T4" t="s">
        <v>119</v>
      </c>
      <c r="U4">
        <v>-0.80956169464817795</v>
      </c>
      <c r="V4">
        <v>7.5136983373032296</v>
      </c>
      <c r="W4" t="s">
        <v>120</v>
      </c>
      <c r="X4" t="s">
        <v>50</v>
      </c>
    </row>
    <row r="5" spans="1:24" x14ac:dyDescent="0.3">
      <c r="A5" t="s">
        <v>116</v>
      </c>
      <c r="B5" t="s">
        <v>11</v>
      </c>
      <c r="C5" t="s">
        <v>41</v>
      </c>
      <c r="D5">
        <v>0.44377686931209398</v>
      </c>
      <c r="E5">
        <v>5.1991765541310004E-4</v>
      </c>
      <c r="F5">
        <v>1.0398353108262001E-3</v>
      </c>
      <c r="G5">
        <v>45.112360539686797</v>
      </c>
      <c r="H5" t="s">
        <v>42</v>
      </c>
      <c r="I5" t="b">
        <v>1</v>
      </c>
      <c r="J5">
        <v>133.33518858918001</v>
      </c>
      <c r="K5">
        <v>133.93518858918</v>
      </c>
      <c r="L5">
        <v>0</v>
      </c>
      <c r="O5" t="s">
        <v>121</v>
      </c>
      <c r="P5" t="s">
        <v>122</v>
      </c>
      <c r="Q5" t="s">
        <v>52</v>
      </c>
      <c r="R5" t="s">
        <v>46</v>
      </c>
      <c r="S5" t="s">
        <v>47</v>
      </c>
      <c r="T5" t="s">
        <v>123</v>
      </c>
      <c r="U5">
        <v>-2.4278176608149602</v>
      </c>
      <c r="V5">
        <v>11.021180031821601</v>
      </c>
      <c r="W5" t="s">
        <v>120</v>
      </c>
      <c r="X5" t="s">
        <v>50</v>
      </c>
    </row>
    <row r="6" spans="1:24" x14ac:dyDescent="0.3">
      <c r="A6" t="s">
        <v>116</v>
      </c>
      <c r="B6" t="s">
        <v>5</v>
      </c>
      <c r="C6" t="s">
        <v>41</v>
      </c>
      <c r="D6">
        <v>0.48011212977963102</v>
      </c>
      <c r="E6">
        <v>1.746784941012E-4</v>
      </c>
      <c r="F6">
        <v>6.9871397640480001E-4</v>
      </c>
      <c r="G6">
        <v>14.0603645812711</v>
      </c>
      <c r="H6" t="s">
        <v>42</v>
      </c>
      <c r="I6" t="b">
        <v>1</v>
      </c>
      <c r="J6">
        <v>137.24849517065201</v>
      </c>
      <c r="K6">
        <v>137.81992374207999</v>
      </c>
      <c r="L6">
        <v>0</v>
      </c>
      <c r="O6" t="s">
        <v>124</v>
      </c>
      <c r="P6" t="s">
        <v>125</v>
      </c>
      <c r="Q6" t="s">
        <v>56</v>
      </c>
      <c r="R6" t="s">
        <v>46</v>
      </c>
      <c r="S6" t="s">
        <v>47</v>
      </c>
      <c r="T6" t="s">
        <v>126</v>
      </c>
      <c r="U6">
        <v>0.97405381238052202</v>
      </c>
      <c r="V6">
        <v>3.11938331444343</v>
      </c>
      <c r="W6" t="s">
        <v>120</v>
      </c>
      <c r="X6" t="s">
        <v>50</v>
      </c>
    </row>
    <row r="7" spans="1:24" x14ac:dyDescent="0.3">
      <c r="A7" t="s">
        <v>116</v>
      </c>
      <c r="B7" t="s">
        <v>8</v>
      </c>
      <c r="C7" t="s">
        <v>41</v>
      </c>
      <c r="D7">
        <v>0.105389941528892</v>
      </c>
      <c r="E7">
        <v>0.12168011572606099</v>
      </c>
      <c r="F7">
        <v>0.12168011572606099</v>
      </c>
      <c r="G7">
        <v>20.309733809052201</v>
      </c>
      <c r="H7" t="s">
        <v>42</v>
      </c>
      <c r="I7" t="b">
        <v>1</v>
      </c>
      <c r="J7">
        <v>149.38404132886399</v>
      </c>
      <c r="K7">
        <v>149.955469900293</v>
      </c>
      <c r="L7">
        <v>0</v>
      </c>
      <c r="O7" t="s">
        <v>127</v>
      </c>
      <c r="P7">
        <f>-4.41697240663058 - 45.036440024735</f>
        <v>-49.453412431365578</v>
      </c>
      <c r="Q7" t="s">
        <v>59</v>
      </c>
      <c r="R7" t="s">
        <v>46</v>
      </c>
      <c r="S7" t="s">
        <v>47</v>
      </c>
      <c r="T7" t="s">
        <v>128</v>
      </c>
      <c r="U7">
        <v>1.79694851438817</v>
      </c>
      <c r="V7">
        <v>12.6156664365728</v>
      </c>
      <c r="W7" t="s">
        <v>120</v>
      </c>
      <c r="X7" t="s">
        <v>50</v>
      </c>
    </row>
    <row r="8" spans="1:24" x14ac:dyDescent="0.3">
      <c r="A8" t="s">
        <v>116</v>
      </c>
      <c r="B8" t="s">
        <v>14</v>
      </c>
      <c r="C8" t="s">
        <v>41</v>
      </c>
      <c r="D8">
        <v>0.33147899385099999</v>
      </c>
      <c r="E8">
        <v>3.2405039511388999E-3</v>
      </c>
      <c r="F8" t="s">
        <v>78</v>
      </c>
      <c r="G8">
        <v>22.761915790423998</v>
      </c>
      <c r="H8" t="s">
        <v>89</v>
      </c>
      <c r="I8" t="b">
        <v>0</v>
      </c>
      <c r="J8">
        <v>152.228128286627</v>
      </c>
      <c r="K8">
        <v>152.79955685805601</v>
      </c>
      <c r="L8">
        <v>12.712421117851999</v>
      </c>
      <c r="O8" t="s">
        <v>117</v>
      </c>
      <c r="P8" t="s">
        <v>129</v>
      </c>
      <c r="Q8" t="s">
        <v>45</v>
      </c>
      <c r="R8" t="s">
        <v>90</v>
      </c>
      <c r="S8" t="s">
        <v>43</v>
      </c>
      <c r="T8" t="s">
        <v>91</v>
      </c>
      <c r="U8">
        <v>1.73419655094605</v>
      </c>
      <c r="V8">
        <v>6.8917100117114796</v>
      </c>
      <c r="W8" t="s">
        <v>120</v>
      </c>
      <c r="X8" t="s">
        <v>50</v>
      </c>
    </row>
    <row r="9" spans="1:24" x14ac:dyDescent="0.3">
      <c r="A9" t="s">
        <v>116</v>
      </c>
      <c r="B9" t="s">
        <v>14</v>
      </c>
      <c r="C9" t="s">
        <v>41</v>
      </c>
      <c r="D9">
        <v>0.53587509792620003</v>
      </c>
      <c r="E9" s="2">
        <v>4.78296156054547E-5</v>
      </c>
      <c r="F9" t="s">
        <v>78</v>
      </c>
      <c r="G9">
        <v>30.498982202854702</v>
      </c>
      <c r="H9" t="s">
        <v>79</v>
      </c>
      <c r="I9" t="b">
        <v>0</v>
      </c>
      <c r="J9">
        <v>143.81675250377501</v>
      </c>
      <c r="K9">
        <v>144.38818107520299</v>
      </c>
      <c r="L9">
        <v>4.3010453349990003</v>
      </c>
      <c r="O9" t="s">
        <v>117</v>
      </c>
      <c r="P9" t="s">
        <v>130</v>
      </c>
      <c r="Q9" t="s">
        <v>45</v>
      </c>
      <c r="R9" t="s">
        <v>80</v>
      </c>
      <c r="S9" t="s">
        <v>81</v>
      </c>
      <c r="T9" t="s">
        <v>131</v>
      </c>
      <c r="U9">
        <v>0.49732329495829902</v>
      </c>
      <c r="V9">
        <v>6.0514528451186802</v>
      </c>
      <c r="W9" t="s">
        <v>120</v>
      </c>
      <c r="X9" t="s">
        <v>50</v>
      </c>
    </row>
    <row r="10" spans="1:24" x14ac:dyDescent="0.3">
      <c r="A10" t="s">
        <v>116</v>
      </c>
      <c r="B10" t="s">
        <v>14</v>
      </c>
      <c r="C10" t="s">
        <v>41</v>
      </c>
      <c r="D10">
        <v>0.33147899385099999</v>
      </c>
      <c r="E10">
        <v>3.2405039511388999E-3</v>
      </c>
      <c r="F10" t="s">
        <v>78</v>
      </c>
      <c r="G10">
        <v>22.761915790423998</v>
      </c>
      <c r="H10" t="s">
        <v>83</v>
      </c>
      <c r="I10" t="b">
        <v>0</v>
      </c>
      <c r="J10">
        <v>152.228128286627</v>
      </c>
      <c r="K10">
        <v>152.79955685805601</v>
      </c>
      <c r="L10">
        <v>12.712421117851999</v>
      </c>
      <c r="O10" t="s">
        <v>117</v>
      </c>
      <c r="P10" t="s">
        <v>129</v>
      </c>
      <c r="Q10" t="s">
        <v>45</v>
      </c>
      <c r="R10" t="s">
        <v>84</v>
      </c>
      <c r="S10" t="s">
        <v>85</v>
      </c>
      <c r="T10" t="s">
        <v>132</v>
      </c>
      <c r="U10">
        <v>1.73419655094605</v>
      </c>
      <c r="V10">
        <v>6.8917100117114796</v>
      </c>
      <c r="W10" t="s">
        <v>120</v>
      </c>
      <c r="X10" t="s">
        <v>50</v>
      </c>
    </row>
    <row r="11" spans="1:24" x14ac:dyDescent="0.3">
      <c r="A11" t="s">
        <v>116</v>
      </c>
      <c r="B11" t="s">
        <v>11</v>
      </c>
      <c r="C11" t="s">
        <v>41</v>
      </c>
      <c r="D11">
        <v>8.3311995846990394E-2</v>
      </c>
      <c r="E11">
        <v>0.18164659857170301</v>
      </c>
      <c r="F11" t="s">
        <v>78</v>
      </c>
      <c r="G11">
        <v>13.2117728579309</v>
      </c>
      <c r="H11" t="s">
        <v>89</v>
      </c>
      <c r="I11" t="b">
        <v>0</v>
      </c>
      <c r="J11">
        <v>153.97789568417301</v>
      </c>
      <c r="K11">
        <v>154.577895684173</v>
      </c>
      <c r="L11">
        <v>20.642707094993</v>
      </c>
      <c r="O11" t="s">
        <v>121</v>
      </c>
      <c r="P11">
        <f>-5.53232432352316 - 31.955870039385</f>
        <v>-37.48819436290816</v>
      </c>
      <c r="Q11" t="s">
        <v>52</v>
      </c>
      <c r="R11" t="s">
        <v>90</v>
      </c>
      <c r="S11" t="s">
        <v>43</v>
      </c>
      <c r="T11" t="s">
        <v>91</v>
      </c>
      <c r="U11">
        <v>3.7788929787185901</v>
      </c>
      <c r="V11">
        <v>9.5633148884969703</v>
      </c>
      <c r="W11" t="s">
        <v>120</v>
      </c>
      <c r="X11" t="s">
        <v>50</v>
      </c>
    </row>
    <row r="12" spans="1:24" x14ac:dyDescent="0.3">
      <c r="A12" t="s">
        <v>116</v>
      </c>
      <c r="B12" t="s">
        <v>11</v>
      </c>
      <c r="C12" t="s">
        <v>41</v>
      </c>
      <c r="D12">
        <v>0.48393918027280702</v>
      </c>
      <c r="E12">
        <v>2.281796204917E-4</v>
      </c>
      <c r="F12" t="s">
        <v>78</v>
      </c>
      <c r="G12">
        <v>41.9061277632849</v>
      </c>
      <c r="H12" t="s">
        <v>79</v>
      </c>
      <c r="I12" t="b">
        <v>0</v>
      </c>
      <c r="J12">
        <v>141.76813250959501</v>
      </c>
      <c r="K12">
        <v>142.368132509595</v>
      </c>
      <c r="L12">
        <v>8.4329439204149992</v>
      </c>
      <c r="O12" t="s">
        <v>121</v>
      </c>
      <c r="P12" t="s">
        <v>133</v>
      </c>
      <c r="Q12" t="s">
        <v>52</v>
      </c>
      <c r="R12" t="s">
        <v>80</v>
      </c>
      <c r="S12" t="s">
        <v>81</v>
      </c>
      <c r="T12" t="s">
        <v>134</v>
      </c>
      <c r="U12">
        <v>-0.54955446657928197</v>
      </c>
      <c r="V12">
        <v>9.4432815229209996</v>
      </c>
      <c r="W12" t="s">
        <v>120</v>
      </c>
      <c r="X12" t="s">
        <v>50</v>
      </c>
    </row>
    <row r="13" spans="1:24" x14ac:dyDescent="0.3">
      <c r="A13" t="s">
        <v>116</v>
      </c>
      <c r="B13" t="s">
        <v>11</v>
      </c>
      <c r="C13" t="s">
        <v>41</v>
      </c>
      <c r="D13">
        <v>8.3311995846990394E-2</v>
      </c>
      <c r="E13">
        <v>0.18164659857170301</v>
      </c>
      <c r="F13" t="s">
        <v>78</v>
      </c>
      <c r="G13">
        <v>13.2117728579309</v>
      </c>
      <c r="H13" t="s">
        <v>83</v>
      </c>
      <c r="I13" t="b">
        <v>0</v>
      </c>
      <c r="J13">
        <v>153.97789568417301</v>
      </c>
      <c r="K13">
        <v>154.577895684173</v>
      </c>
      <c r="L13">
        <v>20.642707094993</v>
      </c>
      <c r="O13" t="s">
        <v>121</v>
      </c>
      <c r="P13">
        <f>-5.53232432352316 - 31.955870039385</f>
        <v>-37.48819436290816</v>
      </c>
      <c r="Q13" t="s">
        <v>52</v>
      </c>
      <c r="R13" t="s">
        <v>84</v>
      </c>
      <c r="S13" t="s">
        <v>85</v>
      </c>
      <c r="T13" t="s">
        <v>135</v>
      </c>
      <c r="U13">
        <v>3.7788929787185901</v>
      </c>
      <c r="V13">
        <v>9.5633148884969703</v>
      </c>
      <c r="W13" t="s">
        <v>120</v>
      </c>
      <c r="X13" t="s">
        <v>50</v>
      </c>
    </row>
    <row r="14" spans="1:24" x14ac:dyDescent="0.3">
      <c r="A14" t="s">
        <v>116</v>
      </c>
      <c r="B14" t="s">
        <v>5</v>
      </c>
      <c r="C14" t="s">
        <v>41</v>
      </c>
      <c r="D14">
        <v>0.40578126523296498</v>
      </c>
      <c r="E14">
        <v>8.1569444920810003E-4</v>
      </c>
      <c r="F14" t="s">
        <v>78</v>
      </c>
      <c r="G14">
        <v>10.9037762469864</v>
      </c>
      <c r="H14" t="s">
        <v>89</v>
      </c>
      <c r="I14" t="b">
        <v>0</v>
      </c>
      <c r="J14">
        <v>149.40044044026601</v>
      </c>
      <c r="K14">
        <v>149.97186901169499</v>
      </c>
      <c r="L14">
        <v>12.151945269614901</v>
      </c>
      <c r="O14" t="s">
        <v>124</v>
      </c>
      <c r="P14" t="s">
        <v>136</v>
      </c>
      <c r="Q14" t="s">
        <v>56</v>
      </c>
      <c r="R14" t="s">
        <v>90</v>
      </c>
      <c r="S14" t="s">
        <v>43</v>
      </c>
      <c r="T14" t="s">
        <v>91</v>
      </c>
      <c r="U14">
        <v>2.83241709117583</v>
      </c>
      <c r="V14">
        <v>2.81314918936588</v>
      </c>
      <c r="W14" t="s">
        <v>120</v>
      </c>
      <c r="X14" t="s">
        <v>50</v>
      </c>
    </row>
    <row r="15" spans="1:24" x14ac:dyDescent="0.3">
      <c r="A15" t="s">
        <v>116</v>
      </c>
      <c r="B15" t="s">
        <v>5</v>
      </c>
      <c r="C15" t="s">
        <v>41</v>
      </c>
      <c r="D15">
        <v>0.51572766399747105</v>
      </c>
      <c r="E15" s="2">
        <v>7.7604281297105602E-5</v>
      </c>
      <c r="F15" t="s">
        <v>78</v>
      </c>
      <c r="G15">
        <v>13.257443767857801</v>
      </c>
      <c r="H15" t="s">
        <v>79</v>
      </c>
      <c r="I15" t="b">
        <v>0</v>
      </c>
      <c r="J15">
        <v>144.25230516868399</v>
      </c>
      <c r="K15">
        <v>144.823733740113</v>
      </c>
      <c r="L15">
        <v>7.0038099980329998</v>
      </c>
      <c r="O15" t="s">
        <v>124</v>
      </c>
      <c r="P15" t="s">
        <v>137</v>
      </c>
      <c r="Q15" t="s">
        <v>56</v>
      </c>
      <c r="R15" t="s">
        <v>80</v>
      </c>
      <c r="S15" t="s">
        <v>81</v>
      </c>
      <c r="T15" t="s">
        <v>138</v>
      </c>
      <c r="U15">
        <v>2.2071835788123302</v>
      </c>
      <c r="V15">
        <v>2.7389434758552</v>
      </c>
      <c r="W15" t="s">
        <v>120</v>
      </c>
      <c r="X15" t="s">
        <v>50</v>
      </c>
    </row>
    <row r="16" spans="1:24" x14ac:dyDescent="0.3">
      <c r="A16" t="s">
        <v>116</v>
      </c>
      <c r="B16" t="s">
        <v>5</v>
      </c>
      <c r="C16" t="s">
        <v>41</v>
      </c>
      <c r="D16">
        <v>0.40578126523296498</v>
      </c>
      <c r="E16">
        <v>8.1569444920810003E-4</v>
      </c>
      <c r="F16" t="s">
        <v>78</v>
      </c>
      <c r="G16">
        <v>10.9037762469864</v>
      </c>
      <c r="H16" t="s">
        <v>83</v>
      </c>
      <c r="I16" t="b">
        <v>0</v>
      </c>
      <c r="J16">
        <v>149.40044044026601</v>
      </c>
      <c r="K16">
        <v>149.97186901169499</v>
      </c>
      <c r="L16">
        <v>12.151945269614901</v>
      </c>
      <c r="O16" t="s">
        <v>124</v>
      </c>
      <c r="P16" t="s">
        <v>136</v>
      </c>
      <c r="Q16" t="s">
        <v>56</v>
      </c>
      <c r="R16" t="s">
        <v>84</v>
      </c>
      <c r="S16" t="s">
        <v>85</v>
      </c>
      <c r="T16" t="s">
        <v>139</v>
      </c>
      <c r="U16">
        <v>2.83241709117583</v>
      </c>
      <c r="V16">
        <v>2.81314918936588</v>
      </c>
      <c r="W16" t="s">
        <v>120</v>
      </c>
      <c r="X16" t="s">
        <v>50</v>
      </c>
    </row>
    <row r="17" spans="1:24" x14ac:dyDescent="0.3">
      <c r="A17" t="s">
        <v>116</v>
      </c>
      <c r="B17" t="s">
        <v>8</v>
      </c>
      <c r="C17" t="s">
        <v>41</v>
      </c>
      <c r="D17">
        <v>0.108256172939805</v>
      </c>
      <c r="E17">
        <v>0.116437067612885</v>
      </c>
      <c r="F17" t="s">
        <v>78</v>
      </c>
      <c r="G17">
        <v>16.288185846943598</v>
      </c>
      <c r="H17" t="s">
        <v>89</v>
      </c>
      <c r="I17" t="b">
        <v>0</v>
      </c>
      <c r="J17">
        <v>159.14279428054201</v>
      </c>
      <c r="K17">
        <v>159.71422285196999</v>
      </c>
      <c r="L17">
        <v>9.7587529516769909</v>
      </c>
      <c r="O17" t="s">
        <v>127</v>
      </c>
      <c r="P17">
        <f>-3.24671304659052 - 35.8230847404777</f>
        <v>-39.069797787068218</v>
      </c>
      <c r="Q17" t="s">
        <v>59</v>
      </c>
      <c r="R17" t="s">
        <v>90</v>
      </c>
      <c r="S17" t="s">
        <v>43</v>
      </c>
      <c r="T17" t="s">
        <v>91</v>
      </c>
      <c r="U17">
        <v>3.8252431246738499</v>
      </c>
      <c r="V17">
        <v>9.9667851497622895</v>
      </c>
      <c r="W17" t="s">
        <v>120</v>
      </c>
      <c r="X17" t="s">
        <v>50</v>
      </c>
    </row>
    <row r="18" spans="1:24" x14ac:dyDescent="0.3">
      <c r="A18" t="s">
        <v>116</v>
      </c>
      <c r="B18" t="s">
        <v>8</v>
      </c>
      <c r="C18" t="s">
        <v>41</v>
      </c>
      <c r="D18">
        <v>0.24170544042223499</v>
      </c>
      <c r="E18">
        <v>1.4688249877951301E-2</v>
      </c>
      <c r="F18" t="s">
        <v>78</v>
      </c>
      <c r="G18">
        <v>32.127466955490398</v>
      </c>
      <c r="H18" t="s">
        <v>79</v>
      </c>
      <c r="I18" t="b">
        <v>0</v>
      </c>
      <c r="J18">
        <v>155.59878953600801</v>
      </c>
      <c r="K18">
        <v>156.17021810743699</v>
      </c>
      <c r="L18">
        <v>6.2147482071439901</v>
      </c>
      <c r="O18" t="s">
        <v>127</v>
      </c>
      <c r="P18" t="s">
        <v>140</v>
      </c>
      <c r="Q18" t="s">
        <v>59</v>
      </c>
      <c r="R18" t="s">
        <v>80</v>
      </c>
      <c r="S18" t="s">
        <v>81</v>
      </c>
      <c r="T18" t="s">
        <v>141</v>
      </c>
      <c r="U18">
        <v>2.2770491884954498</v>
      </c>
      <c r="V18">
        <v>12.132237468267601</v>
      </c>
      <c r="W18" t="s">
        <v>120</v>
      </c>
      <c r="X18" t="s">
        <v>50</v>
      </c>
    </row>
    <row r="19" spans="1:24" x14ac:dyDescent="0.3">
      <c r="A19" t="s">
        <v>116</v>
      </c>
      <c r="B19" t="s">
        <v>8</v>
      </c>
      <c r="C19" t="s">
        <v>41</v>
      </c>
      <c r="D19">
        <v>0.108256172939805</v>
      </c>
      <c r="E19">
        <v>0.116437067612885</v>
      </c>
      <c r="F19" t="s">
        <v>78</v>
      </c>
      <c r="G19">
        <v>16.288185846943598</v>
      </c>
      <c r="H19" t="s">
        <v>83</v>
      </c>
      <c r="I19" t="b">
        <v>0</v>
      </c>
      <c r="J19">
        <v>159.14279428054201</v>
      </c>
      <c r="K19">
        <v>159.71422285196999</v>
      </c>
      <c r="L19">
        <v>9.7587529516769909</v>
      </c>
      <c r="O19" t="s">
        <v>127</v>
      </c>
      <c r="P19">
        <f>-3.24671304659052 - 35.8230847404777</f>
        <v>-39.069797787068218</v>
      </c>
      <c r="Q19" t="s">
        <v>59</v>
      </c>
      <c r="R19" t="s">
        <v>84</v>
      </c>
      <c r="S19" t="s">
        <v>85</v>
      </c>
      <c r="T19" t="s">
        <v>142</v>
      </c>
      <c r="U19">
        <v>3.8252431246738499</v>
      </c>
      <c r="V19">
        <v>9.9667851497622895</v>
      </c>
      <c r="W19" t="s">
        <v>120</v>
      </c>
      <c r="X19" t="s">
        <v>50</v>
      </c>
    </row>
  </sheetData>
  <mergeCells count="2">
    <mergeCell ref="A1:K1"/>
    <mergeCell ref="A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1E03-95DB-DF4D-8063-8387DACE4C6C}">
  <dimension ref="A1:W99"/>
  <sheetViews>
    <sheetView workbookViewId="0">
      <selection activeCell="J12" sqref="J12"/>
    </sheetView>
  </sheetViews>
  <sheetFormatPr defaultColWidth="11.19921875" defaultRowHeight="15.6" x14ac:dyDescent="0.3"/>
  <sheetData>
    <row r="1" spans="1:23" ht="21" x14ac:dyDescent="0.3">
      <c r="A1" s="4" t="s">
        <v>2</v>
      </c>
      <c r="B1" s="5"/>
      <c r="C1" s="5"/>
      <c r="D1" s="5"/>
      <c r="E1" s="5"/>
      <c r="F1" s="5"/>
      <c r="G1" s="5"/>
      <c r="H1" s="5"/>
      <c r="I1" s="5"/>
      <c r="J1" s="5"/>
      <c r="K1" s="6"/>
    </row>
    <row r="2" spans="1:23" ht="97.95" customHeight="1" thickBot="1" x14ac:dyDescent="0.35">
      <c r="A2" s="7" t="s">
        <v>485</v>
      </c>
      <c r="B2" s="8"/>
      <c r="C2" s="8"/>
      <c r="D2" s="8"/>
      <c r="E2" s="8"/>
      <c r="F2" s="8"/>
      <c r="G2" s="8"/>
      <c r="H2" s="8"/>
      <c r="I2" s="8"/>
      <c r="J2" s="8"/>
      <c r="K2" s="9"/>
    </row>
    <row r="3" spans="1:23" s="1" customFormat="1"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row>
    <row r="4" spans="1:23" x14ac:dyDescent="0.3">
      <c r="A4" t="s">
        <v>143</v>
      </c>
      <c r="B4" t="s">
        <v>144</v>
      </c>
      <c r="C4" t="s">
        <v>41</v>
      </c>
      <c r="D4">
        <v>1.48353902754432E-2</v>
      </c>
      <c r="E4">
        <v>0.64144096050932198</v>
      </c>
      <c r="F4">
        <v>0.98711425434325994</v>
      </c>
      <c r="G4">
        <v>-3.0547077441554902</v>
      </c>
      <c r="H4" t="s">
        <v>42</v>
      </c>
      <c r="I4" t="b">
        <v>1</v>
      </c>
      <c r="J4">
        <v>100.40455549337599</v>
      </c>
      <c r="K4">
        <v>101.261698350519</v>
      </c>
      <c r="L4">
        <v>0</v>
      </c>
      <c r="M4" t="s">
        <v>43</v>
      </c>
      <c r="N4" t="s">
        <v>43</v>
      </c>
      <c r="O4" t="s">
        <v>145</v>
      </c>
      <c r="P4">
        <f>-15.6522267118911 - 9.54281122358009</f>
        <v>-25.195037935471191</v>
      </c>
      <c r="Q4" t="s">
        <v>45</v>
      </c>
      <c r="R4" t="s">
        <v>46</v>
      </c>
      <c r="S4" t="s">
        <v>47</v>
      </c>
      <c r="T4" t="s">
        <v>146</v>
      </c>
      <c r="U4">
        <v>6.0098149252408097</v>
      </c>
      <c r="V4">
        <v>6.4273055957834604</v>
      </c>
      <c r="W4" t="s">
        <v>147</v>
      </c>
    </row>
    <row r="5" spans="1:23" x14ac:dyDescent="0.3">
      <c r="A5" t="s">
        <v>143</v>
      </c>
      <c r="B5" t="s">
        <v>148</v>
      </c>
      <c r="C5" t="s">
        <v>41</v>
      </c>
      <c r="D5">
        <v>1.6058396327735E-3</v>
      </c>
      <c r="E5">
        <v>0.87863479437048897</v>
      </c>
      <c r="F5">
        <v>0.98726835424383996</v>
      </c>
      <c r="G5">
        <v>-0.439453784603553</v>
      </c>
      <c r="H5" t="s">
        <v>42</v>
      </c>
      <c r="I5" t="b">
        <v>1</v>
      </c>
      <c r="J5">
        <v>100.60697354928099</v>
      </c>
      <c r="K5">
        <v>101.464116406424</v>
      </c>
      <c r="L5">
        <v>0</v>
      </c>
      <c r="M5" t="s">
        <v>43</v>
      </c>
      <c r="N5" t="s">
        <v>43</v>
      </c>
      <c r="O5" t="s">
        <v>149</v>
      </c>
      <c r="P5">
        <f>-5.98473507063217 - 5.10582750142506</f>
        <v>-11.09056257205723</v>
      </c>
      <c r="Q5" t="s">
        <v>59</v>
      </c>
      <c r="R5" t="s">
        <v>46</v>
      </c>
      <c r="S5" t="s">
        <v>47</v>
      </c>
      <c r="T5" t="s">
        <v>150</v>
      </c>
      <c r="U5">
        <v>5.9966151862669497</v>
      </c>
      <c r="V5">
        <v>2.8292251459329698</v>
      </c>
      <c r="W5" t="s">
        <v>147</v>
      </c>
    </row>
    <row r="6" spans="1:23" x14ac:dyDescent="0.3">
      <c r="A6" t="s">
        <v>143</v>
      </c>
      <c r="B6" t="s">
        <v>151</v>
      </c>
      <c r="C6" t="s">
        <v>41</v>
      </c>
      <c r="D6">
        <v>0.116121621245125</v>
      </c>
      <c r="E6">
        <v>0.180741851043868</v>
      </c>
      <c r="F6">
        <v>0.98711425434325994</v>
      </c>
      <c r="G6">
        <v>5.4947419205262804</v>
      </c>
      <c r="H6" t="s">
        <v>42</v>
      </c>
      <c r="I6" t="b">
        <v>1</v>
      </c>
      <c r="J6">
        <v>99.869871834129398</v>
      </c>
      <c r="K6">
        <v>100.727014691272</v>
      </c>
      <c r="L6">
        <v>0</v>
      </c>
      <c r="M6" t="s">
        <v>43</v>
      </c>
      <c r="N6" t="s">
        <v>43</v>
      </c>
      <c r="O6" t="s">
        <v>152</v>
      </c>
      <c r="P6">
        <f>-2.17706122984475 - 13.1665450708973</f>
        <v>-15.343606300742049</v>
      </c>
      <c r="Q6" t="s">
        <v>56</v>
      </c>
      <c r="R6" t="s">
        <v>46</v>
      </c>
      <c r="S6" t="s">
        <v>47</v>
      </c>
      <c r="T6" t="s">
        <v>153</v>
      </c>
      <c r="U6">
        <v>4.7812938382276498</v>
      </c>
      <c r="V6">
        <v>3.9141852808015498</v>
      </c>
      <c r="W6" t="s">
        <v>147</v>
      </c>
    </row>
    <row r="7" spans="1:23" x14ac:dyDescent="0.3">
      <c r="A7" t="s">
        <v>143</v>
      </c>
      <c r="B7" t="s">
        <v>154</v>
      </c>
      <c r="C7" t="s">
        <v>41</v>
      </c>
      <c r="D7">
        <v>4.4287671728329897E-2</v>
      </c>
      <c r="E7">
        <v>0.41751460408230801</v>
      </c>
      <c r="F7">
        <v>0.98711425434325994</v>
      </c>
      <c r="G7">
        <v>3.9866171114371198</v>
      </c>
      <c r="H7" t="s">
        <v>42</v>
      </c>
      <c r="I7" t="b">
        <v>1</v>
      </c>
      <c r="J7">
        <v>99.867455272187996</v>
      </c>
      <c r="K7">
        <v>100.724598129331</v>
      </c>
      <c r="L7">
        <v>0</v>
      </c>
      <c r="M7" t="s">
        <v>43</v>
      </c>
      <c r="N7" t="s">
        <v>43</v>
      </c>
      <c r="O7" t="s">
        <v>155</v>
      </c>
      <c r="P7">
        <f>-5.38548772114143 - 13.3587219440157</f>
        <v>-18.744209665157129</v>
      </c>
      <c r="Q7" t="s">
        <v>59</v>
      </c>
      <c r="R7" t="s">
        <v>46</v>
      </c>
      <c r="S7" t="s">
        <v>47</v>
      </c>
      <c r="T7" t="s">
        <v>156</v>
      </c>
      <c r="U7">
        <v>6.1929277469160802</v>
      </c>
      <c r="V7">
        <v>4.7816861390706897</v>
      </c>
      <c r="W7" t="s">
        <v>147</v>
      </c>
    </row>
    <row r="8" spans="1:23" x14ac:dyDescent="0.3">
      <c r="A8" t="s">
        <v>143</v>
      </c>
      <c r="B8" t="s">
        <v>157</v>
      </c>
      <c r="C8" t="s">
        <v>41</v>
      </c>
      <c r="D8" s="2">
        <v>1.7550785392233199E-5</v>
      </c>
      <c r="E8">
        <v>0.98726835424383996</v>
      </c>
      <c r="F8">
        <v>0.98726835424383996</v>
      </c>
      <c r="G8">
        <v>9.53453264518722E-2</v>
      </c>
      <c r="H8" t="s">
        <v>42</v>
      </c>
      <c r="I8" t="b">
        <v>1</v>
      </c>
      <c r="J8">
        <v>100.633090708243</v>
      </c>
      <c r="K8">
        <v>101.49023356538601</v>
      </c>
      <c r="L8">
        <v>0</v>
      </c>
      <c r="M8" t="s">
        <v>43</v>
      </c>
      <c r="N8" t="s">
        <v>43</v>
      </c>
      <c r="O8" t="s">
        <v>158</v>
      </c>
      <c r="P8">
        <f>-11.4221425257212 - 11.6128331786249</f>
        <v>-23.034975704346103</v>
      </c>
      <c r="Q8" t="s">
        <v>45</v>
      </c>
      <c r="R8" t="s">
        <v>46</v>
      </c>
      <c r="S8" t="s">
        <v>47</v>
      </c>
      <c r="T8" t="s">
        <v>159</v>
      </c>
      <c r="U8">
        <v>6.0445761498939303</v>
      </c>
      <c r="V8">
        <v>5.8762693123331999</v>
      </c>
      <c r="W8" t="s">
        <v>147</v>
      </c>
    </row>
    <row r="9" spans="1:23" x14ac:dyDescent="0.3">
      <c r="A9" t="s">
        <v>143</v>
      </c>
      <c r="B9" t="s">
        <v>160</v>
      </c>
      <c r="C9" t="s">
        <v>41</v>
      </c>
      <c r="D9">
        <v>8.8710279796236399E-2</v>
      </c>
      <c r="E9">
        <v>0.24560595268456201</v>
      </c>
      <c r="F9">
        <v>0.98711425434325994</v>
      </c>
      <c r="G9">
        <v>-22.760810873926001</v>
      </c>
      <c r="H9" t="s">
        <v>42</v>
      </c>
      <c r="I9" t="b">
        <v>1</v>
      </c>
      <c r="J9">
        <v>99.060525322715407</v>
      </c>
      <c r="K9">
        <v>99.917668179858296</v>
      </c>
      <c r="L9">
        <v>0</v>
      </c>
      <c r="M9" t="s">
        <v>43</v>
      </c>
      <c r="N9" t="s">
        <v>43</v>
      </c>
      <c r="O9" t="s">
        <v>161</v>
      </c>
      <c r="P9">
        <f>-59.6789186275229 - 14.1572968796708</f>
        <v>-73.8362155071937</v>
      </c>
      <c r="Q9" t="s">
        <v>45</v>
      </c>
      <c r="R9" t="s">
        <v>46</v>
      </c>
      <c r="S9" t="s">
        <v>47</v>
      </c>
      <c r="T9" t="s">
        <v>162</v>
      </c>
      <c r="U9">
        <v>6.1427915807107896</v>
      </c>
      <c r="V9">
        <v>18.8357692620392</v>
      </c>
      <c r="W9" t="s">
        <v>147</v>
      </c>
    </row>
    <row r="10" spans="1:23" x14ac:dyDescent="0.3">
      <c r="A10" t="s">
        <v>143</v>
      </c>
      <c r="B10" t="s">
        <v>163</v>
      </c>
      <c r="C10" t="s">
        <v>41</v>
      </c>
      <c r="D10">
        <v>4.5151860467961998E-3</v>
      </c>
      <c r="E10">
        <v>0.80470989782504998</v>
      </c>
      <c r="F10">
        <v>0.98711425434325994</v>
      </c>
      <c r="G10">
        <v>-2.1328291522830201</v>
      </c>
      <c r="H10" t="s">
        <v>89</v>
      </c>
      <c r="I10" t="b">
        <v>1</v>
      </c>
      <c r="J10">
        <v>92.0438856113458</v>
      </c>
      <c r="K10">
        <v>92.966962534422706</v>
      </c>
      <c r="L10">
        <v>0</v>
      </c>
      <c r="M10" t="s">
        <v>43</v>
      </c>
      <c r="N10" t="s">
        <v>43</v>
      </c>
      <c r="O10" t="s">
        <v>164</v>
      </c>
      <c r="P10">
        <f>-18.7221121692056 - 14.4564538646395</f>
        <v>-33.178566033845101</v>
      </c>
      <c r="Q10" t="s">
        <v>52</v>
      </c>
      <c r="R10" t="s">
        <v>90</v>
      </c>
      <c r="S10" t="s">
        <v>43</v>
      </c>
      <c r="T10" t="s">
        <v>91</v>
      </c>
      <c r="U10">
        <v>6.3188638614352204</v>
      </c>
      <c r="V10">
        <v>8.4639199065931408</v>
      </c>
      <c r="W10" t="s">
        <v>147</v>
      </c>
    </row>
    <row r="11" spans="1:23" x14ac:dyDescent="0.3">
      <c r="A11" t="s">
        <v>143</v>
      </c>
      <c r="B11" t="s">
        <v>165</v>
      </c>
      <c r="C11" t="s">
        <v>41</v>
      </c>
      <c r="D11">
        <v>3.5647084867412901E-2</v>
      </c>
      <c r="E11">
        <v>0.46800295428752797</v>
      </c>
      <c r="F11">
        <v>0.98711425434325994</v>
      </c>
      <c r="G11">
        <v>-7.8475510206398296</v>
      </c>
      <c r="H11" t="s">
        <v>42</v>
      </c>
      <c r="I11" t="b">
        <v>1</v>
      </c>
      <c r="J11">
        <v>100.01632937871101</v>
      </c>
      <c r="K11">
        <v>100.873472235854</v>
      </c>
      <c r="L11">
        <v>0</v>
      </c>
      <c r="M11" t="s">
        <v>43</v>
      </c>
      <c r="N11" t="s">
        <v>43</v>
      </c>
      <c r="O11" t="s">
        <v>166</v>
      </c>
      <c r="P11">
        <f>-28.5037580894364 - 12.8086560481568</f>
        <v>-41.312414137593201</v>
      </c>
      <c r="Q11" t="s">
        <v>56</v>
      </c>
      <c r="R11" t="s">
        <v>46</v>
      </c>
      <c r="S11" t="s">
        <v>47</v>
      </c>
      <c r="T11" t="s">
        <v>167</v>
      </c>
      <c r="U11">
        <v>6.07293433045756</v>
      </c>
      <c r="V11">
        <v>10.5388811575493</v>
      </c>
      <c r="W11" t="s">
        <v>147</v>
      </c>
    </row>
    <row r="12" spans="1:23" x14ac:dyDescent="0.3">
      <c r="A12" t="s">
        <v>143</v>
      </c>
      <c r="B12" t="s">
        <v>168</v>
      </c>
      <c r="C12" t="s">
        <v>41</v>
      </c>
      <c r="D12">
        <v>1.2499770040191699E-2</v>
      </c>
      <c r="E12">
        <v>0.66923037743249603</v>
      </c>
      <c r="F12">
        <v>0.98711425434325994</v>
      </c>
      <c r="G12">
        <v>-1.26499438522376</v>
      </c>
      <c r="H12" t="s">
        <v>42</v>
      </c>
      <c r="I12" t="b">
        <v>1</v>
      </c>
      <c r="J12">
        <v>100.453835649499</v>
      </c>
      <c r="K12">
        <v>101.310978506642</v>
      </c>
      <c r="L12">
        <v>0</v>
      </c>
      <c r="M12" t="s">
        <v>43</v>
      </c>
      <c r="N12" t="s">
        <v>43</v>
      </c>
      <c r="O12" t="s">
        <v>169</v>
      </c>
      <c r="P12">
        <f>-6.95505156608613 - 4.42506279563862</f>
        <v>-11.38011436172475</v>
      </c>
      <c r="Q12" t="s">
        <v>45</v>
      </c>
      <c r="R12" t="s">
        <v>46</v>
      </c>
      <c r="S12" t="s">
        <v>47</v>
      </c>
      <c r="T12" t="s">
        <v>170</v>
      </c>
      <c r="U12">
        <v>6.0354839024432998</v>
      </c>
      <c r="V12">
        <v>2.9030903983991698</v>
      </c>
      <c r="W12" t="s">
        <v>147</v>
      </c>
    </row>
    <row r="13" spans="1:23" x14ac:dyDescent="0.3">
      <c r="A13" t="s">
        <v>143</v>
      </c>
      <c r="B13" t="s">
        <v>171</v>
      </c>
      <c r="C13" t="s">
        <v>41</v>
      </c>
      <c r="D13">
        <v>7.7609117010789402E-2</v>
      </c>
      <c r="E13">
        <v>0.27891569077178102</v>
      </c>
      <c r="F13">
        <v>0.98711425434325994</v>
      </c>
      <c r="G13">
        <v>18.8909580488865</v>
      </c>
      <c r="H13" t="s">
        <v>42</v>
      </c>
      <c r="I13" t="b">
        <v>1</v>
      </c>
      <c r="J13">
        <v>100.355055523373</v>
      </c>
      <c r="K13">
        <v>101.212198380516</v>
      </c>
      <c r="L13">
        <v>0</v>
      </c>
      <c r="M13" t="s">
        <v>43</v>
      </c>
      <c r="N13" t="s">
        <v>43</v>
      </c>
      <c r="O13" t="s">
        <v>172</v>
      </c>
      <c r="P13">
        <f>-14.0673990615368 - 51.8493151593098</f>
        <v>-65.9167142208466</v>
      </c>
      <c r="Q13" t="s">
        <v>56</v>
      </c>
      <c r="R13" t="s">
        <v>46</v>
      </c>
      <c r="S13" t="s">
        <v>47</v>
      </c>
      <c r="T13" t="s">
        <v>173</v>
      </c>
      <c r="U13">
        <v>4.5274923728061802</v>
      </c>
      <c r="V13">
        <v>16.815488321644501</v>
      </c>
      <c r="W13" t="s">
        <v>147</v>
      </c>
    </row>
    <row r="14" spans="1:23" x14ac:dyDescent="0.3">
      <c r="A14" t="s">
        <v>143</v>
      </c>
      <c r="B14" t="s">
        <v>174</v>
      </c>
      <c r="C14" t="s">
        <v>41</v>
      </c>
      <c r="D14">
        <v>3.7801822668645998E-3</v>
      </c>
      <c r="E14">
        <v>0.81466401871349503</v>
      </c>
      <c r="F14">
        <v>0.98711425434325994</v>
      </c>
      <c r="G14">
        <v>-3.1794532465607399</v>
      </c>
      <c r="H14" t="s">
        <v>42</v>
      </c>
      <c r="I14" t="b">
        <v>1</v>
      </c>
      <c r="J14">
        <v>100.596643306967</v>
      </c>
      <c r="K14">
        <v>101.45378616411</v>
      </c>
      <c r="L14">
        <v>0</v>
      </c>
      <c r="M14" t="s">
        <v>43</v>
      </c>
      <c r="N14" t="s">
        <v>43</v>
      </c>
      <c r="O14" t="s">
        <v>175</v>
      </c>
      <c r="P14">
        <f>-29.3001106567134 - 22.9412041635919</f>
        <v>-52.241314820305305</v>
      </c>
      <c r="Q14" t="s">
        <v>59</v>
      </c>
      <c r="R14" t="s">
        <v>46</v>
      </c>
      <c r="S14" t="s">
        <v>47</v>
      </c>
      <c r="T14" t="s">
        <v>176</v>
      </c>
      <c r="U14">
        <v>6.0947918145037399</v>
      </c>
      <c r="V14">
        <v>13.3268660255881</v>
      </c>
      <c r="W14" t="s">
        <v>147</v>
      </c>
    </row>
    <row r="15" spans="1:23" x14ac:dyDescent="0.3">
      <c r="A15" t="s">
        <v>143</v>
      </c>
      <c r="B15" t="s">
        <v>177</v>
      </c>
      <c r="C15" t="s">
        <v>41</v>
      </c>
      <c r="D15">
        <v>4.7497081579811203E-2</v>
      </c>
      <c r="E15">
        <v>0.417448860765119</v>
      </c>
      <c r="F15">
        <v>0.98711425434325994</v>
      </c>
      <c r="G15">
        <v>6.3249366543443903</v>
      </c>
      <c r="H15" t="s">
        <v>89</v>
      </c>
      <c r="I15" t="b">
        <v>1</v>
      </c>
      <c r="J15">
        <v>91.337698447495995</v>
      </c>
      <c r="K15">
        <v>92.260775370572901</v>
      </c>
      <c r="L15">
        <v>0</v>
      </c>
      <c r="M15" t="s">
        <v>43</v>
      </c>
      <c r="N15" t="s">
        <v>43</v>
      </c>
      <c r="O15" t="s">
        <v>178</v>
      </c>
      <c r="P15">
        <f>-8.51212592854026 - 21.1619992372291</f>
        <v>-29.674125165769361</v>
      </c>
      <c r="Q15" t="s">
        <v>52</v>
      </c>
      <c r="R15" t="s">
        <v>90</v>
      </c>
      <c r="S15" t="s">
        <v>43</v>
      </c>
      <c r="T15" t="s">
        <v>91</v>
      </c>
      <c r="U15">
        <v>6.3730011833689</v>
      </c>
      <c r="V15">
        <v>7.56992988922687</v>
      </c>
      <c r="W15" t="s">
        <v>147</v>
      </c>
    </row>
    <row r="16" spans="1:23" x14ac:dyDescent="0.3">
      <c r="A16" t="s">
        <v>143</v>
      </c>
      <c r="B16" t="s">
        <v>179</v>
      </c>
      <c r="C16" t="s">
        <v>41</v>
      </c>
      <c r="D16">
        <v>7.7546299435334407E-2</v>
      </c>
      <c r="E16">
        <v>0.29631392837866599</v>
      </c>
      <c r="F16">
        <v>0.98711425434325994</v>
      </c>
      <c r="G16">
        <v>-7.3603721018753303</v>
      </c>
      <c r="H16" t="s">
        <v>89</v>
      </c>
      <c r="I16" t="b">
        <v>1</v>
      </c>
      <c r="J16">
        <v>90.824802681272104</v>
      </c>
      <c r="K16">
        <v>91.747879604348995</v>
      </c>
      <c r="L16">
        <v>0</v>
      </c>
      <c r="M16" t="s">
        <v>43</v>
      </c>
      <c r="N16" t="s">
        <v>43</v>
      </c>
      <c r="O16" t="s">
        <v>180</v>
      </c>
      <c r="P16">
        <f>-20.6582877528723 - 5.93754354912168</f>
        <v>-26.595831301993982</v>
      </c>
      <c r="Q16" t="s">
        <v>52</v>
      </c>
      <c r="R16" t="s">
        <v>90</v>
      </c>
      <c r="S16" t="s">
        <v>43</v>
      </c>
      <c r="T16" t="s">
        <v>91</v>
      </c>
      <c r="U16">
        <v>6.2411461686365097</v>
      </c>
      <c r="V16">
        <v>6.7846508423454104</v>
      </c>
      <c r="W16" t="s">
        <v>147</v>
      </c>
    </row>
    <row r="17" spans="1:23" x14ac:dyDescent="0.3">
      <c r="A17" t="s">
        <v>143</v>
      </c>
      <c r="B17" t="s">
        <v>181</v>
      </c>
      <c r="C17" t="s">
        <v>41</v>
      </c>
      <c r="D17">
        <v>0.25757013268615803</v>
      </c>
      <c r="E17">
        <v>3.7562340796776401E-2</v>
      </c>
      <c r="F17">
        <v>0.90149617912263302</v>
      </c>
      <c r="G17">
        <v>-11.437845626559</v>
      </c>
      <c r="H17" t="s">
        <v>42</v>
      </c>
      <c r="I17" t="b">
        <v>1</v>
      </c>
      <c r="J17">
        <v>95.794996474352999</v>
      </c>
      <c r="K17">
        <v>96.652139331495903</v>
      </c>
      <c r="L17">
        <v>0</v>
      </c>
      <c r="M17" t="s">
        <v>43</v>
      </c>
      <c r="N17" t="s">
        <v>43</v>
      </c>
      <c r="O17" t="s">
        <v>182</v>
      </c>
      <c r="P17">
        <f>-21.2651552448097 - -1.61053600830829</f>
        <v>-19.654619236501411</v>
      </c>
      <c r="Q17" t="s">
        <v>45</v>
      </c>
      <c r="R17" t="s">
        <v>46</v>
      </c>
      <c r="S17" t="s">
        <v>47</v>
      </c>
      <c r="T17" t="s">
        <v>183</v>
      </c>
      <c r="U17">
        <v>6.3358483380961497</v>
      </c>
      <c r="V17">
        <v>5.0139334786993297</v>
      </c>
      <c r="W17" t="s">
        <v>147</v>
      </c>
    </row>
    <row r="18" spans="1:23" x14ac:dyDescent="0.3">
      <c r="A18" t="s">
        <v>143</v>
      </c>
      <c r="B18" t="s">
        <v>184</v>
      </c>
      <c r="C18" t="s">
        <v>41</v>
      </c>
      <c r="D18">
        <v>5.1036363900419497E-2</v>
      </c>
      <c r="E18">
        <v>0.40017765869140898</v>
      </c>
      <c r="F18">
        <v>0.98711425434325994</v>
      </c>
      <c r="G18">
        <v>-2.82169705022734</v>
      </c>
      <c r="H18" t="s">
        <v>89</v>
      </c>
      <c r="I18" t="b">
        <v>1</v>
      </c>
      <c r="J18">
        <v>91.278135388241907</v>
      </c>
      <c r="K18">
        <v>92.201212311318798</v>
      </c>
      <c r="L18">
        <v>0</v>
      </c>
      <c r="M18" t="s">
        <v>43</v>
      </c>
      <c r="N18" t="s">
        <v>43</v>
      </c>
      <c r="O18" t="s">
        <v>185</v>
      </c>
      <c r="P18">
        <f>-9.19533456459461 - 3.55194046413993</f>
        <v>-12.74727502873454</v>
      </c>
      <c r="Q18" t="s">
        <v>52</v>
      </c>
      <c r="R18" t="s">
        <v>90</v>
      </c>
      <c r="S18" t="s">
        <v>43</v>
      </c>
      <c r="T18" t="s">
        <v>91</v>
      </c>
      <c r="U18">
        <v>6.2736437649442598</v>
      </c>
      <c r="V18">
        <v>3.25185587467718</v>
      </c>
      <c r="W18" t="s">
        <v>147</v>
      </c>
    </row>
    <row r="19" spans="1:23" x14ac:dyDescent="0.3">
      <c r="A19" t="s">
        <v>143</v>
      </c>
      <c r="B19" t="s">
        <v>186</v>
      </c>
      <c r="C19" t="s">
        <v>41</v>
      </c>
      <c r="D19">
        <v>9.106235098457E-4</v>
      </c>
      <c r="E19">
        <v>0.91166471642969704</v>
      </c>
      <c r="F19">
        <v>0.98726835424383996</v>
      </c>
      <c r="G19">
        <v>-0.488124215193533</v>
      </c>
      <c r="H19" t="s">
        <v>89</v>
      </c>
      <c r="I19" t="b">
        <v>1</v>
      </c>
      <c r="J19">
        <v>92.101715561871302</v>
      </c>
      <c r="K19">
        <v>93.024792484948193</v>
      </c>
      <c r="L19">
        <v>0</v>
      </c>
      <c r="M19" t="s">
        <v>43</v>
      </c>
      <c r="N19" t="s">
        <v>43</v>
      </c>
      <c r="O19" t="s">
        <v>187</v>
      </c>
      <c r="P19">
        <f>-8.95757303183193 - 7.98132460144487</f>
        <v>-16.938897633276802</v>
      </c>
      <c r="Q19" t="s">
        <v>52</v>
      </c>
      <c r="R19" t="s">
        <v>90</v>
      </c>
      <c r="S19" t="s">
        <v>43</v>
      </c>
      <c r="T19" t="s">
        <v>91</v>
      </c>
      <c r="U19">
        <v>6.3782664947028103</v>
      </c>
      <c r="V19">
        <v>4.3211473554277502</v>
      </c>
      <c r="W19" t="s">
        <v>147</v>
      </c>
    </row>
    <row r="20" spans="1:23" x14ac:dyDescent="0.3">
      <c r="A20" t="s">
        <v>143</v>
      </c>
      <c r="B20" t="s">
        <v>188</v>
      </c>
      <c r="C20" t="s">
        <v>41</v>
      </c>
      <c r="D20">
        <v>3.4587688270589999E-3</v>
      </c>
      <c r="E20">
        <v>0.82259521195271701</v>
      </c>
      <c r="F20">
        <v>0.98711425434325994</v>
      </c>
      <c r="G20">
        <v>-0.57777552599932502</v>
      </c>
      <c r="H20" t="s">
        <v>42</v>
      </c>
      <c r="I20" t="b">
        <v>1</v>
      </c>
      <c r="J20">
        <v>100.57687808866299</v>
      </c>
      <c r="K20">
        <v>101.434020945806</v>
      </c>
      <c r="L20">
        <v>0</v>
      </c>
      <c r="M20" t="s">
        <v>43</v>
      </c>
      <c r="N20" t="s">
        <v>43</v>
      </c>
      <c r="O20" t="s">
        <v>189</v>
      </c>
      <c r="P20">
        <f>-5.54091467411674 - 4.38536362211809</f>
        <v>-9.9262782962348304</v>
      </c>
      <c r="Q20" t="s">
        <v>56</v>
      </c>
      <c r="R20" t="s">
        <v>46</v>
      </c>
      <c r="S20" t="s">
        <v>47</v>
      </c>
      <c r="T20" t="s">
        <v>190</v>
      </c>
      <c r="U20">
        <v>6.0097784840770503</v>
      </c>
      <c r="V20">
        <v>2.53221385108032</v>
      </c>
      <c r="W20" t="s">
        <v>147</v>
      </c>
    </row>
    <row r="21" spans="1:23" x14ac:dyDescent="0.3">
      <c r="A21" t="s">
        <v>143</v>
      </c>
      <c r="B21" t="s">
        <v>191</v>
      </c>
      <c r="C21" t="s">
        <v>41</v>
      </c>
      <c r="D21">
        <v>2.5178450405022201E-2</v>
      </c>
      <c r="E21">
        <v>0.54299956626311396</v>
      </c>
      <c r="F21">
        <v>0.98711425434325994</v>
      </c>
      <c r="G21">
        <v>2.10007498996637</v>
      </c>
      <c r="H21" t="s">
        <v>42</v>
      </c>
      <c r="I21" t="b">
        <v>1</v>
      </c>
      <c r="J21">
        <v>100.20043654173701</v>
      </c>
      <c r="K21">
        <v>101.05757939887999</v>
      </c>
      <c r="L21">
        <v>0</v>
      </c>
      <c r="M21" t="s">
        <v>43</v>
      </c>
      <c r="N21" t="s">
        <v>43</v>
      </c>
      <c r="O21" t="s">
        <v>192</v>
      </c>
      <c r="P21">
        <f>-4.51284557968606 - 8.71299555961881</f>
        <v>-13.225841139304869</v>
      </c>
      <c r="Q21" t="s">
        <v>56</v>
      </c>
      <c r="R21" t="s">
        <v>46</v>
      </c>
      <c r="S21" t="s">
        <v>47</v>
      </c>
      <c r="T21" t="s">
        <v>193</v>
      </c>
      <c r="U21">
        <v>5.9628375081307503</v>
      </c>
      <c r="V21">
        <v>3.3739390661491999</v>
      </c>
      <c r="W21" t="s">
        <v>147</v>
      </c>
    </row>
    <row r="22" spans="1:23" x14ac:dyDescent="0.3">
      <c r="A22" t="s">
        <v>143</v>
      </c>
      <c r="B22" t="s">
        <v>194</v>
      </c>
      <c r="C22" t="s">
        <v>41</v>
      </c>
      <c r="D22">
        <v>3.43338588127612E-2</v>
      </c>
      <c r="E22">
        <v>0.47646682679860303</v>
      </c>
      <c r="F22">
        <v>0.98711425434325994</v>
      </c>
      <c r="G22">
        <v>12.565047237032299</v>
      </c>
      <c r="H22" t="s">
        <v>42</v>
      </c>
      <c r="I22" t="b">
        <v>1</v>
      </c>
      <c r="J22">
        <v>100.100590975187</v>
      </c>
      <c r="K22">
        <v>100.95773383233001</v>
      </c>
      <c r="L22">
        <v>0</v>
      </c>
      <c r="M22" t="s">
        <v>43</v>
      </c>
      <c r="N22" t="s">
        <v>43</v>
      </c>
      <c r="O22" t="s">
        <v>195</v>
      </c>
      <c r="P22">
        <f>-21.1579961334654 - 46.2880906075301</f>
        <v>-67.446086740995497</v>
      </c>
      <c r="Q22" t="s">
        <v>45</v>
      </c>
      <c r="R22" t="s">
        <v>46</v>
      </c>
      <c r="S22" t="s">
        <v>47</v>
      </c>
      <c r="T22" t="s">
        <v>196</v>
      </c>
      <c r="U22">
        <v>6.1697821925016703</v>
      </c>
      <c r="V22">
        <v>17.2056343727029</v>
      </c>
      <c r="W22" t="s">
        <v>147</v>
      </c>
    </row>
    <row r="23" spans="1:23" x14ac:dyDescent="0.3">
      <c r="A23" t="s">
        <v>143</v>
      </c>
      <c r="B23" t="s">
        <v>197</v>
      </c>
      <c r="C23" t="s">
        <v>41</v>
      </c>
      <c r="D23" s="2">
        <v>7.4708376483007696E-5</v>
      </c>
      <c r="E23">
        <v>0.97373562098514599</v>
      </c>
      <c r="F23">
        <v>0.98726835424383996</v>
      </c>
      <c r="G23">
        <v>0.111689386263638</v>
      </c>
      <c r="H23" t="s">
        <v>42</v>
      </c>
      <c r="I23" t="b">
        <v>1</v>
      </c>
      <c r="J23">
        <v>100.632137450705</v>
      </c>
      <c r="K23">
        <v>101.48928030784801</v>
      </c>
      <c r="L23">
        <v>0</v>
      </c>
      <c r="M23" t="s">
        <v>43</v>
      </c>
      <c r="N23" t="s">
        <v>43</v>
      </c>
      <c r="O23" t="s">
        <v>198</v>
      </c>
      <c r="P23">
        <f>-6.42746323351397 - 6.65084200604125</f>
        <v>-13.07830523955522</v>
      </c>
      <c r="Q23" t="s">
        <v>59</v>
      </c>
      <c r="R23" t="s">
        <v>46</v>
      </c>
      <c r="S23" t="s">
        <v>47</v>
      </c>
      <c r="T23" t="s">
        <v>199</v>
      </c>
      <c r="U23">
        <v>6.0543453650752097</v>
      </c>
      <c r="V23">
        <v>3.3363023570293899</v>
      </c>
      <c r="W23" t="s">
        <v>147</v>
      </c>
    </row>
    <row r="24" spans="1:23" x14ac:dyDescent="0.3">
      <c r="A24" t="s">
        <v>143</v>
      </c>
      <c r="B24" t="s">
        <v>200</v>
      </c>
      <c r="C24" t="s">
        <v>41</v>
      </c>
      <c r="D24">
        <v>7.7501350780425004E-3</v>
      </c>
      <c r="E24">
        <v>0.73688421936244497</v>
      </c>
      <c r="F24">
        <v>0.98711425434325994</v>
      </c>
      <c r="G24">
        <v>-2.0562816824578101</v>
      </c>
      <c r="H24" t="s">
        <v>42</v>
      </c>
      <c r="I24" t="b">
        <v>1</v>
      </c>
      <c r="J24">
        <v>100.50166784761799</v>
      </c>
      <c r="K24">
        <v>101.358810704761</v>
      </c>
      <c r="L24">
        <v>0</v>
      </c>
      <c r="M24" t="s">
        <v>43</v>
      </c>
      <c r="N24" t="s">
        <v>43</v>
      </c>
      <c r="O24" t="s">
        <v>201</v>
      </c>
      <c r="P24">
        <f>-13.8309569033512 - 9.71839353843558</f>
        <v>-23.549350441786778</v>
      </c>
      <c r="Q24" t="s">
        <v>56</v>
      </c>
      <c r="R24" t="s">
        <v>46</v>
      </c>
      <c r="S24" t="s">
        <v>47</v>
      </c>
      <c r="T24" t="s">
        <v>202</v>
      </c>
      <c r="U24">
        <v>6.0471146230013497</v>
      </c>
      <c r="V24">
        <v>6.00748735759867</v>
      </c>
      <c r="W24" t="s">
        <v>147</v>
      </c>
    </row>
    <row r="25" spans="1:23" x14ac:dyDescent="0.3">
      <c r="A25" t="s">
        <v>143</v>
      </c>
      <c r="B25" t="s">
        <v>203</v>
      </c>
      <c r="C25" t="s">
        <v>41</v>
      </c>
      <c r="D25">
        <v>1.3935055867114399E-2</v>
      </c>
      <c r="E25">
        <v>0.65182402671081296</v>
      </c>
      <c r="F25">
        <v>0.98711425434325994</v>
      </c>
      <c r="G25">
        <v>-4.3401291446155001</v>
      </c>
      <c r="H25" t="s">
        <v>42</v>
      </c>
      <c r="I25" t="b">
        <v>1</v>
      </c>
      <c r="J25">
        <v>100.41539264841801</v>
      </c>
      <c r="K25">
        <v>101.272535505561</v>
      </c>
      <c r="L25">
        <v>0</v>
      </c>
      <c r="M25" t="s">
        <v>43</v>
      </c>
      <c r="N25" t="s">
        <v>43</v>
      </c>
      <c r="O25" t="s">
        <v>204</v>
      </c>
      <c r="P25">
        <f>-22.816279889797 - 14.136021600566</f>
        <v>-36.952301490362998</v>
      </c>
      <c r="Q25" t="s">
        <v>59</v>
      </c>
      <c r="R25" t="s">
        <v>46</v>
      </c>
      <c r="S25" t="s">
        <v>47</v>
      </c>
      <c r="T25" t="s">
        <v>205</v>
      </c>
      <c r="U25">
        <v>6.22611687566756</v>
      </c>
      <c r="V25">
        <v>9.4266075230517998</v>
      </c>
      <c r="W25" t="s">
        <v>147</v>
      </c>
    </row>
    <row r="26" spans="1:23" x14ac:dyDescent="0.3">
      <c r="A26" t="s">
        <v>143</v>
      </c>
      <c r="B26" t="s">
        <v>206</v>
      </c>
      <c r="C26" t="s">
        <v>41</v>
      </c>
      <c r="D26">
        <v>2.18293699838976E-2</v>
      </c>
      <c r="E26">
        <v>0.58502276425765798</v>
      </c>
      <c r="F26">
        <v>0.98711425434325994</v>
      </c>
      <c r="G26">
        <v>-4.6448138534064602</v>
      </c>
      <c r="H26" t="s">
        <v>89</v>
      </c>
      <c r="I26" t="b">
        <v>1</v>
      </c>
      <c r="J26">
        <v>91.763153682403896</v>
      </c>
      <c r="K26">
        <v>92.686230605480802</v>
      </c>
      <c r="L26">
        <v>0</v>
      </c>
      <c r="M26" t="s">
        <v>43</v>
      </c>
      <c r="N26" t="s">
        <v>43</v>
      </c>
      <c r="O26" t="s">
        <v>207</v>
      </c>
      <c r="P26">
        <f>-20.9320380982388 - 11.6424103914259</f>
        <v>-32.574448489664697</v>
      </c>
      <c r="Q26" t="s">
        <v>52</v>
      </c>
      <c r="R26" t="s">
        <v>90</v>
      </c>
      <c r="S26" t="s">
        <v>43</v>
      </c>
      <c r="T26" t="s">
        <v>91</v>
      </c>
      <c r="U26">
        <v>6.48156993032143</v>
      </c>
      <c r="V26">
        <v>8.3098082881797808</v>
      </c>
      <c r="W26" t="s">
        <v>147</v>
      </c>
    </row>
    <row r="27" spans="1:23" x14ac:dyDescent="0.3">
      <c r="A27" t="s">
        <v>143</v>
      </c>
      <c r="B27" t="s">
        <v>208</v>
      </c>
      <c r="C27" t="s">
        <v>41</v>
      </c>
      <c r="D27">
        <v>3.6907586500853E-3</v>
      </c>
      <c r="E27">
        <v>0.81683394881701699</v>
      </c>
      <c r="F27">
        <v>0.98711425434325994</v>
      </c>
      <c r="G27">
        <v>1.3168495174793</v>
      </c>
      <c r="H27" t="s">
        <v>42</v>
      </c>
      <c r="I27" t="b">
        <v>1</v>
      </c>
      <c r="J27">
        <v>100.573493105789</v>
      </c>
      <c r="K27">
        <v>101.430635962932</v>
      </c>
      <c r="L27">
        <v>0</v>
      </c>
      <c r="M27" t="s">
        <v>43</v>
      </c>
      <c r="N27" t="s">
        <v>43</v>
      </c>
      <c r="O27" t="s">
        <v>209</v>
      </c>
      <c r="P27">
        <f>-9.63243766981793 - 12.2661367047765</f>
        <v>-21.898574374594432</v>
      </c>
      <c r="Q27" t="s">
        <v>59</v>
      </c>
      <c r="R27" t="s">
        <v>46</v>
      </c>
      <c r="S27" t="s">
        <v>47</v>
      </c>
      <c r="T27" t="s">
        <v>210</v>
      </c>
      <c r="U27">
        <v>5.9838101903159604</v>
      </c>
      <c r="V27">
        <v>5.5863710139271596</v>
      </c>
      <c r="W27" t="s">
        <v>147</v>
      </c>
    </row>
    <row r="28" spans="1:23" x14ac:dyDescent="0.3">
      <c r="A28" t="s">
        <v>143</v>
      </c>
      <c r="B28" t="s">
        <v>197</v>
      </c>
      <c r="C28" t="s">
        <v>41</v>
      </c>
      <c r="D28">
        <v>4.0196614110194996E-3</v>
      </c>
      <c r="E28">
        <v>0.80898223323097496</v>
      </c>
      <c r="F28" t="s">
        <v>78</v>
      </c>
      <c r="G28">
        <v>-0.855722820603945</v>
      </c>
      <c r="H28" t="s">
        <v>89</v>
      </c>
      <c r="I28" t="b">
        <v>0</v>
      </c>
      <c r="J28">
        <v>103.75545262347499</v>
      </c>
      <c r="K28">
        <v>104.612595480618</v>
      </c>
      <c r="L28">
        <v>3.1233151727699902</v>
      </c>
      <c r="M28" t="s">
        <v>43</v>
      </c>
      <c r="N28" t="s">
        <v>43</v>
      </c>
      <c r="O28" t="s">
        <v>198</v>
      </c>
      <c r="P28">
        <f>-7.6724231474509 - 5.96097750624301</f>
        <v>-13.63340065369391</v>
      </c>
      <c r="Q28" t="s">
        <v>59</v>
      </c>
      <c r="R28" t="s">
        <v>90</v>
      </c>
      <c r="S28" t="s">
        <v>43</v>
      </c>
      <c r="T28" t="s">
        <v>91</v>
      </c>
      <c r="U28">
        <v>6.0668159030292603</v>
      </c>
      <c r="V28">
        <v>3.4779083300239502</v>
      </c>
      <c r="W28" t="s">
        <v>147</v>
      </c>
    </row>
    <row r="29" spans="1:23" x14ac:dyDescent="0.3">
      <c r="A29" t="s">
        <v>143</v>
      </c>
      <c r="B29" t="s">
        <v>184</v>
      </c>
      <c r="C29" t="s">
        <v>41</v>
      </c>
      <c r="D29">
        <v>5.1036363900419497E-2</v>
      </c>
      <c r="E29">
        <v>0.40017765869140898</v>
      </c>
      <c r="F29" t="s">
        <v>78</v>
      </c>
      <c r="G29">
        <v>-2.82169705022734</v>
      </c>
      <c r="H29" t="s">
        <v>42</v>
      </c>
      <c r="I29" t="b">
        <v>0</v>
      </c>
      <c r="J29">
        <v>91.278135388241907</v>
      </c>
      <c r="K29">
        <v>92.201212311318798</v>
      </c>
      <c r="L29">
        <v>0</v>
      </c>
      <c r="M29" t="s">
        <v>43</v>
      </c>
      <c r="N29" t="s">
        <v>43</v>
      </c>
      <c r="O29" t="s">
        <v>185</v>
      </c>
      <c r="P29">
        <f>-9.19533456459461 - 3.55194046413993</f>
        <v>-12.74727502873454</v>
      </c>
      <c r="Q29" t="s">
        <v>52</v>
      </c>
      <c r="R29" t="s">
        <v>46</v>
      </c>
      <c r="S29" t="s">
        <v>47</v>
      </c>
      <c r="T29" t="s">
        <v>211</v>
      </c>
      <c r="U29">
        <v>6.2736437649442598</v>
      </c>
      <c r="V29">
        <v>3.25185587467718</v>
      </c>
      <c r="W29" t="s">
        <v>147</v>
      </c>
    </row>
    <row r="30" spans="1:23" x14ac:dyDescent="0.3">
      <c r="A30" t="s">
        <v>143</v>
      </c>
      <c r="B30" t="s">
        <v>165</v>
      </c>
      <c r="C30" t="s">
        <v>41</v>
      </c>
      <c r="D30">
        <v>2.3263825799729899E-2</v>
      </c>
      <c r="E30">
        <v>0.558943624884785</v>
      </c>
      <c r="F30" t="s">
        <v>78</v>
      </c>
      <c r="G30">
        <v>-6.0493273437944497</v>
      </c>
      <c r="H30" t="s">
        <v>83</v>
      </c>
      <c r="I30" t="b">
        <v>0</v>
      </c>
      <c r="J30">
        <v>103.423766676056</v>
      </c>
      <c r="K30">
        <v>104.28090953319899</v>
      </c>
      <c r="L30">
        <v>3.4074372973449898</v>
      </c>
      <c r="M30" t="s">
        <v>43</v>
      </c>
      <c r="N30" t="s">
        <v>43</v>
      </c>
      <c r="O30" t="s">
        <v>166</v>
      </c>
      <c r="P30">
        <f>-25.8858524071904 - 13.7871977196015</f>
        <v>-39.6730501267919</v>
      </c>
      <c r="Q30" t="s">
        <v>56</v>
      </c>
      <c r="R30" t="s">
        <v>84</v>
      </c>
      <c r="S30" t="s">
        <v>85</v>
      </c>
      <c r="T30" t="s">
        <v>212</v>
      </c>
      <c r="U30">
        <v>6.1938466043388498</v>
      </c>
      <c r="V30">
        <v>10.120676052753</v>
      </c>
      <c r="W30" t="s">
        <v>147</v>
      </c>
    </row>
    <row r="31" spans="1:23" x14ac:dyDescent="0.3">
      <c r="A31" t="s">
        <v>143</v>
      </c>
      <c r="B31" t="s">
        <v>160</v>
      </c>
      <c r="C31" t="s">
        <v>41</v>
      </c>
      <c r="D31">
        <v>0.112634084959224</v>
      </c>
      <c r="E31">
        <v>0.187857628743229</v>
      </c>
      <c r="F31" t="s">
        <v>78</v>
      </c>
      <c r="G31">
        <v>-27.376206341196902</v>
      </c>
      <c r="H31" t="s">
        <v>83</v>
      </c>
      <c r="I31" t="b">
        <v>0</v>
      </c>
      <c r="J31">
        <v>101.792461115135</v>
      </c>
      <c r="K31">
        <v>102.649603972278</v>
      </c>
      <c r="L31">
        <v>2.7319357924197001</v>
      </c>
      <c r="M31" t="s">
        <v>43</v>
      </c>
      <c r="N31" t="s">
        <v>43</v>
      </c>
      <c r="O31" t="s">
        <v>161</v>
      </c>
      <c r="P31">
        <f>-66.2628232128869 - 11.510410530493</f>
        <v>-77.773233743379905</v>
      </c>
      <c r="Q31" t="s">
        <v>45</v>
      </c>
      <c r="R31" t="s">
        <v>84</v>
      </c>
      <c r="S31" t="s">
        <v>85</v>
      </c>
      <c r="T31" t="s">
        <v>213</v>
      </c>
      <c r="U31">
        <v>6.2902214054736802</v>
      </c>
      <c r="V31">
        <v>19.840110648821401</v>
      </c>
      <c r="W31" t="s">
        <v>147</v>
      </c>
    </row>
    <row r="32" spans="1:23" x14ac:dyDescent="0.3">
      <c r="A32" t="s">
        <v>143</v>
      </c>
      <c r="B32" t="s">
        <v>184</v>
      </c>
      <c r="C32" t="s">
        <v>41</v>
      </c>
      <c r="D32">
        <v>5.1036363900419698E-2</v>
      </c>
      <c r="E32">
        <v>0.40017765869140898</v>
      </c>
      <c r="F32" t="s">
        <v>78</v>
      </c>
      <c r="G32">
        <v>-2.82169705022734</v>
      </c>
      <c r="H32" t="s">
        <v>79</v>
      </c>
      <c r="I32" t="b">
        <v>0</v>
      </c>
      <c r="J32">
        <v>91.278135388241907</v>
      </c>
      <c r="K32">
        <v>92.201212311318798</v>
      </c>
      <c r="L32">
        <v>0</v>
      </c>
      <c r="M32" t="s">
        <v>43</v>
      </c>
      <c r="N32" t="s">
        <v>43</v>
      </c>
      <c r="O32" t="s">
        <v>185</v>
      </c>
      <c r="P32">
        <f>-9.19533456459461 - 3.55194046413993</f>
        <v>-12.74727502873454</v>
      </c>
      <c r="Q32" t="s">
        <v>52</v>
      </c>
      <c r="R32" t="s">
        <v>80</v>
      </c>
      <c r="S32" t="s">
        <v>81</v>
      </c>
      <c r="T32" t="s">
        <v>214</v>
      </c>
      <c r="U32">
        <v>6.2736437649442598</v>
      </c>
      <c r="V32">
        <v>3.25185587467718</v>
      </c>
      <c r="W32" t="s">
        <v>147</v>
      </c>
    </row>
    <row r="33" spans="1:23" x14ac:dyDescent="0.3">
      <c r="A33" t="s">
        <v>143</v>
      </c>
      <c r="B33" t="s">
        <v>174</v>
      </c>
      <c r="C33" t="s">
        <v>41</v>
      </c>
      <c r="D33">
        <v>0.133967399494685</v>
      </c>
      <c r="E33">
        <v>0.14849231924702</v>
      </c>
      <c r="F33" t="s">
        <v>78</v>
      </c>
      <c r="G33">
        <v>-16.139187832319699</v>
      </c>
      <c r="H33" t="s">
        <v>79</v>
      </c>
      <c r="I33" t="b">
        <v>0</v>
      </c>
      <c r="J33">
        <v>101.378768231428</v>
      </c>
      <c r="K33">
        <v>102.235911088571</v>
      </c>
      <c r="L33">
        <v>0.78212492446100101</v>
      </c>
      <c r="M33" t="s">
        <v>43</v>
      </c>
      <c r="N33" t="s">
        <v>43</v>
      </c>
      <c r="O33" t="s">
        <v>175</v>
      </c>
      <c r="P33">
        <f>-36.9055141746001 - 4.62713850996073</f>
        <v>-41.53265268456083</v>
      </c>
      <c r="Q33" t="s">
        <v>59</v>
      </c>
      <c r="R33" t="s">
        <v>80</v>
      </c>
      <c r="S33" t="s">
        <v>81</v>
      </c>
      <c r="T33" t="s">
        <v>215</v>
      </c>
      <c r="U33">
        <v>6.3180117533439599</v>
      </c>
      <c r="V33">
        <v>10.595064460347199</v>
      </c>
      <c r="W33" t="s">
        <v>147</v>
      </c>
    </row>
    <row r="34" spans="1:23" x14ac:dyDescent="0.3">
      <c r="A34" t="s">
        <v>143</v>
      </c>
      <c r="B34" t="s">
        <v>171</v>
      </c>
      <c r="C34" t="s">
        <v>41</v>
      </c>
      <c r="D34">
        <v>4.4953269594729298E-2</v>
      </c>
      <c r="E34">
        <v>0.41395570439977802</v>
      </c>
      <c r="F34" t="s">
        <v>78</v>
      </c>
      <c r="G34">
        <v>10.703447539419599</v>
      </c>
      <c r="H34" t="s">
        <v>79</v>
      </c>
      <c r="I34" t="b">
        <v>0</v>
      </c>
      <c r="J34">
        <v>101.916095793344</v>
      </c>
      <c r="K34">
        <v>102.77323865048599</v>
      </c>
      <c r="L34">
        <v>1.5610402699699899</v>
      </c>
      <c r="M34" t="s">
        <v>43</v>
      </c>
      <c r="N34" t="s">
        <v>43</v>
      </c>
      <c r="O34" t="s">
        <v>172</v>
      </c>
      <c r="P34">
        <f>-14.2635199224765 - 35.6704150013158</f>
        <v>-49.9339349237923</v>
      </c>
      <c r="Q34" t="s">
        <v>56</v>
      </c>
      <c r="R34" t="s">
        <v>80</v>
      </c>
      <c r="S34" t="s">
        <v>81</v>
      </c>
      <c r="T34" t="s">
        <v>216</v>
      </c>
      <c r="U34">
        <v>6.2239454227872697</v>
      </c>
      <c r="V34">
        <v>12.7382487050491</v>
      </c>
      <c r="W34" t="s">
        <v>147</v>
      </c>
    </row>
    <row r="35" spans="1:23" x14ac:dyDescent="0.3">
      <c r="A35" t="s">
        <v>143</v>
      </c>
      <c r="B35" t="s">
        <v>163</v>
      </c>
      <c r="C35" t="s">
        <v>41</v>
      </c>
      <c r="D35">
        <v>4.5151860467961998E-3</v>
      </c>
      <c r="E35">
        <v>0.80470989782504998</v>
      </c>
      <c r="F35" t="s">
        <v>78</v>
      </c>
      <c r="G35">
        <v>-2.1328291522830201</v>
      </c>
      <c r="H35" t="s">
        <v>83</v>
      </c>
      <c r="I35" t="b">
        <v>0</v>
      </c>
      <c r="J35">
        <v>92.0438856113458</v>
      </c>
      <c r="K35">
        <v>92.966962534422706</v>
      </c>
      <c r="L35">
        <v>0</v>
      </c>
      <c r="M35" t="s">
        <v>43</v>
      </c>
      <c r="N35" t="s">
        <v>43</v>
      </c>
      <c r="O35" t="s">
        <v>164</v>
      </c>
      <c r="P35">
        <f>-18.7221121692056 - 14.4564538646395</f>
        <v>-33.178566033845101</v>
      </c>
      <c r="Q35" t="s">
        <v>52</v>
      </c>
      <c r="R35" t="s">
        <v>84</v>
      </c>
      <c r="S35" t="s">
        <v>85</v>
      </c>
      <c r="T35" t="s">
        <v>217</v>
      </c>
      <c r="U35">
        <v>6.3188638614352204</v>
      </c>
      <c r="V35">
        <v>8.4639199065931408</v>
      </c>
      <c r="W35" t="s">
        <v>147</v>
      </c>
    </row>
    <row r="36" spans="1:23" x14ac:dyDescent="0.3">
      <c r="A36" t="s">
        <v>143</v>
      </c>
      <c r="B36" t="s">
        <v>168</v>
      </c>
      <c r="C36" t="s">
        <v>41</v>
      </c>
      <c r="D36">
        <v>8.4753906689214703E-2</v>
      </c>
      <c r="E36">
        <v>0.25692688055541102</v>
      </c>
      <c r="F36" t="s">
        <v>78</v>
      </c>
      <c r="G36">
        <v>-3.3370480111524898</v>
      </c>
      <c r="H36" t="s">
        <v>89</v>
      </c>
      <c r="I36" t="b">
        <v>0</v>
      </c>
      <c r="J36">
        <v>102.31836555456201</v>
      </c>
      <c r="K36">
        <v>103.175508411705</v>
      </c>
      <c r="L36">
        <v>1.86452990506299</v>
      </c>
      <c r="M36" t="s">
        <v>43</v>
      </c>
      <c r="N36" t="s">
        <v>43</v>
      </c>
      <c r="O36" t="s">
        <v>169</v>
      </c>
      <c r="P36">
        <f>-8.88665177184267 - 2.2125557495377</f>
        <v>-11.09920752138037</v>
      </c>
      <c r="Q36" t="s">
        <v>45</v>
      </c>
      <c r="R36" t="s">
        <v>90</v>
      </c>
      <c r="S36" t="s">
        <v>43</v>
      </c>
      <c r="T36" t="s">
        <v>91</v>
      </c>
      <c r="U36">
        <v>6.0780522772031098</v>
      </c>
      <c r="V36">
        <v>2.8314304901480498</v>
      </c>
      <c r="W36" t="s">
        <v>147</v>
      </c>
    </row>
    <row r="37" spans="1:23" x14ac:dyDescent="0.3">
      <c r="A37" t="s">
        <v>143</v>
      </c>
      <c r="B37" t="s">
        <v>148</v>
      </c>
      <c r="C37" t="s">
        <v>41</v>
      </c>
      <c r="D37">
        <v>1.910382016428E-3</v>
      </c>
      <c r="E37">
        <v>0.86771298208047598</v>
      </c>
      <c r="F37" t="s">
        <v>78</v>
      </c>
      <c r="G37">
        <v>-0.52571326339805302</v>
      </c>
      <c r="H37" t="s">
        <v>79</v>
      </c>
      <c r="I37" t="b">
        <v>0</v>
      </c>
      <c r="J37">
        <v>102.659752785094</v>
      </c>
      <c r="K37">
        <v>103.51689564223599</v>
      </c>
      <c r="L37">
        <v>2.0527792358119901</v>
      </c>
      <c r="M37" t="s">
        <v>43</v>
      </c>
      <c r="N37" t="s">
        <v>43</v>
      </c>
      <c r="O37" t="s">
        <v>149</v>
      </c>
      <c r="P37">
        <f>-6.60683971699603 - 5.55541319019993</f>
        <v>-12.16225290719596</v>
      </c>
      <c r="Q37" t="s">
        <v>59</v>
      </c>
      <c r="R37" t="s">
        <v>80</v>
      </c>
      <c r="S37" t="s">
        <v>81</v>
      </c>
      <c r="T37" t="s">
        <v>218</v>
      </c>
      <c r="U37">
        <v>6.2581268477906304</v>
      </c>
      <c r="V37">
        <v>3.10261553754999</v>
      </c>
      <c r="W37" t="s">
        <v>147</v>
      </c>
    </row>
    <row r="38" spans="1:23" x14ac:dyDescent="0.3">
      <c r="A38" t="s">
        <v>143</v>
      </c>
      <c r="B38" t="s">
        <v>200</v>
      </c>
      <c r="C38" t="s">
        <v>41</v>
      </c>
      <c r="D38">
        <v>1.44495095137632E-2</v>
      </c>
      <c r="E38">
        <v>0.64584387039456703</v>
      </c>
      <c r="F38" t="s">
        <v>78</v>
      </c>
      <c r="G38">
        <v>-2.9703474838359401</v>
      </c>
      <c r="H38" t="s">
        <v>79</v>
      </c>
      <c r="I38" t="b">
        <v>0</v>
      </c>
      <c r="J38">
        <v>102.445529284304</v>
      </c>
      <c r="K38">
        <v>103.302672141447</v>
      </c>
      <c r="L38">
        <v>1.9438614366860001</v>
      </c>
      <c r="M38" t="s">
        <v>43</v>
      </c>
      <c r="N38" t="s">
        <v>43</v>
      </c>
      <c r="O38" t="s">
        <v>201</v>
      </c>
      <c r="P38">
        <f>-15.3848861733888 - 9.44419120571687</f>
        <v>-24.829077379105669</v>
      </c>
      <c r="Q38" t="s">
        <v>56</v>
      </c>
      <c r="R38" t="s">
        <v>80</v>
      </c>
      <c r="S38" t="s">
        <v>81</v>
      </c>
      <c r="T38" t="s">
        <v>219</v>
      </c>
      <c r="U38">
        <v>6.3435980203255298</v>
      </c>
      <c r="V38">
        <v>6.3339483109963304</v>
      </c>
      <c r="W38" t="s">
        <v>147</v>
      </c>
    </row>
    <row r="39" spans="1:23" x14ac:dyDescent="0.3">
      <c r="A39" t="s">
        <v>143</v>
      </c>
      <c r="B39" t="s">
        <v>144</v>
      </c>
      <c r="C39" t="s">
        <v>41</v>
      </c>
      <c r="D39">
        <v>7.6119413796865307E-2</v>
      </c>
      <c r="E39">
        <v>0.28377077670973699</v>
      </c>
      <c r="F39" t="s">
        <v>78</v>
      </c>
      <c r="G39">
        <v>-6.9738323390788999</v>
      </c>
      <c r="H39" t="s">
        <v>89</v>
      </c>
      <c r="I39" t="b">
        <v>0</v>
      </c>
      <c r="J39">
        <v>102.477992903027</v>
      </c>
      <c r="K39">
        <v>103.33513576017</v>
      </c>
      <c r="L39">
        <v>2.073437409651</v>
      </c>
      <c r="M39" t="s">
        <v>43</v>
      </c>
      <c r="N39" t="s">
        <v>43</v>
      </c>
      <c r="O39" t="s">
        <v>145</v>
      </c>
      <c r="P39">
        <f>-19.2692177594738 - 5.32155308131595</f>
        <v>-24.590770840789752</v>
      </c>
      <c r="Q39" t="s">
        <v>45</v>
      </c>
      <c r="R39" t="s">
        <v>90</v>
      </c>
      <c r="S39" t="s">
        <v>43</v>
      </c>
      <c r="T39" t="s">
        <v>91</v>
      </c>
      <c r="U39">
        <v>6.0355389797788197</v>
      </c>
      <c r="V39">
        <v>6.2731558267320704</v>
      </c>
      <c r="W39" t="s">
        <v>147</v>
      </c>
    </row>
    <row r="40" spans="1:23" x14ac:dyDescent="0.3">
      <c r="A40" t="s">
        <v>143</v>
      </c>
      <c r="B40" t="s">
        <v>208</v>
      </c>
      <c r="C40" t="s">
        <v>41</v>
      </c>
      <c r="D40">
        <v>3.4744535799739899E-2</v>
      </c>
      <c r="E40">
        <v>0.47379477504219802</v>
      </c>
      <c r="F40" t="s">
        <v>78</v>
      </c>
      <c r="G40">
        <v>4.1441131120057202</v>
      </c>
      <c r="H40" t="s">
        <v>83</v>
      </c>
      <c r="I40" t="b">
        <v>0</v>
      </c>
      <c r="J40">
        <v>103.222762366954</v>
      </c>
      <c r="K40">
        <v>104.079905224097</v>
      </c>
      <c r="L40">
        <v>2.6492692611650002</v>
      </c>
      <c r="M40" t="s">
        <v>43</v>
      </c>
      <c r="N40" t="s">
        <v>43</v>
      </c>
      <c r="O40" t="s">
        <v>209</v>
      </c>
      <c r="P40">
        <f>-6.90989859439546 - 15.1981248184069</f>
        <v>-22.10802341280236</v>
      </c>
      <c r="Q40" t="s">
        <v>59</v>
      </c>
      <c r="R40" t="s">
        <v>84</v>
      </c>
      <c r="S40" t="s">
        <v>85</v>
      </c>
      <c r="T40" t="s">
        <v>220</v>
      </c>
      <c r="U40">
        <v>5.9481012498574497</v>
      </c>
      <c r="V40">
        <v>5.6398018910210101</v>
      </c>
      <c r="W40" t="s">
        <v>147</v>
      </c>
    </row>
    <row r="41" spans="1:23" x14ac:dyDescent="0.3">
      <c r="A41" t="s">
        <v>143</v>
      </c>
      <c r="B41" t="s">
        <v>163</v>
      </c>
      <c r="C41" t="s">
        <v>41</v>
      </c>
      <c r="D41">
        <v>4.5151860467961998E-3</v>
      </c>
      <c r="E41">
        <v>0.80470989782504998</v>
      </c>
      <c r="F41" t="s">
        <v>78</v>
      </c>
      <c r="G41">
        <v>-2.1328291522830201</v>
      </c>
      <c r="H41" t="s">
        <v>42</v>
      </c>
      <c r="I41" t="b">
        <v>0</v>
      </c>
      <c r="J41">
        <v>92.0438856113458</v>
      </c>
      <c r="K41">
        <v>92.966962534422706</v>
      </c>
      <c r="L41">
        <v>0</v>
      </c>
      <c r="M41" t="s">
        <v>43</v>
      </c>
      <c r="N41" t="s">
        <v>43</v>
      </c>
      <c r="O41" t="s">
        <v>164</v>
      </c>
      <c r="P41">
        <f>-18.7221121692056 - 14.4564538646395</f>
        <v>-33.178566033845101</v>
      </c>
      <c r="Q41" t="s">
        <v>52</v>
      </c>
      <c r="R41" t="s">
        <v>46</v>
      </c>
      <c r="S41" t="s">
        <v>47</v>
      </c>
      <c r="T41" t="s">
        <v>221</v>
      </c>
      <c r="U41">
        <v>6.3188638614352204</v>
      </c>
      <c r="V41">
        <v>8.4639199065931408</v>
      </c>
      <c r="W41" t="s">
        <v>147</v>
      </c>
    </row>
    <row r="42" spans="1:23" x14ac:dyDescent="0.3">
      <c r="A42" t="s">
        <v>143</v>
      </c>
      <c r="B42" t="s">
        <v>194</v>
      </c>
      <c r="C42" t="s">
        <v>41</v>
      </c>
      <c r="D42">
        <v>8.6821799663746799E-2</v>
      </c>
      <c r="E42">
        <v>0.250937788725828</v>
      </c>
      <c r="F42" t="s">
        <v>78</v>
      </c>
      <c r="G42">
        <v>19.035108921134899</v>
      </c>
      <c r="H42" t="s">
        <v>83</v>
      </c>
      <c r="I42" t="b">
        <v>0</v>
      </c>
      <c r="J42">
        <v>102.279912559075</v>
      </c>
      <c r="K42">
        <v>103.137055416218</v>
      </c>
      <c r="L42">
        <v>2.1793215838879898</v>
      </c>
      <c r="M42" t="s">
        <v>43</v>
      </c>
      <c r="N42" t="s">
        <v>43</v>
      </c>
      <c r="O42" t="s">
        <v>195</v>
      </c>
      <c r="P42">
        <f>-12.2061973081161 - 50.2764151503859</f>
        <v>-62.482612458502004</v>
      </c>
      <c r="Q42" t="s">
        <v>45</v>
      </c>
      <c r="R42" t="s">
        <v>84</v>
      </c>
      <c r="S42" t="s">
        <v>85</v>
      </c>
      <c r="T42" t="s">
        <v>222</v>
      </c>
      <c r="U42">
        <v>6.32554036307556</v>
      </c>
      <c r="V42">
        <v>15.9394419536995</v>
      </c>
      <c r="W42" t="s">
        <v>147</v>
      </c>
    </row>
    <row r="43" spans="1:23" x14ac:dyDescent="0.3">
      <c r="A43" t="s">
        <v>143</v>
      </c>
      <c r="B43" t="s">
        <v>163</v>
      </c>
      <c r="C43" t="s">
        <v>41</v>
      </c>
      <c r="D43">
        <v>4.5151860467964001E-3</v>
      </c>
      <c r="E43">
        <v>0.80470989782505098</v>
      </c>
      <c r="F43" t="s">
        <v>78</v>
      </c>
      <c r="G43">
        <v>-2.1328291522830201</v>
      </c>
      <c r="H43" t="s">
        <v>79</v>
      </c>
      <c r="I43" t="b">
        <v>0</v>
      </c>
      <c r="J43">
        <v>92.0438856113458</v>
      </c>
      <c r="K43">
        <v>92.966962534422706</v>
      </c>
      <c r="L43">
        <v>0</v>
      </c>
      <c r="M43" t="s">
        <v>43</v>
      </c>
      <c r="N43" t="s">
        <v>43</v>
      </c>
      <c r="O43" t="s">
        <v>164</v>
      </c>
      <c r="P43">
        <f>-18.7221121692056 - 14.4564538646395</f>
        <v>-33.178566033845101</v>
      </c>
      <c r="Q43" t="s">
        <v>52</v>
      </c>
      <c r="R43" t="s">
        <v>80</v>
      </c>
      <c r="S43" t="s">
        <v>81</v>
      </c>
      <c r="T43" t="s">
        <v>223</v>
      </c>
      <c r="U43">
        <v>6.3188638614352204</v>
      </c>
      <c r="V43">
        <v>8.4639199065931408</v>
      </c>
      <c r="W43" t="s">
        <v>147</v>
      </c>
    </row>
    <row r="44" spans="1:23" x14ac:dyDescent="0.3">
      <c r="A44" t="s">
        <v>143</v>
      </c>
      <c r="B44" t="s">
        <v>186</v>
      </c>
      <c r="C44" t="s">
        <v>41</v>
      </c>
      <c r="D44">
        <v>0.13769376789056301</v>
      </c>
      <c r="E44">
        <v>0.157067557712991</v>
      </c>
      <c r="F44" t="s">
        <v>78</v>
      </c>
      <c r="G44">
        <v>11.999614001306499</v>
      </c>
      <c r="H44" t="s">
        <v>42</v>
      </c>
      <c r="I44" t="b">
        <v>0</v>
      </c>
      <c r="J44">
        <v>93.487367273070504</v>
      </c>
      <c r="K44">
        <v>94.410444196147395</v>
      </c>
      <c r="L44">
        <v>1.3856517111991999</v>
      </c>
      <c r="M44" t="s">
        <v>43</v>
      </c>
      <c r="N44" t="s">
        <v>43</v>
      </c>
      <c r="O44" t="s">
        <v>187</v>
      </c>
      <c r="P44">
        <f>-3.73053910966098 - 27.7297671122739</f>
        <v>-31.460306221934882</v>
      </c>
      <c r="Q44" t="s">
        <v>52</v>
      </c>
      <c r="R44" t="s">
        <v>46</v>
      </c>
      <c r="S44" t="s">
        <v>47</v>
      </c>
      <c r="T44" t="s">
        <v>224</v>
      </c>
      <c r="U44">
        <v>5.1603779257067899</v>
      </c>
      <c r="V44">
        <v>8.0255883219221609</v>
      </c>
      <c r="W44" t="s">
        <v>147</v>
      </c>
    </row>
    <row r="45" spans="1:23" x14ac:dyDescent="0.3">
      <c r="A45" t="s">
        <v>143</v>
      </c>
      <c r="B45" t="s">
        <v>151</v>
      </c>
      <c r="C45" t="s">
        <v>41</v>
      </c>
      <c r="D45">
        <v>0.11461650845079099</v>
      </c>
      <c r="E45">
        <v>0.18377719378765001</v>
      </c>
      <c r="F45" t="s">
        <v>78</v>
      </c>
      <c r="G45">
        <v>3.9155056683896099</v>
      </c>
      <c r="H45" t="s">
        <v>79</v>
      </c>
      <c r="I45" t="b">
        <v>0</v>
      </c>
      <c r="J45">
        <v>100.644276033146</v>
      </c>
      <c r="K45">
        <v>101.501418890289</v>
      </c>
      <c r="L45">
        <v>0.77440419901699897</v>
      </c>
      <c r="M45" t="s">
        <v>43</v>
      </c>
      <c r="N45" t="s">
        <v>43</v>
      </c>
      <c r="O45" t="s">
        <v>152</v>
      </c>
      <c r="P45">
        <f>-1.59181572627668 - 9.42282706305589</f>
        <v>-11.014642789332569</v>
      </c>
      <c r="Q45" t="s">
        <v>56</v>
      </c>
      <c r="R45" t="s">
        <v>80</v>
      </c>
      <c r="S45" t="s">
        <v>81</v>
      </c>
      <c r="T45" t="s">
        <v>225</v>
      </c>
      <c r="U45">
        <v>6.4017820699974699</v>
      </c>
      <c r="V45">
        <v>2.80985785442157</v>
      </c>
      <c r="W45" t="s">
        <v>147</v>
      </c>
    </row>
    <row r="46" spans="1:23" x14ac:dyDescent="0.3">
      <c r="A46" t="s">
        <v>143</v>
      </c>
      <c r="B46" t="s">
        <v>144</v>
      </c>
      <c r="C46" t="s">
        <v>41</v>
      </c>
      <c r="D46">
        <v>3.9855439524253702E-2</v>
      </c>
      <c r="E46">
        <v>0.44235954466316801</v>
      </c>
      <c r="F46" t="s">
        <v>78</v>
      </c>
      <c r="G46">
        <v>-5.2242262444527201</v>
      </c>
      <c r="H46" t="s">
        <v>79</v>
      </c>
      <c r="I46" t="b">
        <v>0</v>
      </c>
      <c r="J46">
        <v>102.164572596965</v>
      </c>
      <c r="K46">
        <v>103.021715454108</v>
      </c>
      <c r="L46">
        <v>1.760017103589</v>
      </c>
      <c r="M46" t="s">
        <v>43</v>
      </c>
      <c r="N46" t="s">
        <v>43</v>
      </c>
      <c r="O46" t="s">
        <v>145</v>
      </c>
      <c r="P46">
        <f>-18.2007070860882 - 7.75225459718272</f>
        <v>-25.952961683270921</v>
      </c>
      <c r="Q46" t="s">
        <v>45</v>
      </c>
      <c r="R46" t="s">
        <v>80</v>
      </c>
      <c r="S46" t="s">
        <v>81</v>
      </c>
      <c r="T46" t="s">
        <v>226</v>
      </c>
      <c r="U46">
        <v>6.1768287766177403</v>
      </c>
      <c r="V46">
        <v>6.62065349063033</v>
      </c>
      <c r="W46" t="s">
        <v>147</v>
      </c>
    </row>
    <row r="47" spans="1:23" x14ac:dyDescent="0.3">
      <c r="A47" t="s">
        <v>143</v>
      </c>
      <c r="B47" t="s">
        <v>154</v>
      </c>
      <c r="C47" t="s">
        <v>41</v>
      </c>
      <c r="D47">
        <v>6.3133872755132894E-2</v>
      </c>
      <c r="E47">
        <v>0.33064928139462302</v>
      </c>
      <c r="F47" t="s">
        <v>78</v>
      </c>
      <c r="G47">
        <v>4.6809638914406104</v>
      </c>
      <c r="H47" t="s">
        <v>79</v>
      </c>
      <c r="I47" t="b">
        <v>0</v>
      </c>
      <c r="J47">
        <v>101.596126905069</v>
      </c>
      <c r="K47">
        <v>102.453269762212</v>
      </c>
      <c r="L47">
        <v>1.7286716328809999</v>
      </c>
      <c r="M47" t="s">
        <v>43</v>
      </c>
      <c r="N47" t="s">
        <v>43</v>
      </c>
      <c r="O47" t="s">
        <v>155</v>
      </c>
      <c r="P47">
        <f>-4.4444650179164 - 13.8063928007976</f>
        <v>-18.250857818714</v>
      </c>
      <c r="Q47" t="s">
        <v>59</v>
      </c>
      <c r="R47" t="s">
        <v>80</v>
      </c>
      <c r="S47" t="s">
        <v>81</v>
      </c>
      <c r="T47" t="s">
        <v>227</v>
      </c>
      <c r="U47">
        <v>6.4981684896215102</v>
      </c>
      <c r="V47">
        <v>4.6558310762025599</v>
      </c>
      <c r="W47" t="s">
        <v>147</v>
      </c>
    </row>
    <row r="48" spans="1:23" x14ac:dyDescent="0.3">
      <c r="A48" t="s">
        <v>143</v>
      </c>
      <c r="B48" t="s">
        <v>154</v>
      </c>
      <c r="C48" t="s">
        <v>41</v>
      </c>
      <c r="D48">
        <v>8.0239263617255099E-2</v>
      </c>
      <c r="E48">
        <v>0.27057793506047501</v>
      </c>
      <c r="F48" t="s">
        <v>78</v>
      </c>
      <c r="G48">
        <v>4.8430813964891604</v>
      </c>
      <c r="H48" t="s">
        <v>89</v>
      </c>
      <c r="I48" t="b">
        <v>0</v>
      </c>
      <c r="J48">
        <v>102.40201547437201</v>
      </c>
      <c r="K48">
        <v>103.259158331515</v>
      </c>
      <c r="L48">
        <v>2.5345602021839899</v>
      </c>
      <c r="M48" t="s">
        <v>43</v>
      </c>
      <c r="N48" t="s">
        <v>43</v>
      </c>
      <c r="O48" t="s">
        <v>155</v>
      </c>
      <c r="P48">
        <f>-3.45497105910916 - 13.1411338520875</f>
        <v>-16.596104911196658</v>
      </c>
      <c r="Q48" t="s">
        <v>59</v>
      </c>
      <c r="R48" t="s">
        <v>90</v>
      </c>
      <c r="S48" t="s">
        <v>43</v>
      </c>
      <c r="T48" t="s">
        <v>91</v>
      </c>
      <c r="U48">
        <v>6.3299046659684199</v>
      </c>
      <c r="V48">
        <v>4.2337002324481201</v>
      </c>
      <c r="W48" t="s">
        <v>147</v>
      </c>
    </row>
    <row r="49" spans="1:23" x14ac:dyDescent="0.3">
      <c r="A49" t="s">
        <v>143</v>
      </c>
      <c r="B49" t="s">
        <v>191</v>
      </c>
      <c r="C49" t="s">
        <v>41</v>
      </c>
      <c r="D49">
        <v>2.81585942869522E-2</v>
      </c>
      <c r="E49">
        <v>0.51972553808964905</v>
      </c>
      <c r="F49" t="s">
        <v>78</v>
      </c>
      <c r="G49">
        <v>2.2373459372470101</v>
      </c>
      <c r="H49" t="s">
        <v>83</v>
      </c>
      <c r="I49" t="b">
        <v>0</v>
      </c>
      <c r="J49">
        <v>103.338359515303</v>
      </c>
      <c r="K49">
        <v>104.195502372446</v>
      </c>
      <c r="L49">
        <v>3.1379229735659999</v>
      </c>
      <c r="M49" t="s">
        <v>43</v>
      </c>
      <c r="N49" t="s">
        <v>43</v>
      </c>
      <c r="O49" t="s">
        <v>192</v>
      </c>
      <c r="P49">
        <f>-4.41440218167627 - 8.8890940561703</f>
        <v>-13.30349623784657</v>
      </c>
      <c r="Q49" t="s">
        <v>56</v>
      </c>
      <c r="R49" t="s">
        <v>84</v>
      </c>
      <c r="S49" t="s">
        <v>85</v>
      </c>
      <c r="T49" t="s">
        <v>228</v>
      </c>
      <c r="U49">
        <v>6.0750334220801996</v>
      </c>
      <c r="V49">
        <v>3.3937490402669801</v>
      </c>
      <c r="W49" t="s">
        <v>147</v>
      </c>
    </row>
    <row r="50" spans="1:23" x14ac:dyDescent="0.3">
      <c r="A50" t="s">
        <v>143</v>
      </c>
      <c r="B50" t="s">
        <v>184</v>
      </c>
      <c r="C50" t="s">
        <v>41</v>
      </c>
      <c r="D50">
        <v>5.1036363900419497E-2</v>
      </c>
      <c r="E50">
        <v>0.40017765869140898</v>
      </c>
      <c r="F50" t="s">
        <v>78</v>
      </c>
      <c r="G50">
        <v>-2.82169705022734</v>
      </c>
      <c r="H50" t="s">
        <v>83</v>
      </c>
      <c r="I50" t="b">
        <v>0</v>
      </c>
      <c r="J50">
        <v>91.278135388241907</v>
      </c>
      <c r="K50">
        <v>92.201212311318798</v>
      </c>
      <c r="L50">
        <v>0</v>
      </c>
      <c r="M50" t="s">
        <v>43</v>
      </c>
      <c r="N50" t="s">
        <v>43</v>
      </c>
      <c r="O50" t="s">
        <v>185</v>
      </c>
      <c r="P50">
        <f>-9.19533456459461 - 3.55194046413993</f>
        <v>-12.74727502873454</v>
      </c>
      <c r="Q50" t="s">
        <v>52</v>
      </c>
      <c r="R50" t="s">
        <v>84</v>
      </c>
      <c r="S50" t="s">
        <v>85</v>
      </c>
      <c r="T50" t="s">
        <v>229</v>
      </c>
      <c r="U50">
        <v>6.2736437649442598</v>
      </c>
      <c r="V50">
        <v>3.25185587467718</v>
      </c>
      <c r="W50" t="s">
        <v>147</v>
      </c>
    </row>
    <row r="51" spans="1:23" x14ac:dyDescent="0.3">
      <c r="A51" t="s">
        <v>143</v>
      </c>
      <c r="B51" t="s">
        <v>157</v>
      </c>
      <c r="C51" t="s">
        <v>41</v>
      </c>
      <c r="D51">
        <v>1.3805265843732E-3</v>
      </c>
      <c r="E51">
        <v>0.88741587651992604</v>
      </c>
      <c r="F51" t="s">
        <v>78</v>
      </c>
      <c r="G51">
        <v>-0.87080803045698896</v>
      </c>
      <c r="H51" t="s">
        <v>83</v>
      </c>
      <c r="I51" t="b">
        <v>0</v>
      </c>
      <c r="J51">
        <v>103.800439410263</v>
      </c>
      <c r="K51">
        <v>104.657582267405</v>
      </c>
      <c r="L51">
        <v>3.1673487020189901</v>
      </c>
      <c r="M51" t="s">
        <v>43</v>
      </c>
      <c r="N51" t="s">
        <v>43</v>
      </c>
      <c r="O51" t="s">
        <v>158</v>
      </c>
      <c r="P51">
        <f>-12.7233225358856 - 10.9817064749716</f>
        <v>-23.705029010857203</v>
      </c>
      <c r="Q51" t="s">
        <v>45</v>
      </c>
      <c r="R51" t="s">
        <v>84</v>
      </c>
      <c r="S51" t="s">
        <v>85</v>
      </c>
      <c r="T51" t="s">
        <v>230</v>
      </c>
      <c r="U51">
        <v>6.1404515039799898</v>
      </c>
      <c r="V51">
        <v>6.0472012782798901</v>
      </c>
      <c r="W51" t="s">
        <v>147</v>
      </c>
    </row>
    <row r="52" spans="1:23" x14ac:dyDescent="0.3">
      <c r="A52" t="s">
        <v>143</v>
      </c>
      <c r="B52" t="s">
        <v>188</v>
      </c>
      <c r="C52" t="s">
        <v>41</v>
      </c>
      <c r="D52">
        <v>2.6371108716470001E-4</v>
      </c>
      <c r="E52">
        <v>0.95067479826283696</v>
      </c>
      <c r="F52" t="s">
        <v>78</v>
      </c>
      <c r="G52">
        <v>0.162020949670554</v>
      </c>
      <c r="H52" t="s">
        <v>83</v>
      </c>
      <c r="I52" t="b">
        <v>0</v>
      </c>
      <c r="J52">
        <v>103.819440897172</v>
      </c>
      <c r="K52">
        <v>104.676583754315</v>
      </c>
      <c r="L52">
        <v>3.2425628085090001</v>
      </c>
      <c r="M52" t="s">
        <v>43</v>
      </c>
      <c r="N52" t="s">
        <v>43</v>
      </c>
      <c r="O52" t="s">
        <v>189</v>
      </c>
      <c r="P52">
        <f>-4.88645334129927 - 5.21049524064038</f>
        <v>-10.09694858193965</v>
      </c>
      <c r="Q52" t="s">
        <v>56</v>
      </c>
      <c r="R52" t="s">
        <v>84</v>
      </c>
      <c r="S52" t="s">
        <v>85</v>
      </c>
      <c r="T52" t="s">
        <v>231</v>
      </c>
      <c r="U52">
        <v>6.16822179720391</v>
      </c>
      <c r="V52">
        <v>2.5757521892703199</v>
      </c>
      <c r="W52" t="s">
        <v>147</v>
      </c>
    </row>
    <row r="53" spans="1:23" x14ac:dyDescent="0.3">
      <c r="A53" t="s">
        <v>143</v>
      </c>
      <c r="B53" t="s">
        <v>206</v>
      </c>
      <c r="C53" t="s">
        <v>41</v>
      </c>
      <c r="D53">
        <v>2.1829369983897801E-2</v>
      </c>
      <c r="E53">
        <v>0.58502276425765798</v>
      </c>
      <c r="F53" t="s">
        <v>78</v>
      </c>
      <c r="G53">
        <v>-4.6448138534064602</v>
      </c>
      <c r="H53" t="s">
        <v>79</v>
      </c>
      <c r="I53" t="b">
        <v>0</v>
      </c>
      <c r="J53">
        <v>91.763153682403896</v>
      </c>
      <c r="K53">
        <v>92.686230605480802</v>
      </c>
      <c r="L53">
        <v>0</v>
      </c>
      <c r="M53" t="s">
        <v>43</v>
      </c>
      <c r="N53" t="s">
        <v>43</v>
      </c>
      <c r="O53" t="s">
        <v>207</v>
      </c>
      <c r="P53">
        <f>-20.9320380982388 - 11.6424103914259</f>
        <v>-32.574448489664697</v>
      </c>
      <c r="Q53" t="s">
        <v>52</v>
      </c>
      <c r="R53" t="s">
        <v>80</v>
      </c>
      <c r="S53" t="s">
        <v>81</v>
      </c>
      <c r="T53" t="s">
        <v>232</v>
      </c>
      <c r="U53">
        <v>6.48156993032143</v>
      </c>
      <c r="V53">
        <v>8.3098082881797808</v>
      </c>
      <c r="W53" t="s">
        <v>147</v>
      </c>
    </row>
    <row r="54" spans="1:23" x14ac:dyDescent="0.3">
      <c r="A54" t="s">
        <v>143</v>
      </c>
      <c r="B54" t="s">
        <v>144</v>
      </c>
      <c r="C54" t="s">
        <v>41</v>
      </c>
      <c r="D54">
        <v>7.6119413796865307E-2</v>
      </c>
      <c r="E54">
        <v>0.28377077670973699</v>
      </c>
      <c r="F54" t="s">
        <v>78</v>
      </c>
      <c r="G54">
        <v>-6.9738323390788999</v>
      </c>
      <c r="H54" t="s">
        <v>83</v>
      </c>
      <c r="I54" t="b">
        <v>0</v>
      </c>
      <c r="J54">
        <v>102.477992903027</v>
      </c>
      <c r="K54">
        <v>103.33513576017</v>
      </c>
      <c r="L54">
        <v>2.073437409651</v>
      </c>
      <c r="M54" t="s">
        <v>43</v>
      </c>
      <c r="N54" t="s">
        <v>43</v>
      </c>
      <c r="O54" t="s">
        <v>145</v>
      </c>
      <c r="P54">
        <f>-19.2692177594738 - 5.32155308131595</f>
        <v>-24.590770840789752</v>
      </c>
      <c r="Q54" t="s">
        <v>45</v>
      </c>
      <c r="R54" t="s">
        <v>84</v>
      </c>
      <c r="S54" t="s">
        <v>85</v>
      </c>
      <c r="T54" t="s">
        <v>233</v>
      </c>
      <c r="U54">
        <v>6.0355389797788197</v>
      </c>
      <c r="V54">
        <v>6.2731558267320704</v>
      </c>
      <c r="W54" t="s">
        <v>147</v>
      </c>
    </row>
    <row r="55" spans="1:23" x14ac:dyDescent="0.3">
      <c r="A55" t="s">
        <v>143</v>
      </c>
      <c r="B55" t="s">
        <v>151</v>
      </c>
      <c r="C55" t="s">
        <v>41</v>
      </c>
      <c r="D55">
        <v>0.107829446530443</v>
      </c>
      <c r="E55">
        <v>0.198152058224912</v>
      </c>
      <c r="F55" t="s">
        <v>78</v>
      </c>
      <c r="G55">
        <v>3.4290484822809302</v>
      </c>
      <c r="H55" t="s">
        <v>83</v>
      </c>
      <c r="I55" t="b">
        <v>0</v>
      </c>
      <c r="J55">
        <v>101.884259235832</v>
      </c>
      <c r="K55">
        <v>102.74140209297499</v>
      </c>
      <c r="L55">
        <v>2.0143874017029901</v>
      </c>
      <c r="M55" t="s">
        <v>43</v>
      </c>
      <c r="N55" t="s">
        <v>43</v>
      </c>
      <c r="O55" t="s">
        <v>152</v>
      </c>
      <c r="P55">
        <f>-1.56254629725166 - 8.42064326181351</f>
        <v>-9.9831895590651705</v>
      </c>
      <c r="Q55" t="s">
        <v>56</v>
      </c>
      <c r="R55" t="s">
        <v>84</v>
      </c>
      <c r="S55" t="s">
        <v>85</v>
      </c>
      <c r="T55" t="s">
        <v>234</v>
      </c>
      <c r="U55">
        <v>6.2084851163796904</v>
      </c>
      <c r="V55">
        <v>2.5467320303737702</v>
      </c>
      <c r="W55" t="s">
        <v>147</v>
      </c>
    </row>
    <row r="56" spans="1:23" x14ac:dyDescent="0.3">
      <c r="A56" t="s">
        <v>143</v>
      </c>
      <c r="B56" t="s">
        <v>197</v>
      </c>
      <c r="C56" t="s">
        <v>41</v>
      </c>
      <c r="D56">
        <v>1.059589522386E-4</v>
      </c>
      <c r="E56">
        <v>0.96872322885642204</v>
      </c>
      <c r="F56" t="s">
        <v>78</v>
      </c>
      <c r="G56">
        <v>0.148699789517271</v>
      </c>
      <c r="H56" t="s">
        <v>79</v>
      </c>
      <c r="I56" t="b">
        <v>0</v>
      </c>
      <c r="J56">
        <v>102.685704641637</v>
      </c>
      <c r="K56">
        <v>103.54284749878001</v>
      </c>
      <c r="L56">
        <v>2.0535671909320001</v>
      </c>
      <c r="M56" t="s">
        <v>43</v>
      </c>
      <c r="N56" t="s">
        <v>43</v>
      </c>
      <c r="O56" t="s">
        <v>198</v>
      </c>
      <c r="P56">
        <f>-7.16149514581265 - 7.45889472484719</f>
        <v>-14.620389870659841</v>
      </c>
      <c r="Q56" t="s">
        <v>59</v>
      </c>
      <c r="R56" t="s">
        <v>80</v>
      </c>
      <c r="S56" t="s">
        <v>81</v>
      </c>
      <c r="T56" t="s">
        <v>235</v>
      </c>
      <c r="U56">
        <v>6.34895655077489</v>
      </c>
      <c r="V56">
        <v>3.7296912935356801</v>
      </c>
      <c r="W56" t="s">
        <v>147</v>
      </c>
    </row>
    <row r="57" spans="1:23" x14ac:dyDescent="0.3">
      <c r="A57" t="s">
        <v>143</v>
      </c>
      <c r="B57" t="s">
        <v>206</v>
      </c>
      <c r="C57" t="s">
        <v>41</v>
      </c>
      <c r="D57">
        <v>2.18293699838976E-2</v>
      </c>
      <c r="E57">
        <v>0.58502276425765798</v>
      </c>
      <c r="F57" t="s">
        <v>78</v>
      </c>
      <c r="G57">
        <v>-4.6448138534064602</v>
      </c>
      <c r="H57" t="s">
        <v>42</v>
      </c>
      <c r="I57" t="b">
        <v>0</v>
      </c>
      <c r="J57">
        <v>91.763153682403896</v>
      </c>
      <c r="K57">
        <v>92.686230605480802</v>
      </c>
      <c r="L57">
        <v>0</v>
      </c>
      <c r="M57" t="s">
        <v>43</v>
      </c>
      <c r="N57" t="s">
        <v>43</v>
      </c>
      <c r="O57" t="s">
        <v>207</v>
      </c>
      <c r="P57">
        <f>-20.9320380982388 - 11.6424103914259</f>
        <v>-32.574448489664697</v>
      </c>
      <c r="Q57" t="s">
        <v>52</v>
      </c>
      <c r="R57" t="s">
        <v>46</v>
      </c>
      <c r="S57" t="s">
        <v>47</v>
      </c>
      <c r="T57" t="s">
        <v>236</v>
      </c>
      <c r="U57">
        <v>6.48156993032143</v>
      </c>
      <c r="V57">
        <v>8.3098082881797808</v>
      </c>
      <c r="W57" t="s">
        <v>147</v>
      </c>
    </row>
    <row r="58" spans="1:23" x14ac:dyDescent="0.3">
      <c r="A58" t="s">
        <v>143</v>
      </c>
      <c r="B58" t="s">
        <v>171</v>
      </c>
      <c r="C58" t="s">
        <v>41</v>
      </c>
      <c r="D58">
        <v>3.5597943441821003E-2</v>
      </c>
      <c r="E58">
        <v>0.46831550047040799</v>
      </c>
      <c r="F58" t="s">
        <v>78</v>
      </c>
      <c r="G58">
        <v>8.8678639616980295</v>
      </c>
      <c r="H58" t="s">
        <v>89</v>
      </c>
      <c r="I58" t="b">
        <v>0</v>
      </c>
      <c r="J58">
        <v>103.20772557342499</v>
      </c>
      <c r="K58">
        <v>104.064868430568</v>
      </c>
      <c r="L58">
        <v>2.8526700500519899</v>
      </c>
      <c r="M58" t="s">
        <v>43</v>
      </c>
      <c r="N58" t="s">
        <v>43</v>
      </c>
      <c r="O58" t="s">
        <v>172</v>
      </c>
      <c r="P58">
        <f>-14.4906964420194 - 32.2264243654154</f>
        <v>-46.717120807434796</v>
      </c>
      <c r="Q58" t="s">
        <v>56</v>
      </c>
      <c r="R58" t="s">
        <v>90</v>
      </c>
      <c r="S58" t="s">
        <v>43</v>
      </c>
      <c r="T58" t="s">
        <v>91</v>
      </c>
      <c r="U58">
        <v>6.0693903588318001</v>
      </c>
      <c r="V58">
        <v>11.9176328590395</v>
      </c>
      <c r="W58" t="s">
        <v>147</v>
      </c>
    </row>
    <row r="59" spans="1:23" x14ac:dyDescent="0.3">
      <c r="A59" t="s">
        <v>143</v>
      </c>
      <c r="B59" t="s">
        <v>181</v>
      </c>
      <c r="C59" t="s">
        <v>41</v>
      </c>
      <c r="D59">
        <v>0.35381556220577798</v>
      </c>
      <c r="E59">
        <v>1.17820397328425E-2</v>
      </c>
      <c r="F59" t="s">
        <v>78</v>
      </c>
      <c r="G59">
        <v>-12.0520290326068</v>
      </c>
      <c r="H59" t="s">
        <v>83</v>
      </c>
      <c r="I59" t="b">
        <v>0</v>
      </c>
      <c r="J59">
        <v>96.400529331908203</v>
      </c>
      <c r="K59">
        <v>97.257672189051107</v>
      </c>
      <c r="L59">
        <v>0.60553285755520303</v>
      </c>
      <c r="M59" t="s">
        <v>43</v>
      </c>
      <c r="N59" t="s">
        <v>43</v>
      </c>
      <c r="O59" t="s">
        <v>182</v>
      </c>
      <c r="P59">
        <f>-20.294556305798 - -3.80950175941565</f>
        <v>-16.485054546382351</v>
      </c>
      <c r="Q59" t="s">
        <v>45</v>
      </c>
      <c r="R59" t="s">
        <v>84</v>
      </c>
      <c r="S59" t="s">
        <v>85</v>
      </c>
      <c r="T59" t="s">
        <v>237</v>
      </c>
      <c r="U59">
        <v>6.4205781532029498</v>
      </c>
      <c r="V59">
        <v>4.2053710577506003</v>
      </c>
      <c r="W59" t="s">
        <v>147</v>
      </c>
    </row>
    <row r="60" spans="1:23" x14ac:dyDescent="0.3">
      <c r="A60" t="s">
        <v>143</v>
      </c>
      <c r="B60" t="s">
        <v>179</v>
      </c>
      <c r="C60" t="s">
        <v>41</v>
      </c>
      <c r="D60">
        <v>7.7546299435334407E-2</v>
      </c>
      <c r="E60">
        <v>0.29631392837866599</v>
      </c>
      <c r="F60" t="s">
        <v>78</v>
      </c>
      <c r="G60">
        <v>-7.3603721018753303</v>
      </c>
      <c r="H60" t="s">
        <v>42</v>
      </c>
      <c r="I60" t="b">
        <v>0</v>
      </c>
      <c r="J60">
        <v>90.824802681272104</v>
      </c>
      <c r="K60">
        <v>91.747879604348995</v>
      </c>
      <c r="L60">
        <v>0</v>
      </c>
      <c r="M60" t="s">
        <v>43</v>
      </c>
      <c r="N60" t="s">
        <v>43</v>
      </c>
      <c r="O60" t="s">
        <v>180</v>
      </c>
      <c r="P60">
        <f>-20.6582877528723 - 5.93754354912168</f>
        <v>-26.595831301993982</v>
      </c>
      <c r="Q60" t="s">
        <v>52</v>
      </c>
      <c r="R60" t="s">
        <v>46</v>
      </c>
      <c r="S60" t="s">
        <v>47</v>
      </c>
      <c r="T60" t="s">
        <v>238</v>
      </c>
      <c r="U60">
        <v>6.2411461686365097</v>
      </c>
      <c r="V60">
        <v>6.7846508423454104</v>
      </c>
      <c r="W60" t="s">
        <v>147</v>
      </c>
    </row>
    <row r="61" spans="1:23" x14ac:dyDescent="0.3">
      <c r="A61" t="s">
        <v>143</v>
      </c>
      <c r="B61" t="s">
        <v>179</v>
      </c>
      <c r="C61" t="s">
        <v>41</v>
      </c>
      <c r="D61">
        <v>7.7546299435334504E-2</v>
      </c>
      <c r="E61">
        <v>0.29631392837866599</v>
      </c>
      <c r="F61" t="s">
        <v>78</v>
      </c>
      <c r="G61">
        <v>-7.3603721018753303</v>
      </c>
      <c r="H61" t="s">
        <v>79</v>
      </c>
      <c r="I61" t="b">
        <v>0</v>
      </c>
      <c r="J61">
        <v>90.824802681272104</v>
      </c>
      <c r="K61">
        <v>91.747879604348995</v>
      </c>
      <c r="L61">
        <v>0</v>
      </c>
      <c r="M61" t="s">
        <v>43</v>
      </c>
      <c r="N61" t="s">
        <v>43</v>
      </c>
      <c r="O61" t="s">
        <v>180</v>
      </c>
      <c r="P61">
        <f>-20.6582877528723 - 5.93754354912168</f>
        <v>-26.595831301993982</v>
      </c>
      <c r="Q61" t="s">
        <v>52</v>
      </c>
      <c r="R61" t="s">
        <v>80</v>
      </c>
      <c r="S61" t="s">
        <v>81</v>
      </c>
      <c r="T61" t="s">
        <v>239</v>
      </c>
      <c r="U61">
        <v>6.2411461686365097</v>
      </c>
      <c r="V61">
        <v>6.7846508423454104</v>
      </c>
      <c r="W61" t="s">
        <v>147</v>
      </c>
    </row>
    <row r="62" spans="1:23" x14ac:dyDescent="0.3">
      <c r="A62" t="s">
        <v>143</v>
      </c>
      <c r="B62" t="s">
        <v>203</v>
      </c>
      <c r="C62" t="s">
        <v>41</v>
      </c>
      <c r="D62">
        <v>4.5021873443623697E-2</v>
      </c>
      <c r="E62">
        <v>0.413591299930612</v>
      </c>
      <c r="F62" t="s">
        <v>78</v>
      </c>
      <c r="G62">
        <v>-7.6836613179829598</v>
      </c>
      <c r="H62" t="s">
        <v>79</v>
      </c>
      <c r="I62" t="b">
        <v>0</v>
      </c>
      <c r="J62">
        <v>101.929637166557</v>
      </c>
      <c r="K62">
        <v>102.7867800237</v>
      </c>
      <c r="L62">
        <v>1.5142445181390001</v>
      </c>
      <c r="M62" t="s">
        <v>43</v>
      </c>
      <c r="N62" t="s">
        <v>43</v>
      </c>
      <c r="O62" t="s">
        <v>204</v>
      </c>
      <c r="P62">
        <f>-25.5923417261756 - 10.2250190902097</f>
        <v>-35.817360816385303</v>
      </c>
      <c r="Q62" t="s">
        <v>59</v>
      </c>
      <c r="R62" t="s">
        <v>80</v>
      </c>
      <c r="S62" t="s">
        <v>81</v>
      </c>
      <c r="T62" t="s">
        <v>240</v>
      </c>
      <c r="U62">
        <v>6.6109907668606498</v>
      </c>
      <c r="V62">
        <v>9.1370818409146199</v>
      </c>
      <c r="W62" t="s">
        <v>147</v>
      </c>
    </row>
    <row r="63" spans="1:23" x14ac:dyDescent="0.3">
      <c r="A63" t="s">
        <v>143</v>
      </c>
      <c r="B63" t="s">
        <v>157</v>
      </c>
      <c r="C63" t="s">
        <v>41</v>
      </c>
      <c r="D63">
        <v>1.3805265843732E-3</v>
      </c>
      <c r="E63">
        <v>0.88741587651992604</v>
      </c>
      <c r="F63" t="s">
        <v>78</v>
      </c>
      <c r="G63">
        <v>-0.87080803045698896</v>
      </c>
      <c r="H63" t="s">
        <v>89</v>
      </c>
      <c r="I63" t="b">
        <v>0</v>
      </c>
      <c r="J63">
        <v>103.800439410263</v>
      </c>
      <c r="K63">
        <v>104.657582267405</v>
      </c>
      <c r="L63">
        <v>3.1673487020189901</v>
      </c>
      <c r="M63" t="s">
        <v>43</v>
      </c>
      <c r="N63" t="s">
        <v>43</v>
      </c>
      <c r="O63" t="s">
        <v>158</v>
      </c>
      <c r="P63">
        <f>-12.7233225358856 - 10.9817064749716</f>
        <v>-23.705029010857203</v>
      </c>
      <c r="Q63" t="s">
        <v>45</v>
      </c>
      <c r="R63" t="s">
        <v>90</v>
      </c>
      <c r="S63" t="s">
        <v>43</v>
      </c>
      <c r="T63" t="s">
        <v>91</v>
      </c>
      <c r="U63">
        <v>6.1404515039799898</v>
      </c>
      <c r="V63">
        <v>6.0472012782798901</v>
      </c>
      <c r="W63" t="s">
        <v>147</v>
      </c>
    </row>
    <row r="64" spans="1:23" x14ac:dyDescent="0.3">
      <c r="A64" t="s">
        <v>143</v>
      </c>
      <c r="B64" t="s">
        <v>174</v>
      </c>
      <c r="C64" t="s">
        <v>41</v>
      </c>
      <c r="D64">
        <v>0.133967399494687</v>
      </c>
      <c r="E64">
        <v>0.148492319247016</v>
      </c>
      <c r="F64" t="s">
        <v>78</v>
      </c>
      <c r="G64">
        <v>-16.139187832319799</v>
      </c>
      <c r="H64" t="s">
        <v>89</v>
      </c>
      <c r="I64" t="b">
        <v>0</v>
      </c>
      <c r="J64">
        <v>101.378768231428</v>
      </c>
      <c r="K64">
        <v>102.235911088571</v>
      </c>
      <c r="L64">
        <v>0.78212492446100101</v>
      </c>
      <c r="M64" t="s">
        <v>43</v>
      </c>
      <c r="N64" t="s">
        <v>43</v>
      </c>
      <c r="O64" t="s">
        <v>175</v>
      </c>
      <c r="P64">
        <f>-36.9055141746002 - 4.62713850996057</f>
        <v>-41.532652684560773</v>
      </c>
      <c r="Q64" t="s">
        <v>59</v>
      </c>
      <c r="R64" t="s">
        <v>90</v>
      </c>
      <c r="S64" t="s">
        <v>43</v>
      </c>
      <c r="T64" t="s">
        <v>91</v>
      </c>
      <c r="U64">
        <v>6.3180117533439697</v>
      </c>
      <c r="V64">
        <v>10.5950644603471</v>
      </c>
      <c r="W64" t="s">
        <v>147</v>
      </c>
    </row>
    <row r="65" spans="1:23" x14ac:dyDescent="0.3">
      <c r="A65" t="s">
        <v>143</v>
      </c>
      <c r="B65" t="s">
        <v>203</v>
      </c>
      <c r="C65" t="s">
        <v>41</v>
      </c>
      <c r="D65">
        <v>6.6802770520907204E-2</v>
      </c>
      <c r="E65">
        <v>0.31651225698997898</v>
      </c>
      <c r="F65" t="s">
        <v>78</v>
      </c>
      <c r="G65">
        <v>-8.6072940202342796</v>
      </c>
      <c r="H65" t="s">
        <v>89</v>
      </c>
      <c r="I65" t="b">
        <v>0</v>
      </c>
      <c r="J65">
        <v>102.648566546341</v>
      </c>
      <c r="K65">
        <v>103.505709403484</v>
      </c>
      <c r="L65">
        <v>2.2331738979229998</v>
      </c>
      <c r="M65" t="s">
        <v>43</v>
      </c>
      <c r="N65" t="s">
        <v>43</v>
      </c>
      <c r="O65" t="s">
        <v>204</v>
      </c>
      <c r="P65">
        <f>-24.8877499671241 - 7.67316192665557</f>
        <v>-32.560911893779675</v>
      </c>
      <c r="Q65" t="s">
        <v>59</v>
      </c>
      <c r="R65" t="s">
        <v>90</v>
      </c>
      <c r="S65" t="s">
        <v>43</v>
      </c>
      <c r="T65" t="s">
        <v>91</v>
      </c>
      <c r="U65">
        <v>6.5017137274699301</v>
      </c>
      <c r="V65">
        <v>8.3063550749438004</v>
      </c>
      <c r="W65" t="s">
        <v>147</v>
      </c>
    </row>
    <row r="66" spans="1:23" x14ac:dyDescent="0.3">
      <c r="A66" t="s">
        <v>143</v>
      </c>
      <c r="B66" t="s">
        <v>168</v>
      </c>
      <c r="C66" t="s">
        <v>41</v>
      </c>
      <c r="D66">
        <v>8.4753906689214703E-2</v>
      </c>
      <c r="E66">
        <v>0.25692688055541102</v>
      </c>
      <c r="F66" t="s">
        <v>78</v>
      </c>
      <c r="G66">
        <v>-3.3370480111524898</v>
      </c>
      <c r="H66" t="s">
        <v>83</v>
      </c>
      <c r="I66" t="b">
        <v>0</v>
      </c>
      <c r="J66">
        <v>102.31836555456201</v>
      </c>
      <c r="K66">
        <v>103.175508411705</v>
      </c>
      <c r="L66">
        <v>1.86452990506299</v>
      </c>
      <c r="M66" t="s">
        <v>43</v>
      </c>
      <c r="N66" t="s">
        <v>43</v>
      </c>
      <c r="O66" t="s">
        <v>169</v>
      </c>
      <c r="P66">
        <f>-8.88665177184267 - 2.2125557495377</f>
        <v>-11.09920752138037</v>
      </c>
      <c r="Q66" t="s">
        <v>45</v>
      </c>
      <c r="R66" t="s">
        <v>84</v>
      </c>
      <c r="S66" t="s">
        <v>85</v>
      </c>
      <c r="T66" t="s">
        <v>241</v>
      </c>
      <c r="U66">
        <v>6.0780522772031098</v>
      </c>
      <c r="V66">
        <v>2.8314304901480498</v>
      </c>
      <c r="W66" t="s">
        <v>147</v>
      </c>
    </row>
    <row r="67" spans="1:23" x14ac:dyDescent="0.3">
      <c r="A67" t="s">
        <v>143</v>
      </c>
      <c r="B67" t="s">
        <v>174</v>
      </c>
      <c r="C67" t="s">
        <v>41</v>
      </c>
      <c r="D67">
        <v>0.133967399494687</v>
      </c>
      <c r="E67">
        <v>0.148492319247016</v>
      </c>
      <c r="F67" t="s">
        <v>78</v>
      </c>
      <c r="G67">
        <v>-16.139187832319799</v>
      </c>
      <c r="H67" t="s">
        <v>83</v>
      </c>
      <c r="I67" t="b">
        <v>0</v>
      </c>
      <c r="J67">
        <v>101.378768231428</v>
      </c>
      <c r="K67">
        <v>102.235911088571</v>
      </c>
      <c r="L67">
        <v>0.78212492446100101</v>
      </c>
      <c r="M67" t="s">
        <v>43</v>
      </c>
      <c r="N67" t="s">
        <v>43</v>
      </c>
      <c r="O67" t="s">
        <v>175</v>
      </c>
      <c r="P67">
        <f>-36.9055141746002 - 4.62713850996057</f>
        <v>-41.532652684560773</v>
      </c>
      <c r="Q67" t="s">
        <v>59</v>
      </c>
      <c r="R67" t="s">
        <v>84</v>
      </c>
      <c r="S67" t="s">
        <v>85</v>
      </c>
      <c r="T67" t="s">
        <v>242</v>
      </c>
      <c r="U67">
        <v>6.3180117533439697</v>
      </c>
      <c r="V67">
        <v>10.5950644603471</v>
      </c>
      <c r="W67" t="s">
        <v>147</v>
      </c>
    </row>
    <row r="68" spans="1:23" x14ac:dyDescent="0.3">
      <c r="A68" t="s">
        <v>143</v>
      </c>
      <c r="B68" t="s">
        <v>208</v>
      </c>
      <c r="C68" t="s">
        <v>41</v>
      </c>
      <c r="D68">
        <v>3.4744535799739899E-2</v>
      </c>
      <c r="E68">
        <v>0.47379477504219802</v>
      </c>
      <c r="F68" t="s">
        <v>78</v>
      </c>
      <c r="G68">
        <v>4.1441131120057202</v>
      </c>
      <c r="H68" t="s">
        <v>89</v>
      </c>
      <c r="I68" t="b">
        <v>0</v>
      </c>
      <c r="J68">
        <v>103.222762366954</v>
      </c>
      <c r="K68">
        <v>104.079905224097</v>
      </c>
      <c r="L68">
        <v>2.6492692611650002</v>
      </c>
      <c r="M68" t="s">
        <v>43</v>
      </c>
      <c r="N68" t="s">
        <v>43</v>
      </c>
      <c r="O68" t="s">
        <v>209</v>
      </c>
      <c r="P68">
        <f>-6.90989859439546 - 15.1981248184069</f>
        <v>-22.10802341280236</v>
      </c>
      <c r="Q68" t="s">
        <v>59</v>
      </c>
      <c r="R68" t="s">
        <v>90</v>
      </c>
      <c r="S68" t="s">
        <v>43</v>
      </c>
      <c r="T68" t="s">
        <v>91</v>
      </c>
      <c r="U68">
        <v>5.9481012498574497</v>
      </c>
      <c r="V68">
        <v>5.6398018910210101</v>
      </c>
      <c r="W68" t="s">
        <v>147</v>
      </c>
    </row>
    <row r="69" spans="1:23" x14ac:dyDescent="0.3">
      <c r="A69" t="s">
        <v>143</v>
      </c>
      <c r="B69" t="s">
        <v>203</v>
      </c>
      <c r="C69" t="s">
        <v>41</v>
      </c>
      <c r="D69">
        <v>6.6802770520907204E-2</v>
      </c>
      <c r="E69">
        <v>0.31651225698997898</v>
      </c>
      <c r="F69" t="s">
        <v>78</v>
      </c>
      <c r="G69">
        <v>-8.6072940202342796</v>
      </c>
      <c r="H69" t="s">
        <v>83</v>
      </c>
      <c r="I69" t="b">
        <v>0</v>
      </c>
      <c r="J69">
        <v>102.648566546341</v>
      </c>
      <c r="K69">
        <v>103.505709403484</v>
      </c>
      <c r="L69">
        <v>2.2331738979229998</v>
      </c>
      <c r="M69" t="s">
        <v>43</v>
      </c>
      <c r="N69" t="s">
        <v>43</v>
      </c>
      <c r="O69" t="s">
        <v>204</v>
      </c>
      <c r="P69">
        <f>-24.8877499671241 - 7.67316192665557</f>
        <v>-32.560911893779675</v>
      </c>
      <c r="Q69" t="s">
        <v>59</v>
      </c>
      <c r="R69" t="s">
        <v>84</v>
      </c>
      <c r="S69" t="s">
        <v>85</v>
      </c>
      <c r="T69" t="s">
        <v>243</v>
      </c>
      <c r="U69">
        <v>6.5017137274699301</v>
      </c>
      <c r="V69">
        <v>8.3063550749438004</v>
      </c>
      <c r="W69" t="s">
        <v>147</v>
      </c>
    </row>
    <row r="70" spans="1:23" x14ac:dyDescent="0.3">
      <c r="A70" t="s">
        <v>143</v>
      </c>
      <c r="B70" t="s">
        <v>200</v>
      </c>
      <c r="C70" t="s">
        <v>41</v>
      </c>
      <c r="D70">
        <v>7.0528534984228E-3</v>
      </c>
      <c r="E70">
        <v>0.74862314755468995</v>
      </c>
      <c r="F70" t="s">
        <v>78</v>
      </c>
      <c r="G70">
        <v>-2.01988727519988</v>
      </c>
      <c r="H70" t="s">
        <v>89</v>
      </c>
      <c r="I70" t="b">
        <v>0</v>
      </c>
      <c r="J70">
        <v>103.70360125549099</v>
      </c>
      <c r="K70">
        <v>104.560744112634</v>
      </c>
      <c r="L70">
        <v>3.20193340787299</v>
      </c>
      <c r="M70" t="s">
        <v>43</v>
      </c>
      <c r="N70" t="s">
        <v>43</v>
      </c>
      <c r="O70" t="s">
        <v>201</v>
      </c>
      <c r="P70">
        <f>-14.1486977476659 - 10.1089231972661</f>
        <v>-24.257620944932</v>
      </c>
      <c r="Q70" t="s">
        <v>56</v>
      </c>
      <c r="R70" t="s">
        <v>90</v>
      </c>
      <c r="S70" t="s">
        <v>43</v>
      </c>
      <c r="T70" t="s">
        <v>91</v>
      </c>
      <c r="U70">
        <v>6.1665277466600497</v>
      </c>
      <c r="V70">
        <v>6.1881686084010097</v>
      </c>
      <c r="W70" t="s">
        <v>147</v>
      </c>
    </row>
    <row r="71" spans="1:23" x14ac:dyDescent="0.3">
      <c r="A71" t="s">
        <v>143</v>
      </c>
      <c r="B71" t="s">
        <v>165</v>
      </c>
      <c r="C71" t="s">
        <v>41</v>
      </c>
      <c r="D71">
        <v>4.2702809806869899E-2</v>
      </c>
      <c r="E71">
        <v>0.426164016936735</v>
      </c>
      <c r="F71" t="s">
        <v>78</v>
      </c>
      <c r="G71">
        <v>-8.9203336698924698</v>
      </c>
      <c r="H71" t="s">
        <v>79</v>
      </c>
      <c r="I71" t="b">
        <v>0</v>
      </c>
      <c r="J71">
        <v>101.976287325965</v>
      </c>
      <c r="K71">
        <v>102.83343018310801</v>
      </c>
      <c r="L71">
        <v>1.9599579472540101</v>
      </c>
      <c r="M71" t="s">
        <v>43</v>
      </c>
      <c r="N71" t="s">
        <v>43</v>
      </c>
      <c r="O71" t="s">
        <v>166</v>
      </c>
      <c r="P71">
        <f>-30.2943780866136 - 12.4537107468286</f>
        <v>-42.748088833442203</v>
      </c>
      <c r="Q71" t="s">
        <v>56</v>
      </c>
      <c r="R71" t="s">
        <v>80</v>
      </c>
      <c r="S71" t="s">
        <v>81</v>
      </c>
      <c r="T71" t="s">
        <v>244</v>
      </c>
      <c r="U71">
        <v>6.4116117682316798</v>
      </c>
      <c r="V71">
        <v>10.905124702408701</v>
      </c>
      <c r="W71" t="s">
        <v>147</v>
      </c>
    </row>
    <row r="72" spans="1:23" x14ac:dyDescent="0.3">
      <c r="A72" t="s">
        <v>143</v>
      </c>
      <c r="B72" t="s">
        <v>194</v>
      </c>
      <c r="C72" t="s">
        <v>41</v>
      </c>
      <c r="D72">
        <v>6.2220513240991399E-2</v>
      </c>
      <c r="E72">
        <v>0.33428922487975699</v>
      </c>
      <c r="F72" t="s">
        <v>78</v>
      </c>
      <c r="G72">
        <v>17.119639366518602</v>
      </c>
      <c r="H72" t="s">
        <v>79</v>
      </c>
      <c r="I72" t="b">
        <v>0</v>
      </c>
      <c r="J72">
        <v>101.647582777371</v>
      </c>
      <c r="K72">
        <v>102.504725634514</v>
      </c>
      <c r="L72">
        <v>1.5469918021839899</v>
      </c>
      <c r="M72" t="s">
        <v>43</v>
      </c>
      <c r="N72" t="s">
        <v>43</v>
      </c>
      <c r="O72" t="s">
        <v>195</v>
      </c>
      <c r="P72">
        <f>-16.5151431117765 - 50.7544218448137</f>
        <v>-67.269564956590202</v>
      </c>
      <c r="Q72" t="s">
        <v>45</v>
      </c>
      <c r="R72" t="s">
        <v>80</v>
      </c>
      <c r="S72" t="s">
        <v>81</v>
      </c>
      <c r="T72" t="s">
        <v>245</v>
      </c>
      <c r="U72">
        <v>6.4412793839100004</v>
      </c>
      <c r="V72">
        <v>17.1606033052526</v>
      </c>
      <c r="W72" t="s">
        <v>147</v>
      </c>
    </row>
    <row r="73" spans="1:23" x14ac:dyDescent="0.3">
      <c r="A73" t="s">
        <v>143</v>
      </c>
      <c r="B73" t="s">
        <v>200</v>
      </c>
      <c r="C73" t="s">
        <v>41</v>
      </c>
      <c r="D73">
        <v>7.0528534984228E-3</v>
      </c>
      <c r="E73">
        <v>0.74862314755468995</v>
      </c>
      <c r="F73" t="s">
        <v>78</v>
      </c>
      <c r="G73">
        <v>-2.01988727519988</v>
      </c>
      <c r="H73" t="s">
        <v>83</v>
      </c>
      <c r="I73" t="b">
        <v>0</v>
      </c>
      <c r="J73">
        <v>103.70360125549099</v>
      </c>
      <c r="K73">
        <v>104.560744112634</v>
      </c>
      <c r="L73">
        <v>3.20193340787299</v>
      </c>
      <c r="M73" t="s">
        <v>43</v>
      </c>
      <c r="N73" t="s">
        <v>43</v>
      </c>
      <c r="O73" t="s">
        <v>201</v>
      </c>
      <c r="P73">
        <f>-14.1486977476659 - 10.1089231972661</f>
        <v>-24.257620944932</v>
      </c>
      <c r="Q73" t="s">
        <v>56</v>
      </c>
      <c r="R73" t="s">
        <v>84</v>
      </c>
      <c r="S73" t="s">
        <v>85</v>
      </c>
      <c r="T73" t="s">
        <v>246</v>
      </c>
      <c r="U73">
        <v>6.1665277466600497</v>
      </c>
      <c r="V73">
        <v>6.1881686084010097</v>
      </c>
      <c r="W73" t="s">
        <v>147</v>
      </c>
    </row>
    <row r="74" spans="1:23" x14ac:dyDescent="0.3">
      <c r="A74" t="s">
        <v>143</v>
      </c>
      <c r="B74" t="s">
        <v>168</v>
      </c>
      <c r="C74" t="s">
        <v>41</v>
      </c>
      <c r="D74">
        <v>4.79167586435819E-2</v>
      </c>
      <c r="E74">
        <v>0.398610766777521</v>
      </c>
      <c r="F74" t="s">
        <v>78</v>
      </c>
      <c r="G74">
        <v>-2.5725599632120701</v>
      </c>
      <c r="H74" t="s">
        <v>79</v>
      </c>
      <c r="I74" t="b">
        <v>0</v>
      </c>
      <c r="J74">
        <v>102.140266973762</v>
      </c>
      <c r="K74">
        <v>102.997409830905</v>
      </c>
      <c r="L74">
        <v>1.68643132426299</v>
      </c>
      <c r="M74" t="s">
        <v>43</v>
      </c>
      <c r="N74" t="s">
        <v>43</v>
      </c>
      <c r="O74" t="s">
        <v>169</v>
      </c>
      <c r="P74">
        <f>-8.37578874910118 - 3.23066882267704</f>
        <v>-11.606457571778218</v>
      </c>
      <c r="Q74" t="s">
        <v>45</v>
      </c>
      <c r="R74" t="s">
        <v>80</v>
      </c>
      <c r="S74" t="s">
        <v>81</v>
      </c>
      <c r="T74" t="s">
        <v>247</v>
      </c>
      <c r="U74">
        <v>6.1879346306168799</v>
      </c>
      <c r="V74">
        <v>2.9608310132087299</v>
      </c>
      <c r="W74" t="s">
        <v>147</v>
      </c>
    </row>
    <row r="75" spans="1:23" x14ac:dyDescent="0.3">
      <c r="A75" t="s">
        <v>143</v>
      </c>
      <c r="B75" t="s">
        <v>177</v>
      </c>
      <c r="C75" t="s">
        <v>41</v>
      </c>
      <c r="D75">
        <v>4.74970815798113E-2</v>
      </c>
      <c r="E75">
        <v>0.417448860765119</v>
      </c>
      <c r="F75" t="s">
        <v>78</v>
      </c>
      <c r="G75">
        <v>6.3249366543443903</v>
      </c>
      <c r="H75" t="s">
        <v>79</v>
      </c>
      <c r="I75" t="b">
        <v>0</v>
      </c>
      <c r="J75">
        <v>91.337698447495995</v>
      </c>
      <c r="K75">
        <v>92.260775370572901</v>
      </c>
      <c r="L75">
        <v>0</v>
      </c>
      <c r="M75" t="s">
        <v>43</v>
      </c>
      <c r="N75" t="s">
        <v>43</v>
      </c>
      <c r="O75" t="s">
        <v>178</v>
      </c>
      <c r="P75">
        <f>-8.51212592854026 - 21.1619992372291</f>
        <v>-29.674125165769361</v>
      </c>
      <c r="Q75" t="s">
        <v>52</v>
      </c>
      <c r="R75" t="s">
        <v>80</v>
      </c>
      <c r="S75" t="s">
        <v>81</v>
      </c>
      <c r="T75" t="s">
        <v>248</v>
      </c>
      <c r="U75">
        <v>6.3730011833688902</v>
      </c>
      <c r="V75">
        <v>7.56992988922687</v>
      </c>
      <c r="W75" t="s">
        <v>147</v>
      </c>
    </row>
    <row r="76" spans="1:23" x14ac:dyDescent="0.3">
      <c r="A76" t="s">
        <v>143</v>
      </c>
      <c r="B76" t="s">
        <v>160</v>
      </c>
      <c r="C76" t="s">
        <v>41</v>
      </c>
      <c r="D76">
        <v>0.15036596278283401</v>
      </c>
      <c r="E76">
        <v>0.124062219549519</v>
      </c>
      <c r="F76" t="s">
        <v>78</v>
      </c>
      <c r="G76">
        <v>-32.942351163988597</v>
      </c>
      <c r="H76" t="s">
        <v>79</v>
      </c>
      <c r="I76" t="b">
        <v>0</v>
      </c>
      <c r="J76">
        <v>100.062910783494</v>
      </c>
      <c r="K76">
        <v>100.92005364063699</v>
      </c>
      <c r="L76">
        <v>1.00238546077869</v>
      </c>
      <c r="M76" t="s">
        <v>43</v>
      </c>
      <c r="N76" t="s">
        <v>43</v>
      </c>
      <c r="O76" t="s">
        <v>161</v>
      </c>
      <c r="P76">
        <f>-72.5707217590522 - 6.68601943107496</f>
        <v>-79.256741190127158</v>
      </c>
      <c r="Q76" t="s">
        <v>45</v>
      </c>
      <c r="R76" t="s">
        <v>80</v>
      </c>
      <c r="S76" t="s">
        <v>81</v>
      </c>
      <c r="T76" t="s">
        <v>249</v>
      </c>
      <c r="U76">
        <v>6.5572986584169097</v>
      </c>
      <c r="V76">
        <v>20.2185564260528</v>
      </c>
      <c r="W76" t="s">
        <v>147</v>
      </c>
    </row>
    <row r="77" spans="1:23" x14ac:dyDescent="0.3">
      <c r="A77" t="s">
        <v>143</v>
      </c>
      <c r="B77" t="s">
        <v>188</v>
      </c>
      <c r="C77" t="s">
        <v>41</v>
      </c>
      <c r="D77">
        <v>2.6371108716470001E-4</v>
      </c>
      <c r="E77">
        <v>0.95067479826283696</v>
      </c>
      <c r="F77" t="s">
        <v>78</v>
      </c>
      <c r="G77">
        <v>0.162020949670554</v>
      </c>
      <c r="H77" t="s">
        <v>89</v>
      </c>
      <c r="I77" t="b">
        <v>0</v>
      </c>
      <c r="J77">
        <v>103.819440897172</v>
      </c>
      <c r="K77">
        <v>104.676583754315</v>
      </c>
      <c r="L77">
        <v>3.2425628085090001</v>
      </c>
      <c r="M77" t="s">
        <v>43</v>
      </c>
      <c r="N77" t="s">
        <v>43</v>
      </c>
      <c r="O77" t="s">
        <v>189</v>
      </c>
      <c r="P77">
        <f>-4.88645334129927 - 5.21049524064038</f>
        <v>-10.09694858193965</v>
      </c>
      <c r="Q77" t="s">
        <v>56</v>
      </c>
      <c r="R77" t="s">
        <v>90</v>
      </c>
      <c r="S77" t="s">
        <v>43</v>
      </c>
      <c r="T77" t="s">
        <v>91</v>
      </c>
      <c r="U77">
        <v>6.16822179720391</v>
      </c>
      <c r="V77">
        <v>2.5757521892703199</v>
      </c>
      <c r="W77" t="s">
        <v>147</v>
      </c>
    </row>
    <row r="78" spans="1:23" x14ac:dyDescent="0.3">
      <c r="A78" t="s">
        <v>143</v>
      </c>
      <c r="B78" t="s">
        <v>194</v>
      </c>
      <c r="C78" t="s">
        <v>41</v>
      </c>
      <c r="D78">
        <v>8.6821799663746799E-2</v>
      </c>
      <c r="E78">
        <v>0.250937788725828</v>
      </c>
      <c r="F78" t="s">
        <v>78</v>
      </c>
      <c r="G78">
        <v>19.035108921134899</v>
      </c>
      <c r="H78" t="s">
        <v>89</v>
      </c>
      <c r="I78" t="b">
        <v>0</v>
      </c>
      <c r="J78">
        <v>102.279912559075</v>
      </c>
      <c r="K78">
        <v>103.137055416218</v>
      </c>
      <c r="L78">
        <v>2.1793215838879898</v>
      </c>
      <c r="M78" t="s">
        <v>43</v>
      </c>
      <c r="N78" t="s">
        <v>43</v>
      </c>
      <c r="O78" t="s">
        <v>195</v>
      </c>
      <c r="P78">
        <f>-12.2061973081161 - 50.2764151503859</f>
        <v>-62.482612458502004</v>
      </c>
      <c r="Q78" t="s">
        <v>45</v>
      </c>
      <c r="R78" t="s">
        <v>90</v>
      </c>
      <c r="S78" t="s">
        <v>43</v>
      </c>
      <c r="T78" t="s">
        <v>91</v>
      </c>
      <c r="U78">
        <v>6.32554036307556</v>
      </c>
      <c r="V78">
        <v>15.9394419536995</v>
      </c>
      <c r="W78" t="s">
        <v>147</v>
      </c>
    </row>
    <row r="79" spans="1:23" x14ac:dyDescent="0.3">
      <c r="A79" t="s">
        <v>143</v>
      </c>
      <c r="B79" t="s">
        <v>188</v>
      </c>
      <c r="C79" t="s">
        <v>41</v>
      </c>
      <c r="D79">
        <v>3.5848737263733002E-3</v>
      </c>
      <c r="E79">
        <v>0.81943926503492703</v>
      </c>
      <c r="F79" t="s">
        <v>78</v>
      </c>
      <c r="G79">
        <v>-0.61242706878517605</v>
      </c>
      <c r="H79" t="s">
        <v>79</v>
      </c>
      <c r="I79" t="b">
        <v>0</v>
      </c>
      <c r="J79">
        <v>102.631242130711</v>
      </c>
      <c r="K79">
        <v>103.488384987854</v>
      </c>
      <c r="L79">
        <v>2.0543640420479998</v>
      </c>
      <c r="M79" t="s">
        <v>43</v>
      </c>
      <c r="N79" t="s">
        <v>43</v>
      </c>
      <c r="O79" t="s">
        <v>189</v>
      </c>
      <c r="P79">
        <f>-5.77954108057004 - 4.55468694299969</f>
        <v>-10.334228023569729</v>
      </c>
      <c r="Q79" t="s">
        <v>56</v>
      </c>
      <c r="R79" t="s">
        <v>80</v>
      </c>
      <c r="S79" t="s">
        <v>81</v>
      </c>
      <c r="T79" t="s">
        <v>250</v>
      </c>
      <c r="U79">
        <v>6.3059381916357999</v>
      </c>
      <c r="V79">
        <v>2.6362826590739101</v>
      </c>
      <c r="W79" t="s">
        <v>147</v>
      </c>
    </row>
    <row r="80" spans="1:23" x14ac:dyDescent="0.3">
      <c r="A80" t="s">
        <v>143</v>
      </c>
      <c r="B80" t="s">
        <v>177</v>
      </c>
      <c r="C80" t="s">
        <v>41</v>
      </c>
      <c r="D80">
        <v>4.7497081579811203E-2</v>
      </c>
      <c r="E80">
        <v>0.417448860765119</v>
      </c>
      <c r="F80" t="s">
        <v>78</v>
      </c>
      <c r="G80">
        <v>6.3249366543443903</v>
      </c>
      <c r="H80" t="s">
        <v>83</v>
      </c>
      <c r="I80" t="b">
        <v>0</v>
      </c>
      <c r="J80">
        <v>91.337698447495995</v>
      </c>
      <c r="K80">
        <v>92.260775370572901</v>
      </c>
      <c r="L80">
        <v>0</v>
      </c>
      <c r="M80" t="s">
        <v>43</v>
      </c>
      <c r="N80" t="s">
        <v>43</v>
      </c>
      <c r="O80" t="s">
        <v>178</v>
      </c>
      <c r="P80">
        <f>-8.51212592854026 - 21.1619992372291</f>
        <v>-29.674125165769361</v>
      </c>
      <c r="Q80" t="s">
        <v>52</v>
      </c>
      <c r="R80" t="s">
        <v>84</v>
      </c>
      <c r="S80" t="s">
        <v>85</v>
      </c>
      <c r="T80" t="s">
        <v>251</v>
      </c>
      <c r="U80">
        <v>6.3730011833689</v>
      </c>
      <c r="V80">
        <v>7.56992988922687</v>
      </c>
      <c r="W80" t="s">
        <v>147</v>
      </c>
    </row>
    <row r="81" spans="1:23" x14ac:dyDescent="0.3">
      <c r="A81" t="s">
        <v>143</v>
      </c>
      <c r="B81" t="s">
        <v>181</v>
      </c>
      <c r="C81" t="s">
        <v>41</v>
      </c>
      <c r="D81">
        <v>0.32720871343508501</v>
      </c>
      <c r="E81">
        <v>1.6427187627228199E-2</v>
      </c>
      <c r="F81" t="s">
        <v>78</v>
      </c>
      <c r="G81">
        <v>-12.249784201669099</v>
      </c>
      <c r="H81" t="s">
        <v>79</v>
      </c>
      <c r="I81" t="b">
        <v>0</v>
      </c>
      <c r="J81">
        <v>96.215229600288396</v>
      </c>
      <c r="K81">
        <v>97.0723724574313</v>
      </c>
      <c r="L81">
        <v>0.42023312593539602</v>
      </c>
      <c r="M81" t="s">
        <v>43</v>
      </c>
      <c r="N81" t="s">
        <v>43</v>
      </c>
      <c r="O81" t="s">
        <v>182</v>
      </c>
      <c r="P81">
        <f>-21.1390650765008 - -3.3605033268373</f>
        <v>-17.778561749663499</v>
      </c>
      <c r="Q81" t="s">
        <v>45</v>
      </c>
      <c r="R81" t="s">
        <v>80</v>
      </c>
      <c r="S81" t="s">
        <v>81</v>
      </c>
      <c r="T81" t="s">
        <v>252</v>
      </c>
      <c r="U81">
        <v>6.50509247412311</v>
      </c>
      <c r="V81">
        <v>4.53534738511825</v>
      </c>
      <c r="W81" t="s">
        <v>147</v>
      </c>
    </row>
    <row r="82" spans="1:23" x14ac:dyDescent="0.3">
      <c r="A82" t="s">
        <v>143</v>
      </c>
      <c r="B82" t="s">
        <v>197</v>
      </c>
      <c r="C82" t="s">
        <v>41</v>
      </c>
      <c r="D82">
        <v>4.0196614110194996E-3</v>
      </c>
      <c r="E82">
        <v>0.80898223323097496</v>
      </c>
      <c r="F82" t="s">
        <v>78</v>
      </c>
      <c r="G82">
        <v>-0.855722820603945</v>
      </c>
      <c r="H82" t="s">
        <v>83</v>
      </c>
      <c r="I82" t="b">
        <v>0</v>
      </c>
      <c r="J82">
        <v>103.75545262347499</v>
      </c>
      <c r="K82">
        <v>104.612595480618</v>
      </c>
      <c r="L82">
        <v>3.1233151727699902</v>
      </c>
      <c r="M82" t="s">
        <v>43</v>
      </c>
      <c r="N82" t="s">
        <v>43</v>
      </c>
      <c r="O82" t="s">
        <v>198</v>
      </c>
      <c r="P82">
        <f>-7.6724231474509 - 5.96097750624301</f>
        <v>-13.63340065369391</v>
      </c>
      <c r="Q82" t="s">
        <v>59</v>
      </c>
      <c r="R82" t="s">
        <v>84</v>
      </c>
      <c r="S82" t="s">
        <v>85</v>
      </c>
      <c r="T82" t="s">
        <v>253</v>
      </c>
      <c r="U82">
        <v>6.0668159030292603</v>
      </c>
      <c r="V82">
        <v>3.4779083300239502</v>
      </c>
      <c r="W82" t="s">
        <v>147</v>
      </c>
    </row>
    <row r="83" spans="1:23" x14ac:dyDescent="0.3">
      <c r="A83" t="s">
        <v>143</v>
      </c>
      <c r="B83" t="s">
        <v>181</v>
      </c>
      <c r="C83" t="s">
        <v>41</v>
      </c>
      <c r="D83">
        <v>0.35381556220577798</v>
      </c>
      <c r="E83">
        <v>1.17820397328425E-2</v>
      </c>
      <c r="F83" t="s">
        <v>78</v>
      </c>
      <c r="G83">
        <v>-12.0520290326068</v>
      </c>
      <c r="H83" t="s">
        <v>89</v>
      </c>
      <c r="I83" t="b">
        <v>0</v>
      </c>
      <c r="J83">
        <v>96.400529331908203</v>
      </c>
      <c r="K83">
        <v>97.257672189051107</v>
      </c>
      <c r="L83">
        <v>0.60553285755520303</v>
      </c>
      <c r="M83" t="s">
        <v>43</v>
      </c>
      <c r="N83" t="s">
        <v>43</v>
      </c>
      <c r="O83" t="s">
        <v>182</v>
      </c>
      <c r="P83">
        <f>-20.294556305798 - -3.80950175941565</f>
        <v>-16.485054546382351</v>
      </c>
      <c r="Q83" t="s">
        <v>45</v>
      </c>
      <c r="R83" t="s">
        <v>90</v>
      </c>
      <c r="S83" t="s">
        <v>43</v>
      </c>
      <c r="T83" t="s">
        <v>91</v>
      </c>
      <c r="U83">
        <v>6.4205781532029498</v>
      </c>
      <c r="V83">
        <v>4.2053710577506003</v>
      </c>
      <c r="W83" t="s">
        <v>147</v>
      </c>
    </row>
    <row r="84" spans="1:23" x14ac:dyDescent="0.3">
      <c r="A84" t="s">
        <v>143</v>
      </c>
      <c r="B84" t="s">
        <v>160</v>
      </c>
      <c r="C84" t="s">
        <v>41</v>
      </c>
      <c r="D84">
        <v>0.112634084959224</v>
      </c>
      <c r="E84">
        <v>0.187857628743229</v>
      </c>
      <c r="F84" t="s">
        <v>78</v>
      </c>
      <c r="G84">
        <v>-27.376206341196902</v>
      </c>
      <c r="H84" t="s">
        <v>89</v>
      </c>
      <c r="I84" t="b">
        <v>0</v>
      </c>
      <c r="J84">
        <v>101.792461115135</v>
      </c>
      <c r="K84">
        <v>102.649603972278</v>
      </c>
      <c r="L84">
        <v>2.7319357924197001</v>
      </c>
      <c r="M84" t="s">
        <v>43</v>
      </c>
      <c r="N84" t="s">
        <v>43</v>
      </c>
      <c r="O84" t="s">
        <v>161</v>
      </c>
      <c r="P84">
        <f>-66.2628232128869 - 11.510410530493</f>
        <v>-77.773233743379905</v>
      </c>
      <c r="Q84" t="s">
        <v>45</v>
      </c>
      <c r="R84" t="s">
        <v>90</v>
      </c>
      <c r="S84" t="s">
        <v>43</v>
      </c>
      <c r="T84" t="s">
        <v>91</v>
      </c>
      <c r="U84">
        <v>6.2902214054736802</v>
      </c>
      <c r="V84">
        <v>19.840110648821401</v>
      </c>
      <c r="W84" t="s">
        <v>147</v>
      </c>
    </row>
    <row r="85" spans="1:23" x14ac:dyDescent="0.3">
      <c r="A85" t="s">
        <v>143</v>
      </c>
      <c r="B85" t="s">
        <v>148</v>
      </c>
      <c r="C85" t="s">
        <v>41</v>
      </c>
      <c r="D85">
        <v>1.8181260522682902E-2</v>
      </c>
      <c r="E85">
        <v>0.60587469202557098</v>
      </c>
      <c r="F85" t="s">
        <v>78</v>
      </c>
      <c r="G85">
        <v>-1.5876435846375601</v>
      </c>
      <c r="H85" t="s">
        <v>89</v>
      </c>
      <c r="I85" t="b">
        <v>0</v>
      </c>
      <c r="J85">
        <v>103.51199887528</v>
      </c>
      <c r="K85">
        <v>104.369141732423</v>
      </c>
      <c r="L85">
        <v>2.905025325999</v>
      </c>
      <c r="M85" t="s">
        <v>43</v>
      </c>
      <c r="N85" t="s">
        <v>43</v>
      </c>
      <c r="O85" t="s">
        <v>149</v>
      </c>
      <c r="P85">
        <f>-7.49192593979867 - 4.31663877052355</f>
        <v>-11.808564710322219</v>
      </c>
      <c r="Q85" t="s">
        <v>59</v>
      </c>
      <c r="R85" t="s">
        <v>90</v>
      </c>
      <c r="S85" t="s">
        <v>43</v>
      </c>
      <c r="T85" t="s">
        <v>91</v>
      </c>
      <c r="U85">
        <v>5.9715377984761799</v>
      </c>
      <c r="V85">
        <v>3.0123889567148501</v>
      </c>
      <c r="W85" t="s">
        <v>147</v>
      </c>
    </row>
    <row r="86" spans="1:23" x14ac:dyDescent="0.3">
      <c r="A86" t="s">
        <v>143</v>
      </c>
      <c r="B86" t="s">
        <v>208</v>
      </c>
      <c r="C86" t="s">
        <v>41</v>
      </c>
      <c r="D86">
        <v>9.4361759657115001E-3</v>
      </c>
      <c r="E86">
        <v>0.71071941018137896</v>
      </c>
      <c r="F86" t="s">
        <v>78</v>
      </c>
      <c r="G86">
        <v>2.2752825541384798</v>
      </c>
      <c r="H86" t="s">
        <v>79</v>
      </c>
      <c r="I86" t="b">
        <v>0</v>
      </c>
      <c r="J86">
        <v>102.553054388313</v>
      </c>
      <c r="K86">
        <v>103.410197245456</v>
      </c>
      <c r="L86">
        <v>1.9795612825240001</v>
      </c>
      <c r="M86" t="s">
        <v>43</v>
      </c>
      <c r="N86" t="s">
        <v>43</v>
      </c>
      <c r="O86" t="s">
        <v>209</v>
      </c>
      <c r="P86">
        <f>-9.52219051987851 - 14.0727556281555</f>
        <v>-23.594946148034012</v>
      </c>
      <c r="Q86" t="s">
        <v>59</v>
      </c>
      <c r="R86" t="s">
        <v>80</v>
      </c>
      <c r="S86" t="s">
        <v>81</v>
      </c>
      <c r="T86" t="s">
        <v>254</v>
      </c>
      <c r="U86">
        <v>6.1911621808595898</v>
      </c>
      <c r="V86">
        <v>6.0191189153147899</v>
      </c>
      <c r="W86" t="s">
        <v>147</v>
      </c>
    </row>
    <row r="87" spans="1:23" x14ac:dyDescent="0.3">
      <c r="A87" t="s">
        <v>143</v>
      </c>
      <c r="B87" t="s">
        <v>157</v>
      </c>
      <c r="C87" t="s">
        <v>41</v>
      </c>
      <c r="D87">
        <v>4.5516684962430002E-4</v>
      </c>
      <c r="E87">
        <v>0.93522462934531903</v>
      </c>
      <c r="F87" t="s">
        <v>78</v>
      </c>
      <c r="G87">
        <v>0.52020295801526795</v>
      </c>
      <c r="H87" t="s">
        <v>79</v>
      </c>
      <c r="I87" t="b">
        <v>0</v>
      </c>
      <c r="J87">
        <v>102.680105794808</v>
      </c>
      <c r="K87">
        <v>103.53724865194999</v>
      </c>
      <c r="L87">
        <v>2.04701508656398</v>
      </c>
      <c r="M87" t="s">
        <v>43</v>
      </c>
      <c r="N87" t="s">
        <v>43</v>
      </c>
      <c r="O87" t="s">
        <v>158</v>
      </c>
      <c r="P87">
        <f>-11.8164993854483 - 12.8569053014788</f>
        <v>-24.6734046869271</v>
      </c>
      <c r="Q87" t="s">
        <v>45</v>
      </c>
      <c r="R87" t="s">
        <v>80</v>
      </c>
      <c r="S87" t="s">
        <v>81</v>
      </c>
      <c r="T87" t="s">
        <v>255</v>
      </c>
      <c r="U87">
        <v>6.3463379024247004</v>
      </c>
      <c r="V87">
        <v>6.2942358895222297</v>
      </c>
      <c r="W87" t="s">
        <v>147</v>
      </c>
    </row>
    <row r="88" spans="1:23" x14ac:dyDescent="0.3">
      <c r="A88" t="s">
        <v>143</v>
      </c>
      <c r="B88" t="s">
        <v>177</v>
      </c>
      <c r="C88" t="s">
        <v>41</v>
      </c>
      <c r="D88">
        <v>4.7497081579811203E-2</v>
      </c>
      <c r="E88">
        <v>0.417448860765119</v>
      </c>
      <c r="F88" t="s">
        <v>78</v>
      </c>
      <c r="G88">
        <v>6.3249366543443903</v>
      </c>
      <c r="H88" t="s">
        <v>42</v>
      </c>
      <c r="I88" t="b">
        <v>0</v>
      </c>
      <c r="J88">
        <v>91.337698447495995</v>
      </c>
      <c r="K88">
        <v>92.260775370572901</v>
      </c>
      <c r="L88">
        <v>0</v>
      </c>
      <c r="M88" t="s">
        <v>43</v>
      </c>
      <c r="N88" t="s">
        <v>43</v>
      </c>
      <c r="O88" t="s">
        <v>178</v>
      </c>
      <c r="P88">
        <f>-8.51212592854026 - 21.1619992372291</f>
        <v>-29.674125165769361</v>
      </c>
      <c r="Q88" t="s">
        <v>52</v>
      </c>
      <c r="R88" t="s">
        <v>46</v>
      </c>
      <c r="S88" t="s">
        <v>47</v>
      </c>
      <c r="T88" t="s">
        <v>256</v>
      </c>
      <c r="U88">
        <v>6.3730011833689</v>
      </c>
      <c r="V88">
        <v>7.56992988922687</v>
      </c>
      <c r="W88" t="s">
        <v>147</v>
      </c>
    </row>
    <row r="89" spans="1:23" x14ac:dyDescent="0.3">
      <c r="A89" t="s">
        <v>143</v>
      </c>
      <c r="B89" t="s">
        <v>186</v>
      </c>
      <c r="C89" t="s">
        <v>41</v>
      </c>
      <c r="D89">
        <v>9.106235098457E-4</v>
      </c>
      <c r="E89">
        <v>0.91166471642969704</v>
      </c>
      <c r="F89" t="s">
        <v>78</v>
      </c>
      <c r="G89">
        <v>-0.488124215193533</v>
      </c>
      <c r="H89" t="s">
        <v>83</v>
      </c>
      <c r="I89" t="b">
        <v>0</v>
      </c>
      <c r="J89">
        <v>92.101715561871302</v>
      </c>
      <c r="K89">
        <v>93.024792484948193</v>
      </c>
      <c r="L89">
        <v>0</v>
      </c>
      <c r="M89" t="s">
        <v>43</v>
      </c>
      <c r="N89" t="s">
        <v>43</v>
      </c>
      <c r="O89" t="s">
        <v>187</v>
      </c>
      <c r="P89">
        <f>-8.95757303183193 - 7.98132460144487</f>
        <v>-16.938897633276802</v>
      </c>
      <c r="Q89" t="s">
        <v>52</v>
      </c>
      <c r="R89" t="s">
        <v>84</v>
      </c>
      <c r="S89" t="s">
        <v>85</v>
      </c>
      <c r="T89" t="s">
        <v>257</v>
      </c>
      <c r="U89">
        <v>6.3782664947028103</v>
      </c>
      <c r="V89">
        <v>4.3211473554277502</v>
      </c>
      <c r="W89" t="s">
        <v>147</v>
      </c>
    </row>
    <row r="90" spans="1:23" x14ac:dyDescent="0.3">
      <c r="A90" t="s">
        <v>143</v>
      </c>
      <c r="B90" t="s">
        <v>151</v>
      </c>
      <c r="C90" t="s">
        <v>41</v>
      </c>
      <c r="D90">
        <v>0.107829446530443</v>
      </c>
      <c r="E90">
        <v>0.198152058224912</v>
      </c>
      <c r="F90" t="s">
        <v>78</v>
      </c>
      <c r="G90">
        <v>3.4290484822809302</v>
      </c>
      <c r="H90" t="s">
        <v>89</v>
      </c>
      <c r="I90" t="b">
        <v>0</v>
      </c>
      <c r="J90">
        <v>101.884259235832</v>
      </c>
      <c r="K90">
        <v>102.74140209297499</v>
      </c>
      <c r="L90">
        <v>2.0143874017029901</v>
      </c>
      <c r="M90" t="s">
        <v>43</v>
      </c>
      <c r="N90" t="s">
        <v>43</v>
      </c>
      <c r="O90" t="s">
        <v>152</v>
      </c>
      <c r="P90">
        <f>-1.56254629725166 - 8.42064326181351</f>
        <v>-9.9831895590651705</v>
      </c>
      <c r="Q90" t="s">
        <v>56</v>
      </c>
      <c r="R90" t="s">
        <v>90</v>
      </c>
      <c r="S90" t="s">
        <v>43</v>
      </c>
      <c r="T90" t="s">
        <v>91</v>
      </c>
      <c r="U90">
        <v>6.2084851163796904</v>
      </c>
      <c r="V90">
        <v>2.5467320303737702</v>
      </c>
      <c r="W90" t="s">
        <v>147</v>
      </c>
    </row>
    <row r="91" spans="1:23" x14ac:dyDescent="0.3">
      <c r="A91" t="s">
        <v>143</v>
      </c>
      <c r="B91" t="s">
        <v>171</v>
      </c>
      <c r="C91" t="s">
        <v>41</v>
      </c>
      <c r="D91">
        <v>3.5597943441821003E-2</v>
      </c>
      <c r="E91">
        <v>0.46831550047040799</v>
      </c>
      <c r="F91" t="s">
        <v>78</v>
      </c>
      <c r="G91">
        <v>8.8678639616980295</v>
      </c>
      <c r="H91" t="s">
        <v>83</v>
      </c>
      <c r="I91" t="b">
        <v>0</v>
      </c>
      <c r="J91">
        <v>103.20772557342499</v>
      </c>
      <c r="K91">
        <v>104.064868430568</v>
      </c>
      <c r="L91">
        <v>2.8526700500519899</v>
      </c>
      <c r="M91" t="s">
        <v>43</v>
      </c>
      <c r="N91" t="s">
        <v>43</v>
      </c>
      <c r="O91" t="s">
        <v>172</v>
      </c>
      <c r="P91">
        <f>-14.4906964420194 - 32.2264243654154</f>
        <v>-46.717120807434796</v>
      </c>
      <c r="Q91" t="s">
        <v>56</v>
      </c>
      <c r="R91" t="s">
        <v>84</v>
      </c>
      <c r="S91" t="s">
        <v>85</v>
      </c>
      <c r="T91" t="s">
        <v>258</v>
      </c>
      <c r="U91">
        <v>6.0693903588318001</v>
      </c>
      <c r="V91">
        <v>11.9176328590395</v>
      </c>
      <c r="W91" t="s">
        <v>147</v>
      </c>
    </row>
    <row r="92" spans="1:23" x14ac:dyDescent="0.3">
      <c r="A92" t="s">
        <v>143</v>
      </c>
      <c r="B92" t="s">
        <v>191</v>
      </c>
      <c r="C92" t="s">
        <v>41</v>
      </c>
      <c r="D92">
        <v>2.9669444652738599E-2</v>
      </c>
      <c r="E92">
        <v>0.50856684968772503</v>
      </c>
      <c r="F92" t="s">
        <v>78</v>
      </c>
      <c r="G92">
        <v>2.4378531156001899</v>
      </c>
      <c r="H92" t="s">
        <v>79</v>
      </c>
      <c r="I92" t="b">
        <v>0</v>
      </c>
      <c r="J92">
        <v>102.17552560601</v>
      </c>
      <c r="K92">
        <v>103.032668463153</v>
      </c>
      <c r="L92">
        <v>1.9750890642729999</v>
      </c>
      <c r="M92" t="s">
        <v>43</v>
      </c>
      <c r="N92" t="s">
        <v>43</v>
      </c>
      <c r="O92" t="s">
        <v>192</v>
      </c>
      <c r="P92">
        <f>-4.61757094828737 - 9.49327717948774</f>
        <v>-14.11084812777511</v>
      </c>
      <c r="Q92" t="s">
        <v>56</v>
      </c>
      <c r="R92" t="s">
        <v>80</v>
      </c>
      <c r="S92" t="s">
        <v>81</v>
      </c>
      <c r="T92" t="s">
        <v>259</v>
      </c>
      <c r="U92">
        <v>6.2255185705182097</v>
      </c>
      <c r="V92">
        <v>3.5997061550446698</v>
      </c>
      <c r="W92" t="s">
        <v>147</v>
      </c>
    </row>
    <row r="93" spans="1:23" x14ac:dyDescent="0.3">
      <c r="A93" t="s">
        <v>143</v>
      </c>
      <c r="B93" t="s">
        <v>148</v>
      </c>
      <c r="C93" t="s">
        <v>41</v>
      </c>
      <c r="D93">
        <v>1.8181260522682902E-2</v>
      </c>
      <c r="E93">
        <v>0.60587469202557098</v>
      </c>
      <c r="F93" t="s">
        <v>78</v>
      </c>
      <c r="G93">
        <v>-1.5876435846375601</v>
      </c>
      <c r="H93" t="s">
        <v>83</v>
      </c>
      <c r="I93" t="b">
        <v>0</v>
      </c>
      <c r="J93">
        <v>103.51199887528</v>
      </c>
      <c r="K93">
        <v>104.369141732423</v>
      </c>
      <c r="L93">
        <v>2.905025325999</v>
      </c>
      <c r="M93" t="s">
        <v>43</v>
      </c>
      <c r="N93" t="s">
        <v>43</v>
      </c>
      <c r="O93" t="s">
        <v>149</v>
      </c>
      <c r="P93">
        <f>-7.49192593979867 - 4.31663877052355</f>
        <v>-11.808564710322219</v>
      </c>
      <c r="Q93" t="s">
        <v>59</v>
      </c>
      <c r="R93" t="s">
        <v>84</v>
      </c>
      <c r="S93" t="s">
        <v>85</v>
      </c>
      <c r="T93" t="s">
        <v>260</v>
      </c>
      <c r="U93">
        <v>5.9715377984761799</v>
      </c>
      <c r="V93">
        <v>3.0123889567148501</v>
      </c>
      <c r="W93" t="s">
        <v>147</v>
      </c>
    </row>
    <row r="94" spans="1:23" x14ac:dyDescent="0.3">
      <c r="A94" t="s">
        <v>143</v>
      </c>
      <c r="B94" t="s">
        <v>165</v>
      </c>
      <c r="C94" t="s">
        <v>41</v>
      </c>
      <c r="D94">
        <v>2.3263825799729899E-2</v>
      </c>
      <c r="E94">
        <v>0.558943624884785</v>
      </c>
      <c r="F94" t="s">
        <v>78</v>
      </c>
      <c r="G94">
        <v>-6.0493273437944497</v>
      </c>
      <c r="H94" t="s">
        <v>89</v>
      </c>
      <c r="I94" t="b">
        <v>0</v>
      </c>
      <c r="J94">
        <v>103.423766676056</v>
      </c>
      <c r="K94">
        <v>104.28090953319899</v>
      </c>
      <c r="L94">
        <v>3.4074372973449898</v>
      </c>
      <c r="M94" t="s">
        <v>43</v>
      </c>
      <c r="N94" t="s">
        <v>43</v>
      </c>
      <c r="O94" t="s">
        <v>166</v>
      </c>
      <c r="P94">
        <f>-25.8858524071904 - 13.7871977196015</f>
        <v>-39.6730501267919</v>
      </c>
      <c r="Q94" t="s">
        <v>56</v>
      </c>
      <c r="R94" t="s">
        <v>90</v>
      </c>
      <c r="S94" t="s">
        <v>43</v>
      </c>
      <c r="T94" t="s">
        <v>91</v>
      </c>
      <c r="U94">
        <v>6.1938466043388498</v>
      </c>
      <c r="V94">
        <v>10.120676052753</v>
      </c>
      <c r="W94" t="s">
        <v>147</v>
      </c>
    </row>
    <row r="95" spans="1:23" x14ac:dyDescent="0.3">
      <c r="A95" t="s">
        <v>143</v>
      </c>
      <c r="B95" t="s">
        <v>206</v>
      </c>
      <c r="C95" t="s">
        <v>41</v>
      </c>
      <c r="D95">
        <v>2.18293699838976E-2</v>
      </c>
      <c r="E95">
        <v>0.58502276425765798</v>
      </c>
      <c r="F95" t="s">
        <v>78</v>
      </c>
      <c r="G95">
        <v>-4.6448138534064602</v>
      </c>
      <c r="H95" t="s">
        <v>83</v>
      </c>
      <c r="I95" t="b">
        <v>0</v>
      </c>
      <c r="J95">
        <v>91.763153682403896</v>
      </c>
      <c r="K95">
        <v>92.686230605480802</v>
      </c>
      <c r="L95">
        <v>0</v>
      </c>
      <c r="M95" t="s">
        <v>43</v>
      </c>
      <c r="N95" t="s">
        <v>43</v>
      </c>
      <c r="O95" t="s">
        <v>207</v>
      </c>
      <c r="P95">
        <f>-20.9320380982388 - 11.6424103914259</f>
        <v>-32.574448489664697</v>
      </c>
      <c r="Q95" t="s">
        <v>52</v>
      </c>
      <c r="R95" t="s">
        <v>84</v>
      </c>
      <c r="S95" t="s">
        <v>85</v>
      </c>
      <c r="T95" t="s">
        <v>261</v>
      </c>
      <c r="U95">
        <v>6.48156993032143</v>
      </c>
      <c r="V95">
        <v>8.3098082881797808</v>
      </c>
      <c r="W95" t="s">
        <v>147</v>
      </c>
    </row>
    <row r="96" spans="1:23" x14ac:dyDescent="0.3">
      <c r="A96" t="s">
        <v>143</v>
      </c>
      <c r="B96" t="s">
        <v>186</v>
      </c>
      <c r="C96" t="s">
        <v>41</v>
      </c>
      <c r="D96">
        <v>9.1062350984609996E-4</v>
      </c>
      <c r="E96">
        <v>0.91166471642969704</v>
      </c>
      <c r="F96" t="s">
        <v>78</v>
      </c>
      <c r="G96">
        <v>-0.488124215193533</v>
      </c>
      <c r="H96" t="s">
        <v>79</v>
      </c>
      <c r="I96" t="b">
        <v>0</v>
      </c>
      <c r="J96">
        <v>92.101715561871302</v>
      </c>
      <c r="K96">
        <v>93.024792484948193</v>
      </c>
      <c r="L96">
        <v>0</v>
      </c>
      <c r="M96" t="s">
        <v>43</v>
      </c>
      <c r="N96" t="s">
        <v>43</v>
      </c>
      <c r="O96" t="s">
        <v>187</v>
      </c>
      <c r="P96">
        <f>-8.95757303183193 - 7.98132460144487</f>
        <v>-16.938897633276802</v>
      </c>
      <c r="Q96" t="s">
        <v>52</v>
      </c>
      <c r="R96" t="s">
        <v>80</v>
      </c>
      <c r="S96" t="s">
        <v>81</v>
      </c>
      <c r="T96" t="s">
        <v>262</v>
      </c>
      <c r="U96">
        <v>6.3782664947028103</v>
      </c>
      <c r="V96">
        <v>4.3211473554277502</v>
      </c>
      <c r="W96" t="s">
        <v>147</v>
      </c>
    </row>
    <row r="97" spans="1:23" x14ac:dyDescent="0.3">
      <c r="A97" t="s">
        <v>143</v>
      </c>
      <c r="B97" t="s">
        <v>179</v>
      </c>
      <c r="C97" t="s">
        <v>41</v>
      </c>
      <c r="D97">
        <v>7.7546299435334407E-2</v>
      </c>
      <c r="E97">
        <v>0.29631392837866599</v>
      </c>
      <c r="F97" t="s">
        <v>78</v>
      </c>
      <c r="G97">
        <v>-7.3603721018753303</v>
      </c>
      <c r="H97" t="s">
        <v>83</v>
      </c>
      <c r="I97" t="b">
        <v>0</v>
      </c>
      <c r="J97">
        <v>90.824802681272104</v>
      </c>
      <c r="K97">
        <v>91.747879604348995</v>
      </c>
      <c r="L97">
        <v>0</v>
      </c>
      <c r="M97" t="s">
        <v>43</v>
      </c>
      <c r="N97" t="s">
        <v>43</v>
      </c>
      <c r="O97" t="s">
        <v>180</v>
      </c>
      <c r="P97">
        <f>-20.6582877528723 - 5.93754354912168</f>
        <v>-26.595831301993982</v>
      </c>
      <c r="Q97" t="s">
        <v>52</v>
      </c>
      <c r="R97" t="s">
        <v>84</v>
      </c>
      <c r="S97" t="s">
        <v>85</v>
      </c>
      <c r="T97" t="s">
        <v>263</v>
      </c>
      <c r="U97">
        <v>6.2411461686365097</v>
      </c>
      <c r="V97">
        <v>6.7846508423454104</v>
      </c>
      <c r="W97" t="s">
        <v>147</v>
      </c>
    </row>
    <row r="98" spans="1:23" x14ac:dyDescent="0.3">
      <c r="A98" t="s">
        <v>143</v>
      </c>
      <c r="B98" t="s">
        <v>191</v>
      </c>
      <c r="C98" t="s">
        <v>41</v>
      </c>
      <c r="D98">
        <v>2.81585942869522E-2</v>
      </c>
      <c r="E98">
        <v>0.51972553808964905</v>
      </c>
      <c r="F98" t="s">
        <v>78</v>
      </c>
      <c r="G98">
        <v>2.2373459372470101</v>
      </c>
      <c r="H98" t="s">
        <v>89</v>
      </c>
      <c r="I98" t="b">
        <v>0</v>
      </c>
      <c r="J98">
        <v>103.338359515303</v>
      </c>
      <c r="K98">
        <v>104.195502372446</v>
      </c>
      <c r="L98">
        <v>3.1379229735659999</v>
      </c>
      <c r="M98" t="s">
        <v>43</v>
      </c>
      <c r="N98" t="s">
        <v>43</v>
      </c>
      <c r="O98" t="s">
        <v>192</v>
      </c>
      <c r="P98">
        <f>-4.41440218167627 - 8.8890940561703</f>
        <v>-13.30349623784657</v>
      </c>
      <c r="Q98" t="s">
        <v>56</v>
      </c>
      <c r="R98" t="s">
        <v>90</v>
      </c>
      <c r="S98" t="s">
        <v>43</v>
      </c>
      <c r="T98" t="s">
        <v>91</v>
      </c>
      <c r="U98">
        <v>6.0750334220801996</v>
      </c>
      <c r="V98">
        <v>3.3937490402669801</v>
      </c>
      <c r="W98" t="s">
        <v>147</v>
      </c>
    </row>
    <row r="99" spans="1:23" x14ac:dyDescent="0.3">
      <c r="A99" t="s">
        <v>143</v>
      </c>
      <c r="B99" t="s">
        <v>154</v>
      </c>
      <c r="C99" t="s">
        <v>41</v>
      </c>
      <c r="D99">
        <v>8.0239263617255099E-2</v>
      </c>
      <c r="E99">
        <v>0.27057793506047501</v>
      </c>
      <c r="F99" t="s">
        <v>78</v>
      </c>
      <c r="G99">
        <v>4.8430813964891604</v>
      </c>
      <c r="H99" t="s">
        <v>83</v>
      </c>
      <c r="I99" t="b">
        <v>0</v>
      </c>
      <c r="J99">
        <v>102.40201547437201</v>
      </c>
      <c r="K99">
        <v>103.259158331515</v>
      </c>
      <c r="L99">
        <v>2.5345602021839899</v>
      </c>
      <c r="M99" t="s">
        <v>43</v>
      </c>
      <c r="N99" t="s">
        <v>43</v>
      </c>
      <c r="O99" t="s">
        <v>155</v>
      </c>
      <c r="P99">
        <f>-3.45497105910916 - 13.1411338520875</f>
        <v>-16.596104911196658</v>
      </c>
      <c r="Q99" t="s">
        <v>59</v>
      </c>
      <c r="R99" t="s">
        <v>84</v>
      </c>
      <c r="S99" t="s">
        <v>85</v>
      </c>
      <c r="T99" t="s">
        <v>264</v>
      </c>
      <c r="U99">
        <v>6.3299046659684199</v>
      </c>
      <c r="V99">
        <v>4.2337002324481201</v>
      </c>
      <c r="W99" t="s">
        <v>147</v>
      </c>
    </row>
  </sheetData>
  <mergeCells count="2">
    <mergeCell ref="A1:K1"/>
    <mergeCell ref="A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A3218-24A2-BB4F-AF40-2F558A43A4C5}">
  <dimension ref="A1:W99"/>
  <sheetViews>
    <sheetView workbookViewId="0">
      <selection activeCell="H12" sqref="H12"/>
    </sheetView>
  </sheetViews>
  <sheetFormatPr defaultColWidth="11.19921875" defaultRowHeight="15.6" x14ac:dyDescent="0.3"/>
  <sheetData>
    <row r="1" spans="1:23" ht="21" x14ac:dyDescent="0.3">
      <c r="A1" s="4" t="s">
        <v>15</v>
      </c>
      <c r="B1" s="5"/>
      <c r="C1" s="5"/>
      <c r="D1" s="5"/>
      <c r="E1" s="5"/>
      <c r="F1" s="5"/>
      <c r="G1" s="5"/>
      <c r="H1" s="5"/>
      <c r="I1" s="5"/>
      <c r="J1" s="5"/>
      <c r="K1" s="6"/>
    </row>
    <row r="2" spans="1:23" ht="118.05" customHeight="1" thickBot="1" x14ac:dyDescent="0.35">
      <c r="A2" s="10" t="s">
        <v>483</v>
      </c>
      <c r="B2" s="11"/>
      <c r="C2" s="11"/>
      <c r="D2" s="11"/>
      <c r="E2" s="11"/>
      <c r="F2" s="11"/>
      <c r="G2" s="11"/>
      <c r="H2" s="11"/>
      <c r="I2" s="11"/>
      <c r="J2" s="11"/>
      <c r="K2" s="12"/>
    </row>
    <row r="3" spans="1:23" s="1" customFormat="1"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row>
    <row r="4" spans="1:23" x14ac:dyDescent="0.3">
      <c r="A4" t="s">
        <v>265</v>
      </c>
      <c r="B4" t="s">
        <v>14</v>
      </c>
      <c r="C4" t="s">
        <v>41</v>
      </c>
      <c r="D4">
        <v>0.49983779024244901</v>
      </c>
      <c r="E4">
        <v>1.121925497222E-4</v>
      </c>
      <c r="F4">
        <v>2.6926211933327999E-3</v>
      </c>
      <c r="G4">
        <v>48.750674524383797</v>
      </c>
      <c r="H4" t="s">
        <v>42</v>
      </c>
      <c r="I4" t="b">
        <v>1</v>
      </c>
      <c r="J4">
        <v>136.86442175486201</v>
      </c>
      <c r="K4">
        <v>137.43585032629099</v>
      </c>
      <c r="L4">
        <v>0</v>
      </c>
      <c r="M4" t="s">
        <v>266</v>
      </c>
      <c r="N4" t="s">
        <v>267</v>
      </c>
      <c r="O4" t="s">
        <v>268</v>
      </c>
      <c r="P4" t="s">
        <v>269</v>
      </c>
      <c r="Q4" t="s">
        <v>45</v>
      </c>
      <c r="R4" t="s">
        <v>46</v>
      </c>
      <c r="S4" t="s">
        <v>47</v>
      </c>
      <c r="T4" t="s">
        <v>270</v>
      </c>
      <c r="U4">
        <v>-3.5046885074509899</v>
      </c>
      <c r="V4">
        <v>10.397051190766501</v>
      </c>
      <c r="W4" t="s">
        <v>49</v>
      </c>
    </row>
    <row r="5" spans="1:23" x14ac:dyDescent="0.3">
      <c r="A5" t="s">
        <v>265</v>
      </c>
      <c r="B5" t="s">
        <v>8</v>
      </c>
      <c r="C5" t="s">
        <v>41</v>
      </c>
      <c r="D5">
        <v>3.5964147143171601E-2</v>
      </c>
      <c r="E5">
        <v>0.423245560690652</v>
      </c>
      <c r="F5">
        <v>0.82349068898884503</v>
      </c>
      <c r="G5">
        <v>7.5408591146206003</v>
      </c>
      <c r="H5" t="s">
        <v>42</v>
      </c>
      <c r="I5" t="b">
        <v>1</v>
      </c>
      <c r="J5">
        <v>119.49892528778901</v>
      </c>
      <c r="K5">
        <v>120.204807640731</v>
      </c>
      <c r="L5">
        <v>0</v>
      </c>
      <c r="M5" t="s">
        <v>271</v>
      </c>
      <c r="N5" t="s">
        <v>272</v>
      </c>
      <c r="O5" t="s">
        <v>273</v>
      </c>
      <c r="P5">
        <f>-10.4956446068235 - 25.5773628360647</f>
        <v>-36.073007442888198</v>
      </c>
      <c r="Q5" t="s">
        <v>59</v>
      </c>
      <c r="R5" t="s">
        <v>46</v>
      </c>
      <c r="S5" t="s">
        <v>47</v>
      </c>
      <c r="T5" t="s">
        <v>274</v>
      </c>
      <c r="U5">
        <v>2.2779427848403899</v>
      </c>
      <c r="V5">
        <v>9.2022978170633305</v>
      </c>
      <c r="W5" t="s">
        <v>49</v>
      </c>
    </row>
    <row r="6" spans="1:23" x14ac:dyDescent="0.3">
      <c r="A6" t="s">
        <v>265</v>
      </c>
      <c r="B6" t="s">
        <v>6</v>
      </c>
      <c r="C6" t="s">
        <v>41</v>
      </c>
      <c r="D6">
        <v>0.247660968650147</v>
      </c>
      <c r="E6">
        <v>0.255761262119021</v>
      </c>
      <c r="F6">
        <v>0.76728378635706296</v>
      </c>
      <c r="G6">
        <v>-4.6099733088935998E-3</v>
      </c>
      <c r="H6" t="s">
        <v>83</v>
      </c>
      <c r="I6" t="b">
        <v>1</v>
      </c>
      <c r="J6">
        <v>24.451751788323602</v>
      </c>
      <c r="K6">
        <v>27.451751788323602</v>
      </c>
      <c r="L6">
        <v>0</v>
      </c>
      <c r="M6" t="s">
        <v>271</v>
      </c>
      <c r="N6" t="s">
        <v>267</v>
      </c>
      <c r="O6" t="s">
        <v>275</v>
      </c>
      <c r="P6">
        <f>-0.0116528079756221 - 0.00243286135783487</f>
        <v>-1.4085669333456969E-2</v>
      </c>
      <c r="Q6" t="s">
        <v>59</v>
      </c>
      <c r="R6" t="s">
        <v>84</v>
      </c>
      <c r="S6" t="s">
        <v>85</v>
      </c>
      <c r="T6" t="s">
        <v>276</v>
      </c>
      <c r="U6">
        <v>2.6931912748973699</v>
      </c>
      <c r="V6">
        <v>3.5932829932288001E-3</v>
      </c>
      <c r="W6" t="s">
        <v>49</v>
      </c>
    </row>
    <row r="7" spans="1:23" x14ac:dyDescent="0.3">
      <c r="A7" t="s">
        <v>265</v>
      </c>
      <c r="B7" t="s">
        <v>7</v>
      </c>
      <c r="C7" t="s">
        <v>41</v>
      </c>
      <c r="D7">
        <v>0.140239879837881</v>
      </c>
      <c r="E7">
        <v>0.103790621686707</v>
      </c>
      <c r="F7">
        <v>0.43118098975522801</v>
      </c>
      <c r="G7">
        <v>19.045157350365301</v>
      </c>
      <c r="H7" t="s">
        <v>42</v>
      </c>
      <c r="I7" t="b">
        <v>1</v>
      </c>
      <c r="J7">
        <v>117.20942398011201</v>
      </c>
      <c r="K7">
        <v>117.915306333053</v>
      </c>
      <c r="L7">
        <v>0</v>
      </c>
      <c r="M7" t="s">
        <v>271</v>
      </c>
      <c r="N7" t="s">
        <v>272</v>
      </c>
      <c r="O7" t="s">
        <v>277</v>
      </c>
      <c r="P7">
        <f>-2.73982772493019 - 40.8301424256609</f>
        <v>-43.569970150591089</v>
      </c>
      <c r="Q7" t="s">
        <v>59</v>
      </c>
      <c r="R7" t="s">
        <v>46</v>
      </c>
      <c r="S7" t="s">
        <v>47</v>
      </c>
      <c r="T7" t="s">
        <v>278</v>
      </c>
      <c r="U7">
        <v>-13.746177905698399</v>
      </c>
      <c r="V7">
        <v>11.1147883037222</v>
      </c>
      <c r="W7" t="s">
        <v>49</v>
      </c>
    </row>
    <row r="8" spans="1:23" x14ac:dyDescent="0.3">
      <c r="A8" t="s">
        <v>265</v>
      </c>
      <c r="B8" t="s">
        <v>10</v>
      </c>
      <c r="C8" t="s">
        <v>41</v>
      </c>
      <c r="D8">
        <v>9.3873248901447395E-2</v>
      </c>
      <c r="E8">
        <v>9.9615128086239804E-2</v>
      </c>
      <c r="F8">
        <v>0.43118098975522801</v>
      </c>
      <c r="G8">
        <v>11.638357134157101</v>
      </c>
      <c r="H8" t="s">
        <v>42</v>
      </c>
      <c r="I8" t="b">
        <v>1</v>
      </c>
      <c r="J8">
        <v>165.68291547655701</v>
      </c>
      <c r="K8">
        <v>166.12735992100099</v>
      </c>
      <c r="L8">
        <v>0</v>
      </c>
      <c r="M8" t="s">
        <v>279</v>
      </c>
      <c r="N8" t="s">
        <v>267</v>
      </c>
      <c r="O8" t="s">
        <v>280</v>
      </c>
      <c r="P8">
        <f>-1.75508751121328 - 25.0318017795275</f>
        <v>-26.786889290740778</v>
      </c>
      <c r="Q8" t="s">
        <v>52</v>
      </c>
      <c r="R8" t="s">
        <v>46</v>
      </c>
      <c r="S8" t="s">
        <v>47</v>
      </c>
      <c r="T8" t="s">
        <v>281</v>
      </c>
      <c r="U8">
        <v>-7.1172143404502002</v>
      </c>
      <c r="V8">
        <v>6.8333901251889699</v>
      </c>
      <c r="W8" t="s">
        <v>49</v>
      </c>
    </row>
    <row r="9" spans="1:23" x14ac:dyDescent="0.3">
      <c r="A9" t="s">
        <v>265</v>
      </c>
      <c r="B9" t="s">
        <v>9</v>
      </c>
      <c r="C9" t="s">
        <v>41</v>
      </c>
      <c r="D9">
        <v>5.0836357005005703E-2</v>
      </c>
      <c r="E9">
        <v>0.531103814934198</v>
      </c>
      <c r="F9">
        <v>0.82349068898884503</v>
      </c>
      <c r="G9">
        <v>-2.68730413160909E-2</v>
      </c>
      <c r="H9" t="s">
        <v>42</v>
      </c>
      <c r="I9" t="b">
        <v>1</v>
      </c>
      <c r="J9">
        <v>68.030588359784403</v>
      </c>
      <c r="K9">
        <v>69.744874074070097</v>
      </c>
      <c r="L9">
        <v>0</v>
      </c>
      <c r="M9" t="s">
        <v>279</v>
      </c>
      <c r="N9" t="s">
        <v>272</v>
      </c>
      <c r="O9" t="s">
        <v>282</v>
      </c>
      <c r="P9">
        <f>-0.107338822984649 - 0.0535927403524669</f>
        <v>-0.16093156333711589</v>
      </c>
      <c r="Q9" t="s">
        <v>52</v>
      </c>
      <c r="R9" t="s">
        <v>46</v>
      </c>
      <c r="S9" t="s">
        <v>47</v>
      </c>
      <c r="T9" t="s">
        <v>283</v>
      </c>
      <c r="U9">
        <v>5.9132971722974004</v>
      </c>
      <c r="V9">
        <v>4.10539702390601E-2</v>
      </c>
      <c r="W9" t="s">
        <v>49</v>
      </c>
    </row>
    <row r="10" spans="1:23" x14ac:dyDescent="0.3">
      <c r="A10" t="s">
        <v>265</v>
      </c>
      <c r="B10" t="s">
        <v>5</v>
      </c>
      <c r="C10" t="s">
        <v>41</v>
      </c>
      <c r="D10">
        <v>0.40110339039833098</v>
      </c>
      <c r="E10">
        <v>6.7795175103110004E-4</v>
      </c>
      <c r="F10">
        <v>8.1354210123732E-3</v>
      </c>
      <c r="G10">
        <v>23.367837823787902</v>
      </c>
      <c r="H10" t="s">
        <v>42</v>
      </c>
      <c r="I10" t="b">
        <v>1</v>
      </c>
      <c r="J10">
        <v>145.63433247979199</v>
      </c>
      <c r="K10">
        <v>146.17978702524599</v>
      </c>
      <c r="L10">
        <v>0</v>
      </c>
      <c r="M10" t="s">
        <v>284</v>
      </c>
      <c r="N10" t="s">
        <v>267</v>
      </c>
      <c r="O10" t="s">
        <v>285</v>
      </c>
      <c r="P10" t="s">
        <v>286</v>
      </c>
      <c r="Q10" t="s">
        <v>56</v>
      </c>
      <c r="R10" t="s">
        <v>46</v>
      </c>
      <c r="S10" t="s">
        <v>47</v>
      </c>
      <c r="T10" t="s">
        <v>287</v>
      </c>
      <c r="U10">
        <v>-0.469686692675507</v>
      </c>
      <c r="V10">
        <v>5.9539114692362904</v>
      </c>
      <c r="W10" t="s">
        <v>49</v>
      </c>
    </row>
    <row r="11" spans="1:23" x14ac:dyDescent="0.3">
      <c r="A11" t="s">
        <v>265</v>
      </c>
      <c r="B11" t="s">
        <v>9</v>
      </c>
      <c r="C11" t="s">
        <v>41</v>
      </c>
      <c r="D11">
        <v>2.5907194730045501E-2</v>
      </c>
      <c r="E11">
        <v>0.39549288075015399</v>
      </c>
      <c r="F11">
        <v>0.82349068898884503</v>
      </c>
      <c r="G11">
        <v>-1.11067472026253E-2</v>
      </c>
      <c r="H11" t="s">
        <v>42</v>
      </c>
      <c r="I11" t="b">
        <v>1</v>
      </c>
      <c r="J11">
        <v>167.725777870944</v>
      </c>
      <c r="K11">
        <v>168.170222315388</v>
      </c>
      <c r="L11">
        <v>0</v>
      </c>
      <c r="M11" t="s">
        <v>279</v>
      </c>
      <c r="N11" t="s">
        <v>267</v>
      </c>
      <c r="O11" t="s">
        <v>288</v>
      </c>
      <c r="P11">
        <f>-0.0363330680951387 - 0.0141195736898881</f>
        <v>-5.04526417850268E-2</v>
      </c>
      <c r="Q11" t="s">
        <v>52</v>
      </c>
      <c r="R11" t="s">
        <v>46</v>
      </c>
      <c r="S11" t="s">
        <v>47</v>
      </c>
      <c r="T11" t="s">
        <v>289</v>
      </c>
      <c r="U11">
        <v>4.6667518711548004</v>
      </c>
      <c r="V11">
        <v>1.28705718839354E-2</v>
      </c>
      <c r="W11" t="s">
        <v>49</v>
      </c>
    </row>
    <row r="12" spans="1:23" x14ac:dyDescent="0.3">
      <c r="A12" t="s">
        <v>265</v>
      </c>
      <c r="B12" t="s">
        <v>14</v>
      </c>
      <c r="C12" t="s">
        <v>41</v>
      </c>
      <c r="D12">
        <v>6.3190830538991494E-2</v>
      </c>
      <c r="E12">
        <v>0.314310543339202</v>
      </c>
      <c r="F12">
        <v>0.80847339587950295</v>
      </c>
      <c r="G12">
        <v>3.1959250042010101</v>
      </c>
      <c r="H12" t="s">
        <v>42</v>
      </c>
      <c r="I12" t="b">
        <v>1</v>
      </c>
      <c r="J12">
        <v>71.788808255188698</v>
      </c>
      <c r="K12">
        <v>72.588808255188695</v>
      </c>
      <c r="L12">
        <v>0</v>
      </c>
      <c r="M12" t="s">
        <v>266</v>
      </c>
      <c r="N12" t="s">
        <v>272</v>
      </c>
      <c r="O12" t="s">
        <v>290</v>
      </c>
      <c r="P12">
        <f>-2.83371237175952 - 9.22556238016153</f>
        <v>-12.05927475192105</v>
      </c>
      <c r="Q12" t="s">
        <v>45</v>
      </c>
      <c r="R12" t="s">
        <v>46</v>
      </c>
      <c r="S12" t="s">
        <v>47</v>
      </c>
      <c r="T12" t="s">
        <v>291</v>
      </c>
      <c r="U12">
        <v>1.1594414899852299</v>
      </c>
      <c r="V12">
        <v>3.0763455999798599</v>
      </c>
      <c r="W12" t="s">
        <v>49</v>
      </c>
    </row>
    <row r="13" spans="1:23" x14ac:dyDescent="0.3">
      <c r="A13" t="s">
        <v>265</v>
      </c>
      <c r="B13" t="s">
        <v>6</v>
      </c>
      <c r="C13" t="s">
        <v>41</v>
      </c>
      <c r="D13">
        <v>2.2223421316257801E-2</v>
      </c>
      <c r="E13">
        <v>0.53047702224125204</v>
      </c>
      <c r="F13">
        <v>0.82349068898884503</v>
      </c>
      <c r="G13">
        <v>-7.6399547349414003E-3</v>
      </c>
      <c r="H13" t="s">
        <v>42</v>
      </c>
      <c r="I13" t="b">
        <v>1</v>
      </c>
      <c r="J13">
        <v>119.78197950987</v>
      </c>
      <c r="K13">
        <v>120.487861862811</v>
      </c>
      <c r="L13">
        <v>0</v>
      </c>
      <c r="M13" t="s">
        <v>271</v>
      </c>
      <c r="N13" t="s">
        <v>272</v>
      </c>
      <c r="O13" t="s">
        <v>292</v>
      </c>
      <c r="P13">
        <f>-0.0310512239683483 - 0.0157713144984653</f>
        <v>-4.6822538466813599E-2</v>
      </c>
      <c r="Q13" t="s">
        <v>59</v>
      </c>
      <c r="R13" t="s">
        <v>46</v>
      </c>
      <c r="S13" t="s">
        <v>47</v>
      </c>
      <c r="T13" t="s">
        <v>293</v>
      </c>
      <c r="U13">
        <v>4.7264201931660299</v>
      </c>
      <c r="V13">
        <v>1.19445251190851E-2</v>
      </c>
      <c r="W13" t="s">
        <v>49</v>
      </c>
    </row>
    <row r="14" spans="1:23" x14ac:dyDescent="0.3">
      <c r="A14" t="s">
        <v>265</v>
      </c>
      <c r="B14" t="s">
        <v>8</v>
      </c>
      <c r="C14" t="s">
        <v>41</v>
      </c>
      <c r="D14">
        <v>0.565297613212282</v>
      </c>
      <c r="E14">
        <v>5.12706726199883E-2</v>
      </c>
      <c r="F14">
        <v>0.41016538095990601</v>
      </c>
      <c r="G14">
        <v>10.247316496341799</v>
      </c>
      <c r="H14" t="s">
        <v>83</v>
      </c>
      <c r="I14" t="b">
        <v>1</v>
      </c>
      <c r="J14">
        <v>21.389217129974</v>
      </c>
      <c r="K14">
        <v>24.389217129974</v>
      </c>
      <c r="L14">
        <v>0</v>
      </c>
      <c r="M14" t="s">
        <v>271</v>
      </c>
      <c r="N14" t="s">
        <v>267</v>
      </c>
      <c r="O14" t="s">
        <v>294</v>
      </c>
      <c r="P14" t="s">
        <v>295</v>
      </c>
      <c r="Q14" t="s">
        <v>59</v>
      </c>
      <c r="R14" t="s">
        <v>84</v>
      </c>
      <c r="S14" t="s">
        <v>85</v>
      </c>
      <c r="T14" t="s">
        <v>296</v>
      </c>
      <c r="U14">
        <v>1.12933184345101</v>
      </c>
      <c r="V14">
        <v>4.0186722154891603</v>
      </c>
      <c r="W14" t="s">
        <v>49</v>
      </c>
    </row>
    <row r="15" spans="1:23" x14ac:dyDescent="0.3">
      <c r="A15" t="s">
        <v>265</v>
      </c>
      <c r="B15" t="s">
        <v>11</v>
      </c>
      <c r="C15" t="s">
        <v>41</v>
      </c>
      <c r="D15">
        <v>3.29760672666825E-2</v>
      </c>
      <c r="E15">
        <v>0.33686391494979301</v>
      </c>
      <c r="F15">
        <v>0.80847339587950295</v>
      </c>
      <c r="G15">
        <v>5.9283211141195302</v>
      </c>
      <c r="H15" t="s">
        <v>42</v>
      </c>
      <c r="I15" t="b">
        <v>1</v>
      </c>
      <c r="J15">
        <v>167.482124782239</v>
      </c>
      <c r="K15">
        <v>167.92656922668399</v>
      </c>
      <c r="L15">
        <v>0</v>
      </c>
      <c r="M15" t="s">
        <v>279</v>
      </c>
      <c r="N15" t="s">
        <v>267</v>
      </c>
      <c r="O15" t="s">
        <v>297</v>
      </c>
      <c r="P15">
        <f>-5.9629411159293 - 17.8195833441684</f>
        <v>-23.782524460097701</v>
      </c>
      <c r="Q15" t="s">
        <v>52</v>
      </c>
      <c r="R15" t="s">
        <v>46</v>
      </c>
      <c r="S15" t="s">
        <v>47</v>
      </c>
      <c r="T15" t="s">
        <v>298</v>
      </c>
      <c r="U15">
        <v>2.5468354082441298</v>
      </c>
      <c r="V15">
        <v>6.0669705255351198</v>
      </c>
      <c r="W15" t="s">
        <v>49</v>
      </c>
    </row>
    <row r="16" spans="1:23" x14ac:dyDescent="0.3">
      <c r="A16" t="s">
        <v>265</v>
      </c>
      <c r="B16" t="s">
        <v>11</v>
      </c>
      <c r="C16" t="s">
        <v>41</v>
      </c>
      <c r="D16">
        <v>2.1745917527031599E-2</v>
      </c>
      <c r="E16">
        <v>0.68434411494910896</v>
      </c>
      <c r="F16">
        <v>0.86443467151466402</v>
      </c>
      <c r="G16">
        <v>5.8589164179266504</v>
      </c>
      <c r="H16" t="s">
        <v>42</v>
      </c>
      <c r="I16" t="b">
        <v>1</v>
      </c>
      <c r="J16">
        <v>68.332470492597395</v>
      </c>
      <c r="K16">
        <v>70.046756206883103</v>
      </c>
      <c r="L16">
        <v>0</v>
      </c>
      <c r="M16" t="s">
        <v>279</v>
      </c>
      <c r="N16" t="s">
        <v>272</v>
      </c>
      <c r="O16" t="s">
        <v>299</v>
      </c>
      <c r="P16">
        <f>-21.3721937104563 - 33.0900265463096</f>
        <v>-54.462220256765903</v>
      </c>
      <c r="Q16" t="s">
        <v>52</v>
      </c>
      <c r="R16" t="s">
        <v>46</v>
      </c>
      <c r="S16" t="s">
        <v>47</v>
      </c>
      <c r="T16" t="s">
        <v>300</v>
      </c>
      <c r="U16">
        <v>1.9546475377783299</v>
      </c>
      <c r="V16">
        <v>13.893423534889299</v>
      </c>
      <c r="W16" t="s">
        <v>49</v>
      </c>
    </row>
    <row r="17" spans="1:23" x14ac:dyDescent="0.3">
      <c r="A17" t="s">
        <v>265</v>
      </c>
      <c r="B17" t="s">
        <v>7</v>
      </c>
      <c r="C17" t="s">
        <v>41</v>
      </c>
      <c r="D17">
        <v>1.0093931605750599E-2</v>
      </c>
      <c r="E17">
        <v>0.83029878395039103</v>
      </c>
      <c r="F17">
        <v>0.90578049158224405</v>
      </c>
      <c r="G17">
        <v>-0.68038559723373004</v>
      </c>
      <c r="H17" t="s">
        <v>83</v>
      </c>
      <c r="I17" t="b">
        <v>1</v>
      </c>
      <c r="J17">
        <v>26.254098131208099</v>
      </c>
      <c r="K17">
        <v>29.254098131208099</v>
      </c>
      <c r="L17">
        <v>0</v>
      </c>
      <c r="M17" t="s">
        <v>271</v>
      </c>
      <c r="N17" t="s">
        <v>267</v>
      </c>
      <c r="O17" t="s">
        <v>301</v>
      </c>
      <c r="P17">
        <f>-6.58637951382056 - 5.2256083193531</f>
        <v>-11.81198783317366</v>
      </c>
      <c r="Q17" t="s">
        <v>59</v>
      </c>
      <c r="R17" t="s">
        <v>84</v>
      </c>
      <c r="S17" t="s">
        <v>85</v>
      </c>
      <c r="T17" t="s">
        <v>302</v>
      </c>
      <c r="U17">
        <v>2.6393082893947901</v>
      </c>
      <c r="V17">
        <v>3.0132622023402198</v>
      </c>
      <c r="W17" t="s">
        <v>49</v>
      </c>
    </row>
    <row r="18" spans="1:23" x14ac:dyDescent="0.3">
      <c r="A18" t="s">
        <v>265</v>
      </c>
      <c r="B18" t="s">
        <v>12</v>
      </c>
      <c r="C18" t="s">
        <v>41</v>
      </c>
      <c r="D18" s="2">
        <v>5.6253632358987397E-5</v>
      </c>
      <c r="E18">
        <v>0.97225327134175399</v>
      </c>
      <c r="F18">
        <v>0.97225327134175399</v>
      </c>
      <c r="G18">
        <v>-6.1402297836239998E-4</v>
      </c>
      <c r="H18" t="s">
        <v>42</v>
      </c>
      <c r="I18" t="b">
        <v>1</v>
      </c>
      <c r="J18">
        <v>153.49081915748999</v>
      </c>
      <c r="K18">
        <v>154.06224772891801</v>
      </c>
      <c r="L18">
        <v>0</v>
      </c>
      <c r="M18" t="s">
        <v>266</v>
      </c>
      <c r="N18" t="s">
        <v>267</v>
      </c>
      <c r="O18" t="s">
        <v>303</v>
      </c>
      <c r="P18">
        <f>-0.0348231391512143 - 0.0335950931944894</f>
        <v>-6.8418232345703711E-2</v>
      </c>
      <c r="Q18" t="s">
        <v>45</v>
      </c>
      <c r="R18" t="s">
        <v>46</v>
      </c>
      <c r="S18" t="s">
        <v>47</v>
      </c>
      <c r="T18" t="s">
        <v>304</v>
      </c>
      <c r="U18">
        <v>4.1849559904855997</v>
      </c>
      <c r="V18">
        <v>1.74536307004346E-2</v>
      </c>
      <c r="W18" t="s">
        <v>49</v>
      </c>
    </row>
    <row r="19" spans="1:23" x14ac:dyDescent="0.3">
      <c r="A19" t="s">
        <v>265</v>
      </c>
      <c r="B19" t="s">
        <v>4</v>
      </c>
      <c r="C19" t="s">
        <v>41</v>
      </c>
      <c r="D19">
        <v>2.3700185031276501E-2</v>
      </c>
      <c r="E19">
        <v>0.61556084600848004</v>
      </c>
      <c r="F19">
        <v>0.86443467151466402</v>
      </c>
      <c r="G19">
        <v>-3.9475272220230999</v>
      </c>
      <c r="H19" t="s">
        <v>42</v>
      </c>
      <c r="I19" t="b">
        <v>1</v>
      </c>
      <c r="J19">
        <v>47.790724279191203</v>
      </c>
      <c r="K19">
        <v>48.990724279191198</v>
      </c>
      <c r="L19">
        <v>0</v>
      </c>
      <c r="M19" t="s">
        <v>284</v>
      </c>
      <c r="N19" t="s">
        <v>272</v>
      </c>
      <c r="O19" t="s">
        <v>305</v>
      </c>
      <c r="P19">
        <f>-18.9202435838812 - 11.025189139835</f>
        <v>-29.945432723716198</v>
      </c>
      <c r="Q19" t="s">
        <v>56</v>
      </c>
      <c r="R19" t="s">
        <v>46</v>
      </c>
      <c r="S19" t="s">
        <v>47</v>
      </c>
      <c r="T19" t="s">
        <v>306</v>
      </c>
      <c r="U19">
        <v>5.0378828613047499</v>
      </c>
      <c r="V19">
        <v>7.6391410009480198</v>
      </c>
      <c r="W19" t="s">
        <v>49</v>
      </c>
    </row>
    <row r="20" spans="1:23" x14ac:dyDescent="0.3">
      <c r="A20" t="s">
        <v>265</v>
      </c>
      <c r="B20" t="s">
        <v>3</v>
      </c>
      <c r="C20" t="s">
        <v>41</v>
      </c>
      <c r="D20">
        <v>1.5829976168615999E-2</v>
      </c>
      <c r="E20">
        <v>0.54899379265922998</v>
      </c>
      <c r="F20">
        <v>0.82349068898884503</v>
      </c>
      <c r="G20">
        <v>6.8394961069988E-3</v>
      </c>
      <c r="H20" t="s">
        <v>42</v>
      </c>
      <c r="I20" t="b">
        <v>1</v>
      </c>
      <c r="J20">
        <v>158.052074788808</v>
      </c>
      <c r="K20">
        <v>158.59752933426199</v>
      </c>
      <c r="L20">
        <v>0</v>
      </c>
      <c r="M20" t="s">
        <v>284</v>
      </c>
      <c r="N20" t="s">
        <v>267</v>
      </c>
      <c r="O20" t="s">
        <v>307</v>
      </c>
      <c r="P20">
        <f>-0.0152004838898458 - 0.0288794761038435</f>
        <v>-4.4079959993689299E-2</v>
      </c>
      <c r="Q20" t="s">
        <v>56</v>
      </c>
      <c r="R20" t="s">
        <v>46</v>
      </c>
      <c r="S20" t="s">
        <v>47</v>
      </c>
      <c r="T20" t="s">
        <v>308</v>
      </c>
      <c r="U20">
        <v>3.2603846607679299</v>
      </c>
      <c r="V20">
        <v>1.1244887753492199E-2</v>
      </c>
      <c r="W20" t="s">
        <v>49</v>
      </c>
    </row>
    <row r="21" spans="1:23" x14ac:dyDescent="0.3">
      <c r="A21" t="s">
        <v>265</v>
      </c>
      <c r="B21" t="s">
        <v>3</v>
      </c>
      <c r="C21" t="s">
        <v>41</v>
      </c>
      <c r="D21">
        <v>6.6441035596845003E-3</v>
      </c>
      <c r="E21">
        <v>0.79122516245772201</v>
      </c>
      <c r="F21">
        <v>0.90578049158224405</v>
      </c>
      <c r="G21">
        <v>-1.2921491752361999E-3</v>
      </c>
      <c r="H21" t="s">
        <v>42</v>
      </c>
      <c r="I21" t="b">
        <v>1</v>
      </c>
      <c r="J21">
        <v>48.015874898416797</v>
      </c>
      <c r="K21">
        <v>49.2158748984168</v>
      </c>
      <c r="L21">
        <v>0</v>
      </c>
      <c r="M21" t="s">
        <v>284</v>
      </c>
      <c r="N21" t="s">
        <v>272</v>
      </c>
      <c r="O21" t="s">
        <v>309</v>
      </c>
      <c r="P21">
        <f>-0.0106291333771609 - 0.00804483502668833</f>
        <v>-1.8673968403849231E-2</v>
      </c>
      <c r="Q21" t="s">
        <v>56</v>
      </c>
      <c r="R21" t="s">
        <v>46</v>
      </c>
      <c r="S21" t="s">
        <v>47</v>
      </c>
      <c r="T21" t="s">
        <v>310</v>
      </c>
      <c r="U21">
        <v>1.66762485021667</v>
      </c>
      <c r="V21">
        <v>4.7637674499614998E-3</v>
      </c>
      <c r="W21" t="s">
        <v>49</v>
      </c>
    </row>
    <row r="22" spans="1:23" x14ac:dyDescent="0.3">
      <c r="A22" t="s">
        <v>265</v>
      </c>
      <c r="B22" t="s">
        <v>5</v>
      </c>
      <c r="C22" t="s">
        <v>41</v>
      </c>
      <c r="D22">
        <v>1.1973718326346E-3</v>
      </c>
      <c r="E22">
        <v>0.91064593391559701</v>
      </c>
      <c r="F22">
        <v>0.95023923539018795</v>
      </c>
      <c r="G22">
        <v>-0.362957351532884</v>
      </c>
      <c r="H22" t="s">
        <v>42</v>
      </c>
      <c r="I22" t="b">
        <v>1</v>
      </c>
      <c r="J22">
        <v>48.086961298431397</v>
      </c>
      <c r="K22">
        <v>49.2869612984314</v>
      </c>
      <c r="L22">
        <v>0</v>
      </c>
      <c r="M22" t="s">
        <v>284</v>
      </c>
      <c r="N22" t="s">
        <v>272</v>
      </c>
      <c r="O22" t="s">
        <v>311</v>
      </c>
      <c r="P22">
        <f>-6.55794786319203 - 5.83203316012626</f>
        <v>-12.38998102331829</v>
      </c>
      <c r="Q22" t="s">
        <v>56</v>
      </c>
      <c r="R22" t="s">
        <v>46</v>
      </c>
      <c r="S22" t="s">
        <v>47</v>
      </c>
      <c r="T22" t="s">
        <v>312</v>
      </c>
      <c r="U22">
        <v>1.4725741669902099</v>
      </c>
      <c r="V22">
        <v>3.1607094447240498</v>
      </c>
      <c r="W22" t="s">
        <v>49</v>
      </c>
    </row>
    <row r="23" spans="1:23" x14ac:dyDescent="0.3">
      <c r="A23" t="s">
        <v>265</v>
      </c>
      <c r="B23" t="s">
        <v>13</v>
      </c>
      <c r="C23" t="s">
        <v>41</v>
      </c>
      <c r="D23">
        <v>7.7909343778305704E-2</v>
      </c>
      <c r="E23">
        <v>0.18655108404366599</v>
      </c>
      <c r="F23">
        <v>0.63960371672114003</v>
      </c>
      <c r="G23">
        <v>17.014648865664402</v>
      </c>
      <c r="H23" t="s">
        <v>42</v>
      </c>
      <c r="I23" t="b">
        <v>1</v>
      </c>
      <c r="J23">
        <v>151.54548765130201</v>
      </c>
      <c r="K23">
        <v>152.11691622273099</v>
      </c>
      <c r="L23">
        <v>0</v>
      </c>
      <c r="M23" t="s">
        <v>266</v>
      </c>
      <c r="N23" t="s">
        <v>267</v>
      </c>
      <c r="O23" t="s">
        <v>313</v>
      </c>
      <c r="P23">
        <f>-7.44553736660251 - 41.4748350979312</f>
        <v>-48.920372464533706</v>
      </c>
      <c r="Q23" t="s">
        <v>45</v>
      </c>
      <c r="R23" t="s">
        <v>46</v>
      </c>
      <c r="S23" t="s">
        <v>47</v>
      </c>
      <c r="T23" t="s">
        <v>314</v>
      </c>
      <c r="U23">
        <v>-11.8660959891834</v>
      </c>
      <c r="V23">
        <v>12.4796868531974</v>
      </c>
      <c r="W23" t="s">
        <v>49</v>
      </c>
    </row>
    <row r="24" spans="1:23" x14ac:dyDescent="0.3">
      <c r="A24" t="s">
        <v>265</v>
      </c>
      <c r="B24" t="s">
        <v>10</v>
      </c>
      <c r="C24" t="s">
        <v>41</v>
      </c>
      <c r="D24">
        <v>2.6624474967212999E-2</v>
      </c>
      <c r="E24">
        <v>0.65241779705761804</v>
      </c>
      <c r="F24">
        <v>0.86443467151466402</v>
      </c>
      <c r="G24">
        <v>14.4446113424515</v>
      </c>
      <c r="H24" t="s">
        <v>42</v>
      </c>
      <c r="I24" t="b">
        <v>1</v>
      </c>
      <c r="J24">
        <v>68.282475682281301</v>
      </c>
      <c r="K24">
        <v>69.996761396566995</v>
      </c>
      <c r="L24">
        <v>0</v>
      </c>
      <c r="M24" t="s">
        <v>279</v>
      </c>
      <c r="N24" t="s">
        <v>272</v>
      </c>
      <c r="O24" t="s">
        <v>315</v>
      </c>
      <c r="P24">
        <f>-46.0778558365628 - 74.9670785214657</f>
        <v>-121.04493435802848</v>
      </c>
      <c r="Q24" t="s">
        <v>52</v>
      </c>
      <c r="R24" t="s">
        <v>46</v>
      </c>
      <c r="S24" t="s">
        <v>47</v>
      </c>
      <c r="T24" t="s">
        <v>316</v>
      </c>
      <c r="U24">
        <v>-9.0307155559869408</v>
      </c>
      <c r="V24">
        <v>30.878809785211399</v>
      </c>
      <c r="W24" t="s">
        <v>49</v>
      </c>
    </row>
    <row r="25" spans="1:23" x14ac:dyDescent="0.3">
      <c r="A25" t="s">
        <v>265</v>
      </c>
      <c r="B25" t="s">
        <v>13</v>
      </c>
      <c r="C25" t="s">
        <v>41</v>
      </c>
      <c r="D25">
        <v>4.4025388249120997E-3</v>
      </c>
      <c r="E25">
        <v>0.79364199196125695</v>
      </c>
      <c r="F25">
        <v>0.90578049158224405</v>
      </c>
      <c r="G25">
        <v>1.2666496126907401</v>
      </c>
      <c r="H25" t="s">
        <v>42</v>
      </c>
      <c r="I25" t="b">
        <v>1</v>
      </c>
      <c r="J25">
        <v>72.884349817756103</v>
      </c>
      <c r="K25">
        <v>73.6843498177561</v>
      </c>
      <c r="L25">
        <v>0</v>
      </c>
      <c r="M25" t="s">
        <v>266</v>
      </c>
      <c r="N25" t="s">
        <v>272</v>
      </c>
      <c r="O25" t="s">
        <v>317</v>
      </c>
      <c r="P25">
        <f>-8.06681462207596 - 10.6001138474574</f>
        <v>-18.66692846953336</v>
      </c>
      <c r="Q25" t="s">
        <v>45</v>
      </c>
      <c r="R25" t="s">
        <v>46</v>
      </c>
      <c r="S25" t="s">
        <v>47</v>
      </c>
      <c r="T25" t="s">
        <v>318</v>
      </c>
      <c r="U25">
        <v>0.52108956346134505</v>
      </c>
      <c r="V25">
        <v>4.7619715483503597</v>
      </c>
      <c r="W25" t="s">
        <v>49</v>
      </c>
    </row>
    <row r="26" spans="1:23" x14ac:dyDescent="0.3">
      <c r="A26" t="s">
        <v>265</v>
      </c>
      <c r="B26" t="s">
        <v>4</v>
      </c>
      <c r="C26" t="s">
        <v>41</v>
      </c>
      <c r="D26">
        <v>1.8709885726975399E-2</v>
      </c>
      <c r="E26">
        <v>0.51441300325723605</v>
      </c>
      <c r="F26">
        <v>0.82349068898884503</v>
      </c>
      <c r="G26">
        <v>7.9505075674471799</v>
      </c>
      <c r="H26" t="s">
        <v>42</v>
      </c>
      <c r="I26" t="b">
        <v>1</v>
      </c>
      <c r="J26">
        <v>157.97881175071399</v>
      </c>
      <c r="K26">
        <v>158.52426629616801</v>
      </c>
      <c r="L26">
        <v>0</v>
      </c>
      <c r="M26" t="s">
        <v>284</v>
      </c>
      <c r="N26" t="s">
        <v>267</v>
      </c>
      <c r="O26" t="s">
        <v>319</v>
      </c>
      <c r="P26">
        <f>-15.5810217514188 - 31.4820368863132</f>
        <v>-47.063058637731999</v>
      </c>
      <c r="Q26" t="s">
        <v>56</v>
      </c>
      <c r="R26" t="s">
        <v>46</v>
      </c>
      <c r="S26" t="s">
        <v>47</v>
      </c>
      <c r="T26" t="s">
        <v>320</v>
      </c>
      <c r="U26">
        <v>-2.8552864389778798</v>
      </c>
      <c r="V26">
        <v>12.005882305543899</v>
      </c>
      <c r="W26" t="s">
        <v>49</v>
      </c>
    </row>
    <row r="27" spans="1:23" x14ac:dyDescent="0.3">
      <c r="A27" t="s">
        <v>265</v>
      </c>
      <c r="B27" t="s">
        <v>12</v>
      </c>
      <c r="C27" t="s">
        <v>41</v>
      </c>
      <c r="D27">
        <v>0.15354127943670201</v>
      </c>
      <c r="E27">
        <v>0.107795247438807</v>
      </c>
      <c r="F27">
        <v>0.43118098975522801</v>
      </c>
      <c r="G27">
        <v>-8.4288484642726005E-3</v>
      </c>
      <c r="H27" t="s">
        <v>42</v>
      </c>
      <c r="I27" t="b">
        <v>1</v>
      </c>
      <c r="J27">
        <v>70.469994092997695</v>
      </c>
      <c r="K27">
        <v>71.269994092997706</v>
      </c>
      <c r="L27">
        <v>0</v>
      </c>
      <c r="M27" t="s">
        <v>266</v>
      </c>
      <c r="N27" t="s">
        <v>272</v>
      </c>
      <c r="O27" t="s">
        <v>321</v>
      </c>
      <c r="P27">
        <f>-0.0181262335144016 - 0.00126853658585636</f>
        <v>-1.939477010025796E-2</v>
      </c>
      <c r="Q27" t="s">
        <v>45</v>
      </c>
      <c r="R27" t="s">
        <v>46</v>
      </c>
      <c r="S27" t="s">
        <v>47</v>
      </c>
      <c r="T27" t="s">
        <v>322</v>
      </c>
      <c r="U27">
        <v>3.24077491535345</v>
      </c>
      <c r="V27">
        <v>4.9476454337391996E-3</v>
      </c>
      <c r="W27" t="s">
        <v>49</v>
      </c>
    </row>
    <row r="28" spans="1:23" x14ac:dyDescent="0.3">
      <c r="A28" t="s">
        <v>265</v>
      </c>
      <c r="B28" t="s">
        <v>5</v>
      </c>
      <c r="C28" t="s">
        <v>41</v>
      </c>
      <c r="D28">
        <v>0.44255654147553902</v>
      </c>
      <c r="E28">
        <v>2.850337224717E-4</v>
      </c>
      <c r="F28" t="s">
        <v>78</v>
      </c>
      <c r="G28">
        <v>22.9833483998129</v>
      </c>
      <c r="H28" t="s">
        <v>83</v>
      </c>
      <c r="I28" t="b">
        <v>0</v>
      </c>
      <c r="J28">
        <v>161.07490810308599</v>
      </c>
      <c r="K28">
        <v>161.62036264854001</v>
      </c>
      <c r="L28">
        <v>15.440575623294</v>
      </c>
      <c r="M28" t="s">
        <v>284</v>
      </c>
      <c r="N28" t="s">
        <v>267</v>
      </c>
      <c r="O28" t="s">
        <v>285</v>
      </c>
      <c r="P28" t="s">
        <v>323</v>
      </c>
      <c r="Q28" t="s">
        <v>56</v>
      </c>
      <c r="R28" t="s">
        <v>84</v>
      </c>
      <c r="S28" t="s">
        <v>85</v>
      </c>
      <c r="T28" t="s">
        <v>324</v>
      </c>
      <c r="U28">
        <v>0.36686198983356799</v>
      </c>
      <c r="V28">
        <v>5.37855249813967</v>
      </c>
      <c r="W28" t="s">
        <v>49</v>
      </c>
    </row>
    <row r="29" spans="1:23" x14ac:dyDescent="0.3">
      <c r="A29" t="s">
        <v>265</v>
      </c>
      <c r="B29" t="s">
        <v>5</v>
      </c>
      <c r="C29" t="s">
        <v>41</v>
      </c>
      <c r="D29">
        <v>0.44255654147553902</v>
      </c>
      <c r="E29">
        <v>2.850337224717E-4</v>
      </c>
      <c r="F29" t="s">
        <v>78</v>
      </c>
      <c r="G29">
        <v>22.9833483998129</v>
      </c>
      <c r="H29" t="s">
        <v>89</v>
      </c>
      <c r="I29" t="b">
        <v>0</v>
      </c>
      <c r="J29">
        <v>161.07490810308599</v>
      </c>
      <c r="K29">
        <v>161.62036264854001</v>
      </c>
      <c r="L29">
        <v>15.440575623294</v>
      </c>
      <c r="M29" t="s">
        <v>284</v>
      </c>
      <c r="N29" t="s">
        <v>267</v>
      </c>
      <c r="O29" t="s">
        <v>285</v>
      </c>
      <c r="P29" t="s">
        <v>323</v>
      </c>
      <c r="Q29" t="s">
        <v>56</v>
      </c>
      <c r="R29" t="s">
        <v>90</v>
      </c>
      <c r="S29" t="s">
        <v>43</v>
      </c>
      <c r="T29" t="s">
        <v>91</v>
      </c>
      <c r="U29">
        <v>0.36686198983356799</v>
      </c>
      <c r="V29">
        <v>5.37855249813967</v>
      </c>
      <c r="W29" t="s">
        <v>49</v>
      </c>
    </row>
    <row r="30" spans="1:23" x14ac:dyDescent="0.3">
      <c r="A30" t="s">
        <v>265</v>
      </c>
      <c r="B30" t="s">
        <v>12</v>
      </c>
      <c r="C30" t="s">
        <v>41</v>
      </c>
      <c r="D30">
        <v>0.21232896097231499</v>
      </c>
      <c r="E30">
        <v>5.4290489413576302E-2</v>
      </c>
      <c r="F30" t="s">
        <v>78</v>
      </c>
      <c r="G30">
        <v>-1.53015624746249E-2</v>
      </c>
      <c r="H30" t="s">
        <v>83</v>
      </c>
      <c r="I30" t="b">
        <v>0</v>
      </c>
      <c r="J30">
        <v>95.727785674081602</v>
      </c>
      <c r="K30">
        <v>96.527785674081599</v>
      </c>
      <c r="L30">
        <v>25.257791581083801</v>
      </c>
      <c r="M30" t="s">
        <v>266</v>
      </c>
      <c r="N30" t="s">
        <v>272</v>
      </c>
      <c r="O30" t="s">
        <v>321</v>
      </c>
      <c r="P30">
        <f>-0.0297426427247977 - -0.000860482224452055</f>
        <v>-2.8882160500345647E-2</v>
      </c>
      <c r="Q30" t="s">
        <v>45</v>
      </c>
      <c r="R30" t="s">
        <v>84</v>
      </c>
      <c r="S30" t="s">
        <v>85</v>
      </c>
      <c r="T30" t="s">
        <v>325</v>
      </c>
      <c r="U30">
        <v>4.7965906258178599</v>
      </c>
      <c r="V30">
        <v>7.3678980868228001E-3</v>
      </c>
      <c r="W30" t="s">
        <v>49</v>
      </c>
    </row>
    <row r="31" spans="1:23" x14ac:dyDescent="0.3">
      <c r="A31" t="s">
        <v>265</v>
      </c>
      <c r="B31" t="s">
        <v>5</v>
      </c>
      <c r="C31" t="s">
        <v>41</v>
      </c>
      <c r="D31">
        <v>7.6430970558292899E-2</v>
      </c>
      <c r="E31">
        <v>0.36052711950961802</v>
      </c>
      <c r="F31" t="s">
        <v>78</v>
      </c>
      <c r="G31">
        <v>-4.5130383780379004</v>
      </c>
      <c r="H31" t="s">
        <v>89</v>
      </c>
      <c r="I31" t="b">
        <v>0</v>
      </c>
      <c r="J31">
        <v>72.5487474140361</v>
      </c>
      <c r="K31">
        <v>73.748747414036103</v>
      </c>
      <c r="L31">
        <v>24.461786115604699</v>
      </c>
      <c r="M31" t="s">
        <v>284</v>
      </c>
      <c r="N31" t="s">
        <v>272</v>
      </c>
      <c r="O31" t="s">
        <v>311</v>
      </c>
      <c r="P31">
        <f>-13.7840846519287 - 4.75800789585292</f>
        <v>-18.542092547781621</v>
      </c>
      <c r="Q31" t="s">
        <v>56</v>
      </c>
      <c r="R31" t="s">
        <v>90</v>
      </c>
      <c r="S31" t="s">
        <v>43</v>
      </c>
      <c r="T31" t="s">
        <v>91</v>
      </c>
      <c r="U31">
        <v>2.2898423036669699</v>
      </c>
      <c r="V31">
        <v>4.7301256499442896</v>
      </c>
      <c r="W31" t="s">
        <v>49</v>
      </c>
    </row>
    <row r="32" spans="1:23" x14ac:dyDescent="0.3">
      <c r="A32" t="s">
        <v>265</v>
      </c>
      <c r="B32" t="s">
        <v>14</v>
      </c>
      <c r="C32" t="s">
        <v>41</v>
      </c>
      <c r="D32">
        <v>3.8463845593531498E-2</v>
      </c>
      <c r="E32">
        <v>0.4354143440953</v>
      </c>
      <c r="F32" t="s">
        <v>78</v>
      </c>
      <c r="G32">
        <v>2.5858839680024999</v>
      </c>
      <c r="H32" t="s">
        <v>79</v>
      </c>
      <c r="I32" t="b">
        <v>0</v>
      </c>
      <c r="J32">
        <v>80.309864993397298</v>
      </c>
      <c r="K32">
        <v>81.109864993397295</v>
      </c>
      <c r="L32">
        <v>8.5210567382085998</v>
      </c>
      <c r="M32" t="s">
        <v>266</v>
      </c>
      <c r="N32" t="s">
        <v>272</v>
      </c>
      <c r="O32" t="s">
        <v>290</v>
      </c>
      <c r="P32">
        <f>-3.7493341453984 - 8.92110208140339</f>
        <v>-12.67043622680179</v>
      </c>
      <c r="Q32" t="s">
        <v>45</v>
      </c>
      <c r="R32" t="s">
        <v>80</v>
      </c>
      <c r="S32" t="s">
        <v>81</v>
      </c>
      <c r="T32" t="s">
        <v>326</v>
      </c>
      <c r="U32">
        <v>2.21035835061718</v>
      </c>
      <c r="V32">
        <v>3.2322541394902502</v>
      </c>
      <c r="W32" t="s">
        <v>49</v>
      </c>
    </row>
    <row r="33" spans="1:23" x14ac:dyDescent="0.3">
      <c r="A33" t="s">
        <v>265</v>
      </c>
      <c r="B33" t="s">
        <v>14</v>
      </c>
      <c r="C33" t="s">
        <v>41</v>
      </c>
      <c r="D33">
        <v>0.60991765051355395</v>
      </c>
      <c r="E33" s="2">
        <v>6.6824829283440604E-6</v>
      </c>
      <c r="F33" t="s">
        <v>78</v>
      </c>
      <c r="G33">
        <v>57.171102097314503</v>
      </c>
      <c r="H33" t="s">
        <v>79</v>
      </c>
      <c r="I33" t="b">
        <v>0</v>
      </c>
      <c r="J33">
        <v>145.18456426770399</v>
      </c>
      <c r="K33">
        <v>145.75599283913201</v>
      </c>
      <c r="L33">
        <v>8.3201425128410094</v>
      </c>
      <c r="M33" t="s">
        <v>266</v>
      </c>
      <c r="N33" t="s">
        <v>267</v>
      </c>
      <c r="O33" t="s">
        <v>268</v>
      </c>
      <c r="P33" t="s">
        <v>327</v>
      </c>
      <c r="Q33" t="s">
        <v>45</v>
      </c>
      <c r="R33" t="s">
        <v>80</v>
      </c>
      <c r="S33" t="s">
        <v>81</v>
      </c>
      <c r="T33" t="s">
        <v>328</v>
      </c>
      <c r="U33">
        <v>-5.1324760064011103</v>
      </c>
      <c r="V33">
        <v>9.7478261014017598</v>
      </c>
      <c r="W33" t="s">
        <v>49</v>
      </c>
    </row>
    <row r="34" spans="1:23" x14ac:dyDescent="0.3">
      <c r="A34" t="s">
        <v>265</v>
      </c>
      <c r="B34" t="s">
        <v>13</v>
      </c>
      <c r="C34" t="s">
        <v>41</v>
      </c>
      <c r="D34">
        <v>1.20982929203699E-2</v>
      </c>
      <c r="E34">
        <v>0.60890235039280904</v>
      </c>
      <c r="F34" t="s">
        <v>78</v>
      </c>
      <c r="G34">
        <v>8.7760531968480802</v>
      </c>
      <c r="H34" t="s">
        <v>83</v>
      </c>
      <c r="I34" t="b">
        <v>0</v>
      </c>
      <c r="J34">
        <v>175.37994051464699</v>
      </c>
      <c r="K34">
        <v>175.951369086075</v>
      </c>
      <c r="L34">
        <v>23.834452863344001</v>
      </c>
      <c r="M34" t="s">
        <v>266</v>
      </c>
      <c r="N34" t="s">
        <v>267</v>
      </c>
      <c r="O34" t="s">
        <v>313</v>
      </c>
      <c r="P34">
        <f>-24.3629009650582 - 41.9150073587543</f>
        <v>-66.277908323812497</v>
      </c>
      <c r="Q34" t="s">
        <v>45</v>
      </c>
      <c r="R34" t="s">
        <v>84</v>
      </c>
      <c r="S34" t="s">
        <v>85</v>
      </c>
      <c r="T34" t="s">
        <v>329</v>
      </c>
      <c r="U34">
        <v>-4.4211957611308703</v>
      </c>
      <c r="V34">
        <v>16.907629674441999</v>
      </c>
      <c r="W34" t="s">
        <v>49</v>
      </c>
    </row>
    <row r="35" spans="1:23" x14ac:dyDescent="0.3">
      <c r="A35" t="s">
        <v>265</v>
      </c>
      <c r="B35" t="s">
        <v>13</v>
      </c>
      <c r="C35" t="s">
        <v>41</v>
      </c>
      <c r="D35">
        <v>4.8725947644960002E-4</v>
      </c>
      <c r="E35">
        <v>0.93072043817510097</v>
      </c>
      <c r="F35" t="s">
        <v>78</v>
      </c>
      <c r="G35">
        <v>-0.44730882828850699</v>
      </c>
      <c r="H35" t="s">
        <v>89</v>
      </c>
      <c r="I35" t="b">
        <v>0</v>
      </c>
      <c r="J35">
        <v>100.01515817609901</v>
      </c>
      <c r="K35">
        <v>100.815158176099</v>
      </c>
      <c r="L35">
        <v>27.1308083583429</v>
      </c>
      <c r="M35" t="s">
        <v>266</v>
      </c>
      <c r="N35" t="s">
        <v>272</v>
      </c>
      <c r="O35" t="s">
        <v>317</v>
      </c>
      <c r="P35">
        <f>-10.3742984939352 - 9.4796808373582</f>
        <v>-19.853979331293402</v>
      </c>
      <c r="Q35" t="s">
        <v>45</v>
      </c>
      <c r="R35" t="s">
        <v>90</v>
      </c>
      <c r="S35" t="s">
        <v>43</v>
      </c>
      <c r="T35" t="s">
        <v>91</v>
      </c>
      <c r="U35">
        <v>2.7438954269189</v>
      </c>
      <c r="V35">
        <v>5.0647906457381202</v>
      </c>
      <c r="W35" t="s">
        <v>49</v>
      </c>
    </row>
    <row r="36" spans="1:23" x14ac:dyDescent="0.3">
      <c r="A36" t="s">
        <v>265</v>
      </c>
      <c r="B36" t="s">
        <v>11</v>
      </c>
      <c r="C36" t="s">
        <v>41</v>
      </c>
      <c r="D36">
        <v>2.3419897537399999E-4</v>
      </c>
      <c r="E36">
        <v>0.96653129966131501</v>
      </c>
      <c r="F36" t="s">
        <v>78</v>
      </c>
      <c r="G36">
        <v>0.57788003379694397</v>
      </c>
      <c r="H36" t="s">
        <v>79</v>
      </c>
      <c r="I36" t="b">
        <v>0</v>
      </c>
      <c r="J36">
        <v>71.133143424880203</v>
      </c>
      <c r="K36">
        <v>72.847429139165897</v>
      </c>
      <c r="L36">
        <v>2.8006729322827901</v>
      </c>
      <c r="M36" t="s">
        <v>279</v>
      </c>
      <c r="N36" t="s">
        <v>272</v>
      </c>
      <c r="O36" t="s">
        <v>299</v>
      </c>
      <c r="P36">
        <f>-25.5861964743585 - 26.7419565419524</f>
        <v>-52.3281530163109</v>
      </c>
      <c r="Q36" t="s">
        <v>52</v>
      </c>
      <c r="R36" t="s">
        <v>80</v>
      </c>
      <c r="S36" t="s">
        <v>81</v>
      </c>
      <c r="T36" t="s">
        <v>330</v>
      </c>
      <c r="U36">
        <v>4.20052158042024</v>
      </c>
      <c r="V36">
        <v>13.349018626609899</v>
      </c>
      <c r="W36" t="s">
        <v>49</v>
      </c>
    </row>
    <row r="37" spans="1:23" x14ac:dyDescent="0.3">
      <c r="A37" t="s">
        <v>265</v>
      </c>
      <c r="B37" t="s">
        <v>12</v>
      </c>
      <c r="C37" t="s">
        <v>41</v>
      </c>
      <c r="D37">
        <v>1.4172281770908001E-2</v>
      </c>
      <c r="E37">
        <v>0.57954226966233302</v>
      </c>
      <c r="F37" t="s">
        <v>78</v>
      </c>
      <c r="G37">
        <v>1.15186039991052E-2</v>
      </c>
      <c r="H37" t="s">
        <v>79</v>
      </c>
      <c r="I37" t="b">
        <v>0</v>
      </c>
      <c r="J37">
        <v>166.14904733517099</v>
      </c>
      <c r="K37">
        <v>166.72047590659901</v>
      </c>
      <c r="L37">
        <v>12.6582281776809</v>
      </c>
      <c r="M37" t="s">
        <v>266</v>
      </c>
      <c r="N37" t="s">
        <v>267</v>
      </c>
      <c r="O37" t="s">
        <v>303</v>
      </c>
      <c r="P37">
        <f>-0.0286258173305106 - 0.051663025328721</f>
        <v>-8.0288842659231599E-2</v>
      </c>
      <c r="Q37" t="s">
        <v>45</v>
      </c>
      <c r="R37" t="s">
        <v>80</v>
      </c>
      <c r="S37" t="s">
        <v>81</v>
      </c>
      <c r="T37" t="s">
        <v>331</v>
      </c>
      <c r="U37">
        <v>1.8373589652665201</v>
      </c>
      <c r="V37">
        <v>2.0481847617150901E-2</v>
      </c>
      <c r="W37" t="s">
        <v>49</v>
      </c>
    </row>
    <row r="38" spans="1:23" x14ac:dyDescent="0.3">
      <c r="A38" t="s">
        <v>265</v>
      </c>
      <c r="B38" t="s">
        <v>14</v>
      </c>
      <c r="C38" t="s">
        <v>41</v>
      </c>
      <c r="D38">
        <v>0.668312624802198</v>
      </c>
      <c r="E38" s="2">
        <v>1.07828051176817E-6</v>
      </c>
      <c r="F38" t="s">
        <v>78</v>
      </c>
      <c r="G38">
        <v>60.453881661542901</v>
      </c>
      <c r="H38" t="s">
        <v>89</v>
      </c>
      <c r="I38" t="b">
        <v>0</v>
      </c>
      <c r="J38">
        <v>149.18657279352101</v>
      </c>
      <c r="K38">
        <v>149.758001364949</v>
      </c>
      <c r="L38">
        <v>12.322151038657999</v>
      </c>
      <c r="M38" t="s">
        <v>266</v>
      </c>
      <c r="N38" t="s">
        <v>267</v>
      </c>
      <c r="O38" t="s">
        <v>268</v>
      </c>
      <c r="P38" t="s">
        <v>332</v>
      </c>
      <c r="Q38" t="s">
        <v>45</v>
      </c>
      <c r="R38" t="s">
        <v>90</v>
      </c>
      <c r="S38" t="s">
        <v>43</v>
      </c>
      <c r="T38" t="s">
        <v>91</v>
      </c>
      <c r="U38">
        <v>-5.1475815508309202</v>
      </c>
      <c r="V38">
        <v>9.0800343043271994</v>
      </c>
      <c r="W38" t="s">
        <v>49</v>
      </c>
    </row>
    <row r="39" spans="1:23" x14ac:dyDescent="0.3">
      <c r="A39" t="s">
        <v>265</v>
      </c>
      <c r="B39" t="s">
        <v>9</v>
      </c>
      <c r="C39" t="s">
        <v>41</v>
      </c>
      <c r="D39">
        <v>1.1684953340572299E-2</v>
      </c>
      <c r="E39">
        <v>0.56963863785126601</v>
      </c>
      <c r="F39" t="s">
        <v>78</v>
      </c>
      <c r="G39">
        <v>-4.8110264764039999E-3</v>
      </c>
      <c r="H39" t="s">
        <v>83</v>
      </c>
      <c r="I39" t="b">
        <v>0</v>
      </c>
      <c r="J39">
        <v>175.952049176076</v>
      </c>
      <c r="K39">
        <v>176.39649362052</v>
      </c>
      <c r="L39">
        <v>8.2262713051320002</v>
      </c>
      <c r="M39" t="s">
        <v>279</v>
      </c>
      <c r="N39" t="s">
        <v>267</v>
      </c>
      <c r="O39" t="s">
        <v>288</v>
      </c>
      <c r="P39">
        <f>-0.021199896654238 - 0.0115778437014298</f>
        <v>-3.27777403556678E-2</v>
      </c>
      <c r="Q39" t="s">
        <v>52</v>
      </c>
      <c r="R39" t="s">
        <v>84</v>
      </c>
      <c r="S39" t="s">
        <v>85</v>
      </c>
      <c r="T39" t="s">
        <v>333</v>
      </c>
      <c r="U39">
        <v>4.4397897699252997</v>
      </c>
      <c r="V39">
        <v>8.3616684580784997E-3</v>
      </c>
      <c r="W39" t="s">
        <v>49</v>
      </c>
    </row>
    <row r="40" spans="1:23" x14ac:dyDescent="0.3">
      <c r="A40" t="s">
        <v>265</v>
      </c>
      <c r="B40" t="s">
        <v>14</v>
      </c>
      <c r="C40" t="s">
        <v>41</v>
      </c>
      <c r="D40">
        <v>0.14709335287032799</v>
      </c>
      <c r="E40">
        <v>0.116151499475312</v>
      </c>
      <c r="F40" t="s">
        <v>78</v>
      </c>
      <c r="G40">
        <v>4.9120428183612699</v>
      </c>
      <c r="H40" t="s">
        <v>89</v>
      </c>
      <c r="I40" t="b">
        <v>0</v>
      </c>
      <c r="J40">
        <v>97.160037777921005</v>
      </c>
      <c r="K40">
        <v>97.960037777921002</v>
      </c>
      <c r="L40">
        <v>25.3712295227323</v>
      </c>
      <c r="M40" t="s">
        <v>266</v>
      </c>
      <c r="N40" t="s">
        <v>272</v>
      </c>
      <c r="O40" t="s">
        <v>290</v>
      </c>
      <c r="P40">
        <f>-0.883744626591966 - 10.7078302633145</f>
        <v>-11.591574889906466</v>
      </c>
      <c r="Q40" t="s">
        <v>45</v>
      </c>
      <c r="R40" t="s">
        <v>90</v>
      </c>
      <c r="S40" t="s">
        <v>43</v>
      </c>
      <c r="T40" t="s">
        <v>91</v>
      </c>
      <c r="U40">
        <v>1.4243470344570901</v>
      </c>
      <c r="V40">
        <v>2.9570344106904298</v>
      </c>
      <c r="W40" t="s">
        <v>49</v>
      </c>
    </row>
    <row r="41" spans="1:23" x14ac:dyDescent="0.3">
      <c r="A41" t="s">
        <v>265</v>
      </c>
      <c r="B41" t="s">
        <v>10</v>
      </c>
      <c r="C41" t="s">
        <v>41</v>
      </c>
      <c r="D41">
        <v>2.5592047514617501E-2</v>
      </c>
      <c r="E41">
        <v>0.65887351139059103</v>
      </c>
      <c r="F41" t="s">
        <v>78</v>
      </c>
      <c r="G41">
        <v>11.848432353269599</v>
      </c>
      <c r="H41" t="s">
        <v>79</v>
      </c>
      <c r="I41" t="b">
        <v>0</v>
      </c>
      <c r="J41">
        <v>70.876233482501206</v>
      </c>
      <c r="K41">
        <v>72.5905191967869</v>
      </c>
      <c r="L41">
        <v>2.5937578002199002</v>
      </c>
      <c r="M41" t="s">
        <v>279</v>
      </c>
      <c r="N41" t="s">
        <v>272</v>
      </c>
      <c r="O41" t="s">
        <v>315</v>
      </c>
      <c r="P41">
        <f>-38.8144464998884 - 62.5113112064275</f>
        <v>-101.3257577063159</v>
      </c>
      <c r="Q41" t="s">
        <v>52</v>
      </c>
      <c r="R41" t="s">
        <v>80</v>
      </c>
      <c r="S41" t="s">
        <v>81</v>
      </c>
      <c r="T41" t="s">
        <v>334</v>
      </c>
      <c r="U41">
        <v>-6.4785498505230503</v>
      </c>
      <c r="V41">
        <v>25.848407578141799</v>
      </c>
      <c r="W41" t="s">
        <v>49</v>
      </c>
    </row>
    <row r="42" spans="1:23" x14ac:dyDescent="0.3">
      <c r="A42" t="s">
        <v>265</v>
      </c>
      <c r="B42" t="s">
        <v>11</v>
      </c>
      <c r="C42" t="s">
        <v>41</v>
      </c>
      <c r="D42">
        <v>4.6938773820120001E-3</v>
      </c>
      <c r="E42">
        <v>0.71904682523521002</v>
      </c>
      <c r="F42" t="s">
        <v>78</v>
      </c>
      <c r="G42">
        <v>1.43761638065796</v>
      </c>
      <c r="H42" t="s">
        <v>83</v>
      </c>
      <c r="I42" t="b">
        <v>0</v>
      </c>
      <c r="J42">
        <v>176.16351409730299</v>
      </c>
      <c r="K42">
        <v>176.60795854174799</v>
      </c>
      <c r="L42">
        <v>8.6813893150639903</v>
      </c>
      <c r="M42" t="s">
        <v>279</v>
      </c>
      <c r="N42" t="s">
        <v>267</v>
      </c>
      <c r="O42" t="s">
        <v>297</v>
      </c>
      <c r="P42">
        <f>-6.31650394494398 - 9.19173670625989</f>
        <v>-15.50824065120387</v>
      </c>
      <c r="Q42" t="s">
        <v>52</v>
      </c>
      <c r="R42" t="s">
        <v>84</v>
      </c>
      <c r="S42" t="s">
        <v>85</v>
      </c>
      <c r="T42" t="s">
        <v>335</v>
      </c>
      <c r="U42">
        <v>3.6876562808257698</v>
      </c>
      <c r="V42">
        <v>3.9561838395928199</v>
      </c>
      <c r="W42" t="s">
        <v>49</v>
      </c>
    </row>
    <row r="43" spans="1:23" x14ac:dyDescent="0.3">
      <c r="A43" t="s">
        <v>265</v>
      </c>
      <c r="B43" t="s">
        <v>8</v>
      </c>
      <c r="C43" t="s">
        <v>41</v>
      </c>
      <c r="D43">
        <v>8.9753776005889893E-2</v>
      </c>
      <c r="E43">
        <v>0.199403111947139</v>
      </c>
      <c r="F43" t="s">
        <v>78</v>
      </c>
      <c r="G43">
        <v>11.3221141779498</v>
      </c>
      <c r="H43" t="s">
        <v>89</v>
      </c>
      <c r="I43" t="b">
        <v>0</v>
      </c>
      <c r="J43">
        <v>125.679597539707</v>
      </c>
      <c r="K43">
        <v>126.38547989264799</v>
      </c>
      <c r="L43">
        <v>6.1806722519169801</v>
      </c>
      <c r="M43" t="s">
        <v>271</v>
      </c>
      <c r="N43" t="s">
        <v>272</v>
      </c>
      <c r="O43" t="s">
        <v>273</v>
      </c>
      <c r="P43">
        <f>-5.33502550575886 - 27.9792538616585</f>
        <v>-33.314279367417356</v>
      </c>
      <c r="Q43" t="s">
        <v>59</v>
      </c>
      <c r="R43" t="s">
        <v>90</v>
      </c>
      <c r="S43" t="s">
        <v>43</v>
      </c>
      <c r="T43" t="s">
        <v>91</v>
      </c>
      <c r="U43">
        <v>2.7322903427383398</v>
      </c>
      <c r="V43">
        <v>8.4985406549534197</v>
      </c>
      <c r="W43" t="s">
        <v>49</v>
      </c>
    </row>
    <row r="44" spans="1:23" x14ac:dyDescent="0.3">
      <c r="A44" t="s">
        <v>265</v>
      </c>
      <c r="B44" t="s">
        <v>6</v>
      </c>
      <c r="C44" t="s">
        <v>41</v>
      </c>
      <c r="D44">
        <v>0.100238447368273</v>
      </c>
      <c r="E44">
        <v>0.173822570474676</v>
      </c>
      <c r="F44" t="s">
        <v>78</v>
      </c>
      <c r="G44">
        <v>-1.33427977378706E-2</v>
      </c>
      <c r="H44" t="s">
        <v>89</v>
      </c>
      <c r="I44" t="b">
        <v>0</v>
      </c>
      <c r="J44">
        <v>125.447890499132</v>
      </c>
      <c r="K44">
        <v>126.153772852073</v>
      </c>
      <c r="L44">
        <v>5.6659109892619997</v>
      </c>
      <c r="M44" t="s">
        <v>271</v>
      </c>
      <c r="N44" t="s">
        <v>272</v>
      </c>
      <c r="O44" t="s">
        <v>292</v>
      </c>
      <c r="P44">
        <f>-0.0318105173276765 - 0.00512492185193524</f>
        <v>-3.6935439179611743E-2</v>
      </c>
      <c r="Q44" t="s">
        <v>59</v>
      </c>
      <c r="R44" t="s">
        <v>90</v>
      </c>
      <c r="S44" t="s">
        <v>43</v>
      </c>
      <c r="T44" t="s">
        <v>91</v>
      </c>
      <c r="U44">
        <v>6.8657551859381103</v>
      </c>
      <c r="V44">
        <v>9.4223059131661995E-3</v>
      </c>
      <c r="W44" t="s">
        <v>49</v>
      </c>
    </row>
    <row r="45" spans="1:23" x14ac:dyDescent="0.3">
      <c r="A45" t="s">
        <v>265</v>
      </c>
      <c r="B45" t="s">
        <v>3</v>
      </c>
      <c r="C45" t="s">
        <v>41</v>
      </c>
      <c r="D45">
        <v>0.115885281249259</v>
      </c>
      <c r="E45">
        <v>9.58899939203577E-2</v>
      </c>
      <c r="F45" t="s">
        <v>78</v>
      </c>
      <c r="G45">
        <v>2.4596428717581401E-2</v>
      </c>
      <c r="H45" t="s">
        <v>83</v>
      </c>
      <c r="I45" t="b">
        <v>0</v>
      </c>
      <c r="J45">
        <v>172.60555180449899</v>
      </c>
      <c r="K45">
        <v>173.15100634995301</v>
      </c>
      <c r="L45">
        <v>14.553477015691</v>
      </c>
      <c r="M45" t="s">
        <v>284</v>
      </c>
      <c r="N45" t="s">
        <v>267</v>
      </c>
      <c r="O45" t="s">
        <v>307</v>
      </c>
      <c r="P45">
        <f>-0.00316899966279767 - 0.0523618570979605</f>
        <v>-5.5530856760758168E-2</v>
      </c>
      <c r="Q45" t="s">
        <v>56</v>
      </c>
      <c r="R45" t="s">
        <v>84</v>
      </c>
      <c r="S45" t="s">
        <v>85</v>
      </c>
      <c r="T45" t="s">
        <v>336</v>
      </c>
      <c r="U45">
        <v>0.78201318019153698</v>
      </c>
      <c r="V45">
        <v>1.41660348879485E-2</v>
      </c>
      <c r="W45" t="s">
        <v>49</v>
      </c>
    </row>
    <row r="46" spans="1:23" x14ac:dyDescent="0.3">
      <c r="A46" t="s">
        <v>265</v>
      </c>
      <c r="B46" t="s">
        <v>3</v>
      </c>
      <c r="C46" t="s">
        <v>41</v>
      </c>
      <c r="D46">
        <v>8.6873705187358007E-3</v>
      </c>
      <c r="E46">
        <v>0.76199875432945097</v>
      </c>
      <c r="F46" t="s">
        <v>78</v>
      </c>
      <c r="G46">
        <v>-2.6658345139186001E-3</v>
      </c>
      <c r="H46" t="s">
        <v>89</v>
      </c>
      <c r="I46" t="b">
        <v>0</v>
      </c>
      <c r="J46">
        <v>73.468944728411202</v>
      </c>
      <c r="K46">
        <v>74.668944728411205</v>
      </c>
      <c r="L46">
        <v>25.453069829994401</v>
      </c>
      <c r="M46" t="s">
        <v>284</v>
      </c>
      <c r="N46" t="s">
        <v>272</v>
      </c>
      <c r="O46" t="s">
        <v>309</v>
      </c>
      <c r="P46">
        <f>-0.0194946699027449 - 0.0141630008749076</f>
        <v>-3.3657670777652499E-2</v>
      </c>
      <c r="Q46" t="s">
        <v>56</v>
      </c>
      <c r="R46" t="s">
        <v>90</v>
      </c>
      <c r="S46" t="s">
        <v>43</v>
      </c>
      <c r="T46" t="s">
        <v>91</v>
      </c>
      <c r="U46">
        <v>2.0545627814885101</v>
      </c>
      <c r="V46">
        <v>8.5861405045030998E-3</v>
      </c>
      <c r="W46" t="s">
        <v>49</v>
      </c>
    </row>
    <row r="47" spans="1:23" x14ac:dyDescent="0.3">
      <c r="A47" t="s">
        <v>265</v>
      </c>
      <c r="B47" t="s">
        <v>7</v>
      </c>
      <c r="C47" t="s">
        <v>41</v>
      </c>
      <c r="D47">
        <v>9.0118895767831594E-2</v>
      </c>
      <c r="E47">
        <v>0.198446886917959</v>
      </c>
      <c r="F47" t="s">
        <v>78</v>
      </c>
      <c r="G47">
        <v>10.502541523859099</v>
      </c>
      <c r="H47" t="s">
        <v>79</v>
      </c>
      <c r="I47" t="b">
        <v>0</v>
      </c>
      <c r="J47">
        <v>124.637916336537</v>
      </c>
      <c r="K47">
        <v>125.34379868947801</v>
      </c>
      <c r="L47">
        <v>7.4284923564250098</v>
      </c>
      <c r="M47" t="s">
        <v>271</v>
      </c>
      <c r="N47" t="s">
        <v>272</v>
      </c>
      <c r="O47" t="s">
        <v>277</v>
      </c>
      <c r="P47">
        <f>-4.9144139555188 - 25.9194970032371</f>
        <v>-30.833910958755901</v>
      </c>
      <c r="Q47" t="s">
        <v>59</v>
      </c>
      <c r="R47" t="s">
        <v>80</v>
      </c>
      <c r="S47" t="s">
        <v>81</v>
      </c>
      <c r="T47" t="s">
        <v>337</v>
      </c>
      <c r="U47">
        <v>-5.0917355520521701</v>
      </c>
      <c r="V47">
        <v>7.8657936119275202</v>
      </c>
      <c r="W47" t="s">
        <v>49</v>
      </c>
    </row>
    <row r="48" spans="1:23" x14ac:dyDescent="0.3">
      <c r="A48" t="s">
        <v>265</v>
      </c>
      <c r="B48" t="s">
        <v>7</v>
      </c>
      <c r="C48" t="s">
        <v>41</v>
      </c>
      <c r="D48">
        <v>9.3086599992232399E-2</v>
      </c>
      <c r="E48">
        <v>0.190857078993453</v>
      </c>
      <c r="F48" t="s">
        <v>78</v>
      </c>
      <c r="G48">
        <v>8.8891143945850608</v>
      </c>
      <c r="H48" t="s">
        <v>89</v>
      </c>
      <c r="I48" t="b">
        <v>0</v>
      </c>
      <c r="J48">
        <v>125.606234084359</v>
      </c>
      <c r="K48">
        <v>126.31211643730001</v>
      </c>
      <c r="L48">
        <v>8.3968101042470096</v>
      </c>
      <c r="M48" t="s">
        <v>271</v>
      </c>
      <c r="N48" t="s">
        <v>272</v>
      </c>
      <c r="O48" t="s">
        <v>277</v>
      </c>
      <c r="P48">
        <f>-3.92880804788184 - 21.707036837052</f>
        <v>-25.635844884933842</v>
      </c>
      <c r="Q48" t="s">
        <v>59</v>
      </c>
      <c r="R48" t="s">
        <v>90</v>
      </c>
      <c r="S48" t="s">
        <v>43</v>
      </c>
      <c r="T48" t="s">
        <v>91</v>
      </c>
      <c r="U48">
        <v>-3.76420639803673</v>
      </c>
      <c r="V48">
        <v>6.5397563481974004</v>
      </c>
      <c r="W48" t="s">
        <v>49</v>
      </c>
    </row>
    <row r="49" spans="1:23" x14ac:dyDescent="0.3">
      <c r="A49" t="s">
        <v>265</v>
      </c>
      <c r="B49" t="s">
        <v>10</v>
      </c>
      <c r="C49" t="s">
        <v>41</v>
      </c>
      <c r="D49">
        <v>6.1534287229018603E-2</v>
      </c>
      <c r="E49">
        <v>0.186260275394909</v>
      </c>
      <c r="F49" t="s">
        <v>78</v>
      </c>
      <c r="G49">
        <v>9.6327293525508608</v>
      </c>
      <c r="H49" t="s">
        <v>83</v>
      </c>
      <c r="I49" t="b">
        <v>0</v>
      </c>
      <c r="J49">
        <v>174.39939321294199</v>
      </c>
      <c r="K49">
        <v>174.84383765738599</v>
      </c>
      <c r="L49">
        <v>8.7164777363850003</v>
      </c>
      <c r="M49" t="s">
        <v>279</v>
      </c>
      <c r="N49" t="s">
        <v>267</v>
      </c>
      <c r="O49" t="s">
        <v>280</v>
      </c>
      <c r="P49">
        <f>-4.30130996950736 - 23.5667686746091</f>
        <v>-27.868078644116462</v>
      </c>
      <c r="Q49" t="s">
        <v>52</v>
      </c>
      <c r="R49" t="s">
        <v>84</v>
      </c>
      <c r="S49" t="s">
        <v>85</v>
      </c>
      <c r="T49" t="s">
        <v>338</v>
      </c>
      <c r="U49">
        <v>-4.7770235845163702</v>
      </c>
      <c r="V49">
        <v>7.1092037357439901</v>
      </c>
      <c r="W49" t="s">
        <v>49</v>
      </c>
    </row>
    <row r="50" spans="1:23" x14ac:dyDescent="0.3">
      <c r="A50" t="s">
        <v>265</v>
      </c>
      <c r="B50" t="s">
        <v>8</v>
      </c>
      <c r="C50" t="s">
        <v>41</v>
      </c>
      <c r="D50">
        <v>0.408867906785084</v>
      </c>
      <c r="E50">
        <v>0.122023625259851</v>
      </c>
      <c r="F50" t="s">
        <v>78</v>
      </c>
      <c r="G50">
        <v>9.82009971880046</v>
      </c>
      <c r="H50" t="s">
        <v>42</v>
      </c>
      <c r="I50" t="b">
        <v>0</v>
      </c>
      <c r="J50">
        <v>22.645851622331701</v>
      </c>
      <c r="K50">
        <v>25.645851622331701</v>
      </c>
      <c r="L50">
        <v>1.2566344923577</v>
      </c>
      <c r="M50" t="s">
        <v>271</v>
      </c>
      <c r="N50" t="s">
        <v>267</v>
      </c>
      <c r="O50" t="s">
        <v>294</v>
      </c>
      <c r="P50">
        <f>-0.529837722951278 - 20.1700371605522</f>
        <v>-20.69987488350348</v>
      </c>
      <c r="Q50" t="s">
        <v>59</v>
      </c>
      <c r="R50" t="s">
        <v>46</v>
      </c>
      <c r="S50" t="s">
        <v>47</v>
      </c>
      <c r="T50" t="s">
        <v>339</v>
      </c>
      <c r="U50">
        <v>1.2090012353919</v>
      </c>
      <c r="V50">
        <v>5.2805803274243601</v>
      </c>
      <c r="W50" t="s">
        <v>49</v>
      </c>
    </row>
    <row r="51" spans="1:23" x14ac:dyDescent="0.3">
      <c r="A51" t="s">
        <v>265</v>
      </c>
      <c r="B51" t="s">
        <v>14</v>
      </c>
      <c r="C51" t="s">
        <v>41</v>
      </c>
      <c r="D51">
        <v>0.14709335287032799</v>
      </c>
      <c r="E51">
        <v>0.116151499475312</v>
      </c>
      <c r="F51" t="s">
        <v>78</v>
      </c>
      <c r="G51">
        <v>4.9120428183612699</v>
      </c>
      <c r="H51" t="s">
        <v>83</v>
      </c>
      <c r="I51" t="b">
        <v>0</v>
      </c>
      <c r="J51">
        <v>97.160037777921005</v>
      </c>
      <c r="K51">
        <v>97.960037777921002</v>
      </c>
      <c r="L51">
        <v>25.3712295227323</v>
      </c>
      <c r="M51" t="s">
        <v>266</v>
      </c>
      <c r="N51" t="s">
        <v>272</v>
      </c>
      <c r="O51" t="s">
        <v>290</v>
      </c>
      <c r="P51">
        <f>-0.883744626591966 - 10.7078302633145</f>
        <v>-11.591574889906466</v>
      </c>
      <c r="Q51" t="s">
        <v>45</v>
      </c>
      <c r="R51" t="s">
        <v>84</v>
      </c>
      <c r="S51" t="s">
        <v>85</v>
      </c>
      <c r="T51" t="s">
        <v>340</v>
      </c>
      <c r="U51">
        <v>1.4243470344570901</v>
      </c>
      <c r="V51">
        <v>2.9570344106904298</v>
      </c>
      <c r="W51" t="s">
        <v>49</v>
      </c>
    </row>
    <row r="52" spans="1:23" x14ac:dyDescent="0.3">
      <c r="A52" t="s">
        <v>265</v>
      </c>
      <c r="B52" t="s">
        <v>11</v>
      </c>
      <c r="C52" t="s">
        <v>41</v>
      </c>
      <c r="D52">
        <v>2.9921912896990001E-4</v>
      </c>
      <c r="E52">
        <v>0.96217205111264903</v>
      </c>
      <c r="F52" t="s">
        <v>78</v>
      </c>
      <c r="G52">
        <v>-0.70536157232546404</v>
      </c>
      <c r="H52" t="s">
        <v>89</v>
      </c>
      <c r="I52" t="b">
        <v>0</v>
      </c>
      <c r="J52">
        <v>78.2736226401491</v>
      </c>
      <c r="K52">
        <v>79.987908354434893</v>
      </c>
      <c r="L52">
        <v>9.9411521475517901</v>
      </c>
      <c r="M52" t="s">
        <v>279</v>
      </c>
      <c r="N52" t="s">
        <v>272</v>
      </c>
      <c r="O52" t="s">
        <v>299</v>
      </c>
      <c r="P52">
        <f>-28.9582732762845 - 27.5475501316335</f>
        <v>-56.505823407918001</v>
      </c>
      <c r="Q52" t="s">
        <v>52</v>
      </c>
      <c r="R52" t="s">
        <v>90</v>
      </c>
      <c r="S52" t="s">
        <v>43</v>
      </c>
      <c r="T52" t="s">
        <v>91</v>
      </c>
      <c r="U52">
        <v>3.5923593506704798</v>
      </c>
      <c r="V52">
        <v>14.414750869366801</v>
      </c>
      <c r="W52" t="s">
        <v>49</v>
      </c>
    </row>
    <row r="53" spans="1:23" x14ac:dyDescent="0.3">
      <c r="A53" t="s">
        <v>265</v>
      </c>
      <c r="B53" t="s">
        <v>4</v>
      </c>
      <c r="C53" t="s">
        <v>41</v>
      </c>
      <c r="D53">
        <v>2.3779517940013999E-3</v>
      </c>
      <c r="E53">
        <v>0.87430063844987105</v>
      </c>
      <c r="F53" t="s">
        <v>78</v>
      </c>
      <c r="G53">
        <v>1.3712401534998899</v>
      </c>
      <c r="H53" t="s">
        <v>89</v>
      </c>
      <c r="I53" t="b">
        <v>0</v>
      </c>
      <c r="J53">
        <v>73.551423775591999</v>
      </c>
      <c r="K53">
        <v>74.751423775592002</v>
      </c>
      <c r="L53">
        <v>25.7606994964008</v>
      </c>
      <c r="M53" t="s">
        <v>284</v>
      </c>
      <c r="N53" t="s">
        <v>272</v>
      </c>
      <c r="O53" t="s">
        <v>305</v>
      </c>
      <c r="P53">
        <f>-15.2267211243361 - 17.9692014313358</f>
        <v>-33.195922555671899</v>
      </c>
      <c r="Q53" t="s">
        <v>56</v>
      </c>
      <c r="R53" t="s">
        <v>90</v>
      </c>
      <c r="S53" t="s">
        <v>43</v>
      </c>
      <c r="T53" t="s">
        <v>91</v>
      </c>
      <c r="U53">
        <v>0.25882694204050299</v>
      </c>
      <c r="V53">
        <v>8.4683475907326304</v>
      </c>
      <c r="W53" t="s">
        <v>49</v>
      </c>
    </row>
    <row r="54" spans="1:23" x14ac:dyDescent="0.3">
      <c r="A54" t="s">
        <v>265</v>
      </c>
      <c r="B54" t="s">
        <v>12</v>
      </c>
      <c r="C54" t="s">
        <v>41</v>
      </c>
      <c r="D54">
        <v>0.21232896097231499</v>
      </c>
      <c r="E54">
        <v>5.4290489413576302E-2</v>
      </c>
      <c r="F54" t="s">
        <v>78</v>
      </c>
      <c r="G54">
        <v>-1.53015624746249E-2</v>
      </c>
      <c r="H54" t="s">
        <v>89</v>
      </c>
      <c r="I54" t="b">
        <v>0</v>
      </c>
      <c r="J54">
        <v>95.727785674081602</v>
      </c>
      <c r="K54">
        <v>96.527785674081599</v>
      </c>
      <c r="L54">
        <v>25.257791581083801</v>
      </c>
      <c r="M54" t="s">
        <v>266</v>
      </c>
      <c r="N54" t="s">
        <v>272</v>
      </c>
      <c r="O54" t="s">
        <v>321</v>
      </c>
      <c r="P54">
        <f>-0.0297426427247977 - -0.000860482224452055</f>
        <v>-2.8882160500345647E-2</v>
      </c>
      <c r="Q54" t="s">
        <v>45</v>
      </c>
      <c r="R54" t="s">
        <v>90</v>
      </c>
      <c r="S54" t="s">
        <v>43</v>
      </c>
      <c r="T54" t="s">
        <v>91</v>
      </c>
      <c r="U54">
        <v>4.7965906258178599</v>
      </c>
      <c r="V54">
        <v>7.3678980868228001E-3</v>
      </c>
      <c r="W54" t="s">
        <v>49</v>
      </c>
    </row>
    <row r="55" spans="1:23" x14ac:dyDescent="0.3">
      <c r="A55" t="s">
        <v>265</v>
      </c>
      <c r="B55" t="s">
        <v>8</v>
      </c>
      <c r="C55" t="s">
        <v>41</v>
      </c>
      <c r="D55">
        <v>8.2748094997659796E-2</v>
      </c>
      <c r="E55">
        <v>0.21876469647087199</v>
      </c>
      <c r="F55" t="s">
        <v>78</v>
      </c>
      <c r="G55">
        <v>11.2686465837893</v>
      </c>
      <c r="H55" t="s">
        <v>79</v>
      </c>
      <c r="I55" t="b">
        <v>0</v>
      </c>
      <c r="J55">
        <v>124.80167009686799</v>
      </c>
      <c r="K55">
        <v>125.507552449809</v>
      </c>
      <c r="L55">
        <v>5.3027448090779901</v>
      </c>
      <c r="M55" t="s">
        <v>271</v>
      </c>
      <c r="N55" t="s">
        <v>272</v>
      </c>
      <c r="O55" t="s">
        <v>273</v>
      </c>
      <c r="P55">
        <f>-6.06368090272117 - 28.6009740702997</f>
        <v>-34.664654973020873</v>
      </c>
      <c r="Q55" t="s">
        <v>59</v>
      </c>
      <c r="R55" t="s">
        <v>80</v>
      </c>
      <c r="S55" t="s">
        <v>81</v>
      </c>
      <c r="T55" t="s">
        <v>341</v>
      </c>
      <c r="U55">
        <v>2.8611457716376698</v>
      </c>
      <c r="V55">
        <v>8.8430242278114495</v>
      </c>
      <c r="W55" t="s">
        <v>49</v>
      </c>
    </row>
    <row r="56" spans="1:23" x14ac:dyDescent="0.3">
      <c r="A56" t="s">
        <v>265</v>
      </c>
      <c r="B56" t="s">
        <v>4</v>
      </c>
      <c r="C56" t="s">
        <v>41</v>
      </c>
      <c r="D56">
        <v>1.3347676365260399E-2</v>
      </c>
      <c r="E56">
        <v>0.70703059680691305</v>
      </c>
      <c r="F56" t="s">
        <v>78</v>
      </c>
      <c r="G56">
        <v>-3.0957930546541199</v>
      </c>
      <c r="H56" t="s">
        <v>79</v>
      </c>
      <c r="I56" t="b">
        <v>0</v>
      </c>
      <c r="J56">
        <v>55.8596036455762</v>
      </c>
      <c r="K56">
        <v>57.059603645576203</v>
      </c>
      <c r="L56">
        <v>8.0688793663849996</v>
      </c>
      <c r="M56" t="s">
        <v>284</v>
      </c>
      <c r="N56" t="s">
        <v>272</v>
      </c>
      <c r="O56" t="s">
        <v>305</v>
      </c>
      <c r="P56">
        <f>-18.8251470992373 - 12.633560989929</f>
        <v>-31.458708089166301</v>
      </c>
      <c r="Q56" t="s">
        <v>56</v>
      </c>
      <c r="R56" t="s">
        <v>80</v>
      </c>
      <c r="S56" t="s">
        <v>81</v>
      </c>
      <c r="T56" t="s">
        <v>342</v>
      </c>
      <c r="U56">
        <v>4.2931195382607603</v>
      </c>
      <c r="V56">
        <v>8.0251806349914094</v>
      </c>
      <c r="W56" t="s">
        <v>49</v>
      </c>
    </row>
    <row r="57" spans="1:23" x14ac:dyDescent="0.3">
      <c r="A57" t="s">
        <v>265</v>
      </c>
      <c r="B57" t="s">
        <v>14</v>
      </c>
      <c r="C57" t="s">
        <v>41</v>
      </c>
      <c r="D57">
        <v>0.668312624802198</v>
      </c>
      <c r="E57" s="2">
        <v>1.07828051176817E-6</v>
      </c>
      <c r="F57" t="s">
        <v>78</v>
      </c>
      <c r="G57">
        <v>60.453881661542901</v>
      </c>
      <c r="H57" t="s">
        <v>83</v>
      </c>
      <c r="I57" t="b">
        <v>0</v>
      </c>
      <c r="J57">
        <v>149.18657279352101</v>
      </c>
      <c r="K57">
        <v>149.758001364949</v>
      </c>
      <c r="L57">
        <v>12.322151038657999</v>
      </c>
      <c r="M57" t="s">
        <v>266</v>
      </c>
      <c r="N57" t="s">
        <v>267</v>
      </c>
      <c r="O57" t="s">
        <v>268</v>
      </c>
      <c r="P57" t="s">
        <v>332</v>
      </c>
      <c r="Q57" t="s">
        <v>45</v>
      </c>
      <c r="R57" t="s">
        <v>84</v>
      </c>
      <c r="S57" t="s">
        <v>85</v>
      </c>
      <c r="T57" t="s">
        <v>343</v>
      </c>
      <c r="U57">
        <v>-5.1475815508309202</v>
      </c>
      <c r="V57">
        <v>9.0800343043271994</v>
      </c>
      <c r="W57" t="s">
        <v>49</v>
      </c>
    </row>
    <row r="58" spans="1:23" x14ac:dyDescent="0.3">
      <c r="A58" t="s">
        <v>265</v>
      </c>
      <c r="B58" t="s">
        <v>10</v>
      </c>
      <c r="C58" t="s">
        <v>41</v>
      </c>
      <c r="D58">
        <v>6.1534287229018103E-2</v>
      </c>
      <c r="E58">
        <v>0.186260275394908</v>
      </c>
      <c r="F58" t="s">
        <v>78</v>
      </c>
      <c r="G58">
        <v>9.6327293525508697</v>
      </c>
      <c r="H58" t="s">
        <v>79</v>
      </c>
      <c r="I58" t="b">
        <v>0</v>
      </c>
      <c r="J58">
        <v>174.39939321294199</v>
      </c>
      <c r="K58">
        <v>174.84383765738599</v>
      </c>
      <c r="L58">
        <v>8.7164777363850003</v>
      </c>
      <c r="M58" t="s">
        <v>279</v>
      </c>
      <c r="N58" t="s">
        <v>267</v>
      </c>
      <c r="O58" t="s">
        <v>280</v>
      </c>
      <c r="P58">
        <f>-4.30130996950734 - 23.5667686746091</f>
        <v>-27.868078644116441</v>
      </c>
      <c r="Q58" t="s">
        <v>52</v>
      </c>
      <c r="R58" t="s">
        <v>80</v>
      </c>
      <c r="S58" t="s">
        <v>81</v>
      </c>
      <c r="T58" t="s">
        <v>344</v>
      </c>
      <c r="U58">
        <v>-4.7770235845164004</v>
      </c>
      <c r="V58">
        <v>7.1092037357439901</v>
      </c>
      <c r="W58" t="s">
        <v>49</v>
      </c>
    </row>
    <row r="59" spans="1:23" x14ac:dyDescent="0.3">
      <c r="A59" t="s">
        <v>265</v>
      </c>
      <c r="B59" t="s">
        <v>4</v>
      </c>
      <c r="C59" t="s">
        <v>41</v>
      </c>
      <c r="D59">
        <v>8.3071073818459995E-4</v>
      </c>
      <c r="E59">
        <v>0.89122020612333896</v>
      </c>
      <c r="F59" t="s">
        <v>78</v>
      </c>
      <c r="G59">
        <v>-0.65599581253757</v>
      </c>
      <c r="H59" t="s">
        <v>83</v>
      </c>
      <c r="I59" t="b">
        <v>0</v>
      </c>
      <c r="J59">
        <v>175.66398671580299</v>
      </c>
      <c r="K59">
        <v>176.20944126125801</v>
      </c>
      <c r="L59">
        <v>17.685174965089999</v>
      </c>
      <c r="M59" t="s">
        <v>284</v>
      </c>
      <c r="N59" t="s">
        <v>267</v>
      </c>
      <c r="O59" t="s">
        <v>319</v>
      </c>
      <c r="P59">
        <f>-9.95395952163794 - 8.6419678965628</f>
        <v>-18.595927418200738</v>
      </c>
      <c r="Q59" t="s">
        <v>56</v>
      </c>
      <c r="R59" t="s">
        <v>84</v>
      </c>
      <c r="S59" t="s">
        <v>85</v>
      </c>
      <c r="T59" t="s">
        <v>345</v>
      </c>
      <c r="U59">
        <v>5.2484264043929603</v>
      </c>
      <c r="V59">
        <v>4.7438590352552898</v>
      </c>
      <c r="W59" t="s">
        <v>49</v>
      </c>
    </row>
    <row r="60" spans="1:23" x14ac:dyDescent="0.3">
      <c r="A60" t="s">
        <v>265</v>
      </c>
      <c r="B60" t="s">
        <v>5</v>
      </c>
      <c r="C60" t="s">
        <v>41</v>
      </c>
      <c r="D60">
        <v>7.6430970558292899E-2</v>
      </c>
      <c r="E60">
        <v>0.36052711950961802</v>
      </c>
      <c r="F60" t="s">
        <v>78</v>
      </c>
      <c r="G60">
        <v>-4.5130383780379004</v>
      </c>
      <c r="H60" t="s">
        <v>83</v>
      </c>
      <c r="I60" t="b">
        <v>0</v>
      </c>
      <c r="J60">
        <v>72.5487474140361</v>
      </c>
      <c r="K60">
        <v>73.748747414036103</v>
      </c>
      <c r="L60">
        <v>24.461786115604699</v>
      </c>
      <c r="M60" t="s">
        <v>284</v>
      </c>
      <c r="N60" t="s">
        <v>272</v>
      </c>
      <c r="O60" t="s">
        <v>311</v>
      </c>
      <c r="P60">
        <f>-13.7840846519287 - 4.75800789585292</f>
        <v>-18.542092547781621</v>
      </c>
      <c r="Q60" t="s">
        <v>56</v>
      </c>
      <c r="R60" t="s">
        <v>84</v>
      </c>
      <c r="S60" t="s">
        <v>85</v>
      </c>
      <c r="T60" t="s">
        <v>346</v>
      </c>
      <c r="U60">
        <v>2.2898423036669699</v>
      </c>
      <c r="V60">
        <v>4.7301256499442896</v>
      </c>
      <c r="W60" t="s">
        <v>49</v>
      </c>
    </row>
    <row r="61" spans="1:23" x14ac:dyDescent="0.3">
      <c r="A61" t="s">
        <v>265</v>
      </c>
      <c r="B61" t="s">
        <v>3</v>
      </c>
      <c r="C61" t="s">
        <v>41</v>
      </c>
      <c r="D61">
        <v>4.4807741514794802E-2</v>
      </c>
      <c r="E61">
        <v>0.48752775253597003</v>
      </c>
      <c r="F61" t="s">
        <v>78</v>
      </c>
      <c r="G61">
        <v>-3.8698735178669002E-3</v>
      </c>
      <c r="H61" t="s">
        <v>79</v>
      </c>
      <c r="I61" t="b">
        <v>0</v>
      </c>
      <c r="J61">
        <v>55.438337557696201</v>
      </c>
      <c r="K61">
        <v>56.638337557696197</v>
      </c>
      <c r="L61">
        <v>7.4224626592793896</v>
      </c>
      <c r="M61" t="s">
        <v>284</v>
      </c>
      <c r="N61" t="s">
        <v>272</v>
      </c>
      <c r="O61" t="s">
        <v>309</v>
      </c>
      <c r="P61">
        <f>-0.0144289362356204 - 0.00668918919988657</f>
        <v>-2.1118125435506969E-2</v>
      </c>
      <c r="Q61" t="s">
        <v>56</v>
      </c>
      <c r="R61" t="s">
        <v>80</v>
      </c>
      <c r="S61" t="s">
        <v>81</v>
      </c>
      <c r="T61" t="s">
        <v>347</v>
      </c>
      <c r="U61">
        <v>2.1840579310560999</v>
      </c>
      <c r="V61">
        <v>5.3872768968129996E-3</v>
      </c>
      <c r="W61" t="s">
        <v>49</v>
      </c>
    </row>
    <row r="62" spans="1:23" x14ac:dyDescent="0.3">
      <c r="A62" t="s">
        <v>265</v>
      </c>
      <c r="B62" t="s">
        <v>5</v>
      </c>
      <c r="C62" t="s">
        <v>41</v>
      </c>
      <c r="D62">
        <v>1.8575127874412699E-2</v>
      </c>
      <c r="E62">
        <v>0.65706398833964796</v>
      </c>
      <c r="F62" t="s">
        <v>78</v>
      </c>
      <c r="G62">
        <v>-1.48553722957585</v>
      </c>
      <c r="H62" t="s">
        <v>79</v>
      </c>
      <c r="I62" t="b">
        <v>0</v>
      </c>
      <c r="J62">
        <v>55.790544332681897</v>
      </c>
      <c r="K62">
        <v>56.9905443326819</v>
      </c>
      <c r="L62">
        <v>7.7035830342504896</v>
      </c>
      <c r="M62" t="s">
        <v>284</v>
      </c>
      <c r="N62" t="s">
        <v>272</v>
      </c>
      <c r="O62" t="s">
        <v>311</v>
      </c>
      <c r="P62">
        <f>-7.8667891919764 - 4.8957147328247</f>
        <v>-12.7625039248011</v>
      </c>
      <c r="Q62" t="s">
        <v>56</v>
      </c>
      <c r="R62" t="s">
        <v>80</v>
      </c>
      <c r="S62" t="s">
        <v>81</v>
      </c>
      <c r="T62" t="s">
        <v>348</v>
      </c>
      <c r="U62">
        <v>1.59106856120917</v>
      </c>
      <c r="V62">
        <v>3.2557407971431398</v>
      </c>
      <c r="W62" t="s">
        <v>49</v>
      </c>
    </row>
    <row r="63" spans="1:23" x14ac:dyDescent="0.3">
      <c r="A63" t="s">
        <v>265</v>
      </c>
      <c r="B63" t="s">
        <v>6</v>
      </c>
      <c r="C63" t="s">
        <v>41</v>
      </c>
      <c r="D63">
        <v>0.21789224736427401</v>
      </c>
      <c r="E63">
        <v>0.29098777573371798</v>
      </c>
      <c r="F63" t="s">
        <v>78</v>
      </c>
      <c r="G63">
        <v>-4.6103193722516998E-3</v>
      </c>
      <c r="H63" t="s">
        <v>89</v>
      </c>
      <c r="I63" t="b">
        <v>0</v>
      </c>
      <c r="J63">
        <v>24.605522774494201</v>
      </c>
      <c r="K63">
        <v>27.605522774494201</v>
      </c>
      <c r="L63">
        <v>0.15377098617059901</v>
      </c>
      <c r="M63" t="s">
        <v>271</v>
      </c>
      <c r="N63" t="s">
        <v>267</v>
      </c>
      <c r="O63" t="s">
        <v>275</v>
      </c>
      <c r="P63">
        <f>-0.0122665408289224 - 0.00304590208441896</f>
        <v>-1.531244291334136E-2</v>
      </c>
      <c r="Q63" t="s">
        <v>59</v>
      </c>
      <c r="R63" t="s">
        <v>90</v>
      </c>
      <c r="S63" t="s">
        <v>43</v>
      </c>
      <c r="T63" t="s">
        <v>91</v>
      </c>
      <c r="U63">
        <v>2.71164281154193</v>
      </c>
      <c r="V63">
        <v>3.9062354370768002E-3</v>
      </c>
      <c r="W63" t="s">
        <v>49</v>
      </c>
    </row>
    <row r="64" spans="1:23" x14ac:dyDescent="0.3">
      <c r="A64" t="s">
        <v>265</v>
      </c>
      <c r="B64" t="s">
        <v>3</v>
      </c>
      <c r="C64" t="s">
        <v>41</v>
      </c>
      <c r="D64">
        <v>8.6873705187358007E-3</v>
      </c>
      <c r="E64">
        <v>0.76199875432945097</v>
      </c>
      <c r="F64" t="s">
        <v>78</v>
      </c>
      <c r="G64">
        <v>-2.6658345139186001E-3</v>
      </c>
      <c r="H64" t="s">
        <v>83</v>
      </c>
      <c r="I64" t="b">
        <v>0</v>
      </c>
      <c r="J64">
        <v>73.468944728411202</v>
      </c>
      <c r="K64">
        <v>74.668944728411205</v>
      </c>
      <c r="L64">
        <v>25.453069829994401</v>
      </c>
      <c r="M64" t="s">
        <v>284</v>
      </c>
      <c r="N64" t="s">
        <v>272</v>
      </c>
      <c r="O64" t="s">
        <v>309</v>
      </c>
      <c r="P64">
        <f>-0.0194946699027449 - 0.0141630008749076</f>
        <v>-3.3657670777652499E-2</v>
      </c>
      <c r="Q64" t="s">
        <v>56</v>
      </c>
      <c r="R64" t="s">
        <v>84</v>
      </c>
      <c r="S64" t="s">
        <v>85</v>
      </c>
      <c r="T64" t="s">
        <v>349</v>
      </c>
      <c r="U64">
        <v>2.0545627814885101</v>
      </c>
      <c r="V64">
        <v>8.5861405045030998E-3</v>
      </c>
      <c r="W64" t="s">
        <v>49</v>
      </c>
    </row>
    <row r="65" spans="1:23" x14ac:dyDescent="0.3">
      <c r="A65" t="s">
        <v>265</v>
      </c>
      <c r="B65" t="s">
        <v>6</v>
      </c>
      <c r="C65" t="s">
        <v>41</v>
      </c>
      <c r="D65">
        <v>7.3065338472022207E-2</v>
      </c>
      <c r="E65">
        <v>0.24906442533022299</v>
      </c>
      <c r="F65" t="s">
        <v>78</v>
      </c>
      <c r="G65">
        <v>-1.20820772357066E-2</v>
      </c>
      <c r="H65" t="s">
        <v>79</v>
      </c>
      <c r="I65" t="b">
        <v>0</v>
      </c>
      <c r="J65">
        <v>125.24757634736601</v>
      </c>
      <c r="K65">
        <v>125.953458700307</v>
      </c>
      <c r="L65">
        <v>5.4655968374959896</v>
      </c>
      <c r="M65" t="s">
        <v>271</v>
      </c>
      <c r="N65" t="s">
        <v>272</v>
      </c>
      <c r="O65" t="s">
        <v>292</v>
      </c>
      <c r="P65">
        <f>-0.0319627138599092 - 0.00779855938849603</f>
        <v>-3.9761273248405234E-2</v>
      </c>
      <c r="Q65" t="s">
        <v>59</v>
      </c>
      <c r="R65" t="s">
        <v>80</v>
      </c>
      <c r="S65" t="s">
        <v>81</v>
      </c>
      <c r="T65" t="s">
        <v>350</v>
      </c>
      <c r="U65">
        <v>6.7240298672210601</v>
      </c>
      <c r="V65">
        <v>1.0143181951123801E-2</v>
      </c>
      <c r="W65" t="s">
        <v>49</v>
      </c>
    </row>
    <row r="66" spans="1:23" x14ac:dyDescent="0.3">
      <c r="A66" t="s">
        <v>265</v>
      </c>
      <c r="B66" t="s">
        <v>13</v>
      </c>
      <c r="C66" t="s">
        <v>41</v>
      </c>
      <c r="D66">
        <v>8.2701351760495999E-3</v>
      </c>
      <c r="E66">
        <v>0.71969014797859199</v>
      </c>
      <c r="F66" t="s">
        <v>78</v>
      </c>
      <c r="G66">
        <v>-1.73404905918242</v>
      </c>
      <c r="H66" t="s">
        <v>79</v>
      </c>
      <c r="I66" t="b">
        <v>0</v>
      </c>
      <c r="J66">
        <v>80.866399615314904</v>
      </c>
      <c r="K66">
        <v>81.666399615314901</v>
      </c>
      <c r="L66">
        <v>7.9820497975588003</v>
      </c>
      <c r="M66" t="s">
        <v>266</v>
      </c>
      <c r="N66" t="s">
        <v>272</v>
      </c>
      <c r="O66" t="s">
        <v>317</v>
      </c>
      <c r="P66">
        <f>-11.0386521499437 - 7.57055403157888</f>
        <v>-18.60920618152258</v>
      </c>
      <c r="Q66" t="s">
        <v>45</v>
      </c>
      <c r="R66" t="s">
        <v>80</v>
      </c>
      <c r="S66" t="s">
        <v>81</v>
      </c>
      <c r="T66" t="s">
        <v>351</v>
      </c>
      <c r="U66">
        <v>4.3747713362595801</v>
      </c>
      <c r="V66">
        <v>4.7472464748782199</v>
      </c>
      <c r="W66" t="s">
        <v>49</v>
      </c>
    </row>
    <row r="67" spans="1:23" x14ac:dyDescent="0.3">
      <c r="A67" t="s">
        <v>265</v>
      </c>
      <c r="B67" t="s">
        <v>3</v>
      </c>
      <c r="C67" t="s">
        <v>41</v>
      </c>
      <c r="D67">
        <v>0.115885281249259</v>
      </c>
      <c r="E67">
        <v>9.58899939203577E-2</v>
      </c>
      <c r="F67" t="s">
        <v>78</v>
      </c>
      <c r="G67">
        <v>2.4596428717581401E-2</v>
      </c>
      <c r="H67" t="s">
        <v>89</v>
      </c>
      <c r="I67" t="b">
        <v>0</v>
      </c>
      <c r="J67">
        <v>172.60555180449899</v>
      </c>
      <c r="K67">
        <v>173.15100634995301</v>
      </c>
      <c r="L67">
        <v>14.553477015691</v>
      </c>
      <c r="M67" t="s">
        <v>284</v>
      </c>
      <c r="N67" t="s">
        <v>267</v>
      </c>
      <c r="O67" t="s">
        <v>307</v>
      </c>
      <c r="P67">
        <f>-0.00316899966279767 - 0.0523618570979605</f>
        <v>-5.5530856760758168E-2</v>
      </c>
      <c r="Q67" t="s">
        <v>56</v>
      </c>
      <c r="R67" t="s">
        <v>90</v>
      </c>
      <c r="S67" t="s">
        <v>43</v>
      </c>
      <c r="T67" t="s">
        <v>91</v>
      </c>
      <c r="U67">
        <v>0.78201318019153698</v>
      </c>
      <c r="V67">
        <v>1.41660348879485E-2</v>
      </c>
      <c r="W67" t="s">
        <v>49</v>
      </c>
    </row>
    <row r="68" spans="1:23" x14ac:dyDescent="0.3">
      <c r="A68" t="s">
        <v>265</v>
      </c>
      <c r="B68" t="s">
        <v>10</v>
      </c>
      <c r="C68" t="s">
        <v>41</v>
      </c>
      <c r="D68">
        <v>1.9495165052111E-3</v>
      </c>
      <c r="E68">
        <v>0.90360266643615095</v>
      </c>
      <c r="F68" t="s">
        <v>78</v>
      </c>
      <c r="G68">
        <v>-3.3742769986862098</v>
      </c>
      <c r="H68" t="s">
        <v>83</v>
      </c>
      <c r="I68" t="b">
        <v>0</v>
      </c>
      <c r="J68">
        <v>78.257101086329399</v>
      </c>
      <c r="K68">
        <v>79.971386800615093</v>
      </c>
      <c r="L68">
        <v>9.9746254040480906</v>
      </c>
      <c r="M68" t="s">
        <v>279</v>
      </c>
      <c r="N68" t="s">
        <v>272</v>
      </c>
      <c r="O68" t="s">
        <v>315</v>
      </c>
      <c r="P68">
        <f>-56.2802378027011 - 49.5316838053287</f>
        <v>-105.81192160802979</v>
      </c>
      <c r="Q68" t="s">
        <v>52</v>
      </c>
      <c r="R68" t="s">
        <v>84</v>
      </c>
      <c r="S68" t="s">
        <v>85</v>
      </c>
      <c r="T68" t="s">
        <v>352</v>
      </c>
      <c r="U68">
        <v>6.4194301501950299</v>
      </c>
      <c r="V68">
        <v>26.9928371449056</v>
      </c>
      <c r="W68" t="s">
        <v>49</v>
      </c>
    </row>
    <row r="69" spans="1:23" x14ac:dyDescent="0.3">
      <c r="A69" t="s">
        <v>265</v>
      </c>
      <c r="B69" t="s">
        <v>12</v>
      </c>
      <c r="C69" t="s">
        <v>41</v>
      </c>
      <c r="D69">
        <v>3.3227807401731202E-2</v>
      </c>
      <c r="E69">
        <v>0.39392884380663301</v>
      </c>
      <c r="F69" t="s">
        <v>78</v>
      </c>
      <c r="G69">
        <v>2.4028939499098099E-2</v>
      </c>
      <c r="H69" t="s">
        <v>89</v>
      </c>
      <c r="I69" t="b">
        <v>0</v>
      </c>
      <c r="J69">
        <v>174.86105283627899</v>
      </c>
      <c r="K69">
        <v>175.432481407708</v>
      </c>
      <c r="L69">
        <v>21.370233678789901</v>
      </c>
      <c r="M69" t="s">
        <v>266</v>
      </c>
      <c r="N69" t="s">
        <v>267</v>
      </c>
      <c r="O69" t="s">
        <v>303</v>
      </c>
      <c r="P69">
        <f>-0.0301325460524307 - 0.078190425050627</f>
        <v>-0.10832297110305769</v>
      </c>
      <c r="Q69" t="s">
        <v>45</v>
      </c>
      <c r="R69" t="s">
        <v>90</v>
      </c>
      <c r="S69" t="s">
        <v>43</v>
      </c>
      <c r="T69" t="s">
        <v>91</v>
      </c>
      <c r="U69">
        <v>0.41190874487812901</v>
      </c>
      <c r="V69">
        <v>2.7633410995677999E-2</v>
      </c>
      <c r="W69" t="s">
        <v>49</v>
      </c>
    </row>
    <row r="70" spans="1:23" x14ac:dyDescent="0.3">
      <c r="A70" t="s">
        <v>265</v>
      </c>
      <c r="B70" t="s">
        <v>11</v>
      </c>
      <c r="C70" t="s">
        <v>41</v>
      </c>
      <c r="D70">
        <v>2.9921912896990001E-4</v>
      </c>
      <c r="E70">
        <v>0.96217205111264903</v>
      </c>
      <c r="F70" t="s">
        <v>78</v>
      </c>
      <c r="G70">
        <v>-0.70536157232546404</v>
      </c>
      <c r="H70" t="s">
        <v>83</v>
      </c>
      <c r="I70" t="b">
        <v>0</v>
      </c>
      <c r="J70">
        <v>78.2736226401491</v>
      </c>
      <c r="K70">
        <v>79.987908354434893</v>
      </c>
      <c r="L70">
        <v>9.9411521475517901</v>
      </c>
      <c r="M70" t="s">
        <v>279</v>
      </c>
      <c r="N70" t="s">
        <v>272</v>
      </c>
      <c r="O70" t="s">
        <v>299</v>
      </c>
      <c r="P70">
        <f>-28.9582732762845 - 27.5475501316335</f>
        <v>-56.505823407918001</v>
      </c>
      <c r="Q70" t="s">
        <v>52</v>
      </c>
      <c r="R70" t="s">
        <v>84</v>
      </c>
      <c r="S70" t="s">
        <v>85</v>
      </c>
      <c r="T70" t="s">
        <v>353</v>
      </c>
      <c r="U70">
        <v>3.5923593506704798</v>
      </c>
      <c r="V70">
        <v>14.414750869366801</v>
      </c>
      <c r="W70" t="s">
        <v>49</v>
      </c>
    </row>
    <row r="71" spans="1:23" x14ac:dyDescent="0.3">
      <c r="A71" t="s">
        <v>265</v>
      </c>
      <c r="B71" t="s">
        <v>11</v>
      </c>
      <c r="C71" t="s">
        <v>41</v>
      </c>
      <c r="D71">
        <v>4.6938773820120001E-3</v>
      </c>
      <c r="E71">
        <v>0.71904682523521002</v>
      </c>
      <c r="F71" t="s">
        <v>78</v>
      </c>
      <c r="G71">
        <v>1.43761638065796</v>
      </c>
      <c r="H71" t="s">
        <v>89</v>
      </c>
      <c r="I71" t="b">
        <v>0</v>
      </c>
      <c r="J71">
        <v>176.16351409730299</v>
      </c>
      <c r="K71">
        <v>176.60795854174799</v>
      </c>
      <c r="L71">
        <v>8.6813893150639903</v>
      </c>
      <c r="M71" t="s">
        <v>279</v>
      </c>
      <c r="N71" t="s">
        <v>267</v>
      </c>
      <c r="O71" t="s">
        <v>297</v>
      </c>
      <c r="P71">
        <f>-6.31650394494398 - 9.19173670625989</f>
        <v>-15.50824065120387</v>
      </c>
      <c r="Q71" t="s">
        <v>52</v>
      </c>
      <c r="R71" t="s">
        <v>90</v>
      </c>
      <c r="S71" t="s">
        <v>43</v>
      </c>
      <c r="T71" t="s">
        <v>91</v>
      </c>
      <c r="U71">
        <v>3.6876562808257698</v>
      </c>
      <c r="V71">
        <v>3.9561838395928199</v>
      </c>
      <c r="W71" t="s">
        <v>49</v>
      </c>
    </row>
    <row r="72" spans="1:23" x14ac:dyDescent="0.3">
      <c r="A72" t="s">
        <v>265</v>
      </c>
      <c r="B72" t="s">
        <v>11</v>
      </c>
      <c r="C72" t="s">
        <v>41</v>
      </c>
      <c r="D72">
        <v>5.4723346103729004E-3</v>
      </c>
      <c r="E72">
        <v>0.69764948045337305</v>
      </c>
      <c r="F72" t="s">
        <v>78</v>
      </c>
      <c r="G72">
        <v>1.5923205207540401</v>
      </c>
      <c r="H72" t="s">
        <v>79</v>
      </c>
      <c r="I72" t="b">
        <v>0</v>
      </c>
      <c r="J72">
        <v>176.15496365210001</v>
      </c>
      <c r="K72">
        <v>176.59940809654401</v>
      </c>
      <c r="L72">
        <v>8.6728388698600103</v>
      </c>
      <c r="M72" t="s">
        <v>279</v>
      </c>
      <c r="N72" t="s">
        <v>267</v>
      </c>
      <c r="O72" t="s">
        <v>297</v>
      </c>
      <c r="P72">
        <f>-6.35882422589776 - 9.54346526740585</f>
        <v>-15.902289493303609</v>
      </c>
      <c r="Q72" t="s">
        <v>52</v>
      </c>
      <c r="R72" t="s">
        <v>80</v>
      </c>
      <c r="S72" t="s">
        <v>81</v>
      </c>
      <c r="T72" t="s">
        <v>354</v>
      </c>
      <c r="U72">
        <v>3.6504438622249</v>
      </c>
      <c r="V72">
        <v>4.0567065033937801</v>
      </c>
      <c r="W72" t="s">
        <v>49</v>
      </c>
    </row>
    <row r="73" spans="1:23" x14ac:dyDescent="0.3">
      <c r="A73" t="s">
        <v>265</v>
      </c>
      <c r="B73" t="s">
        <v>12</v>
      </c>
      <c r="C73" t="s">
        <v>41</v>
      </c>
      <c r="D73">
        <v>3.3227807401731202E-2</v>
      </c>
      <c r="E73">
        <v>0.39392884380663301</v>
      </c>
      <c r="F73" t="s">
        <v>78</v>
      </c>
      <c r="G73">
        <v>2.4028939499098099E-2</v>
      </c>
      <c r="H73" t="s">
        <v>83</v>
      </c>
      <c r="I73" t="b">
        <v>0</v>
      </c>
      <c r="J73">
        <v>174.86105283627899</v>
      </c>
      <c r="K73">
        <v>175.432481407708</v>
      </c>
      <c r="L73">
        <v>21.370233678789901</v>
      </c>
      <c r="M73" t="s">
        <v>266</v>
      </c>
      <c r="N73" t="s">
        <v>267</v>
      </c>
      <c r="O73" t="s">
        <v>303</v>
      </c>
      <c r="P73">
        <f>-0.0301325460524307 - 0.078190425050627</f>
        <v>-0.10832297110305769</v>
      </c>
      <c r="Q73" t="s">
        <v>45</v>
      </c>
      <c r="R73" t="s">
        <v>84</v>
      </c>
      <c r="S73" t="s">
        <v>85</v>
      </c>
      <c r="T73" t="s">
        <v>355</v>
      </c>
      <c r="U73">
        <v>0.41190874487812901</v>
      </c>
      <c r="V73">
        <v>2.7633410995677999E-2</v>
      </c>
      <c r="W73" t="s">
        <v>49</v>
      </c>
    </row>
    <row r="74" spans="1:23" x14ac:dyDescent="0.3">
      <c r="A74" t="s">
        <v>265</v>
      </c>
      <c r="B74" t="s">
        <v>13</v>
      </c>
      <c r="C74" t="s">
        <v>41</v>
      </c>
      <c r="D74">
        <v>1.8167404452587799E-2</v>
      </c>
      <c r="E74">
        <v>0.53004185588859498</v>
      </c>
      <c r="F74" t="s">
        <v>78</v>
      </c>
      <c r="G74">
        <v>10.584784156724</v>
      </c>
      <c r="H74" t="s">
        <v>79</v>
      </c>
      <c r="I74" t="b">
        <v>0</v>
      </c>
      <c r="J74">
        <v>166.051588362758</v>
      </c>
      <c r="K74">
        <v>166.62301693418601</v>
      </c>
      <c r="L74">
        <v>14.506100711455</v>
      </c>
      <c r="M74" t="s">
        <v>266</v>
      </c>
      <c r="N74" t="s">
        <v>267</v>
      </c>
      <c r="O74" t="s">
        <v>313</v>
      </c>
      <c r="P74">
        <f>-21.9313583265623 - 43.1009266400103</f>
        <v>-65.032284966572604</v>
      </c>
      <c r="Q74" t="s">
        <v>45</v>
      </c>
      <c r="R74" t="s">
        <v>80</v>
      </c>
      <c r="S74" t="s">
        <v>81</v>
      </c>
      <c r="T74" t="s">
        <v>356</v>
      </c>
      <c r="U74">
        <v>-6.45156838159222</v>
      </c>
      <c r="V74">
        <v>16.589868613921599</v>
      </c>
      <c r="W74" t="s">
        <v>49</v>
      </c>
    </row>
    <row r="75" spans="1:23" x14ac:dyDescent="0.3">
      <c r="A75" t="s">
        <v>265</v>
      </c>
      <c r="B75" t="s">
        <v>10</v>
      </c>
      <c r="C75" t="s">
        <v>41</v>
      </c>
      <c r="D75">
        <v>6.1534287229018603E-2</v>
      </c>
      <c r="E75">
        <v>0.186260275394909</v>
      </c>
      <c r="F75" t="s">
        <v>78</v>
      </c>
      <c r="G75">
        <v>9.6327293525508608</v>
      </c>
      <c r="H75" t="s">
        <v>89</v>
      </c>
      <c r="I75" t="b">
        <v>0</v>
      </c>
      <c r="J75">
        <v>174.39939321294199</v>
      </c>
      <c r="K75">
        <v>174.84383765738599</v>
      </c>
      <c r="L75">
        <v>8.7164777363850003</v>
      </c>
      <c r="M75" t="s">
        <v>279</v>
      </c>
      <c r="N75" t="s">
        <v>267</v>
      </c>
      <c r="O75" t="s">
        <v>280</v>
      </c>
      <c r="P75">
        <f>-4.30130996950736 - 23.5667686746091</f>
        <v>-27.868078644116462</v>
      </c>
      <c r="Q75" t="s">
        <v>52</v>
      </c>
      <c r="R75" t="s">
        <v>90</v>
      </c>
      <c r="S75" t="s">
        <v>43</v>
      </c>
      <c r="T75" t="s">
        <v>91</v>
      </c>
      <c r="U75">
        <v>-4.7770235845163702</v>
      </c>
      <c r="V75">
        <v>7.1092037357439901</v>
      </c>
      <c r="W75" t="s">
        <v>49</v>
      </c>
    </row>
    <row r="76" spans="1:23" x14ac:dyDescent="0.3">
      <c r="A76" t="s">
        <v>265</v>
      </c>
      <c r="B76" t="s">
        <v>9</v>
      </c>
      <c r="C76" t="s">
        <v>41</v>
      </c>
      <c r="D76">
        <v>2.07365846396796E-2</v>
      </c>
      <c r="E76">
        <v>0.69144680464821595</v>
      </c>
      <c r="F76" t="s">
        <v>78</v>
      </c>
      <c r="G76">
        <v>-1.4799168880115701E-2</v>
      </c>
      <c r="H76" t="s">
        <v>79</v>
      </c>
      <c r="I76" t="b">
        <v>0</v>
      </c>
      <c r="J76">
        <v>70.925939619898102</v>
      </c>
      <c r="K76">
        <v>72.640225334183896</v>
      </c>
      <c r="L76">
        <v>2.8953512601137898</v>
      </c>
      <c r="M76" t="s">
        <v>279</v>
      </c>
      <c r="N76" t="s">
        <v>272</v>
      </c>
      <c r="O76" t="s">
        <v>282</v>
      </c>
      <c r="P76">
        <f>-0.0852732715125542 - 0.0556749337523229</f>
        <v>-0.14094820526487711</v>
      </c>
      <c r="Q76" t="s">
        <v>52</v>
      </c>
      <c r="R76" t="s">
        <v>80</v>
      </c>
      <c r="S76" t="s">
        <v>81</v>
      </c>
      <c r="T76" t="s">
        <v>357</v>
      </c>
      <c r="U76">
        <v>5.7870606813811198</v>
      </c>
      <c r="V76">
        <v>3.59561748124686E-2</v>
      </c>
      <c r="W76" t="s">
        <v>49</v>
      </c>
    </row>
    <row r="77" spans="1:23" x14ac:dyDescent="0.3">
      <c r="A77" t="s">
        <v>265</v>
      </c>
      <c r="B77" t="s">
        <v>9</v>
      </c>
      <c r="C77" t="s">
        <v>41</v>
      </c>
      <c r="D77">
        <v>1.2842794741488301E-2</v>
      </c>
      <c r="E77">
        <v>0.55099929039585105</v>
      </c>
      <c r="F77" t="s">
        <v>78</v>
      </c>
      <c r="G77">
        <v>-5.3541424157102996E-3</v>
      </c>
      <c r="H77" t="s">
        <v>79</v>
      </c>
      <c r="I77" t="b">
        <v>0</v>
      </c>
      <c r="J77">
        <v>175.93797027815799</v>
      </c>
      <c r="K77">
        <v>176.38241472260199</v>
      </c>
      <c r="L77">
        <v>8.2121924072139905</v>
      </c>
      <c r="M77" t="s">
        <v>279</v>
      </c>
      <c r="N77" t="s">
        <v>267</v>
      </c>
      <c r="O77" t="s">
        <v>288</v>
      </c>
      <c r="P77">
        <f>-0.0227413709995152 - 0.0120330861680946</f>
        <v>-3.4774457167609796E-2</v>
      </c>
      <c r="Q77" t="s">
        <v>52</v>
      </c>
      <c r="R77" t="s">
        <v>80</v>
      </c>
      <c r="S77" t="s">
        <v>81</v>
      </c>
      <c r="T77" t="s">
        <v>358</v>
      </c>
      <c r="U77">
        <v>4.48581418243384</v>
      </c>
      <c r="V77">
        <v>8.8710349917371003E-3</v>
      </c>
      <c r="W77" t="s">
        <v>49</v>
      </c>
    </row>
    <row r="78" spans="1:23" x14ac:dyDescent="0.3">
      <c r="A78" t="s">
        <v>265</v>
      </c>
      <c r="B78" t="s">
        <v>13</v>
      </c>
      <c r="C78" t="s">
        <v>41</v>
      </c>
      <c r="D78">
        <v>1.20982929203699E-2</v>
      </c>
      <c r="E78">
        <v>0.60890235039280904</v>
      </c>
      <c r="F78" t="s">
        <v>78</v>
      </c>
      <c r="G78">
        <v>8.7760531968480802</v>
      </c>
      <c r="H78" t="s">
        <v>89</v>
      </c>
      <c r="I78" t="b">
        <v>0</v>
      </c>
      <c r="J78">
        <v>175.37994051464699</v>
      </c>
      <c r="K78">
        <v>175.951369086075</v>
      </c>
      <c r="L78">
        <v>23.834452863344001</v>
      </c>
      <c r="M78" t="s">
        <v>266</v>
      </c>
      <c r="N78" t="s">
        <v>267</v>
      </c>
      <c r="O78" t="s">
        <v>313</v>
      </c>
      <c r="P78">
        <f>-24.3629009650582 - 41.9150073587543</f>
        <v>-66.277908323812497</v>
      </c>
      <c r="Q78" t="s">
        <v>45</v>
      </c>
      <c r="R78" t="s">
        <v>90</v>
      </c>
      <c r="S78" t="s">
        <v>43</v>
      </c>
      <c r="T78" t="s">
        <v>91</v>
      </c>
      <c r="U78">
        <v>-4.4211957611308703</v>
      </c>
      <c r="V78">
        <v>16.907629674441999</v>
      </c>
      <c r="W78" t="s">
        <v>49</v>
      </c>
    </row>
    <row r="79" spans="1:23" x14ac:dyDescent="0.3">
      <c r="A79" t="s">
        <v>265</v>
      </c>
      <c r="B79" t="s">
        <v>3</v>
      </c>
      <c r="C79" t="s">
        <v>41</v>
      </c>
      <c r="D79">
        <v>0.112083638830293</v>
      </c>
      <c r="E79">
        <v>0.10187153236237</v>
      </c>
      <c r="F79" t="s">
        <v>78</v>
      </c>
      <c r="G79">
        <v>2.50461623429678E-2</v>
      </c>
      <c r="H79" t="s">
        <v>79</v>
      </c>
      <c r="I79" t="b">
        <v>0</v>
      </c>
      <c r="J79">
        <v>169.014767906088</v>
      </c>
      <c r="K79">
        <v>169.56022245154199</v>
      </c>
      <c r="L79">
        <v>10.962693117279899</v>
      </c>
      <c r="M79" t="s">
        <v>284</v>
      </c>
      <c r="N79" t="s">
        <v>267</v>
      </c>
      <c r="O79" t="s">
        <v>307</v>
      </c>
      <c r="P79">
        <f>-0.00376416965105965 - 0.0538564943369952</f>
        <v>-5.7620663988054849E-2</v>
      </c>
      <c r="Q79" t="s">
        <v>56</v>
      </c>
      <c r="R79" t="s">
        <v>80</v>
      </c>
      <c r="S79" t="s">
        <v>81</v>
      </c>
      <c r="T79" t="s">
        <v>359</v>
      </c>
      <c r="U79">
        <v>0.93094877533440101</v>
      </c>
      <c r="V79">
        <v>1.4699148976544601E-2</v>
      </c>
      <c r="W79" t="s">
        <v>49</v>
      </c>
    </row>
    <row r="80" spans="1:23" x14ac:dyDescent="0.3">
      <c r="A80" t="s">
        <v>265</v>
      </c>
      <c r="B80" t="s">
        <v>9</v>
      </c>
      <c r="C80" t="s">
        <v>41</v>
      </c>
      <c r="D80">
        <v>9.3331922075293505E-2</v>
      </c>
      <c r="E80">
        <v>0.390670103745413</v>
      </c>
      <c r="F80" t="s">
        <v>78</v>
      </c>
      <c r="G80">
        <v>-2.71644959866809E-2</v>
      </c>
      <c r="H80" t="s">
        <v>83</v>
      </c>
      <c r="I80" t="b">
        <v>0</v>
      </c>
      <c r="J80">
        <v>77.296826760920496</v>
      </c>
      <c r="K80">
        <v>79.011112475206204</v>
      </c>
      <c r="L80">
        <v>9.2662384011360999</v>
      </c>
      <c r="M80" t="s">
        <v>279</v>
      </c>
      <c r="N80" t="s">
        <v>272</v>
      </c>
      <c r="O80" t="s">
        <v>282</v>
      </c>
      <c r="P80">
        <f>-0.0858352658721158 - 0.0315062738987539</f>
        <v>-0.1173415397708697</v>
      </c>
      <c r="Q80" t="s">
        <v>52</v>
      </c>
      <c r="R80" t="s">
        <v>84</v>
      </c>
      <c r="S80" t="s">
        <v>85</v>
      </c>
      <c r="T80" t="s">
        <v>360</v>
      </c>
      <c r="U80">
        <v>5.7300373445925104</v>
      </c>
      <c r="V80">
        <v>2.9934066268078999E-2</v>
      </c>
      <c r="W80" t="s">
        <v>49</v>
      </c>
    </row>
    <row r="81" spans="1:23" x14ac:dyDescent="0.3">
      <c r="A81" t="s">
        <v>265</v>
      </c>
      <c r="B81" t="s">
        <v>9</v>
      </c>
      <c r="C81" t="s">
        <v>41</v>
      </c>
      <c r="D81">
        <v>9.3331922075293505E-2</v>
      </c>
      <c r="E81">
        <v>0.390670103745413</v>
      </c>
      <c r="F81" t="s">
        <v>78</v>
      </c>
      <c r="G81">
        <v>-2.71644959866809E-2</v>
      </c>
      <c r="H81" t="s">
        <v>89</v>
      </c>
      <c r="I81" t="b">
        <v>0</v>
      </c>
      <c r="J81">
        <v>77.296826760920496</v>
      </c>
      <c r="K81">
        <v>79.011112475206204</v>
      </c>
      <c r="L81">
        <v>9.2662384011360999</v>
      </c>
      <c r="M81" t="s">
        <v>279</v>
      </c>
      <c r="N81" t="s">
        <v>272</v>
      </c>
      <c r="O81" t="s">
        <v>282</v>
      </c>
      <c r="P81">
        <f>-0.0858352658721158 - 0.0315062738987539</f>
        <v>-0.1173415397708697</v>
      </c>
      <c r="Q81" t="s">
        <v>52</v>
      </c>
      <c r="R81" t="s">
        <v>90</v>
      </c>
      <c r="S81" t="s">
        <v>43</v>
      </c>
      <c r="T81" t="s">
        <v>91</v>
      </c>
      <c r="U81">
        <v>5.7300373445925104</v>
      </c>
      <c r="V81">
        <v>2.9934066268078999E-2</v>
      </c>
      <c r="W81" t="s">
        <v>49</v>
      </c>
    </row>
    <row r="82" spans="1:23" x14ac:dyDescent="0.3">
      <c r="A82" t="s">
        <v>265</v>
      </c>
      <c r="B82" t="s">
        <v>9</v>
      </c>
      <c r="C82" t="s">
        <v>41</v>
      </c>
      <c r="D82">
        <v>1.1684953340572299E-2</v>
      </c>
      <c r="E82">
        <v>0.56963863785126601</v>
      </c>
      <c r="F82" t="s">
        <v>78</v>
      </c>
      <c r="G82">
        <v>-4.8110264764039999E-3</v>
      </c>
      <c r="H82" t="s">
        <v>89</v>
      </c>
      <c r="I82" t="b">
        <v>0</v>
      </c>
      <c r="J82">
        <v>175.952049176076</v>
      </c>
      <c r="K82">
        <v>176.39649362052</v>
      </c>
      <c r="L82">
        <v>8.2262713051320002</v>
      </c>
      <c r="M82" t="s">
        <v>279</v>
      </c>
      <c r="N82" t="s">
        <v>267</v>
      </c>
      <c r="O82" t="s">
        <v>288</v>
      </c>
      <c r="P82">
        <f>-0.021199896654238 - 0.0115778437014298</f>
        <v>-3.27777403556678E-2</v>
      </c>
      <c r="Q82" t="s">
        <v>52</v>
      </c>
      <c r="R82" t="s">
        <v>90</v>
      </c>
      <c r="S82" t="s">
        <v>43</v>
      </c>
      <c r="T82" t="s">
        <v>91</v>
      </c>
      <c r="U82">
        <v>4.4397897699252997</v>
      </c>
      <c r="V82">
        <v>8.3616684580784997E-3</v>
      </c>
      <c r="W82" t="s">
        <v>49</v>
      </c>
    </row>
    <row r="83" spans="1:23" x14ac:dyDescent="0.3">
      <c r="A83" t="s">
        <v>265</v>
      </c>
      <c r="B83" t="s">
        <v>4</v>
      </c>
      <c r="C83" t="s">
        <v>41</v>
      </c>
      <c r="D83">
        <v>8.3071073818459995E-4</v>
      </c>
      <c r="E83">
        <v>0.89122020612333896</v>
      </c>
      <c r="F83" t="s">
        <v>78</v>
      </c>
      <c r="G83">
        <v>-0.65599581253757</v>
      </c>
      <c r="H83" t="s">
        <v>89</v>
      </c>
      <c r="I83" t="b">
        <v>0</v>
      </c>
      <c r="J83">
        <v>175.66398671580299</v>
      </c>
      <c r="K83">
        <v>176.20944126125801</v>
      </c>
      <c r="L83">
        <v>17.685174965089999</v>
      </c>
      <c r="M83" t="s">
        <v>284</v>
      </c>
      <c r="N83" t="s">
        <v>267</v>
      </c>
      <c r="O83" t="s">
        <v>319</v>
      </c>
      <c r="P83">
        <f>-9.95395952163794 - 8.6419678965628</f>
        <v>-18.595927418200738</v>
      </c>
      <c r="Q83" t="s">
        <v>56</v>
      </c>
      <c r="R83" t="s">
        <v>90</v>
      </c>
      <c r="S83" t="s">
        <v>43</v>
      </c>
      <c r="T83" t="s">
        <v>91</v>
      </c>
      <c r="U83">
        <v>5.2484264043929603</v>
      </c>
      <c r="V83">
        <v>4.7438590352552898</v>
      </c>
      <c r="W83" t="s">
        <v>49</v>
      </c>
    </row>
    <row r="84" spans="1:23" x14ac:dyDescent="0.3">
      <c r="A84" t="s">
        <v>265</v>
      </c>
      <c r="B84" t="s">
        <v>10</v>
      </c>
      <c r="C84" t="s">
        <v>41</v>
      </c>
      <c r="D84">
        <v>1.9495165052111E-3</v>
      </c>
      <c r="E84">
        <v>0.90360266643615095</v>
      </c>
      <c r="F84" t="s">
        <v>78</v>
      </c>
      <c r="G84">
        <v>-3.3742769986862098</v>
      </c>
      <c r="H84" t="s">
        <v>89</v>
      </c>
      <c r="I84" t="b">
        <v>0</v>
      </c>
      <c r="J84">
        <v>78.257101086329399</v>
      </c>
      <c r="K84">
        <v>79.971386800615093</v>
      </c>
      <c r="L84">
        <v>9.9746254040480906</v>
      </c>
      <c r="M84" t="s">
        <v>279</v>
      </c>
      <c r="N84" t="s">
        <v>272</v>
      </c>
      <c r="O84" t="s">
        <v>315</v>
      </c>
      <c r="P84">
        <f>-56.2802378027011 - 49.5316838053287</f>
        <v>-105.81192160802979</v>
      </c>
      <c r="Q84" t="s">
        <v>52</v>
      </c>
      <c r="R84" t="s">
        <v>90</v>
      </c>
      <c r="S84" t="s">
        <v>43</v>
      </c>
      <c r="T84" t="s">
        <v>91</v>
      </c>
      <c r="U84">
        <v>6.4194301501950299</v>
      </c>
      <c r="V84">
        <v>26.9928371449056</v>
      </c>
      <c r="W84" t="s">
        <v>49</v>
      </c>
    </row>
    <row r="85" spans="1:23" x14ac:dyDescent="0.3">
      <c r="A85" t="s">
        <v>265</v>
      </c>
      <c r="B85" t="s">
        <v>12</v>
      </c>
      <c r="C85" t="s">
        <v>41</v>
      </c>
      <c r="D85">
        <v>0.145605075514876</v>
      </c>
      <c r="E85">
        <v>0.11817053960200299</v>
      </c>
      <c r="F85" t="s">
        <v>78</v>
      </c>
      <c r="G85">
        <v>-1.0539498184457499E-2</v>
      </c>
      <c r="H85" t="s">
        <v>79</v>
      </c>
      <c r="I85" t="b">
        <v>0</v>
      </c>
      <c r="J85">
        <v>78.183369497447799</v>
      </c>
      <c r="K85">
        <v>78.983369497447796</v>
      </c>
      <c r="L85">
        <v>7.7133754044500904</v>
      </c>
      <c r="M85" t="s">
        <v>266</v>
      </c>
      <c r="N85" t="s">
        <v>272</v>
      </c>
      <c r="O85" t="s">
        <v>321</v>
      </c>
      <c r="P85">
        <f>-0.0230494917503525 - 0.00197049538143743</f>
        <v>-2.501998713178993E-2</v>
      </c>
      <c r="Q85" t="s">
        <v>45</v>
      </c>
      <c r="R85" t="s">
        <v>80</v>
      </c>
      <c r="S85" t="s">
        <v>81</v>
      </c>
      <c r="T85" t="s">
        <v>361</v>
      </c>
      <c r="U85">
        <v>4.2441112838149904</v>
      </c>
      <c r="V85">
        <v>6.3826497785178004E-3</v>
      </c>
      <c r="W85" t="s">
        <v>49</v>
      </c>
    </row>
    <row r="86" spans="1:23" x14ac:dyDescent="0.3">
      <c r="A86" t="s">
        <v>265</v>
      </c>
      <c r="B86" t="s">
        <v>4</v>
      </c>
      <c r="C86" t="s">
        <v>41</v>
      </c>
      <c r="D86">
        <v>2.0060733173021999E-3</v>
      </c>
      <c r="E86">
        <v>0.83164899659381997</v>
      </c>
      <c r="F86" t="s">
        <v>78</v>
      </c>
      <c r="G86">
        <v>2.48659703008162</v>
      </c>
      <c r="H86" t="s">
        <v>79</v>
      </c>
      <c r="I86" t="b">
        <v>0</v>
      </c>
      <c r="J86">
        <v>171.77872120280799</v>
      </c>
      <c r="K86">
        <v>172.324175748263</v>
      </c>
      <c r="L86">
        <v>13.7999094520949</v>
      </c>
      <c r="M86" t="s">
        <v>284</v>
      </c>
      <c r="N86" t="s">
        <v>267</v>
      </c>
      <c r="O86" t="s">
        <v>319</v>
      </c>
      <c r="P86">
        <f>-20.1800933550206 - 25.1532874151838</f>
        <v>-45.3333807702044</v>
      </c>
      <c r="Q86" t="s">
        <v>56</v>
      </c>
      <c r="R86" t="s">
        <v>80</v>
      </c>
      <c r="S86" t="s">
        <v>81</v>
      </c>
      <c r="T86" t="s">
        <v>362</v>
      </c>
      <c r="U86">
        <v>2.6943290384137799</v>
      </c>
      <c r="V86">
        <v>11.5646379515828</v>
      </c>
      <c r="W86" t="s">
        <v>49</v>
      </c>
    </row>
    <row r="87" spans="1:23" x14ac:dyDescent="0.3">
      <c r="A87" t="s">
        <v>265</v>
      </c>
      <c r="B87" t="s">
        <v>5</v>
      </c>
      <c r="C87" t="s">
        <v>41</v>
      </c>
      <c r="D87">
        <v>0.50591721095337405</v>
      </c>
      <c r="E87" s="2">
        <v>6.7197807683605504E-5</v>
      </c>
      <c r="F87" t="s">
        <v>78</v>
      </c>
      <c r="G87">
        <v>27.9675690524159</v>
      </c>
      <c r="H87" t="s">
        <v>79</v>
      </c>
      <c r="I87" t="b">
        <v>0</v>
      </c>
      <c r="J87">
        <v>154.26850245944499</v>
      </c>
      <c r="K87">
        <v>154.81395700489901</v>
      </c>
      <c r="L87">
        <v>8.63416997965302</v>
      </c>
      <c r="M87" t="s">
        <v>284</v>
      </c>
      <c r="N87" t="s">
        <v>267</v>
      </c>
      <c r="O87" t="s">
        <v>285</v>
      </c>
      <c r="P87" t="s">
        <v>363</v>
      </c>
      <c r="Q87" t="s">
        <v>56</v>
      </c>
      <c r="R87" t="s">
        <v>80</v>
      </c>
      <c r="S87" t="s">
        <v>81</v>
      </c>
      <c r="T87" t="s">
        <v>364</v>
      </c>
      <c r="U87">
        <v>-0.43620108993473</v>
      </c>
      <c r="V87">
        <v>5.7630307508905796</v>
      </c>
      <c r="W87" t="s">
        <v>49</v>
      </c>
    </row>
    <row r="88" spans="1:23" x14ac:dyDescent="0.3">
      <c r="A88" t="s">
        <v>265</v>
      </c>
      <c r="B88" t="s">
        <v>4</v>
      </c>
      <c r="C88" t="s">
        <v>41</v>
      </c>
      <c r="D88">
        <v>2.3779517940013999E-3</v>
      </c>
      <c r="E88">
        <v>0.87430063844987105</v>
      </c>
      <c r="F88" t="s">
        <v>78</v>
      </c>
      <c r="G88">
        <v>1.3712401534998899</v>
      </c>
      <c r="H88" t="s">
        <v>83</v>
      </c>
      <c r="I88" t="b">
        <v>0</v>
      </c>
      <c r="J88">
        <v>73.551423775591999</v>
      </c>
      <c r="K88">
        <v>74.751423775592002</v>
      </c>
      <c r="L88">
        <v>25.7606994964008</v>
      </c>
      <c r="M88" t="s">
        <v>284</v>
      </c>
      <c r="N88" t="s">
        <v>272</v>
      </c>
      <c r="O88" t="s">
        <v>305</v>
      </c>
      <c r="P88">
        <f>-15.2267211243361 - 17.9692014313358</f>
        <v>-33.195922555671899</v>
      </c>
      <c r="Q88" t="s">
        <v>56</v>
      </c>
      <c r="R88" t="s">
        <v>84</v>
      </c>
      <c r="S88" t="s">
        <v>85</v>
      </c>
      <c r="T88" t="s">
        <v>365</v>
      </c>
      <c r="U88">
        <v>0.25882694204050299</v>
      </c>
      <c r="V88">
        <v>8.4683475907326304</v>
      </c>
      <c r="W88" t="s">
        <v>49</v>
      </c>
    </row>
    <row r="89" spans="1:23" x14ac:dyDescent="0.3">
      <c r="A89" t="s">
        <v>265</v>
      </c>
      <c r="B89" t="s">
        <v>8</v>
      </c>
      <c r="C89" t="s">
        <v>41</v>
      </c>
      <c r="D89">
        <v>0.408867906785084</v>
      </c>
      <c r="E89">
        <v>0.122023625259851</v>
      </c>
      <c r="F89" t="s">
        <v>78</v>
      </c>
      <c r="G89">
        <v>9.82009971880046</v>
      </c>
      <c r="H89" t="s">
        <v>89</v>
      </c>
      <c r="I89" t="b">
        <v>0</v>
      </c>
      <c r="J89">
        <v>22.645851622331701</v>
      </c>
      <c r="K89">
        <v>25.645851622331701</v>
      </c>
      <c r="L89">
        <v>1.2566344923577</v>
      </c>
      <c r="M89" t="s">
        <v>271</v>
      </c>
      <c r="N89" t="s">
        <v>267</v>
      </c>
      <c r="O89" t="s">
        <v>294</v>
      </c>
      <c r="P89">
        <f>-0.529837722951278 - 20.1700371605522</f>
        <v>-20.69987488350348</v>
      </c>
      <c r="Q89" t="s">
        <v>59</v>
      </c>
      <c r="R89" t="s">
        <v>90</v>
      </c>
      <c r="S89" t="s">
        <v>43</v>
      </c>
      <c r="T89" t="s">
        <v>91</v>
      </c>
      <c r="U89">
        <v>1.2090012353919</v>
      </c>
      <c r="V89">
        <v>5.2805803274243601</v>
      </c>
      <c r="W89" t="s">
        <v>49</v>
      </c>
    </row>
    <row r="90" spans="1:23" x14ac:dyDescent="0.3">
      <c r="A90" t="s">
        <v>265</v>
      </c>
      <c r="B90" t="s">
        <v>8</v>
      </c>
      <c r="C90" t="s">
        <v>41</v>
      </c>
      <c r="D90">
        <v>0.408867906785084</v>
      </c>
      <c r="E90">
        <v>0.122023625259851</v>
      </c>
      <c r="F90" t="s">
        <v>78</v>
      </c>
      <c r="G90">
        <v>9.82009971880046</v>
      </c>
      <c r="H90" t="s">
        <v>79</v>
      </c>
      <c r="I90" t="b">
        <v>0</v>
      </c>
      <c r="J90">
        <v>22.645851622331701</v>
      </c>
      <c r="K90">
        <v>25.645851622331701</v>
      </c>
      <c r="L90">
        <v>1.2566344923577</v>
      </c>
      <c r="M90" t="s">
        <v>271</v>
      </c>
      <c r="N90" t="s">
        <v>267</v>
      </c>
      <c r="O90" t="s">
        <v>294</v>
      </c>
      <c r="P90">
        <f>-0.529837722951278 - 20.1700371605522</f>
        <v>-20.69987488350348</v>
      </c>
      <c r="Q90" t="s">
        <v>59</v>
      </c>
      <c r="R90" t="s">
        <v>80</v>
      </c>
      <c r="S90" t="s">
        <v>81</v>
      </c>
      <c r="T90" t="s">
        <v>366</v>
      </c>
      <c r="U90">
        <v>1.2090012353919</v>
      </c>
      <c r="V90">
        <v>5.2805803274243601</v>
      </c>
      <c r="W90" t="s">
        <v>49</v>
      </c>
    </row>
    <row r="91" spans="1:23" x14ac:dyDescent="0.3">
      <c r="A91" t="s">
        <v>265</v>
      </c>
      <c r="B91" t="s">
        <v>8</v>
      </c>
      <c r="C91" t="s">
        <v>41</v>
      </c>
      <c r="D91">
        <v>8.9753776005889893E-2</v>
      </c>
      <c r="E91">
        <v>0.199403111947139</v>
      </c>
      <c r="F91" t="s">
        <v>78</v>
      </c>
      <c r="G91">
        <v>11.3221141779498</v>
      </c>
      <c r="H91" t="s">
        <v>83</v>
      </c>
      <c r="I91" t="b">
        <v>0</v>
      </c>
      <c r="J91">
        <v>125.679597539707</v>
      </c>
      <c r="K91">
        <v>126.38547989264799</v>
      </c>
      <c r="L91">
        <v>6.1806722519169801</v>
      </c>
      <c r="M91" t="s">
        <v>271</v>
      </c>
      <c r="N91" t="s">
        <v>272</v>
      </c>
      <c r="O91" t="s">
        <v>273</v>
      </c>
      <c r="P91">
        <f>-5.33502550575886 - 27.9792538616585</f>
        <v>-33.314279367417356</v>
      </c>
      <c r="Q91" t="s">
        <v>59</v>
      </c>
      <c r="R91" t="s">
        <v>84</v>
      </c>
      <c r="S91" t="s">
        <v>85</v>
      </c>
      <c r="T91" t="s">
        <v>367</v>
      </c>
      <c r="U91">
        <v>2.7322903427383398</v>
      </c>
      <c r="V91">
        <v>8.4985406549534197</v>
      </c>
      <c r="W91" t="s">
        <v>49</v>
      </c>
    </row>
    <row r="92" spans="1:23" x14ac:dyDescent="0.3">
      <c r="A92" t="s">
        <v>265</v>
      </c>
      <c r="B92" t="s">
        <v>7</v>
      </c>
      <c r="C92" t="s">
        <v>41</v>
      </c>
      <c r="D92">
        <v>9.9845259811700005E-3</v>
      </c>
      <c r="E92">
        <v>0.83121171285168505</v>
      </c>
      <c r="F92" t="s">
        <v>78</v>
      </c>
      <c r="G92">
        <v>-0.68086089006707196</v>
      </c>
      <c r="H92" t="s">
        <v>79</v>
      </c>
      <c r="I92" t="b">
        <v>0</v>
      </c>
      <c r="J92">
        <v>26.255619132763002</v>
      </c>
      <c r="K92">
        <v>29.255619132763002</v>
      </c>
      <c r="L92">
        <v>1.52100155490231E-3</v>
      </c>
      <c r="M92" t="s">
        <v>271</v>
      </c>
      <c r="N92" t="s">
        <v>267</v>
      </c>
      <c r="O92" t="s">
        <v>301</v>
      </c>
      <c r="P92">
        <f>-6.62360079592142 - 5.26187901578728</f>
        <v>-11.8854798117087</v>
      </c>
      <c r="Q92" t="s">
        <v>59</v>
      </c>
      <c r="R92" t="s">
        <v>80</v>
      </c>
      <c r="S92" t="s">
        <v>81</v>
      </c>
      <c r="T92" t="s">
        <v>366</v>
      </c>
      <c r="U92">
        <v>2.6418940669219002</v>
      </c>
      <c r="V92">
        <v>3.0320101560481398</v>
      </c>
      <c r="W92" t="s">
        <v>49</v>
      </c>
    </row>
    <row r="93" spans="1:23" x14ac:dyDescent="0.3">
      <c r="A93" t="s">
        <v>265</v>
      </c>
      <c r="B93" t="s">
        <v>6</v>
      </c>
      <c r="C93" t="s">
        <v>41</v>
      </c>
      <c r="D93">
        <v>0.21789224736427401</v>
      </c>
      <c r="E93">
        <v>0.29098777573371798</v>
      </c>
      <c r="F93" t="s">
        <v>78</v>
      </c>
      <c r="G93">
        <v>-4.6103193722516998E-3</v>
      </c>
      <c r="H93" t="s">
        <v>42</v>
      </c>
      <c r="I93" t="b">
        <v>0</v>
      </c>
      <c r="J93">
        <v>24.605522774494201</v>
      </c>
      <c r="K93">
        <v>27.605522774494201</v>
      </c>
      <c r="L93">
        <v>0.15377098617059901</v>
      </c>
      <c r="M93" t="s">
        <v>271</v>
      </c>
      <c r="N93" t="s">
        <v>267</v>
      </c>
      <c r="O93" t="s">
        <v>275</v>
      </c>
      <c r="P93">
        <f>-0.0122665408289224 - 0.00304590208441896</f>
        <v>-1.531244291334136E-2</v>
      </c>
      <c r="Q93" t="s">
        <v>59</v>
      </c>
      <c r="R93" t="s">
        <v>46</v>
      </c>
      <c r="S93" t="s">
        <v>47</v>
      </c>
      <c r="T93" t="s">
        <v>368</v>
      </c>
      <c r="U93">
        <v>2.71164281154193</v>
      </c>
      <c r="V93">
        <v>3.9062354370768002E-3</v>
      </c>
      <c r="W93" t="s">
        <v>49</v>
      </c>
    </row>
    <row r="94" spans="1:23" x14ac:dyDescent="0.3">
      <c r="A94" t="s">
        <v>265</v>
      </c>
      <c r="B94" t="s">
        <v>6</v>
      </c>
      <c r="C94" t="s">
        <v>41</v>
      </c>
      <c r="D94">
        <v>0.21789224736427401</v>
      </c>
      <c r="E94">
        <v>0.29098777573371798</v>
      </c>
      <c r="F94" t="s">
        <v>78</v>
      </c>
      <c r="G94">
        <v>-4.6103193722516998E-3</v>
      </c>
      <c r="H94" t="s">
        <v>79</v>
      </c>
      <c r="I94" t="b">
        <v>0</v>
      </c>
      <c r="J94">
        <v>24.605522774494201</v>
      </c>
      <c r="K94">
        <v>27.605522774494201</v>
      </c>
      <c r="L94">
        <v>0.15377098617059901</v>
      </c>
      <c r="M94" t="s">
        <v>271</v>
      </c>
      <c r="N94" t="s">
        <v>267</v>
      </c>
      <c r="O94" t="s">
        <v>275</v>
      </c>
      <c r="P94">
        <f>-0.0122665408289224 - 0.00304590208441896</f>
        <v>-1.531244291334136E-2</v>
      </c>
      <c r="Q94" t="s">
        <v>59</v>
      </c>
      <c r="R94" t="s">
        <v>80</v>
      </c>
      <c r="S94" t="s">
        <v>81</v>
      </c>
      <c r="T94" t="s">
        <v>366</v>
      </c>
      <c r="U94">
        <v>2.71164281154193</v>
      </c>
      <c r="V94">
        <v>3.9062354370768002E-3</v>
      </c>
      <c r="W94" t="s">
        <v>49</v>
      </c>
    </row>
    <row r="95" spans="1:23" x14ac:dyDescent="0.3">
      <c r="A95" t="s">
        <v>265</v>
      </c>
      <c r="B95" t="s">
        <v>13</v>
      </c>
      <c r="C95" t="s">
        <v>41</v>
      </c>
      <c r="D95">
        <v>4.8725947644960002E-4</v>
      </c>
      <c r="E95">
        <v>0.93072043817510097</v>
      </c>
      <c r="F95" t="s">
        <v>78</v>
      </c>
      <c r="G95">
        <v>-0.44730882828850699</v>
      </c>
      <c r="H95" t="s">
        <v>83</v>
      </c>
      <c r="I95" t="b">
        <v>0</v>
      </c>
      <c r="J95">
        <v>100.01515817609901</v>
      </c>
      <c r="K95">
        <v>100.815158176099</v>
      </c>
      <c r="L95">
        <v>27.1308083583429</v>
      </c>
      <c r="M95" t="s">
        <v>266</v>
      </c>
      <c r="N95" t="s">
        <v>272</v>
      </c>
      <c r="O95" t="s">
        <v>317</v>
      </c>
      <c r="P95">
        <f>-10.3742984939352 - 9.4796808373582</f>
        <v>-19.853979331293402</v>
      </c>
      <c r="Q95" t="s">
        <v>45</v>
      </c>
      <c r="R95" t="s">
        <v>84</v>
      </c>
      <c r="S95" t="s">
        <v>85</v>
      </c>
      <c r="T95" t="s">
        <v>369</v>
      </c>
      <c r="U95">
        <v>2.7438954269189</v>
      </c>
      <c r="V95">
        <v>5.0647906457381202</v>
      </c>
      <c r="W95" t="s">
        <v>49</v>
      </c>
    </row>
    <row r="96" spans="1:23" x14ac:dyDescent="0.3">
      <c r="A96" t="s">
        <v>265</v>
      </c>
      <c r="B96" t="s">
        <v>6</v>
      </c>
      <c r="C96" t="s">
        <v>41</v>
      </c>
      <c r="D96">
        <v>0.100238447368273</v>
      </c>
      <c r="E96">
        <v>0.173822570474676</v>
      </c>
      <c r="F96" t="s">
        <v>78</v>
      </c>
      <c r="G96">
        <v>-1.33427977378706E-2</v>
      </c>
      <c r="H96" t="s">
        <v>83</v>
      </c>
      <c r="I96" t="b">
        <v>0</v>
      </c>
      <c r="J96">
        <v>125.447890499132</v>
      </c>
      <c r="K96">
        <v>126.153772852073</v>
      </c>
      <c r="L96">
        <v>5.6659109892619997</v>
      </c>
      <c r="M96" t="s">
        <v>271</v>
      </c>
      <c r="N96" t="s">
        <v>272</v>
      </c>
      <c r="O96" t="s">
        <v>292</v>
      </c>
      <c r="P96">
        <f>-0.0318105173276765 - 0.00512492185193524</f>
        <v>-3.6935439179611743E-2</v>
      </c>
      <c r="Q96" t="s">
        <v>59</v>
      </c>
      <c r="R96" t="s">
        <v>84</v>
      </c>
      <c r="S96" t="s">
        <v>85</v>
      </c>
      <c r="T96" t="s">
        <v>370</v>
      </c>
      <c r="U96">
        <v>6.8657551859381103</v>
      </c>
      <c r="V96">
        <v>9.4223059131661995E-3</v>
      </c>
      <c r="W96" t="s">
        <v>49</v>
      </c>
    </row>
    <row r="97" spans="1:23" x14ac:dyDescent="0.3">
      <c r="A97" t="s">
        <v>265</v>
      </c>
      <c r="B97" t="s">
        <v>7</v>
      </c>
      <c r="C97" t="s">
        <v>41</v>
      </c>
      <c r="D97">
        <v>9.9845259811703006E-3</v>
      </c>
      <c r="E97">
        <v>0.83121171285168505</v>
      </c>
      <c r="F97" t="s">
        <v>78</v>
      </c>
      <c r="G97">
        <v>-0.68086089006707196</v>
      </c>
      <c r="H97" t="s">
        <v>89</v>
      </c>
      <c r="I97" t="b">
        <v>0</v>
      </c>
      <c r="J97">
        <v>26.255619132763002</v>
      </c>
      <c r="K97">
        <v>29.255619132763002</v>
      </c>
      <c r="L97">
        <v>1.52100155490231E-3</v>
      </c>
      <c r="M97" t="s">
        <v>271</v>
      </c>
      <c r="N97" t="s">
        <v>267</v>
      </c>
      <c r="O97" t="s">
        <v>301</v>
      </c>
      <c r="P97">
        <f>-6.62360079592142 - 5.26187901578728</f>
        <v>-11.8854798117087</v>
      </c>
      <c r="Q97" t="s">
        <v>59</v>
      </c>
      <c r="R97" t="s">
        <v>90</v>
      </c>
      <c r="S97" t="s">
        <v>43</v>
      </c>
      <c r="T97" t="s">
        <v>91</v>
      </c>
      <c r="U97">
        <v>2.6418940669219002</v>
      </c>
      <c r="V97">
        <v>3.0320101560481398</v>
      </c>
      <c r="W97" t="s">
        <v>49</v>
      </c>
    </row>
    <row r="98" spans="1:23" x14ac:dyDescent="0.3">
      <c r="A98" t="s">
        <v>265</v>
      </c>
      <c r="B98" t="s">
        <v>7</v>
      </c>
      <c r="C98" t="s">
        <v>41</v>
      </c>
      <c r="D98">
        <v>9.9845259811703006E-3</v>
      </c>
      <c r="E98">
        <v>0.83121171285168505</v>
      </c>
      <c r="F98" t="s">
        <v>78</v>
      </c>
      <c r="G98">
        <v>-0.68086089006707196</v>
      </c>
      <c r="H98" t="s">
        <v>42</v>
      </c>
      <c r="I98" t="b">
        <v>0</v>
      </c>
      <c r="J98">
        <v>26.255619132763002</v>
      </c>
      <c r="K98">
        <v>29.255619132763002</v>
      </c>
      <c r="L98">
        <v>1.52100155490231E-3</v>
      </c>
      <c r="M98" t="s">
        <v>271</v>
      </c>
      <c r="N98" t="s">
        <v>267</v>
      </c>
      <c r="O98" t="s">
        <v>301</v>
      </c>
      <c r="P98">
        <f>-6.62360079592142 - 5.26187901578728</f>
        <v>-11.8854798117087</v>
      </c>
      <c r="Q98" t="s">
        <v>59</v>
      </c>
      <c r="R98" t="s">
        <v>46</v>
      </c>
      <c r="S98" t="s">
        <v>47</v>
      </c>
      <c r="T98" t="s">
        <v>371</v>
      </c>
      <c r="U98">
        <v>2.6418940669219002</v>
      </c>
      <c r="V98">
        <v>3.0320101560481398</v>
      </c>
      <c r="W98" t="s">
        <v>49</v>
      </c>
    </row>
    <row r="99" spans="1:23" x14ac:dyDescent="0.3">
      <c r="A99" t="s">
        <v>265</v>
      </c>
      <c r="B99" t="s">
        <v>7</v>
      </c>
      <c r="C99" t="s">
        <v>41</v>
      </c>
      <c r="D99">
        <v>9.3086599992232399E-2</v>
      </c>
      <c r="E99">
        <v>0.190857078993453</v>
      </c>
      <c r="F99" t="s">
        <v>78</v>
      </c>
      <c r="G99">
        <v>8.8891143945850608</v>
      </c>
      <c r="H99" t="s">
        <v>83</v>
      </c>
      <c r="I99" t="b">
        <v>0</v>
      </c>
      <c r="J99">
        <v>125.606234084359</v>
      </c>
      <c r="K99">
        <v>126.31211643730001</v>
      </c>
      <c r="L99">
        <v>8.3968101042470096</v>
      </c>
      <c r="M99" t="s">
        <v>271</v>
      </c>
      <c r="N99" t="s">
        <v>272</v>
      </c>
      <c r="O99" t="s">
        <v>277</v>
      </c>
      <c r="P99">
        <f>-3.92880804788184 - 21.707036837052</f>
        <v>-25.635844884933842</v>
      </c>
      <c r="Q99" t="s">
        <v>59</v>
      </c>
      <c r="R99" t="s">
        <v>84</v>
      </c>
      <c r="S99" t="s">
        <v>85</v>
      </c>
      <c r="T99" t="s">
        <v>372</v>
      </c>
      <c r="U99">
        <v>-3.76420639803673</v>
      </c>
      <c r="V99">
        <v>6.5397563481974004</v>
      </c>
      <c r="W99" t="s">
        <v>49</v>
      </c>
    </row>
  </sheetData>
  <mergeCells count="2">
    <mergeCell ref="A1:K1"/>
    <mergeCell ref="A2:K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B7949-5B7B-E248-A0F9-212E4E76905F}">
  <dimension ref="A1:W19"/>
  <sheetViews>
    <sheetView workbookViewId="0">
      <selection activeCell="I17" sqref="I17"/>
    </sheetView>
  </sheetViews>
  <sheetFormatPr defaultColWidth="11.19921875" defaultRowHeight="15.6" x14ac:dyDescent="0.3"/>
  <sheetData>
    <row r="1" spans="1:23" ht="21" x14ac:dyDescent="0.3">
      <c r="A1" s="4" t="s">
        <v>373</v>
      </c>
      <c r="B1" s="5"/>
      <c r="C1" s="5"/>
      <c r="D1" s="5"/>
      <c r="E1" s="5"/>
      <c r="F1" s="5"/>
      <c r="G1" s="5"/>
      <c r="H1" s="5"/>
      <c r="I1" s="5"/>
      <c r="J1" s="5"/>
      <c r="K1" s="6"/>
    </row>
    <row r="2" spans="1:23" ht="104.4" customHeight="1" thickBot="1" x14ac:dyDescent="0.35">
      <c r="A2" s="7" t="s">
        <v>484</v>
      </c>
      <c r="B2" s="13"/>
      <c r="C2" s="13"/>
      <c r="D2" s="13"/>
      <c r="E2" s="13"/>
      <c r="F2" s="13"/>
      <c r="G2" s="13"/>
      <c r="H2" s="13"/>
      <c r="I2" s="13"/>
      <c r="J2" s="13"/>
      <c r="K2" s="14"/>
    </row>
    <row r="3" spans="1:23" s="1" customFormat="1"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row>
    <row r="4" spans="1:23" x14ac:dyDescent="0.3">
      <c r="A4" t="s">
        <v>374</v>
      </c>
      <c r="B4" t="s">
        <v>375</v>
      </c>
      <c r="C4" t="s">
        <v>5</v>
      </c>
      <c r="D4">
        <v>0.59322453578757295</v>
      </c>
      <c r="E4" s="2">
        <v>6.1773919313168304E-10</v>
      </c>
      <c r="F4" s="2">
        <v>2.4709567725267301E-9</v>
      </c>
      <c r="G4">
        <v>6.6991483803319999E-4</v>
      </c>
      <c r="H4" t="s">
        <v>42</v>
      </c>
      <c r="I4" t="b">
        <v>1</v>
      </c>
      <c r="J4">
        <v>-87.678878422642796</v>
      </c>
      <c r="K4">
        <v>-87.393164136928505</v>
      </c>
      <c r="L4">
        <v>0</v>
      </c>
      <c r="M4" t="s">
        <v>43</v>
      </c>
      <c r="N4" t="s">
        <v>43</v>
      </c>
      <c r="O4" t="s">
        <v>376</v>
      </c>
      <c r="P4" t="s">
        <v>377</v>
      </c>
      <c r="Q4" t="s">
        <v>56</v>
      </c>
      <c r="R4" t="s">
        <v>46</v>
      </c>
      <c r="S4" t="s">
        <v>47</v>
      </c>
      <c r="T4" t="s">
        <v>378</v>
      </c>
      <c r="U4">
        <v>0.10438081452051801</v>
      </c>
      <c r="V4" s="2">
        <v>8.4596655064221794E-5</v>
      </c>
      <c r="W4" t="s">
        <v>49</v>
      </c>
    </row>
    <row r="5" spans="1:23" x14ac:dyDescent="0.3">
      <c r="A5" t="s">
        <v>374</v>
      </c>
      <c r="B5" t="s">
        <v>375</v>
      </c>
      <c r="C5" t="s">
        <v>3</v>
      </c>
      <c r="D5">
        <v>1.7311570361121902E-2</v>
      </c>
      <c r="E5">
        <v>0.38894149709268999</v>
      </c>
      <c r="F5">
        <v>0.38894149709268999</v>
      </c>
      <c r="G5">
        <v>-7.9867068638899794E-2</v>
      </c>
      <c r="H5" t="s">
        <v>42</v>
      </c>
      <c r="I5" t="b">
        <v>1</v>
      </c>
      <c r="J5">
        <v>542.18615734029902</v>
      </c>
      <c r="K5">
        <v>542.47187162601301</v>
      </c>
      <c r="L5">
        <v>0</v>
      </c>
      <c r="M5" t="s">
        <v>43</v>
      </c>
      <c r="N5" t="s">
        <v>43</v>
      </c>
      <c r="O5" t="s">
        <v>379</v>
      </c>
      <c r="P5">
        <f>-0.259724868723162 - 0.099990731445362</f>
        <v>-0.359715600168524</v>
      </c>
      <c r="Q5" t="s">
        <v>56</v>
      </c>
      <c r="R5" t="s">
        <v>46</v>
      </c>
      <c r="S5" t="s">
        <v>47</v>
      </c>
      <c r="T5" t="s">
        <v>380</v>
      </c>
      <c r="U5">
        <v>175.39328347187799</v>
      </c>
      <c r="V5">
        <v>9.1764183716460099E-2</v>
      </c>
      <c r="W5" t="s">
        <v>49</v>
      </c>
    </row>
    <row r="6" spans="1:23" x14ac:dyDescent="0.3">
      <c r="A6" t="s">
        <v>374</v>
      </c>
      <c r="B6" t="s">
        <v>375</v>
      </c>
      <c r="C6" t="s">
        <v>4</v>
      </c>
      <c r="D6">
        <v>4.00518771647035E-2</v>
      </c>
      <c r="E6">
        <v>0.18746590239883801</v>
      </c>
      <c r="F6">
        <v>0.24995453653178401</v>
      </c>
      <c r="G6">
        <v>1.332404743531E-4</v>
      </c>
      <c r="H6" t="s">
        <v>42</v>
      </c>
      <c r="I6" t="b">
        <v>1</v>
      </c>
      <c r="J6">
        <v>-73.097740939437998</v>
      </c>
      <c r="K6">
        <v>-72.812026653723706</v>
      </c>
      <c r="L6">
        <v>0</v>
      </c>
      <c r="M6" t="s">
        <v>43</v>
      </c>
      <c r="N6" t="s">
        <v>43</v>
      </c>
      <c r="O6" t="s">
        <v>381</v>
      </c>
      <c r="P6">
        <f>-0.0000617307225621437 - 0.000328211671268493</f>
        <v>-3.8994239383063672E-4</v>
      </c>
      <c r="Q6" t="s">
        <v>56</v>
      </c>
      <c r="R6" t="s">
        <v>46</v>
      </c>
      <c r="S6" t="s">
        <v>47</v>
      </c>
      <c r="T6" t="s">
        <v>382</v>
      </c>
      <c r="U6">
        <v>0.86169724989228402</v>
      </c>
      <c r="V6" s="2">
        <v>9.9475100466999106E-5</v>
      </c>
      <c r="W6" t="s">
        <v>49</v>
      </c>
    </row>
    <row r="7" spans="1:23" x14ac:dyDescent="0.3">
      <c r="A7" t="s">
        <v>374</v>
      </c>
      <c r="B7" t="s">
        <v>375</v>
      </c>
      <c r="C7" t="s">
        <v>41</v>
      </c>
      <c r="D7">
        <v>0.30196004663495501</v>
      </c>
      <c r="E7">
        <v>2.402178713669E-4</v>
      </c>
      <c r="F7">
        <v>4.804357427338E-4</v>
      </c>
      <c r="G7">
        <v>1.50391245008179E-2</v>
      </c>
      <c r="H7" t="s">
        <v>42</v>
      </c>
      <c r="I7" t="b">
        <v>1</v>
      </c>
      <c r="J7">
        <v>223.56886921332699</v>
      </c>
      <c r="K7">
        <v>223.893193537651</v>
      </c>
      <c r="L7">
        <v>0</v>
      </c>
      <c r="M7" t="s">
        <v>43</v>
      </c>
      <c r="N7" t="s">
        <v>43</v>
      </c>
      <c r="O7" t="s">
        <v>383</v>
      </c>
      <c r="P7" t="s">
        <v>384</v>
      </c>
      <c r="Q7" t="s">
        <v>56</v>
      </c>
      <c r="R7" t="s">
        <v>46</v>
      </c>
      <c r="S7" t="s">
        <v>47</v>
      </c>
      <c r="T7" t="s">
        <v>385</v>
      </c>
      <c r="U7">
        <v>1.7800619685779699</v>
      </c>
      <c r="V7">
        <v>3.7093358324023001E-3</v>
      </c>
      <c r="W7" t="s">
        <v>49</v>
      </c>
    </row>
    <row r="8" spans="1:23" x14ac:dyDescent="0.3">
      <c r="A8" t="s">
        <v>374</v>
      </c>
      <c r="B8" t="s">
        <v>375</v>
      </c>
      <c r="C8" t="s">
        <v>5</v>
      </c>
      <c r="D8">
        <v>0.51768017859406001</v>
      </c>
      <c r="E8" s="2">
        <v>2.56311811774879E-8</v>
      </c>
      <c r="F8" t="s">
        <v>78</v>
      </c>
      <c r="G8">
        <v>6.3005215385670004E-4</v>
      </c>
      <c r="H8" t="s">
        <v>89</v>
      </c>
      <c r="I8" t="b">
        <v>0</v>
      </c>
      <c r="J8">
        <v>-50.155416687397</v>
      </c>
      <c r="K8">
        <v>-49.869702401682702</v>
      </c>
      <c r="L8">
        <v>37.523461735245803</v>
      </c>
      <c r="M8" t="s">
        <v>43</v>
      </c>
      <c r="N8" t="s">
        <v>43</v>
      </c>
      <c r="O8" t="s">
        <v>376</v>
      </c>
      <c r="P8" t="s">
        <v>386</v>
      </c>
      <c r="Q8" t="s">
        <v>56</v>
      </c>
      <c r="R8" t="s">
        <v>90</v>
      </c>
      <c r="S8" t="s">
        <v>43</v>
      </c>
      <c r="T8" t="s">
        <v>91</v>
      </c>
      <c r="U8">
        <v>0.12544642283666901</v>
      </c>
      <c r="V8" s="2">
        <v>9.2742555683395295E-5</v>
      </c>
      <c r="W8" t="s">
        <v>49</v>
      </c>
    </row>
    <row r="9" spans="1:23" x14ac:dyDescent="0.3">
      <c r="A9" t="s">
        <v>374</v>
      </c>
      <c r="B9" t="s">
        <v>375</v>
      </c>
      <c r="C9" t="s">
        <v>5</v>
      </c>
      <c r="D9">
        <v>0.60963479328870496</v>
      </c>
      <c r="E9" s="2">
        <v>2.5164670347521699E-10</v>
      </c>
      <c r="F9" t="s">
        <v>78</v>
      </c>
      <c r="G9">
        <v>6.4876808136140002E-4</v>
      </c>
      <c r="H9" t="s">
        <v>79</v>
      </c>
      <c r="I9" t="b">
        <v>0</v>
      </c>
      <c r="J9">
        <v>-72.9663850336038</v>
      </c>
      <c r="K9">
        <v>-72.680670747889494</v>
      </c>
      <c r="L9">
        <v>14.712493389039</v>
      </c>
      <c r="M9" t="s">
        <v>43</v>
      </c>
      <c r="N9" t="s">
        <v>43</v>
      </c>
      <c r="O9" t="s">
        <v>376</v>
      </c>
      <c r="P9" t="s">
        <v>387</v>
      </c>
      <c r="Q9" t="s">
        <v>56</v>
      </c>
      <c r="R9" t="s">
        <v>80</v>
      </c>
      <c r="S9" t="s">
        <v>81</v>
      </c>
      <c r="T9" t="s">
        <v>388</v>
      </c>
      <c r="U9">
        <v>0.15138410004993599</v>
      </c>
      <c r="V9" s="2">
        <v>7.9169139677873299E-5</v>
      </c>
      <c r="W9" t="s">
        <v>49</v>
      </c>
    </row>
    <row r="10" spans="1:23" x14ac:dyDescent="0.3">
      <c r="A10" t="s">
        <v>374</v>
      </c>
      <c r="B10" t="s">
        <v>375</v>
      </c>
      <c r="C10" t="s">
        <v>5</v>
      </c>
      <c r="D10">
        <v>0.51768017859406001</v>
      </c>
      <c r="E10" s="2">
        <v>2.56311811774879E-8</v>
      </c>
      <c r="F10" t="s">
        <v>78</v>
      </c>
      <c r="G10">
        <v>6.3005215385670004E-4</v>
      </c>
      <c r="H10" t="s">
        <v>83</v>
      </c>
      <c r="I10" t="b">
        <v>0</v>
      </c>
      <c r="J10">
        <v>-50.155416687397</v>
      </c>
      <c r="K10">
        <v>-49.869702401682702</v>
      </c>
      <c r="L10">
        <v>37.523461735245803</v>
      </c>
      <c r="M10" t="s">
        <v>43</v>
      </c>
      <c r="N10" t="s">
        <v>43</v>
      </c>
      <c r="O10" t="s">
        <v>376</v>
      </c>
      <c r="P10" t="s">
        <v>386</v>
      </c>
      <c r="Q10" t="s">
        <v>56</v>
      </c>
      <c r="R10" t="s">
        <v>84</v>
      </c>
      <c r="S10" t="s">
        <v>85</v>
      </c>
      <c r="T10" t="s">
        <v>389</v>
      </c>
      <c r="U10">
        <v>0.12544642283666901</v>
      </c>
      <c r="V10" s="2">
        <v>9.2742555683395295E-5</v>
      </c>
      <c r="W10" t="s">
        <v>49</v>
      </c>
    </row>
    <row r="11" spans="1:23" x14ac:dyDescent="0.3">
      <c r="A11" t="s">
        <v>374</v>
      </c>
      <c r="B11" t="s">
        <v>375</v>
      </c>
      <c r="C11" t="s">
        <v>3</v>
      </c>
      <c r="D11">
        <v>6.2764275494461997E-3</v>
      </c>
      <c r="E11">
        <v>0.60494022599332598</v>
      </c>
      <c r="F11" t="s">
        <v>78</v>
      </c>
      <c r="G11">
        <v>-4.3921636574243098E-2</v>
      </c>
      <c r="H11" t="s">
        <v>89</v>
      </c>
      <c r="I11" t="b">
        <v>0</v>
      </c>
      <c r="J11">
        <v>562.93033445340097</v>
      </c>
      <c r="K11">
        <v>563.21604873911497</v>
      </c>
      <c r="L11">
        <v>20.744177113101902</v>
      </c>
      <c r="M11" t="s">
        <v>43</v>
      </c>
      <c r="N11" t="s">
        <v>43</v>
      </c>
      <c r="O11" t="s">
        <v>379</v>
      </c>
      <c r="P11">
        <f>-0.209109027476679 - 0.121265754328193</f>
        <v>-0.33037478180487201</v>
      </c>
      <c r="Q11" t="s">
        <v>56</v>
      </c>
      <c r="R11" t="s">
        <v>90</v>
      </c>
      <c r="S11" t="s">
        <v>43</v>
      </c>
      <c r="T11" t="s">
        <v>91</v>
      </c>
      <c r="U11">
        <v>170.94945890861001</v>
      </c>
      <c r="V11">
        <v>8.4279281072671394E-2</v>
      </c>
      <c r="W11" t="s">
        <v>49</v>
      </c>
    </row>
    <row r="12" spans="1:23" x14ac:dyDescent="0.3">
      <c r="A12" t="s">
        <v>374</v>
      </c>
      <c r="B12" t="s">
        <v>375</v>
      </c>
      <c r="C12" t="s">
        <v>3</v>
      </c>
      <c r="D12">
        <v>1.5395377097070001E-3</v>
      </c>
      <c r="E12">
        <v>0.79802716493871495</v>
      </c>
      <c r="F12" t="s">
        <v>78</v>
      </c>
      <c r="G12">
        <v>2.0949091148790799E-2</v>
      </c>
      <c r="H12" t="s">
        <v>79</v>
      </c>
      <c r="I12" t="b">
        <v>0</v>
      </c>
      <c r="J12">
        <v>551.14722630489803</v>
      </c>
      <c r="K12">
        <v>551.43294059061202</v>
      </c>
      <c r="L12">
        <v>8.9610689645990007</v>
      </c>
      <c r="M12" t="s">
        <v>43</v>
      </c>
      <c r="N12" t="s">
        <v>43</v>
      </c>
      <c r="O12" t="s">
        <v>379</v>
      </c>
      <c r="P12">
        <f>-0.138512943236271 - 0.180411125533853</f>
        <v>-0.31892406877012403</v>
      </c>
      <c r="Q12" t="s">
        <v>56</v>
      </c>
      <c r="R12" t="s">
        <v>80</v>
      </c>
      <c r="S12" t="s">
        <v>81</v>
      </c>
      <c r="T12" t="s">
        <v>390</v>
      </c>
      <c r="U12">
        <v>143.16985648981299</v>
      </c>
      <c r="V12">
        <v>8.1358180808704994E-2</v>
      </c>
      <c r="W12" t="s">
        <v>49</v>
      </c>
    </row>
    <row r="13" spans="1:23" x14ac:dyDescent="0.3">
      <c r="A13" t="s">
        <v>374</v>
      </c>
      <c r="B13" t="s">
        <v>375</v>
      </c>
      <c r="C13" t="s">
        <v>3</v>
      </c>
      <c r="D13">
        <v>6.2764275494461997E-3</v>
      </c>
      <c r="E13">
        <v>0.60494022599332598</v>
      </c>
      <c r="F13" t="s">
        <v>78</v>
      </c>
      <c r="G13">
        <v>-4.3921636574243098E-2</v>
      </c>
      <c r="H13" t="s">
        <v>83</v>
      </c>
      <c r="I13" t="b">
        <v>0</v>
      </c>
      <c r="J13">
        <v>562.93033445340097</v>
      </c>
      <c r="K13">
        <v>563.21604873911497</v>
      </c>
      <c r="L13">
        <v>20.744177113101902</v>
      </c>
      <c r="M13" t="s">
        <v>43</v>
      </c>
      <c r="N13" t="s">
        <v>43</v>
      </c>
      <c r="O13" t="s">
        <v>379</v>
      </c>
      <c r="P13">
        <f>-0.209109027476679 - 0.121265754328193</f>
        <v>-0.33037478180487201</v>
      </c>
      <c r="Q13" t="s">
        <v>56</v>
      </c>
      <c r="R13" t="s">
        <v>84</v>
      </c>
      <c r="S13" t="s">
        <v>85</v>
      </c>
      <c r="T13" t="s">
        <v>391</v>
      </c>
      <c r="U13">
        <v>170.94945890861001</v>
      </c>
      <c r="V13">
        <v>8.4279281072671394E-2</v>
      </c>
      <c r="W13" t="s">
        <v>49</v>
      </c>
    </row>
    <row r="14" spans="1:23" x14ac:dyDescent="0.3">
      <c r="A14" t="s">
        <v>374</v>
      </c>
      <c r="B14" t="s">
        <v>375</v>
      </c>
      <c r="C14" t="s">
        <v>4</v>
      </c>
      <c r="D14">
        <v>3.8630884244340001E-4</v>
      </c>
      <c r="E14">
        <v>0.89803021346117096</v>
      </c>
      <c r="F14" t="s">
        <v>78</v>
      </c>
      <c r="G14" s="2">
        <v>-2.1044695106965799E-5</v>
      </c>
      <c r="H14" t="s">
        <v>89</v>
      </c>
      <c r="I14" t="b">
        <v>0</v>
      </c>
      <c r="J14">
        <v>0.73639083232785696</v>
      </c>
      <c r="K14">
        <v>1.0221051180421401</v>
      </c>
      <c r="L14">
        <v>73.834131771765797</v>
      </c>
      <c r="M14" t="s">
        <v>43</v>
      </c>
      <c r="N14" t="s">
        <v>43</v>
      </c>
      <c r="O14" t="s">
        <v>381</v>
      </c>
      <c r="P14">
        <f>-0.000341017637543218 - 0.000298928247329287</f>
        <v>-6.3994588487250497E-4</v>
      </c>
      <c r="Q14" t="s">
        <v>56</v>
      </c>
      <c r="R14" t="s">
        <v>90</v>
      </c>
      <c r="S14" t="s">
        <v>43</v>
      </c>
      <c r="T14" t="s">
        <v>91</v>
      </c>
      <c r="U14">
        <v>0.88866773046207803</v>
      </c>
      <c r="V14">
        <v>1.632515012429E-4</v>
      </c>
      <c r="W14" t="s">
        <v>49</v>
      </c>
    </row>
    <row r="15" spans="1:23" x14ac:dyDescent="0.3">
      <c r="A15" t="s">
        <v>374</v>
      </c>
      <c r="B15" t="s">
        <v>375</v>
      </c>
      <c r="C15" t="s">
        <v>4</v>
      </c>
      <c r="D15">
        <v>3.2545513701444E-3</v>
      </c>
      <c r="E15">
        <v>0.70972275197706103</v>
      </c>
      <c r="F15" t="s">
        <v>78</v>
      </c>
      <c r="G15" s="2">
        <v>3.0949165501123498E-5</v>
      </c>
      <c r="H15" t="s">
        <v>79</v>
      </c>
      <c r="I15" t="b">
        <v>0</v>
      </c>
      <c r="J15">
        <v>-68.801493491561203</v>
      </c>
      <c r="K15">
        <v>-68.515779205846897</v>
      </c>
      <c r="L15">
        <v>4.2962474478767998</v>
      </c>
      <c r="M15" t="s">
        <v>43</v>
      </c>
      <c r="N15" t="s">
        <v>43</v>
      </c>
      <c r="O15" t="s">
        <v>381</v>
      </c>
      <c r="P15">
        <f>-0.000130939838878172 - 0.000192838169880419</f>
        <v>-3.2377800875859101E-4</v>
      </c>
      <c r="Q15" t="s">
        <v>56</v>
      </c>
      <c r="R15" t="s">
        <v>80</v>
      </c>
      <c r="S15" t="s">
        <v>81</v>
      </c>
      <c r="T15" t="s">
        <v>392</v>
      </c>
      <c r="U15">
        <v>0.89676938768321901</v>
      </c>
      <c r="V15" s="2">
        <v>8.2596430805763005E-5</v>
      </c>
      <c r="W15" t="s">
        <v>49</v>
      </c>
    </row>
    <row r="16" spans="1:23" x14ac:dyDescent="0.3">
      <c r="A16" t="s">
        <v>374</v>
      </c>
      <c r="B16" t="s">
        <v>375</v>
      </c>
      <c r="C16" t="s">
        <v>4</v>
      </c>
      <c r="D16">
        <v>3.8630884244340001E-4</v>
      </c>
      <c r="E16">
        <v>0.89803021346117096</v>
      </c>
      <c r="F16" t="s">
        <v>78</v>
      </c>
      <c r="G16" s="2">
        <v>-2.1044695106965799E-5</v>
      </c>
      <c r="H16" t="s">
        <v>83</v>
      </c>
      <c r="I16" t="b">
        <v>0</v>
      </c>
      <c r="J16">
        <v>0.73639083232785696</v>
      </c>
      <c r="K16">
        <v>1.0221051180421401</v>
      </c>
      <c r="L16">
        <v>73.834131771765797</v>
      </c>
      <c r="M16" t="s">
        <v>43</v>
      </c>
      <c r="N16" t="s">
        <v>43</v>
      </c>
      <c r="O16" t="s">
        <v>381</v>
      </c>
      <c r="P16">
        <f>-0.000341017637543218 - 0.000298928247329287</f>
        <v>-6.3994588487250497E-4</v>
      </c>
      <c r="Q16" t="s">
        <v>56</v>
      </c>
      <c r="R16" t="s">
        <v>84</v>
      </c>
      <c r="S16" t="s">
        <v>85</v>
      </c>
      <c r="T16" t="s">
        <v>393</v>
      </c>
      <c r="U16">
        <v>0.88866773046207803</v>
      </c>
      <c r="V16">
        <v>1.632515012429E-4</v>
      </c>
      <c r="W16" t="s">
        <v>49</v>
      </c>
    </row>
    <row r="17" spans="1:23" x14ac:dyDescent="0.3">
      <c r="A17" t="s">
        <v>374</v>
      </c>
      <c r="B17" t="s">
        <v>375</v>
      </c>
      <c r="C17" t="s">
        <v>41</v>
      </c>
      <c r="D17">
        <v>0.24154552688704301</v>
      </c>
      <c r="E17">
        <v>1.2795330530224001E-3</v>
      </c>
      <c r="F17" t="s">
        <v>78</v>
      </c>
      <c r="G17">
        <v>1.1994072098937899E-2</v>
      </c>
      <c r="H17" t="s">
        <v>89</v>
      </c>
      <c r="I17" t="b">
        <v>0</v>
      </c>
      <c r="J17">
        <v>246.599108393677</v>
      </c>
      <c r="K17">
        <v>246.92343271800101</v>
      </c>
      <c r="L17">
        <v>23.030239180350002</v>
      </c>
      <c r="M17" t="s">
        <v>43</v>
      </c>
      <c r="N17" t="s">
        <v>43</v>
      </c>
      <c r="O17" t="s">
        <v>383</v>
      </c>
      <c r="P17" t="s">
        <v>394</v>
      </c>
      <c r="Q17" t="s">
        <v>56</v>
      </c>
      <c r="R17" t="s">
        <v>90</v>
      </c>
      <c r="S17" t="s">
        <v>43</v>
      </c>
      <c r="T17" t="s">
        <v>91</v>
      </c>
      <c r="U17">
        <v>2.4390627906245199</v>
      </c>
      <c r="V17">
        <v>3.4477845220690002E-3</v>
      </c>
      <c r="W17" t="s">
        <v>49</v>
      </c>
    </row>
    <row r="18" spans="1:23" x14ac:dyDescent="0.3">
      <c r="A18" t="s">
        <v>374</v>
      </c>
      <c r="B18" t="s">
        <v>375</v>
      </c>
      <c r="C18" t="s">
        <v>41</v>
      </c>
      <c r="D18">
        <v>0.26747093304981101</v>
      </c>
      <c r="E18">
        <v>6.327656856259E-4</v>
      </c>
      <c r="F18" t="s">
        <v>78</v>
      </c>
      <c r="G18">
        <v>1.3467459186821301E-2</v>
      </c>
      <c r="H18" t="s">
        <v>79</v>
      </c>
      <c r="I18" t="b">
        <v>0</v>
      </c>
      <c r="J18">
        <v>242.726338261465</v>
      </c>
      <c r="K18">
        <v>243.05066258578901</v>
      </c>
      <c r="L18">
        <v>19.157469048138001</v>
      </c>
      <c r="M18" t="s">
        <v>43</v>
      </c>
      <c r="N18" t="s">
        <v>43</v>
      </c>
      <c r="O18" t="s">
        <v>383</v>
      </c>
      <c r="P18" t="s">
        <v>395</v>
      </c>
      <c r="Q18" t="s">
        <v>56</v>
      </c>
      <c r="R18" t="s">
        <v>80</v>
      </c>
      <c r="S18" t="s">
        <v>81</v>
      </c>
      <c r="T18" t="s">
        <v>396</v>
      </c>
      <c r="U18">
        <v>2.2032178744164699</v>
      </c>
      <c r="V18">
        <v>3.6154969922069999E-3</v>
      </c>
      <c r="W18" t="s">
        <v>49</v>
      </c>
    </row>
    <row r="19" spans="1:23" x14ac:dyDescent="0.3">
      <c r="A19" t="s">
        <v>374</v>
      </c>
      <c r="B19" t="s">
        <v>375</v>
      </c>
      <c r="C19" t="s">
        <v>41</v>
      </c>
      <c r="D19">
        <v>0.24154552688704301</v>
      </c>
      <c r="E19">
        <v>1.2795330530224001E-3</v>
      </c>
      <c r="F19" t="s">
        <v>78</v>
      </c>
      <c r="G19">
        <v>1.1994072098937899E-2</v>
      </c>
      <c r="H19" t="s">
        <v>83</v>
      </c>
      <c r="I19" t="b">
        <v>0</v>
      </c>
      <c r="J19">
        <v>246.599108393677</v>
      </c>
      <c r="K19">
        <v>246.92343271800101</v>
      </c>
      <c r="L19">
        <v>23.030239180350002</v>
      </c>
      <c r="M19" t="s">
        <v>43</v>
      </c>
      <c r="N19" t="s">
        <v>43</v>
      </c>
      <c r="O19" t="s">
        <v>383</v>
      </c>
      <c r="P19" t="s">
        <v>394</v>
      </c>
      <c r="Q19" t="s">
        <v>56</v>
      </c>
      <c r="R19" t="s">
        <v>84</v>
      </c>
      <c r="S19" t="s">
        <v>85</v>
      </c>
      <c r="T19" t="s">
        <v>397</v>
      </c>
      <c r="U19">
        <v>2.4390627906245199</v>
      </c>
      <c r="V19">
        <v>3.4477845220690002E-3</v>
      </c>
      <c r="W19" t="s">
        <v>49</v>
      </c>
    </row>
  </sheetData>
  <mergeCells count="2">
    <mergeCell ref="A1:K1"/>
    <mergeCell ref="A2: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F76EF-0DB2-DD4C-BA23-EC7F72109ADC}">
  <dimension ref="A1:X51"/>
  <sheetViews>
    <sheetView workbookViewId="0">
      <selection activeCell="A2" sqref="A2:K2"/>
    </sheetView>
  </sheetViews>
  <sheetFormatPr defaultColWidth="11.19921875" defaultRowHeight="15.6" x14ac:dyDescent="0.3"/>
  <sheetData>
    <row r="1" spans="1:24" ht="21" x14ac:dyDescent="0.3">
      <c r="A1" s="4" t="s">
        <v>398</v>
      </c>
      <c r="B1" s="5"/>
      <c r="C1" s="5"/>
      <c r="D1" s="5"/>
      <c r="E1" s="5"/>
      <c r="F1" s="5"/>
      <c r="G1" s="5"/>
      <c r="H1" s="5"/>
      <c r="I1" s="5"/>
      <c r="J1" s="5"/>
      <c r="K1" s="6"/>
    </row>
    <row r="2" spans="1:24" s="3" customFormat="1" ht="105" customHeight="1" thickBot="1" x14ac:dyDescent="0.35">
      <c r="A2" s="7" t="s">
        <v>486</v>
      </c>
      <c r="B2" s="13"/>
      <c r="C2" s="13"/>
      <c r="D2" s="13"/>
      <c r="E2" s="13"/>
      <c r="F2" s="13"/>
      <c r="G2" s="13"/>
      <c r="H2" s="13"/>
      <c r="I2" s="13"/>
      <c r="J2" s="13"/>
      <c r="K2" s="14"/>
    </row>
    <row r="3" spans="1:24"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c r="X3" t="s">
        <v>39</v>
      </c>
    </row>
    <row r="4" spans="1:24" x14ac:dyDescent="0.3">
      <c r="A4" t="s">
        <v>399</v>
      </c>
      <c r="B4" t="s">
        <v>400</v>
      </c>
      <c r="C4" t="s">
        <v>41</v>
      </c>
      <c r="D4">
        <v>4.5914481244603003E-3</v>
      </c>
      <c r="E4">
        <v>0.67781840489689404</v>
      </c>
      <c r="F4">
        <v>0.80387942711674198</v>
      </c>
      <c r="G4">
        <v>-2.1420314640445901E-2</v>
      </c>
      <c r="H4" t="s">
        <v>42</v>
      </c>
      <c r="I4" t="b">
        <v>1</v>
      </c>
      <c r="J4">
        <v>237.76394588857701</v>
      </c>
      <c r="K4">
        <v>238.08827021290199</v>
      </c>
      <c r="L4">
        <v>0</v>
      </c>
      <c r="M4" t="s">
        <v>43</v>
      </c>
      <c r="N4" t="s">
        <v>43</v>
      </c>
      <c r="O4" t="s">
        <v>401</v>
      </c>
      <c r="P4">
        <f>-0.121700692503155 - 0.078860063222263</f>
        <v>-0.20056075572541798</v>
      </c>
      <c r="Q4" t="s">
        <v>56</v>
      </c>
      <c r="R4" t="s">
        <v>46</v>
      </c>
      <c r="S4" t="s">
        <v>47</v>
      </c>
      <c r="T4" t="s">
        <v>402</v>
      </c>
      <c r="U4">
        <v>3.41074634588675</v>
      </c>
      <c r="V4">
        <v>5.1163458093218803E-2</v>
      </c>
      <c r="W4" t="s">
        <v>49</v>
      </c>
      <c r="X4" t="s">
        <v>50</v>
      </c>
    </row>
    <row r="5" spans="1:24" x14ac:dyDescent="0.3">
      <c r="A5" t="s">
        <v>399</v>
      </c>
      <c r="B5" t="s">
        <v>403</v>
      </c>
      <c r="C5" t="s">
        <v>41</v>
      </c>
      <c r="D5">
        <v>1.6828509154064E-3</v>
      </c>
      <c r="E5">
        <v>0.80156047458970403</v>
      </c>
      <c r="F5">
        <v>0.80387942711674198</v>
      </c>
      <c r="G5">
        <v>-9.3375239430657994E-3</v>
      </c>
      <c r="H5" t="s">
        <v>42</v>
      </c>
      <c r="I5" t="b">
        <v>1</v>
      </c>
      <c r="J5">
        <v>237.880655996538</v>
      </c>
      <c r="K5">
        <v>238.20498032086201</v>
      </c>
      <c r="L5">
        <v>0</v>
      </c>
      <c r="M5" t="s">
        <v>43</v>
      </c>
      <c r="N5" t="s">
        <v>43</v>
      </c>
      <c r="O5" t="s">
        <v>404</v>
      </c>
      <c r="P5">
        <f>-0.0816490364493445 - 0.0629739885632129</f>
        <v>-0.14462302501255742</v>
      </c>
      <c r="Q5" t="s">
        <v>56</v>
      </c>
      <c r="R5" t="s">
        <v>46</v>
      </c>
      <c r="S5" t="s">
        <v>47</v>
      </c>
      <c r="T5" t="s">
        <v>405</v>
      </c>
      <c r="U5">
        <v>3.36250398386741</v>
      </c>
      <c r="V5">
        <v>3.6893628829734001E-2</v>
      </c>
      <c r="W5" t="s">
        <v>49</v>
      </c>
      <c r="X5" t="s">
        <v>50</v>
      </c>
    </row>
    <row r="6" spans="1:24" x14ac:dyDescent="0.3">
      <c r="A6" t="s">
        <v>399</v>
      </c>
      <c r="B6" t="s">
        <v>406</v>
      </c>
      <c r="C6" t="s">
        <v>41</v>
      </c>
      <c r="D6">
        <v>1.6429683262391E-3</v>
      </c>
      <c r="E6">
        <v>0.80387942711674198</v>
      </c>
      <c r="F6">
        <v>0.80387942711674198</v>
      </c>
      <c r="G6">
        <v>-1.8819000737103E-3</v>
      </c>
      <c r="H6" t="s">
        <v>42</v>
      </c>
      <c r="I6" t="b">
        <v>1</v>
      </c>
      <c r="J6">
        <v>237.88225395736899</v>
      </c>
      <c r="K6">
        <v>238.206578281693</v>
      </c>
      <c r="L6">
        <v>0</v>
      </c>
      <c r="M6" t="s">
        <v>43</v>
      </c>
      <c r="N6" t="s">
        <v>43</v>
      </c>
      <c r="O6" t="s">
        <v>407</v>
      </c>
      <c r="P6">
        <f>-0.0166318035185942 - 0.0128680033711736</f>
        <v>-2.9499806889767798E-2</v>
      </c>
      <c r="Q6" t="s">
        <v>56</v>
      </c>
      <c r="R6" t="s">
        <v>46</v>
      </c>
      <c r="S6" t="s">
        <v>47</v>
      </c>
      <c r="T6" t="s">
        <v>408</v>
      </c>
      <c r="U6">
        <v>3.2780033314674699</v>
      </c>
      <c r="V6">
        <v>7.5254609412672997E-3</v>
      </c>
      <c r="W6" t="s">
        <v>49</v>
      </c>
      <c r="X6" t="s">
        <v>50</v>
      </c>
    </row>
    <row r="7" spans="1:24" x14ac:dyDescent="0.3">
      <c r="A7" t="s">
        <v>399</v>
      </c>
      <c r="B7" t="s">
        <v>406</v>
      </c>
      <c r="C7" t="s">
        <v>41</v>
      </c>
      <c r="D7">
        <v>1.6429683262391E-3</v>
      </c>
      <c r="E7">
        <v>0.80387942711674198</v>
      </c>
      <c r="F7">
        <v>0.80387942711674198</v>
      </c>
      <c r="G7">
        <v>-1.8819000737103E-3</v>
      </c>
      <c r="H7" t="s">
        <v>42</v>
      </c>
      <c r="I7" t="b">
        <v>1</v>
      </c>
      <c r="J7">
        <v>237.88225395736899</v>
      </c>
      <c r="K7">
        <v>238.206578281693</v>
      </c>
      <c r="L7">
        <v>0</v>
      </c>
      <c r="M7" t="s">
        <v>43</v>
      </c>
      <c r="N7" t="s">
        <v>43</v>
      </c>
      <c r="O7" t="s">
        <v>407</v>
      </c>
      <c r="P7">
        <f>-0.0166318035185942 - 0.0128680033711736</f>
        <v>-2.9499806889767798E-2</v>
      </c>
      <c r="Q7" t="s">
        <v>56</v>
      </c>
      <c r="R7" t="s">
        <v>46</v>
      </c>
      <c r="S7" t="s">
        <v>47</v>
      </c>
      <c r="T7" t="s">
        <v>408</v>
      </c>
      <c r="U7">
        <v>3.2780033314674699</v>
      </c>
      <c r="V7">
        <v>7.5254609412672997E-3</v>
      </c>
      <c r="W7" t="s">
        <v>49</v>
      </c>
      <c r="X7" t="s">
        <v>50</v>
      </c>
    </row>
    <row r="8" spans="1:24" x14ac:dyDescent="0.3">
      <c r="A8" t="s">
        <v>399</v>
      </c>
      <c r="B8" t="s">
        <v>400</v>
      </c>
      <c r="C8" t="s">
        <v>41</v>
      </c>
      <c r="D8">
        <v>4.5914481244603003E-3</v>
      </c>
      <c r="E8">
        <v>0.67781840489689404</v>
      </c>
      <c r="F8">
        <v>0.80387942711674198</v>
      </c>
      <c r="G8">
        <v>-2.1420314640445901E-2</v>
      </c>
      <c r="H8" t="s">
        <v>42</v>
      </c>
      <c r="I8" t="b">
        <v>1</v>
      </c>
      <c r="J8">
        <v>237.76394588857701</v>
      </c>
      <c r="K8">
        <v>238.08827021290199</v>
      </c>
      <c r="L8">
        <v>0</v>
      </c>
      <c r="M8" t="s">
        <v>43</v>
      </c>
      <c r="N8" t="s">
        <v>43</v>
      </c>
      <c r="O8" t="s">
        <v>401</v>
      </c>
      <c r="P8">
        <f>-0.121700692503155 - 0.078860063222263</f>
        <v>-0.20056075572541798</v>
      </c>
      <c r="Q8" t="s">
        <v>56</v>
      </c>
      <c r="R8" t="s">
        <v>46</v>
      </c>
      <c r="S8" t="s">
        <v>47</v>
      </c>
      <c r="T8" t="s">
        <v>402</v>
      </c>
      <c r="U8">
        <v>3.41074634588675</v>
      </c>
      <c r="V8">
        <v>5.1163458093218803E-2</v>
      </c>
      <c r="W8" t="s">
        <v>49</v>
      </c>
      <c r="X8" t="s">
        <v>50</v>
      </c>
    </row>
    <row r="9" spans="1:24" x14ac:dyDescent="0.3">
      <c r="A9" t="s">
        <v>399</v>
      </c>
      <c r="B9" t="s">
        <v>403</v>
      </c>
      <c r="C9" t="s">
        <v>41</v>
      </c>
      <c r="D9">
        <v>1.6828509154064E-3</v>
      </c>
      <c r="E9">
        <v>0.80156047458970403</v>
      </c>
      <c r="F9">
        <v>0.80387942711674198</v>
      </c>
      <c r="G9">
        <v>-9.3375239430657994E-3</v>
      </c>
      <c r="H9" t="s">
        <v>42</v>
      </c>
      <c r="I9" t="b">
        <v>1</v>
      </c>
      <c r="J9">
        <v>237.880655996538</v>
      </c>
      <c r="K9">
        <v>238.20498032086201</v>
      </c>
      <c r="L9">
        <v>0</v>
      </c>
      <c r="M9" t="s">
        <v>43</v>
      </c>
      <c r="N9" t="s">
        <v>43</v>
      </c>
      <c r="O9" t="s">
        <v>404</v>
      </c>
      <c r="P9">
        <f>-0.0816490364493445 - 0.0629739885632129</f>
        <v>-0.14462302501255742</v>
      </c>
      <c r="Q9" t="s">
        <v>56</v>
      </c>
      <c r="R9" t="s">
        <v>46</v>
      </c>
      <c r="S9" t="s">
        <v>47</v>
      </c>
      <c r="T9" t="s">
        <v>405</v>
      </c>
      <c r="U9">
        <v>3.36250398386741</v>
      </c>
      <c r="V9">
        <v>3.6893628829734001E-2</v>
      </c>
      <c r="W9" t="s">
        <v>49</v>
      </c>
      <c r="X9" t="s">
        <v>50</v>
      </c>
    </row>
    <row r="10" spans="1:24" x14ac:dyDescent="0.3">
      <c r="A10" t="s">
        <v>399</v>
      </c>
      <c r="B10" t="s">
        <v>400</v>
      </c>
      <c r="C10" t="s">
        <v>41</v>
      </c>
      <c r="D10">
        <v>4.5914481244603003E-3</v>
      </c>
      <c r="E10">
        <v>0.67781840489689404</v>
      </c>
      <c r="F10">
        <v>0.80387942711674198</v>
      </c>
      <c r="G10">
        <v>-2.1420314640445901E-2</v>
      </c>
      <c r="H10" t="s">
        <v>42</v>
      </c>
      <c r="I10" t="b">
        <v>1</v>
      </c>
      <c r="J10">
        <v>237.76394588857701</v>
      </c>
      <c r="K10">
        <v>238.08827021290199</v>
      </c>
      <c r="L10">
        <v>0</v>
      </c>
      <c r="M10" t="s">
        <v>43</v>
      </c>
      <c r="N10" t="s">
        <v>43</v>
      </c>
      <c r="O10" t="s">
        <v>401</v>
      </c>
      <c r="P10">
        <f>-0.121700692503155 - 0.078860063222263</f>
        <v>-0.20056075572541798</v>
      </c>
      <c r="Q10" t="s">
        <v>56</v>
      </c>
      <c r="R10" t="s">
        <v>46</v>
      </c>
      <c r="S10" t="s">
        <v>47</v>
      </c>
      <c r="T10" t="s">
        <v>402</v>
      </c>
      <c r="U10">
        <v>3.41074634588675</v>
      </c>
      <c r="V10">
        <v>5.1163458093218803E-2</v>
      </c>
      <c r="W10" t="s">
        <v>49</v>
      </c>
      <c r="X10" t="s">
        <v>50</v>
      </c>
    </row>
    <row r="11" spans="1:24" x14ac:dyDescent="0.3">
      <c r="A11" t="s">
        <v>399</v>
      </c>
      <c r="B11" t="s">
        <v>400</v>
      </c>
      <c r="C11" t="s">
        <v>41</v>
      </c>
      <c r="D11">
        <v>4.5914481244603003E-3</v>
      </c>
      <c r="E11">
        <v>0.67781840489689404</v>
      </c>
      <c r="F11">
        <v>0.80387942711674198</v>
      </c>
      <c r="G11">
        <v>-2.1420314640445901E-2</v>
      </c>
      <c r="H11" t="s">
        <v>42</v>
      </c>
      <c r="I11" t="b">
        <v>1</v>
      </c>
      <c r="J11">
        <v>237.76394588857701</v>
      </c>
      <c r="K11">
        <v>238.08827021290199</v>
      </c>
      <c r="L11">
        <v>0</v>
      </c>
      <c r="M11" t="s">
        <v>43</v>
      </c>
      <c r="N11" t="s">
        <v>43</v>
      </c>
      <c r="O11" t="s">
        <v>401</v>
      </c>
      <c r="P11">
        <f>-0.121700692503155 - 0.078860063222263</f>
        <v>-0.20056075572541798</v>
      </c>
      <c r="Q11" t="s">
        <v>56</v>
      </c>
      <c r="R11" t="s">
        <v>46</v>
      </c>
      <c r="S11" t="s">
        <v>47</v>
      </c>
      <c r="T11" t="s">
        <v>402</v>
      </c>
      <c r="U11">
        <v>3.41074634588675</v>
      </c>
      <c r="V11">
        <v>5.1163458093218803E-2</v>
      </c>
      <c r="W11" t="s">
        <v>49</v>
      </c>
      <c r="X11" t="s">
        <v>50</v>
      </c>
    </row>
    <row r="12" spans="1:24" x14ac:dyDescent="0.3">
      <c r="A12" t="s">
        <v>399</v>
      </c>
      <c r="B12" t="s">
        <v>403</v>
      </c>
      <c r="C12" t="s">
        <v>41</v>
      </c>
      <c r="D12">
        <v>1.6828509154064E-3</v>
      </c>
      <c r="E12">
        <v>0.80156047458970403</v>
      </c>
      <c r="F12">
        <v>0.80387942711674198</v>
      </c>
      <c r="G12">
        <v>-9.3375239430657994E-3</v>
      </c>
      <c r="H12" t="s">
        <v>42</v>
      </c>
      <c r="I12" t="b">
        <v>1</v>
      </c>
      <c r="J12">
        <v>237.880655996538</v>
      </c>
      <c r="K12">
        <v>238.20498032086201</v>
      </c>
      <c r="L12">
        <v>0</v>
      </c>
      <c r="M12" t="s">
        <v>43</v>
      </c>
      <c r="N12" t="s">
        <v>43</v>
      </c>
      <c r="O12" t="s">
        <v>404</v>
      </c>
      <c r="P12">
        <f>-0.0816490364493445 - 0.0629739885632129</f>
        <v>-0.14462302501255742</v>
      </c>
      <c r="Q12" t="s">
        <v>56</v>
      </c>
      <c r="R12" t="s">
        <v>46</v>
      </c>
      <c r="S12" t="s">
        <v>47</v>
      </c>
      <c r="T12" t="s">
        <v>405</v>
      </c>
      <c r="U12">
        <v>3.36250398386741</v>
      </c>
      <c r="V12">
        <v>3.6893628829734001E-2</v>
      </c>
      <c r="W12" t="s">
        <v>49</v>
      </c>
      <c r="X12" t="s">
        <v>50</v>
      </c>
    </row>
    <row r="13" spans="1:24" x14ac:dyDescent="0.3">
      <c r="A13" t="s">
        <v>399</v>
      </c>
      <c r="B13" t="s">
        <v>406</v>
      </c>
      <c r="C13" t="s">
        <v>41</v>
      </c>
      <c r="D13">
        <v>1.6429683262391E-3</v>
      </c>
      <c r="E13">
        <v>0.80387942711674198</v>
      </c>
      <c r="F13">
        <v>0.80387942711674198</v>
      </c>
      <c r="G13">
        <v>-1.8819000737103E-3</v>
      </c>
      <c r="H13" t="s">
        <v>42</v>
      </c>
      <c r="I13" t="b">
        <v>1</v>
      </c>
      <c r="J13">
        <v>237.88225395736899</v>
      </c>
      <c r="K13">
        <v>238.206578281693</v>
      </c>
      <c r="L13">
        <v>0</v>
      </c>
      <c r="M13" t="s">
        <v>43</v>
      </c>
      <c r="N13" t="s">
        <v>43</v>
      </c>
      <c r="O13" t="s">
        <v>407</v>
      </c>
      <c r="P13">
        <f>-0.0166318035185942 - 0.0128680033711736</f>
        <v>-2.9499806889767798E-2</v>
      </c>
      <c r="Q13" t="s">
        <v>56</v>
      </c>
      <c r="R13" t="s">
        <v>46</v>
      </c>
      <c r="S13" t="s">
        <v>47</v>
      </c>
      <c r="T13" t="s">
        <v>408</v>
      </c>
      <c r="U13">
        <v>3.2780033314674699</v>
      </c>
      <c r="V13">
        <v>7.5254609412672997E-3</v>
      </c>
      <c r="W13" t="s">
        <v>49</v>
      </c>
      <c r="X13" t="s">
        <v>50</v>
      </c>
    </row>
    <row r="14" spans="1:24" x14ac:dyDescent="0.3">
      <c r="A14" t="s">
        <v>399</v>
      </c>
      <c r="B14" t="s">
        <v>403</v>
      </c>
      <c r="C14" t="s">
        <v>41</v>
      </c>
      <c r="D14">
        <v>1.6828509154064E-3</v>
      </c>
      <c r="E14">
        <v>0.80156047458970403</v>
      </c>
      <c r="F14">
        <v>0.80387942711674198</v>
      </c>
      <c r="G14">
        <v>-9.3375239430657994E-3</v>
      </c>
      <c r="H14" t="s">
        <v>42</v>
      </c>
      <c r="I14" t="b">
        <v>1</v>
      </c>
      <c r="J14">
        <v>237.880655996538</v>
      </c>
      <c r="K14">
        <v>238.20498032086201</v>
      </c>
      <c r="L14">
        <v>0</v>
      </c>
      <c r="M14" t="s">
        <v>43</v>
      </c>
      <c r="N14" t="s">
        <v>43</v>
      </c>
      <c r="O14" t="s">
        <v>404</v>
      </c>
      <c r="P14">
        <f>-0.0816490364493445 - 0.0629739885632129</f>
        <v>-0.14462302501255742</v>
      </c>
      <c r="Q14" t="s">
        <v>56</v>
      </c>
      <c r="R14" t="s">
        <v>46</v>
      </c>
      <c r="S14" t="s">
        <v>47</v>
      </c>
      <c r="T14" t="s">
        <v>405</v>
      </c>
      <c r="U14">
        <v>3.36250398386741</v>
      </c>
      <c r="V14">
        <v>3.6893628829734001E-2</v>
      </c>
      <c r="W14" t="s">
        <v>49</v>
      </c>
      <c r="X14" t="s">
        <v>50</v>
      </c>
    </row>
    <row r="15" spans="1:24" x14ac:dyDescent="0.3">
      <c r="A15" t="s">
        <v>399</v>
      </c>
      <c r="B15" t="s">
        <v>406</v>
      </c>
      <c r="C15" t="s">
        <v>41</v>
      </c>
      <c r="D15">
        <v>1.6429683262391E-3</v>
      </c>
      <c r="E15">
        <v>0.80387942711674198</v>
      </c>
      <c r="F15">
        <v>0.80387942711674198</v>
      </c>
      <c r="G15">
        <v>-1.8819000737103E-3</v>
      </c>
      <c r="H15" t="s">
        <v>42</v>
      </c>
      <c r="I15" t="b">
        <v>1</v>
      </c>
      <c r="J15">
        <v>237.88225395736899</v>
      </c>
      <c r="K15">
        <v>238.206578281693</v>
      </c>
      <c r="L15">
        <v>0</v>
      </c>
      <c r="M15" t="s">
        <v>43</v>
      </c>
      <c r="N15" t="s">
        <v>43</v>
      </c>
      <c r="O15" t="s">
        <v>407</v>
      </c>
      <c r="P15">
        <f>-0.0166318035185942 - 0.0128680033711736</f>
        <v>-2.9499806889767798E-2</v>
      </c>
      <c r="Q15" t="s">
        <v>56</v>
      </c>
      <c r="R15" t="s">
        <v>46</v>
      </c>
      <c r="S15" t="s">
        <v>47</v>
      </c>
      <c r="T15" t="s">
        <v>408</v>
      </c>
      <c r="U15">
        <v>3.2780033314674699</v>
      </c>
      <c r="V15">
        <v>7.5254609412672997E-3</v>
      </c>
      <c r="W15" t="s">
        <v>49</v>
      </c>
      <c r="X15" t="s">
        <v>50</v>
      </c>
    </row>
    <row r="16" spans="1:24" x14ac:dyDescent="0.3">
      <c r="A16" t="s">
        <v>399</v>
      </c>
      <c r="B16" t="s">
        <v>400</v>
      </c>
      <c r="C16" t="s">
        <v>41</v>
      </c>
      <c r="D16">
        <v>3.355166547986E-3</v>
      </c>
      <c r="E16">
        <v>0.72257169758045003</v>
      </c>
      <c r="F16" t="s">
        <v>78</v>
      </c>
      <c r="G16">
        <v>-1.5911569054343301E-2</v>
      </c>
      <c r="H16" t="s">
        <v>79</v>
      </c>
      <c r="I16" t="b">
        <v>0</v>
      </c>
      <c r="J16">
        <v>255.02059939685799</v>
      </c>
      <c r="K16">
        <v>255.34492372118299</v>
      </c>
      <c r="L16">
        <v>17.256653508281001</v>
      </c>
      <c r="M16" t="s">
        <v>43</v>
      </c>
      <c r="N16" t="s">
        <v>43</v>
      </c>
      <c r="O16" t="s">
        <v>401</v>
      </c>
      <c r="P16">
        <f>-0.103106341636557 - 0.0712832035278701</f>
        <v>-0.17438954516442712</v>
      </c>
      <c r="Q16" t="s">
        <v>56</v>
      </c>
      <c r="R16" t="s">
        <v>80</v>
      </c>
      <c r="S16" t="s">
        <v>81</v>
      </c>
      <c r="T16" t="s">
        <v>409</v>
      </c>
      <c r="U16">
        <v>3.79206580146522</v>
      </c>
      <c r="V16">
        <v>4.4487128868476201E-2</v>
      </c>
      <c r="W16" t="s">
        <v>49</v>
      </c>
      <c r="X16" t="s">
        <v>50</v>
      </c>
    </row>
    <row r="17" spans="1:24" x14ac:dyDescent="0.3">
      <c r="A17" t="s">
        <v>399</v>
      </c>
      <c r="B17" t="s">
        <v>400</v>
      </c>
      <c r="C17" t="s">
        <v>41</v>
      </c>
      <c r="D17">
        <v>3.9868053209189003E-3</v>
      </c>
      <c r="E17">
        <v>0.69870935102070797</v>
      </c>
      <c r="F17" t="s">
        <v>78</v>
      </c>
      <c r="G17">
        <v>-1.38534942537431E-2</v>
      </c>
      <c r="H17" t="s">
        <v>83</v>
      </c>
      <c r="I17" t="b">
        <v>0</v>
      </c>
      <c r="J17">
        <v>257.49821761140299</v>
      </c>
      <c r="K17">
        <v>257.822541935728</v>
      </c>
      <c r="L17">
        <v>19.734271722826001</v>
      </c>
      <c r="M17" t="s">
        <v>43</v>
      </c>
      <c r="N17" t="s">
        <v>43</v>
      </c>
      <c r="O17" t="s">
        <v>401</v>
      </c>
      <c r="P17">
        <f>-0.0834750354981105 - 0.0557680469906243</f>
        <v>-0.13924308248873479</v>
      </c>
      <c r="Q17" t="s">
        <v>56</v>
      </c>
      <c r="R17" t="s">
        <v>84</v>
      </c>
      <c r="S17" t="s">
        <v>85</v>
      </c>
      <c r="T17" t="s">
        <v>410</v>
      </c>
      <c r="U17">
        <v>3.7903352551953802</v>
      </c>
      <c r="V17">
        <v>3.5521194512432297E-2</v>
      </c>
      <c r="W17" t="s">
        <v>49</v>
      </c>
      <c r="X17" t="s">
        <v>50</v>
      </c>
    </row>
    <row r="18" spans="1:24" x14ac:dyDescent="0.3">
      <c r="A18" t="s">
        <v>399</v>
      </c>
      <c r="B18" t="s">
        <v>403</v>
      </c>
      <c r="C18" t="s">
        <v>41</v>
      </c>
      <c r="D18">
        <v>7.8030539128761001E-3</v>
      </c>
      <c r="E18">
        <v>0.58780147676483097</v>
      </c>
      <c r="F18" t="s">
        <v>78</v>
      </c>
      <c r="G18">
        <v>2.0075997126143202E-2</v>
      </c>
      <c r="H18" t="s">
        <v>79</v>
      </c>
      <c r="I18" t="b">
        <v>0</v>
      </c>
      <c r="J18">
        <v>254.84191594619901</v>
      </c>
      <c r="K18">
        <v>255.16624027052299</v>
      </c>
      <c r="L18">
        <v>16.961259949660899</v>
      </c>
      <c r="M18" t="s">
        <v>43</v>
      </c>
      <c r="N18" t="s">
        <v>43</v>
      </c>
      <c r="O18" t="s">
        <v>404</v>
      </c>
      <c r="P18">
        <f>-0.0519033721995677 - 0.0920553664518541</f>
        <v>-0.14395873865142178</v>
      </c>
      <c r="Q18" t="s">
        <v>56</v>
      </c>
      <c r="R18" t="s">
        <v>80</v>
      </c>
      <c r="S18" t="s">
        <v>81</v>
      </c>
      <c r="T18" t="s">
        <v>411</v>
      </c>
      <c r="U18">
        <v>3.4348343690107299</v>
      </c>
      <c r="V18">
        <v>3.6724168023321901E-2</v>
      </c>
      <c r="W18" t="s">
        <v>49</v>
      </c>
      <c r="X18" t="s">
        <v>50</v>
      </c>
    </row>
    <row r="19" spans="1:24" x14ac:dyDescent="0.3">
      <c r="A19" t="s">
        <v>399</v>
      </c>
      <c r="B19" t="s">
        <v>406</v>
      </c>
      <c r="C19" t="s">
        <v>41</v>
      </c>
      <c r="D19">
        <v>1.2476274397582E-3</v>
      </c>
      <c r="E19">
        <v>0.82869306890454197</v>
      </c>
      <c r="F19" t="s">
        <v>78</v>
      </c>
      <c r="G19">
        <v>-2.6477289179746002E-3</v>
      </c>
      <c r="H19" t="s">
        <v>79</v>
      </c>
      <c r="I19" t="b">
        <v>0</v>
      </c>
      <c r="J19">
        <v>255.10521560335201</v>
      </c>
      <c r="K19">
        <v>255.42953992767599</v>
      </c>
      <c r="L19">
        <v>17.222961645982899</v>
      </c>
      <c r="M19" t="s">
        <v>43</v>
      </c>
      <c r="N19" t="s">
        <v>43</v>
      </c>
      <c r="O19" t="s">
        <v>407</v>
      </c>
      <c r="P19">
        <f>-0.0264667684304154 - 0.021171310594466</f>
        <v>-4.7638079024881402E-2</v>
      </c>
      <c r="Q19" t="s">
        <v>56</v>
      </c>
      <c r="R19" t="s">
        <v>80</v>
      </c>
      <c r="S19" t="s">
        <v>81</v>
      </c>
      <c r="T19" t="s">
        <v>412</v>
      </c>
      <c r="U19">
        <v>3.8161619314823598</v>
      </c>
      <c r="V19">
        <v>1.2152571179816701E-2</v>
      </c>
      <c r="W19" t="s">
        <v>49</v>
      </c>
      <c r="X19" t="s">
        <v>50</v>
      </c>
    </row>
    <row r="20" spans="1:24" x14ac:dyDescent="0.3">
      <c r="A20" t="s">
        <v>399</v>
      </c>
      <c r="B20" t="s">
        <v>403</v>
      </c>
      <c r="C20" t="s">
        <v>41</v>
      </c>
      <c r="D20">
        <v>7.8242573207387995E-3</v>
      </c>
      <c r="E20">
        <v>0.58729261236643204</v>
      </c>
      <c r="F20" t="s">
        <v>78</v>
      </c>
      <c r="G20">
        <v>1.7921287990899398E-2</v>
      </c>
      <c r="H20" t="s">
        <v>89</v>
      </c>
      <c r="I20" t="b">
        <v>0</v>
      </c>
      <c r="J20">
        <v>257.34380746685201</v>
      </c>
      <c r="K20">
        <v>257.66813179117702</v>
      </c>
      <c r="L20">
        <v>19.463151470315001</v>
      </c>
      <c r="M20" t="s">
        <v>43</v>
      </c>
      <c r="N20" t="s">
        <v>43</v>
      </c>
      <c r="O20" t="s">
        <v>404</v>
      </c>
      <c r="P20">
        <f>-0.0462448989120509 - 0.0820874748938496</f>
        <v>-0.12833237380590051</v>
      </c>
      <c r="Q20" t="s">
        <v>56</v>
      </c>
      <c r="R20" t="s">
        <v>90</v>
      </c>
      <c r="S20" t="s">
        <v>43</v>
      </c>
      <c r="T20" t="s">
        <v>91</v>
      </c>
      <c r="U20">
        <v>3.47374847450607</v>
      </c>
      <c r="V20">
        <v>3.2737850460688903E-2</v>
      </c>
      <c r="W20" t="s">
        <v>49</v>
      </c>
      <c r="X20" t="s">
        <v>50</v>
      </c>
    </row>
    <row r="21" spans="1:24" x14ac:dyDescent="0.3">
      <c r="A21" t="s">
        <v>399</v>
      </c>
      <c r="B21" t="s">
        <v>400</v>
      </c>
      <c r="C21" t="s">
        <v>41</v>
      </c>
      <c r="D21">
        <v>3.9868053209189003E-3</v>
      </c>
      <c r="E21">
        <v>0.69870935102070797</v>
      </c>
      <c r="F21" t="s">
        <v>78</v>
      </c>
      <c r="G21">
        <v>-1.38534942537431E-2</v>
      </c>
      <c r="H21" t="s">
        <v>89</v>
      </c>
      <c r="I21" t="b">
        <v>0</v>
      </c>
      <c r="J21">
        <v>257.49821761140299</v>
      </c>
      <c r="K21">
        <v>257.822541935728</v>
      </c>
      <c r="L21">
        <v>19.734271722826001</v>
      </c>
      <c r="M21" t="s">
        <v>43</v>
      </c>
      <c r="N21" t="s">
        <v>43</v>
      </c>
      <c r="O21" t="s">
        <v>401</v>
      </c>
      <c r="P21">
        <f>-0.0834750354981105 - 0.0557680469906243</f>
        <v>-0.13924308248873479</v>
      </c>
      <c r="Q21" t="s">
        <v>56</v>
      </c>
      <c r="R21" t="s">
        <v>90</v>
      </c>
      <c r="S21" t="s">
        <v>43</v>
      </c>
      <c r="T21" t="s">
        <v>91</v>
      </c>
      <c r="U21">
        <v>3.7903352551953802</v>
      </c>
      <c r="V21">
        <v>3.5521194512432297E-2</v>
      </c>
      <c r="W21" t="s">
        <v>49</v>
      </c>
      <c r="X21" t="s">
        <v>50</v>
      </c>
    </row>
    <row r="22" spans="1:24" x14ac:dyDescent="0.3">
      <c r="A22" t="s">
        <v>399</v>
      </c>
      <c r="B22" t="s">
        <v>403</v>
      </c>
      <c r="C22" t="s">
        <v>41</v>
      </c>
      <c r="D22">
        <v>7.8242573207387995E-3</v>
      </c>
      <c r="E22">
        <v>0.58729261236643204</v>
      </c>
      <c r="F22" t="s">
        <v>78</v>
      </c>
      <c r="G22">
        <v>1.7921287990899398E-2</v>
      </c>
      <c r="H22" t="s">
        <v>83</v>
      </c>
      <c r="I22" t="b">
        <v>0</v>
      </c>
      <c r="J22">
        <v>257.34380746685201</v>
      </c>
      <c r="K22">
        <v>257.66813179117702</v>
      </c>
      <c r="L22">
        <v>19.463151470315001</v>
      </c>
      <c r="M22" t="s">
        <v>43</v>
      </c>
      <c r="N22" t="s">
        <v>43</v>
      </c>
      <c r="O22" t="s">
        <v>404</v>
      </c>
      <c r="P22">
        <f>-0.0462448989120509 - 0.0820874748938496</f>
        <v>-0.12833237380590051</v>
      </c>
      <c r="Q22" t="s">
        <v>56</v>
      </c>
      <c r="R22" t="s">
        <v>84</v>
      </c>
      <c r="S22" t="s">
        <v>85</v>
      </c>
      <c r="T22" t="s">
        <v>413</v>
      </c>
      <c r="U22">
        <v>3.47374847450607</v>
      </c>
      <c r="V22">
        <v>3.2737850460688903E-2</v>
      </c>
      <c r="W22" t="s">
        <v>49</v>
      </c>
      <c r="X22" t="s">
        <v>50</v>
      </c>
    </row>
    <row r="23" spans="1:24" x14ac:dyDescent="0.3">
      <c r="A23" t="s">
        <v>399</v>
      </c>
      <c r="B23" t="s">
        <v>403</v>
      </c>
      <c r="C23" t="s">
        <v>41</v>
      </c>
      <c r="D23">
        <v>7.8242573207387995E-3</v>
      </c>
      <c r="E23">
        <v>0.58729261236643204</v>
      </c>
      <c r="F23" t="s">
        <v>78</v>
      </c>
      <c r="G23">
        <v>1.7921287990899398E-2</v>
      </c>
      <c r="H23" t="s">
        <v>83</v>
      </c>
      <c r="I23" t="b">
        <v>0</v>
      </c>
      <c r="J23">
        <v>257.34380746685201</v>
      </c>
      <c r="K23">
        <v>257.66813179117702</v>
      </c>
      <c r="L23">
        <v>19.463151470315001</v>
      </c>
      <c r="M23" t="s">
        <v>43</v>
      </c>
      <c r="N23" t="s">
        <v>43</v>
      </c>
      <c r="O23" t="s">
        <v>404</v>
      </c>
      <c r="P23">
        <f>-0.0462448989120509 - 0.0820874748938496</f>
        <v>-0.12833237380590051</v>
      </c>
      <c r="Q23" t="s">
        <v>56</v>
      </c>
      <c r="R23" t="s">
        <v>84</v>
      </c>
      <c r="S23" t="s">
        <v>85</v>
      </c>
      <c r="T23" t="s">
        <v>413</v>
      </c>
      <c r="U23">
        <v>3.47374847450607</v>
      </c>
      <c r="V23">
        <v>3.2737850460688903E-2</v>
      </c>
      <c r="W23" t="s">
        <v>49</v>
      </c>
      <c r="X23" t="s">
        <v>50</v>
      </c>
    </row>
    <row r="24" spans="1:24" x14ac:dyDescent="0.3">
      <c r="A24" t="s">
        <v>399</v>
      </c>
      <c r="B24" t="s">
        <v>406</v>
      </c>
      <c r="C24" t="s">
        <v>41</v>
      </c>
      <c r="D24">
        <v>6.0570673943959995E-4</v>
      </c>
      <c r="E24">
        <v>0.88017984742519095</v>
      </c>
      <c r="F24" t="s">
        <v>78</v>
      </c>
      <c r="G24">
        <v>-2.8809166616598002E-3</v>
      </c>
      <c r="H24" t="s">
        <v>89</v>
      </c>
      <c r="I24" t="b">
        <v>0</v>
      </c>
      <c r="J24">
        <v>257.63377295386903</v>
      </c>
      <c r="K24">
        <v>257.95809727819397</v>
      </c>
      <c r="L24">
        <v>19.751518996500899</v>
      </c>
      <c r="M24" t="s">
        <v>43</v>
      </c>
      <c r="N24" t="s">
        <v>43</v>
      </c>
      <c r="O24" t="s">
        <v>407</v>
      </c>
      <c r="P24">
        <f>-0.0400885629569 - 0.0343267296335803</f>
        <v>-7.4415292590480298E-2</v>
      </c>
      <c r="Q24" t="s">
        <v>56</v>
      </c>
      <c r="R24" t="s">
        <v>90</v>
      </c>
      <c r="S24" t="s">
        <v>43</v>
      </c>
      <c r="T24" t="s">
        <v>91</v>
      </c>
      <c r="U24">
        <v>3.8213307973304498</v>
      </c>
      <c r="V24">
        <v>1.89834930077756E-2</v>
      </c>
      <c r="W24" t="s">
        <v>49</v>
      </c>
      <c r="X24" t="s">
        <v>50</v>
      </c>
    </row>
    <row r="25" spans="1:24" x14ac:dyDescent="0.3">
      <c r="A25" t="s">
        <v>399</v>
      </c>
      <c r="B25" t="s">
        <v>406</v>
      </c>
      <c r="C25" t="s">
        <v>41</v>
      </c>
      <c r="D25">
        <v>1.2476274397582E-3</v>
      </c>
      <c r="E25">
        <v>0.82869306890454197</v>
      </c>
      <c r="F25" t="s">
        <v>78</v>
      </c>
      <c r="G25">
        <v>-2.6477289179746002E-3</v>
      </c>
      <c r="H25" t="s">
        <v>79</v>
      </c>
      <c r="I25" t="b">
        <v>0</v>
      </c>
      <c r="J25">
        <v>255.10521560335201</v>
      </c>
      <c r="K25">
        <v>255.42953992767599</v>
      </c>
      <c r="L25">
        <v>17.222961645982899</v>
      </c>
      <c r="M25" t="s">
        <v>43</v>
      </c>
      <c r="N25" t="s">
        <v>43</v>
      </c>
      <c r="O25" t="s">
        <v>407</v>
      </c>
      <c r="P25">
        <f>-0.0264667684304154 - 0.021171310594466</f>
        <v>-4.7638079024881402E-2</v>
      </c>
      <c r="Q25" t="s">
        <v>56</v>
      </c>
      <c r="R25" t="s">
        <v>80</v>
      </c>
      <c r="S25" t="s">
        <v>81</v>
      </c>
      <c r="T25" t="s">
        <v>412</v>
      </c>
      <c r="U25">
        <v>3.8161619314823598</v>
      </c>
      <c r="V25">
        <v>1.2152571179816701E-2</v>
      </c>
      <c r="W25" t="s">
        <v>49</v>
      </c>
      <c r="X25" t="s">
        <v>50</v>
      </c>
    </row>
    <row r="26" spans="1:24" x14ac:dyDescent="0.3">
      <c r="A26" t="s">
        <v>399</v>
      </c>
      <c r="B26" t="s">
        <v>400</v>
      </c>
      <c r="C26" t="s">
        <v>41</v>
      </c>
      <c r="D26">
        <v>3.9868053209189003E-3</v>
      </c>
      <c r="E26">
        <v>0.69870935102070797</v>
      </c>
      <c r="F26" t="s">
        <v>78</v>
      </c>
      <c r="G26">
        <v>-1.38534942537431E-2</v>
      </c>
      <c r="H26" t="s">
        <v>89</v>
      </c>
      <c r="I26" t="b">
        <v>0</v>
      </c>
      <c r="J26">
        <v>257.49821761140299</v>
      </c>
      <c r="K26">
        <v>257.822541935728</v>
      </c>
      <c r="L26">
        <v>19.734271722826001</v>
      </c>
      <c r="M26" t="s">
        <v>43</v>
      </c>
      <c r="N26" t="s">
        <v>43</v>
      </c>
      <c r="O26" t="s">
        <v>401</v>
      </c>
      <c r="P26">
        <f>-0.0834750354981105 - 0.0557680469906243</f>
        <v>-0.13924308248873479</v>
      </c>
      <c r="Q26" t="s">
        <v>56</v>
      </c>
      <c r="R26" t="s">
        <v>90</v>
      </c>
      <c r="S26" t="s">
        <v>43</v>
      </c>
      <c r="T26" t="s">
        <v>91</v>
      </c>
      <c r="U26">
        <v>3.7903352551953802</v>
      </c>
      <c r="V26">
        <v>3.5521194512432297E-2</v>
      </c>
      <c r="W26" t="s">
        <v>49</v>
      </c>
      <c r="X26" t="s">
        <v>50</v>
      </c>
    </row>
    <row r="27" spans="1:24" x14ac:dyDescent="0.3">
      <c r="A27" t="s">
        <v>399</v>
      </c>
      <c r="B27" t="s">
        <v>403</v>
      </c>
      <c r="C27" t="s">
        <v>41</v>
      </c>
      <c r="D27">
        <v>7.8030539128761001E-3</v>
      </c>
      <c r="E27">
        <v>0.58780147676483097</v>
      </c>
      <c r="F27" t="s">
        <v>78</v>
      </c>
      <c r="G27">
        <v>2.0075997126143202E-2</v>
      </c>
      <c r="H27" t="s">
        <v>79</v>
      </c>
      <c r="I27" t="b">
        <v>0</v>
      </c>
      <c r="J27">
        <v>254.84191594619901</v>
      </c>
      <c r="K27">
        <v>255.16624027052299</v>
      </c>
      <c r="L27">
        <v>16.961259949660899</v>
      </c>
      <c r="M27" t="s">
        <v>43</v>
      </c>
      <c r="N27" t="s">
        <v>43</v>
      </c>
      <c r="O27" t="s">
        <v>404</v>
      </c>
      <c r="P27">
        <f>-0.0519033721995677 - 0.0920553664518541</f>
        <v>-0.14395873865142178</v>
      </c>
      <c r="Q27" t="s">
        <v>56</v>
      </c>
      <c r="R27" t="s">
        <v>80</v>
      </c>
      <c r="S27" t="s">
        <v>81</v>
      </c>
      <c r="T27" t="s">
        <v>411</v>
      </c>
      <c r="U27">
        <v>3.4348343690107299</v>
      </c>
      <c r="V27">
        <v>3.6724168023321901E-2</v>
      </c>
      <c r="W27" t="s">
        <v>49</v>
      </c>
      <c r="X27" t="s">
        <v>50</v>
      </c>
    </row>
    <row r="28" spans="1:24" x14ac:dyDescent="0.3">
      <c r="A28" t="s">
        <v>399</v>
      </c>
      <c r="B28" t="s">
        <v>400</v>
      </c>
      <c r="C28" t="s">
        <v>41</v>
      </c>
      <c r="D28">
        <v>3.9868053209189003E-3</v>
      </c>
      <c r="E28">
        <v>0.69870935102070797</v>
      </c>
      <c r="F28" t="s">
        <v>78</v>
      </c>
      <c r="G28">
        <v>-1.38534942537431E-2</v>
      </c>
      <c r="H28" t="s">
        <v>83</v>
      </c>
      <c r="I28" t="b">
        <v>0</v>
      </c>
      <c r="J28">
        <v>257.49821761140299</v>
      </c>
      <c r="K28">
        <v>257.822541935728</v>
      </c>
      <c r="L28">
        <v>19.734271722826001</v>
      </c>
      <c r="M28" t="s">
        <v>43</v>
      </c>
      <c r="N28" t="s">
        <v>43</v>
      </c>
      <c r="O28" t="s">
        <v>401</v>
      </c>
      <c r="P28">
        <f>-0.0834750354981105 - 0.0557680469906243</f>
        <v>-0.13924308248873479</v>
      </c>
      <c r="Q28" t="s">
        <v>56</v>
      </c>
      <c r="R28" t="s">
        <v>84</v>
      </c>
      <c r="S28" t="s">
        <v>85</v>
      </c>
      <c r="T28" t="s">
        <v>410</v>
      </c>
      <c r="U28">
        <v>3.7903352551953802</v>
      </c>
      <c r="V28">
        <v>3.5521194512432297E-2</v>
      </c>
      <c r="W28" t="s">
        <v>49</v>
      </c>
      <c r="X28" t="s">
        <v>50</v>
      </c>
    </row>
    <row r="29" spans="1:24" x14ac:dyDescent="0.3">
      <c r="A29" t="s">
        <v>399</v>
      </c>
      <c r="B29" t="s">
        <v>403</v>
      </c>
      <c r="C29" t="s">
        <v>41</v>
      </c>
      <c r="D29">
        <v>7.8242573207387995E-3</v>
      </c>
      <c r="E29">
        <v>0.58729261236643204</v>
      </c>
      <c r="F29" t="s">
        <v>78</v>
      </c>
      <c r="G29">
        <v>1.7921287990899398E-2</v>
      </c>
      <c r="H29" t="s">
        <v>83</v>
      </c>
      <c r="I29" t="b">
        <v>0</v>
      </c>
      <c r="J29">
        <v>257.34380746685201</v>
      </c>
      <c r="K29">
        <v>257.66813179117702</v>
      </c>
      <c r="L29">
        <v>19.463151470315001</v>
      </c>
      <c r="M29" t="s">
        <v>43</v>
      </c>
      <c r="N29" t="s">
        <v>43</v>
      </c>
      <c r="O29" t="s">
        <v>404</v>
      </c>
      <c r="P29">
        <f>-0.0462448989120509 - 0.0820874748938496</f>
        <v>-0.12833237380590051</v>
      </c>
      <c r="Q29" t="s">
        <v>56</v>
      </c>
      <c r="R29" t="s">
        <v>84</v>
      </c>
      <c r="S29" t="s">
        <v>85</v>
      </c>
      <c r="T29" t="s">
        <v>413</v>
      </c>
      <c r="U29">
        <v>3.47374847450607</v>
      </c>
      <c r="V29">
        <v>3.2737850460688903E-2</v>
      </c>
      <c r="W29" t="s">
        <v>49</v>
      </c>
      <c r="X29" t="s">
        <v>50</v>
      </c>
    </row>
    <row r="30" spans="1:24" x14ac:dyDescent="0.3">
      <c r="A30" t="s">
        <v>399</v>
      </c>
      <c r="B30" t="s">
        <v>406</v>
      </c>
      <c r="C30" t="s">
        <v>41</v>
      </c>
      <c r="D30">
        <v>6.0570673943959995E-4</v>
      </c>
      <c r="E30">
        <v>0.88017984742519095</v>
      </c>
      <c r="F30" t="s">
        <v>78</v>
      </c>
      <c r="G30">
        <v>-2.8809166616598002E-3</v>
      </c>
      <c r="H30" t="s">
        <v>89</v>
      </c>
      <c r="I30" t="b">
        <v>0</v>
      </c>
      <c r="J30">
        <v>257.63377295386903</v>
      </c>
      <c r="K30">
        <v>257.95809727819397</v>
      </c>
      <c r="L30">
        <v>19.751518996500899</v>
      </c>
      <c r="M30" t="s">
        <v>43</v>
      </c>
      <c r="N30" t="s">
        <v>43</v>
      </c>
      <c r="O30" t="s">
        <v>407</v>
      </c>
      <c r="P30">
        <f>-0.0400885629569 - 0.0343267296335803</f>
        <v>-7.4415292590480298E-2</v>
      </c>
      <c r="Q30" t="s">
        <v>56</v>
      </c>
      <c r="R30" t="s">
        <v>90</v>
      </c>
      <c r="S30" t="s">
        <v>43</v>
      </c>
      <c r="T30" t="s">
        <v>91</v>
      </c>
      <c r="U30">
        <v>3.8213307973304498</v>
      </c>
      <c r="V30">
        <v>1.89834930077756E-2</v>
      </c>
      <c r="W30" t="s">
        <v>49</v>
      </c>
      <c r="X30" t="s">
        <v>50</v>
      </c>
    </row>
    <row r="31" spans="1:24" x14ac:dyDescent="0.3">
      <c r="A31" t="s">
        <v>399</v>
      </c>
      <c r="B31" t="s">
        <v>406</v>
      </c>
      <c r="C31" t="s">
        <v>41</v>
      </c>
      <c r="D31">
        <v>1.2476274397582E-3</v>
      </c>
      <c r="E31">
        <v>0.82869306890454197</v>
      </c>
      <c r="F31" t="s">
        <v>78</v>
      </c>
      <c r="G31">
        <v>-2.6477289179746002E-3</v>
      </c>
      <c r="H31" t="s">
        <v>79</v>
      </c>
      <c r="I31" t="b">
        <v>0</v>
      </c>
      <c r="J31">
        <v>255.10521560335201</v>
      </c>
      <c r="K31">
        <v>255.42953992767599</v>
      </c>
      <c r="L31">
        <v>17.222961645982899</v>
      </c>
      <c r="M31" t="s">
        <v>43</v>
      </c>
      <c r="N31" t="s">
        <v>43</v>
      </c>
      <c r="O31" t="s">
        <v>407</v>
      </c>
      <c r="P31">
        <f>-0.0264667684304154 - 0.021171310594466</f>
        <v>-4.7638079024881402E-2</v>
      </c>
      <c r="Q31" t="s">
        <v>56</v>
      </c>
      <c r="R31" t="s">
        <v>80</v>
      </c>
      <c r="S31" t="s">
        <v>81</v>
      </c>
      <c r="T31" t="s">
        <v>412</v>
      </c>
      <c r="U31">
        <v>3.8161619314823598</v>
      </c>
      <c r="V31">
        <v>1.2152571179816701E-2</v>
      </c>
      <c r="W31" t="s">
        <v>49</v>
      </c>
      <c r="X31" t="s">
        <v>50</v>
      </c>
    </row>
    <row r="32" spans="1:24" x14ac:dyDescent="0.3">
      <c r="A32" t="s">
        <v>399</v>
      </c>
      <c r="B32" t="s">
        <v>403</v>
      </c>
      <c r="C32" t="s">
        <v>41</v>
      </c>
      <c r="D32">
        <v>7.8242573207387995E-3</v>
      </c>
      <c r="E32">
        <v>0.58729261236643204</v>
      </c>
      <c r="F32" t="s">
        <v>78</v>
      </c>
      <c r="G32">
        <v>1.7921287990899398E-2</v>
      </c>
      <c r="H32" t="s">
        <v>89</v>
      </c>
      <c r="I32" t="b">
        <v>0</v>
      </c>
      <c r="J32">
        <v>257.34380746685201</v>
      </c>
      <c r="K32">
        <v>257.66813179117702</v>
      </c>
      <c r="L32">
        <v>19.463151470315001</v>
      </c>
      <c r="M32" t="s">
        <v>43</v>
      </c>
      <c r="N32" t="s">
        <v>43</v>
      </c>
      <c r="O32" t="s">
        <v>404</v>
      </c>
      <c r="P32">
        <f>-0.0462448989120509 - 0.0820874748938496</f>
        <v>-0.12833237380590051</v>
      </c>
      <c r="Q32" t="s">
        <v>56</v>
      </c>
      <c r="R32" t="s">
        <v>90</v>
      </c>
      <c r="S32" t="s">
        <v>43</v>
      </c>
      <c r="T32" t="s">
        <v>91</v>
      </c>
      <c r="U32">
        <v>3.47374847450607</v>
      </c>
      <c r="V32">
        <v>3.2737850460688903E-2</v>
      </c>
      <c r="W32" t="s">
        <v>49</v>
      </c>
      <c r="X32" t="s">
        <v>50</v>
      </c>
    </row>
    <row r="33" spans="1:24" x14ac:dyDescent="0.3">
      <c r="A33" t="s">
        <v>399</v>
      </c>
      <c r="B33" t="s">
        <v>403</v>
      </c>
      <c r="C33" t="s">
        <v>41</v>
      </c>
      <c r="D33">
        <v>7.8030539128761001E-3</v>
      </c>
      <c r="E33">
        <v>0.58780147676483097</v>
      </c>
      <c r="F33" t="s">
        <v>78</v>
      </c>
      <c r="G33">
        <v>2.0075997126143202E-2</v>
      </c>
      <c r="H33" t="s">
        <v>79</v>
      </c>
      <c r="I33" t="b">
        <v>0</v>
      </c>
      <c r="J33">
        <v>254.84191594619901</v>
      </c>
      <c r="K33">
        <v>255.16624027052299</v>
      </c>
      <c r="L33">
        <v>16.961259949660899</v>
      </c>
      <c r="M33" t="s">
        <v>43</v>
      </c>
      <c r="N33" t="s">
        <v>43</v>
      </c>
      <c r="O33" t="s">
        <v>404</v>
      </c>
      <c r="P33">
        <f>-0.0519033721995677 - 0.0920553664518541</f>
        <v>-0.14395873865142178</v>
      </c>
      <c r="Q33" t="s">
        <v>56</v>
      </c>
      <c r="R33" t="s">
        <v>80</v>
      </c>
      <c r="S33" t="s">
        <v>81</v>
      </c>
      <c r="T33" t="s">
        <v>411</v>
      </c>
      <c r="U33">
        <v>3.4348343690107299</v>
      </c>
      <c r="V33">
        <v>3.6724168023321901E-2</v>
      </c>
      <c r="W33" t="s">
        <v>49</v>
      </c>
      <c r="X33" t="s">
        <v>50</v>
      </c>
    </row>
    <row r="34" spans="1:24" x14ac:dyDescent="0.3">
      <c r="A34" t="s">
        <v>399</v>
      </c>
      <c r="B34" t="s">
        <v>406</v>
      </c>
      <c r="C34" t="s">
        <v>41</v>
      </c>
      <c r="D34">
        <v>6.0570673943959995E-4</v>
      </c>
      <c r="E34">
        <v>0.88017984742519095</v>
      </c>
      <c r="F34" t="s">
        <v>78</v>
      </c>
      <c r="G34">
        <v>-2.8809166616598002E-3</v>
      </c>
      <c r="H34" t="s">
        <v>83</v>
      </c>
      <c r="I34" t="b">
        <v>0</v>
      </c>
      <c r="J34">
        <v>257.63377295386903</v>
      </c>
      <c r="K34">
        <v>257.95809727819397</v>
      </c>
      <c r="L34">
        <v>19.751518996500899</v>
      </c>
      <c r="M34" t="s">
        <v>43</v>
      </c>
      <c r="N34" t="s">
        <v>43</v>
      </c>
      <c r="O34" t="s">
        <v>407</v>
      </c>
      <c r="P34">
        <f>-0.0400885629569 - 0.0343267296335803</f>
        <v>-7.4415292590480298E-2</v>
      </c>
      <c r="Q34" t="s">
        <v>56</v>
      </c>
      <c r="R34" t="s">
        <v>84</v>
      </c>
      <c r="S34" t="s">
        <v>85</v>
      </c>
      <c r="T34" t="s">
        <v>414</v>
      </c>
      <c r="U34">
        <v>3.8213307973304498</v>
      </c>
      <c r="V34">
        <v>1.89834930077756E-2</v>
      </c>
      <c r="W34" t="s">
        <v>49</v>
      </c>
      <c r="X34" t="s">
        <v>50</v>
      </c>
    </row>
    <row r="35" spans="1:24" x14ac:dyDescent="0.3">
      <c r="A35" t="s">
        <v>399</v>
      </c>
      <c r="B35" t="s">
        <v>406</v>
      </c>
      <c r="C35" t="s">
        <v>41</v>
      </c>
      <c r="D35">
        <v>6.0570673943959995E-4</v>
      </c>
      <c r="E35">
        <v>0.88017984742519095</v>
      </c>
      <c r="F35" t="s">
        <v>78</v>
      </c>
      <c r="G35">
        <v>-2.8809166616598002E-3</v>
      </c>
      <c r="H35" t="s">
        <v>89</v>
      </c>
      <c r="I35" t="b">
        <v>0</v>
      </c>
      <c r="J35">
        <v>257.63377295386903</v>
      </c>
      <c r="K35">
        <v>257.95809727819397</v>
      </c>
      <c r="L35">
        <v>19.751518996500899</v>
      </c>
      <c r="M35" t="s">
        <v>43</v>
      </c>
      <c r="N35" t="s">
        <v>43</v>
      </c>
      <c r="O35" t="s">
        <v>407</v>
      </c>
      <c r="P35">
        <f>-0.0400885629569 - 0.0343267296335803</f>
        <v>-7.4415292590480298E-2</v>
      </c>
      <c r="Q35" t="s">
        <v>56</v>
      </c>
      <c r="R35" t="s">
        <v>90</v>
      </c>
      <c r="S35" t="s">
        <v>43</v>
      </c>
      <c r="T35" t="s">
        <v>91</v>
      </c>
      <c r="U35">
        <v>3.8213307973304498</v>
      </c>
      <c r="V35">
        <v>1.89834930077756E-2</v>
      </c>
      <c r="W35" t="s">
        <v>49</v>
      </c>
      <c r="X35" t="s">
        <v>50</v>
      </c>
    </row>
    <row r="36" spans="1:24" x14ac:dyDescent="0.3">
      <c r="A36" t="s">
        <v>399</v>
      </c>
      <c r="B36" t="s">
        <v>406</v>
      </c>
      <c r="C36" t="s">
        <v>41</v>
      </c>
      <c r="D36">
        <v>6.0570673943959995E-4</v>
      </c>
      <c r="E36">
        <v>0.88017984742519095</v>
      </c>
      <c r="F36" t="s">
        <v>78</v>
      </c>
      <c r="G36">
        <v>-2.8809166616598002E-3</v>
      </c>
      <c r="H36" t="s">
        <v>83</v>
      </c>
      <c r="I36" t="b">
        <v>0</v>
      </c>
      <c r="J36">
        <v>257.63377295386903</v>
      </c>
      <c r="K36">
        <v>257.95809727819397</v>
      </c>
      <c r="L36">
        <v>19.751518996500899</v>
      </c>
      <c r="M36" t="s">
        <v>43</v>
      </c>
      <c r="N36" t="s">
        <v>43</v>
      </c>
      <c r="O36" t="s">
        <v>407</v>
      </c>
      <c r="P36">
        <f>-0.0400885629569 - 0.0343267296335803</f>
        <v>-7.4415292590480298E-2</v>
      </c>
      <c r="Q36" t="s">
        <v>56</v>
      </c>
      <c r="R36" t="s">
        <v>84</v>
      </c>
      <c r="S36" t="s">
        <v>85</v>
      </c>
      <c r="T36" t="s">
        <v>414</v>
      </c>
      <c r="U36">
        <v>3.8213307973304498</v>
      </c>
      <c r="V36">
        <v>1.89834930077756E-2</v>
      </c>
      <c r="W36" t="s">
        <v>49</v>
      </c>
      <c r="X36" t="s">
        <v>50</v>
      </c>
    </row>
    <row r="37" spans="1:24" x14ac:dyDescent="0.3">
      <c r="A37" t="s">
        <v>399</v>
      </c>
      <c r="B37" t="s">
        <v>400</v>
      </c>
      <c r="C37" t="s">
        <v>41</v>
      </c>
      <c r="D37">
        <v>3.355166547986E-3</v>
      </c>
      <c r="E37">
        <v>0.72257169758045003</v>
      </c>
      <c r="F37" t="s">
        <v>78</v>
      </c>
      <c r="G37">
        <v>-1.5911569054343301E-2</v>
      </c>
      <c r="H37" t="s">
        <v>79</v>
      </c>
      <c r="I37" t="b">
        <v>0</v>
      </c>
      <c r="J37">
        <v>255.02059939685799</v>
      </c>
      <c r="K37">
        <v>255.34492372118299</v>
      </c>
      <c r="L37">
        <v>17.256653508281001</v>
      </c>
      <c r="M37" t="s">
        <v>43</v>
      </c>
      <c r="N37" t="s">
        <v>43</v>
      </c>
      <c r="O37" t="s">
        <v>401</v>
      </c>
      <c r="P37">
        <f>-0.103106341636557 - 0.0712832035278701</f>
        <v>-0.17438954516442712</v>
      </c>
      <c r="Q37" t="s">
        <v>56</v>
      </c>
      <c r="R37" t="s">
        <v>80</v>
      </c>
      <c r="S37" t="s">
        <v>81</v>
      </c>
      <c r="T37" t="s">
        <v>409</v>
      </c>
      <c r="U37">
        <v>3.79206580146522</v>
      </c>
      <c r="V37">
        <v>4.4487128868476201E-2</v>
      </c>
      <c r="W37" t="s">
        <v>49</v>
      </c>
      <c r="X37" t="s">
        <v>50</v>
      </c>
    </row>
    <row r="38" spans="1:24" x14ac:dyDescent="0.3">
      <c r="A38" t="s">
        <v>399</v>
      </c>
      <c r="B38" t="s">
        <v>403</v>
      </c>
      <c r="C38" t="s">
        <v>41</v>
      </c>
      <c r="D38">
        <v>7.8242573207387995E-3</v>
      </c>
      <c r="E38">
        <v>0.58729261236643204</v>
      </c>
      <c r="F38" t="s">
        <v>78</v>
      </c>
      <c r="G38">
        <v>1.7921287990899398E-2</v>
      </c>
      <c r="H38" t="s">
        <v>83</v>
      </c>
      <c r="I38" t="b">
        <v>0</v>
      </c>
      <c r="J38">
        <v>257.34380746685201</v>
      </c>
      <c r="K38">
        <v>257.66813179117702</v>
      </c>
      <c r="L38">
        <v>19.463151470315001</v>
      </c>
      <c r="M38" t="s">
        <v>43</v>
      </c>
      <c r="N38" t="s">
        <v>43</v>
      </c>
      <c r="O38" t="s">
        <v>404</v>
      </c>
      <c r="P38">
        <f>-0.0462448989120509 - 0.0820874748938496</f>
        <v>-0.12833237380590051</v>
      </c>
      <c r="Q38" t="s">
        <v>56</v>
      </c>
      <c r="R38" t="s">
        <v>84</v>
      </c>
      <c r="S38" t="s">
        <v>85</v>
      </c>
      <c r="T38" t="s">
        <v>413</v>
      </c>
      <c r="U38">
        <v>3.47374847450607</v>
      </c>
      <c r="V38">
        <v>3.2737850460688903E-2</v>
      </c>
      <c r="W38" t="s">
        <v>49</v>
      </c>
      <c r="X38" t="s">
        <v>50</v>
      </c>
    </row>
    <row r="39" spans="1:24" x14ac:dyDescent="0.3">
      <c r="A39" t="s">
        <v>399</v>
      </c>
      <c r="B39" t="s">
        <v>400</v>
      </c>
      <c r="C39" t="s">
        <v>41</v>
      </c>
      <c r="D39">
        <v>3.9868053209189003E-3</v>
      </c>
      <c r="E39">
        <v>0.69870935102070797</v>
      </c>
      <c r="F39" t="s">
        <v>78</v>
      </c>
      <c r="G39">
        <v>-1.38534942537431E-2</v>
      </c>
      <c r="H39" t="s">
        <v>89</v>
      </c>
      <c r="I39" t="b">
        <v>0</v>
      </c>
      <c r="J39">
        <v>257.49821761140299</v>
      </c>
      <c r="K39">
        <v>257.822541935728</v>
      </c>
      <c r="L39">
        <v>19.734271722826001</v>
      </c>
      <c r="M39" t="s">
        <v>43</v>
      </c>
      <c r="N39" t="s">
        <v>43</v>
      </c>
      <c r="O39" t="s">
        <v>401</v>
      </c>
      <c r="P39">
        <f>-0.0834750354981105 - 0.0557680469906243</f>
        <v>-0.13924308248873479</v>
      </c>
      <c r="Q39" t="s">
        <v>56</v>
      </c>
      <c r="R39" t="s">
        <v>90</v>
      </c>
      <c r="S39" t="s">
        <v>43</v>
      </c>
      <c r="T39" t="s">
        <v>91</v>
      </c>
      <c r="U39">
        <v>3.7903352551953802</v>
      </c>
      <c r="V39">
        <v>3.5521194512432297E-2</v>
      </c>
      <c r="W39" t="s">
        <v>49</v>
      </c>
      <c r="X39" t="s">
        <v>50</v>
      </c>
    </row>
    <row r="40" spans="1:24" x14ac:dyDescent="0.3">
      <c r="A40" t="s">
        <v>399</v>
      </c>
      <c r="B40" t="s">
        <v>400</v>
      </c>
      <c r="C40" t="s">
        <v>41</v>
      </c>
      <c r="D40">
        <v>3.355166547986E-3</v>
      </c>
      <c r="E40">
        <v>0.72257169758045003</v>
      </c>
      <c r="F40" t="s">
        <v>78</v>
      </c>
      <c r="G40">
        <v>-1.5911569054343301E-2</v>
      </c>
      <c r="H40" t="s">
        <v>79</v>
      </c>
      <c r="I40" t="b">
        <v>0</v>
      </c>
      <c r="J40">
        <v>255.02059939685799</v>
      </c>
      <c r="K40">
        <v>255.34492372118299</v>
      </c>
      <c r="L40">
        <v>17.256653508281001</v>
      </c>
      <c r="M40" t="s">
        <v>43</v>
      </c>
      <c r="N40" t="s">
        <v>43</v>
      </c>
      <c r="O40" t="s">
        <v>401</v>
      </c>
      <c r="P40">
        <f>-0.103106341636557 - 0.0712832035278701</f>
        <v>-0.17438954516442712</v>
      </c>
      <c r="Q40" t="s">
        <v>56</v>
      </c>
      <c r="R40" t="s">
        <v>80</v>
      </c>
      <c r="S40" t="s">
        <v>81</v>
      </c>
      <c r="T40" t="s">
        <v>409</v>
      </c>
      <c r="U40">
        <v>3.79206580146522</v>
      </c>
      <c r="V40">
        <v>4.4487128868476201E-2</v>
      </c>
      <c r="W40" t="s">
        <v>49</v>
      </c>
      <c r="X40" t="s">
        <v>50</v>
      </c>
    </row>
    <row r="41" spans="1:24" x14ac:dyDescent="0.3">
      <c r="A41" t="s">
        <v>399</v>
      </c>
      <c r="B41" t="s">
        <v>406</v>
      </c>
      <c r="C41" t="s">
        <v>41</v>
      </c>
      <c r="D41">
        <v>6.0570673943959995E-4</v>
      </c>
      <c r="E41">
        <v>0.88017984742519095</v>
      </c>
      <c r="F41" t="s">
        <v>78</v>
      </c>
      <c r="G41">
        <v>-2.8809166616598002E-3</v>
      </c>
      <c r="H41" t="s">
        <v>89</v>
      </c>
      <c r="I41" t="b">
        <v>0</v>
      </c>
      <c r="J41">
        <v>257.63377295386903</v>
      </c>
      <c r="K41">
        <v>257.95809727819397</v>
      </c>
      <c r="L41">
        <v>19.751518996500899</v>
      </c>
      <c r="M41" t="s">
        <v>43</v>
      </c>
      <c r="N41" t="s">
        <v>43</v>
      </c>
      <c r="O41" t="s">
        <v>407</v>
      </c>
      <c r="P41">
        <f>-0.0400885629569 - 0.0343267296335803</f>
        <v>-7.4415292590480298E-2</v>
      </c>
      <c r="Q41" t="s">
        <v>56</v>
      </c>
      <c r="R41" t="s">
        <v>90</v>
      </c>
      <c r="S41" t="s">
        <v>43</v>
      </c>
      <c r="T41" t="s">
        <v>91</v>
      </c>
      <c r="U41">
        <v>3.8213307973304498</v>
      </c>
      <c r="V41">
        <v>1.89834930077756E-2</v>
      </c>
      <c r="W41" t="s">
        <v>49</v>
      </c>
      <c r="X41" t="s">
        <v>50</v>
      </c>
    </row>
    <row r="42" spans="1:24" x14ac:dyDescent="0.3">
      <c r="A42" t="s">
        <v>399</v>
      </c>
      <c r="B42" t="s">
        <v>400</v>
      </c>
      <c r="C42" t="s">
        <v>41</v>
      </c>
      <c r="D42">
        <v>3.9868053209189003E-3</v>
      </c>
      <c r="E42">
        <v>0.69870935102070797</v>
      </c>
      <c r="F42" t="s">
        <v>78</v>
      </c>
      <c r="G42">
        <v>-1.38534942537431E-2</v>
      </c>
      <c r="H42" t="s">
        <v>83</v>
      </c>
      <c r="I42" t="b">
        <v>0</v>
      </c>
      <c r="J42">
        <v>257.49821761140299</v>
      </c>
      <c r="K42">
        <v>257.822541935728</v>
      </c>
      <c r="L42">
        <v>19.734271722826001</v>
      </c>
      <c r="M42" t="s">
        <v>43</v>
      </c>
      <c r="N42" t="s">
        <v>43</v>
      </c>
      <c r="O42" t="s">
        <v>401</v>
      </c>
      <c r="P42">
        <f>-0.0834750354981105 - 0.0557680469906243</f>
        <v>-0.13924308248873479</v>
      </c>
      <c r="Q42" t="s">
        <v>56</v>
      </c>
      <c r="R42" t="s">
        <v>84</v>
      </c>
      <c r="S42" t="s">
        <v>85</v>
      </c>
      <c r="T42" t="s">
        <v>410</v>
      </c>
      <c r="U42">
        <v>3.7903352551953802</v>
      </c>
      <c r="V42">
        <v>3.5521194512432297E-2</v>
      </c>
      <c r="W42" t="s">
        <v>49</v>
      </c>
      <c r="X42" t="s">
        <v>50</v>
      </c>
    </row>
    <row r="43" spans="1:24" x14ac:dyDescent="0.3">
      <c r="A43" t="s">
        <v>399</v>
      </c>
      <c r="B43" t="s">
        <v>406</v>
      </c>
      <c r="C43" t="s">
        <v>41</v>
      </c>
      <c r="D43">
        <v>6.0570673943959995E-4</v>
      </c>
      <c r="E43">
        <v>0.88017984742519095</v>
      </c>
      <c r="F43" t="s">
        <v>78</v>
      </c>
      <c r="G43">
        <v>-2.8809166616598002E-3</v>
      </c>
      <c r="H43" t="s">
        <v>83</v>
      </c>
      <c r="I43" t="b">
        <v>0</v>
      </c>
      <c r="J43">
        <v>257.63377295386903</v>
      </c>
      <c r="K43">
        <v>257.95809727819397</v>
      </c>
      <c r="L43">
        <v>19.751518996500899</v>
      </c>
      <c r="M43" t="s">
        <v>43</v>
      </c>
      <c r="N43" t="s">
        <v>43</v>
      </c>
      <c r="O43" t="s">
        <v>407</v>
      </c>
      <c r="P43">
        <f>-0.0400885629569 - 0.0343267296335803</f>
        <v>-7.4415292590480298E-2</v>
      </c>
      <c r="Q43" t="s">
        <v>56</v>
      </c>
      <c r="R43" t="s">
        <v>84</v>
      </c>
      <c r="S43" t="s">
        <v>85</v>
      </c>
      <c r="T43" t="s">
        <v>414</v>
      </c>
      <c r="U43">
        <v>3.8213307973304498</v>
      </c>
      <c r="V43">
        <v>1.89834930077756E-2</v>
      </c>
      <c r="W43" t="s">
        <v>49</v>
      </c>
      <c r="X43" t="s">
        <v>50</v>
      </c>
    </row>
    <row r="44" spans="1:24" x14ac:dyDescent="0.3">
      <c r="A44" t="s">
        <v>399</v>
      </c>
      <c r="B44" t="s">
        <v>403</v>
      </c>
      <c r="C44" t="s">
        <v>41</v>
      </c>
      <c r="D44">
        <v>7.8030539128761001E-3</v>
      </c>
      <c r="E44">
        <v>0.58780147676483097</v>
      </c>
      <c r="F44" t="s">
        <v>78</v>
      </c>
      <c r="G44">
        <v>2.0075997126143202E-2</v>
      </c>
      <c r="H44" t="s">
        <v>79</v>
      </c>
      <c r="I44" t="b">
        <v>0</v>
      </c>
      <c r="J44">
        <v>254.84191594619901</v>
      </c>
      <c r="K44">
        <v>255.16624027052299</v>
      </c>
      <c r="L44">
        <v>16.961259949660899</v>
      </c>
      <c r="M44" t="s">
        <v>43</v>
      </c>
      <c r="N44" t="s">
        <v>43</v>
      </c>
      <c r="O44" t="s">
        <v>404</v>
      </c>
      <c r="P44">
        <f>-0.0519033721995677 - 0.0920553664518541</f>
        <v>-0.14395873865142178</v>
      </c>
      <c r="Q44" t="s">
        <v>56</v>
      </c>
      <c r="R44" t="s">
        <v>80</v>
      </c>
      <c r="S44" t="s">
        <v>81</v>
      </c>
      <c r="T44" t="s">
        <v>411</v>
      </c>
      <c r="U44">
        <v>3.4348343690107299</v>
      </c>
      <c r="V44">
        <v>3.6724168023321901E-2</v>
      </c>
      <c r="W44" t="s">
        <v>49</v>
      </c>
      <c r="X44" t="s">
        <v>50</v>
      </c>
    </row>
    <row r="45" spans="1:24" x14ac:dyDescent="0.3">
      <c r="A45" t="s">
        <v>399</v>
      </c>
      <c r="B45" t="s">
        <v>403</v>
      </c>
      <c r="C45" t="s">
        <v>41</v>
      </c>
      <c r="D45">
        <v>7.8242573207387995E-3</v>
      </c>
      <c r="E45">
        <v>0.58729261236643204</v>
      </c>
      <c r="F45" t="s">
        <v>78</v>
      </c>
      <c r="G45">
        <v>1.7921287990899398E-2</v>
      </c>
      <c r="H45" t="s">
        <v>89</v>
      </c>
      <c r="I45" t="b">
        <v>0</v>
      </c>
      <c r="J45">
        <v>257.34380746685201</v>
      </c>
      <c r="K45">
        <v>257.66813179117702</v>
      </c>
      <c r="L45">
        <v>19.463151470315001</v>
      </c>
      <c r="M45" t="s">
        <v>43</v>
      </c>
      <c r="N45" t="s">
        <v>43</v>
      </c>
      <c r="O45" t="s">
        <v>404</v>
      </c>
      <c r="P45">
        <f>-0.0462448989120509 - 0.0820874748938496</f>
        <v>-0.12833237380590051</v>
      </c>
      <c r="Q45" t="s">
        <v>56</v>
      </c>
      <c r="R45" t="s">
        <v>90</v>
      </c>
      <c r="S45" t="s">
        <v>43</v>
      </c>
      <c r="T45" t="s">
        <v>91</v>
      </c>
      <c r="U45">
        <v>3.47374847450607</v>
      </c>
      <c r="V45">
        <v>3.2737850460688903E-2</v>
      </c>
      <c r="W45" t="s">
        <v>49</v>
      </c>
      <c r="X45" t="s">
        <v>50</v>
      </c>
    </row>
    <row r="46" spans="1:24" x14ac:dyDescent="0.3">
      <c r="A46" t="s">
        <v>399</v>
      </c>
      <c r="B46" t="s">
        <v>400</v>
      </c>
      <c r="C46" t="s">
        <v>41</v>
      </c>
      <c r="D46">
        <v>3.9868053209189003E-3</v>
      </c>
      <c r="E46">
        <v>0.69870935102070797</v>
      </c>
      <c r="F46" t="s">
        <v>78</v>
      </c>
      <c r="G46">
        <v>-1.38534942537431E-2</v>
      </c>
      <c r="H46" t="s">
        <v>89</v>
      </c>
      <c r="I46" t="b">
        <v>0</v>
      </c>
      <c r="J46">
        <v>257.49821761140299</v>
      </c>
      <c r="K46">
        <v>257.822541935728</v>
      </c>
      <c r="L46">
        <v>19.734271722826001</v>
      </c>
      <c r="M46" t="s">
        <v>43</v>
      </c>
      <c r="N46" t="s">
        <v>43</v>
      </c>
      <c r="O46" t="s">
        <v>401</v>
      </c>
      <c r="P46">
        <f>-0.0834750354981105 - 0.0557680469906243</f>
        <v>-0.13924308248873479</v>
      </c>
      <c r="Q46" t="s">
        <v>56</v>
      </c>
      <c r="R46" t="s">
        <v>90</v>
      </c>
      <c r="S46" t="s">
        <v>43</v>
      </c>
      <c r="T46" t="s">
        <v>91</v>
      </c>
      <c r="U46">
        <v>3.7903352551953802</v>
      </c>
      <c r="V46">
        <v>3.5521194512432297E-2</v>
      </c>
      <c r="W46" t="s">
        <v>49</v>
      </c>
      <c r="X46" t="s">
        <v>50</v>
      </c>
    </row>
    <row r="47" spans="1:24" x14ac:dyDescent="0.3">
      <c r="A47" t="s">
        <v>399</v>
      </c>
      <c r="B47" t="s">
        <v>400</v>
      </c>
      <c r="C47" t="s">
        <v>41</v>
      </c>
      <c r="D47">
        <v>3.9868053209189003E-3</v>
      </c>
      <c r="E47">
        <v>0.69870935102070797</v>
      </c>
      <c r="F47" t="s">
        <v>78</v>
      </c>
      <c r="G47">
        <v>-1.38534942537431E-2</v>
      </c>
      <c r="H47" t="s">
        <v>83</v>
      </c>
      <c r="I47" t="b">
        <v>0</v>
      </c>
      <c r="J47">
        <v>257.49821761140299</v>
      </c>
      <c r="K47">
        <v>257.822541935728</v>
      </c>
      <c r="L47">
        <v>19.734271722826001</v>
      </c>
      <c r="M47" t="s">
        <v>43</v>
      </c>
      <c r="N47" t="s">
        <v>43</v>
      </c>
      <c r="O47" t="s">
        <v>401</v>
      </c>
      <c r="P47">
        <f>-0.0834750354981105 - 0.0557680469906243</f>
        <v>-0.13924308248873479</v>
      </c>
      <c r="Q47" t="s">
        <v>56</v>
      </c>
      <c r="R47" t="s">
        <v>84</v>
      </c>
      <c r="S47" t="s">
        <v>85</v>
      </c>
      <c r="T47" t="s">
        <v>410</v>
      </c>
      <c r="U47">
        <v>3.7903352551953802</v>
      </c>
      <c r="V47">
        <v>3.5521194512432297E-2</v>
      </c>
      <c r="W47" t="s">
        <v>49</v>
      </c>
      <c r="X47" t="s">
        <v>50</v>
      </c>
    </row>
    <row r="48" spans="1:24" x14ac:dyDescent="0.3">
      <c r="A48" t="s">
        <v>399</v>
      </c>
      <c r="B48" t="s">
        <v>403</v>
      </c>
      <c r="C48" t="s">
        <v>41</v>
      </c>
      <c r="D48">
        <v>7.8242573207387995E-3</v>
      </c>
      <c r="E48">
        <v>0.58729261236643204</v>
      </c>
      <c r="F48" t="s">
        <v>78</v>
      </c>
      <c r="G48">
        <v>1.7921287990899398E-2</v>
      </c>
      <c r="H48" t="s">
        <v>89</v>
      </c>
      <c r="I48" t="b">
        <v>0</v>
      </c>
      <c r="J48">
        <v>257.34380746685201</v>
      </c>
      <c r="K48">
        <v>257.66813179117702</v>
      </c>
      <c r="L48">
        <v>19.463151470315001</v>
      </c>
      <c r="M48" t="s">
        <v>43</v>
      </c>
      <c r="N48" t="s">
        <v>43</v>
      </c>
      <c r="O48" t="s">
        <v>404</v>
      </c>
      <c r="P48">
        <f>-0.0462448989120509 - 0.0820874748938496</f>
        <v>-0.12833237380590051</v>
      </c>
      <c r="Q48" t="s">
        <v>56</v>
      </c>
      <c r="R48" t="s">
        <v>90</v>
      </c>
      <c r="S48" t="s">
        <v>43</v>
      </c>
      <c r="T48" t="s">
        <v>91</v>
      </c>
      <c r="U48">
        <v>3.47374847450607</v>
      </c>
      <c r="V48">
        <v>3.2737850460688903E-2</v>
      </c>
      <c r="W48" t="s">
        <v>49</v>
      </c>
      <c r="X48" t="s">
        <v>50</v>
      </c>
    </row>
    <row r="49" spans="1:24" x14ac:dyDescent="0.3">
      <c r="A49" t="s">
        <v>399</v>
      </c>
      <c r="B49" t="s">
        <v>406</v>
      </c>
      <c r="C49" t="s">
        <v>41</v>
      </c>
      <c r="D49">
        <v>1.2476274397582E-3</v>
      </c>
      <c r="E49">
        <v>0.82869306890454197</v>
      </c>
      <c r="F49" t="s">
        <v>78</v>
      </c>
      <c r="G49">
        <v>-2.6477289179746002E-3</v>
      </c>
      <c r="H49" t="s">
        <v>79</v>
      </c>
      <c r="I49" t="b">
        <v>0</v>
      </c>
      <c r="J49">
        <v>255.10521560335201</v>
      </c>
      <c r="K49">
        <v>255.42953992767599</v>
      </c>
      <c r="L49">
        <v>17.222961645982899</v>
      </c>
      <c r="M49" t="s">
        <v>43</v>
      </c>
      <c r="N49" t="s">
        <v>43</v>
      </c>
      <c r="O49" t="s">
        <v>407</v>
      </c>
      <c r="P49">
        <f>-0.0264667684304154 - 0.021171310594466</f>
        <v>-4.7638079024881402E-2</v>
      </c>
      <c r="Q49" t="s">
        <v>56</v>
      </c>
      <c r="R49" t="s">
        <v>80</v>
      </c>
      <c r="S49" t="s">
        <v>81</v>
      </c>
      <c r="T49" t="s">
        <v>412</v>
      </c>
      <c r="U49">
        <v>3.8161619314823598</v>
      </c>
      <c r="V49">
        <v>1.2152571179816701E-2</v>
      </c>
      <c r="W49" t="s">
        <v>49</v>
      </c>
      <c r="X49" t="s">
        <v>50</v>
      </c>
    </row>
    <row r="50" spans="1:24" x14ac:dyDescent="0.3">
      <c r="A50" t="s">
        <v>399</v>
      </c>
      <c r="B50" t="s">
        <v>400</v>
      </c>
      <c r="C50" t="s">
        <v>41</v>
      </c>
      <c r="D50">
        <v>3.355166547986E-3</v>
      </c>
      <c r="E50">
        <v>0.72257169758045003</v>
      </c>
      <c r="F50" t="s">
        <v>78</v>
      </c>
      <c r="G50">
        <v>-1.5911569054343301E-2</v>
      </c>
      <c r="H50" t="s">
        <v>79</v>
      </c>
      <c r="I50" t="b">
        <v>0</v>
      </c>
      <c r="J50">
        <v>255.02059939685799</v>
      </c>
      <c r="K50">
        <v>255.34492372118299</v>
      </c>
      <c r="L50">
        <v>17.256653508281001</v>
      </c>
      <c r="M50" t="s">
        <v>43</v>
      </c>
      <c r="N50" t="s">
        <v>43</v>
      </c>
      <c r="O50" t="s">
        <v>401</v>
      </c>
      <c r="P50">
        <f>-0.103106341636557 - 0.0712832035278701</f>
        <v>-0.17438954516442712</v>
      </c>
      <c r="Q50" t="s">
        <v>56</v>
      </c>
      <c r="R50" t="s">
        <v>80</v>
      </c>
      <c r="S50" t="s">
        <v>81</v>
      </c>
      <c r="T50" t="s">
        <v>409</v>
      </c>
      <c r="U50">
        <v>3.79206580146522</v>
      </c>
      <c r="V50">
        <v>4.4487128868476201E-2</v>
      </c>
      <c r="W50" t="s">
        <v>49</v>
      </c>
      <c r="X50" t="s">
        <v>50</v>
      </c>
    </row>
    <row r="51" spans="1:24" x14ac:dyDescent="0.3">
      <c r="A51" t="s">
        <v>399</v>
      </c>
      <c r="B51" t="s">
        <v>406</v>
      </c>
      <c r="C51" t="s">
        <v>41</v>
      </c>
      <c r="D51">
        <v>6.0570673943959995E-4</v>
      </c>
      <c r="E51">
        <v>0.88017984742519095</v>
      </c>
      <c r="F51" t="s">
        <v>78</v>
      </c>
      <c r="G51">
        <v>-2.8809166616598002E-3</v>
      </c>
      <c r="H51" t="s">
        <v>83</v>
      </c>
      <c r="I51" t="b">
        <v>0</v>
      </c>
      <c r="J51">
        <v>257.63377295386903</v>
      </c>
      <c r="K51">
        <v>257.95809727819397</v>
      </c>
      <c r="L51">
        <v>19.751518996500899</v>
      </c>
      <c r="M51" t="s">
        <v>43</v>
      </c>
      <c r="N51" t="s">
        <v>43</v>
      </c>
      <c r="O51" t="s">
        <v>407</v>
      </c>
      <c r="P51">
        <f>-0.0400885629569 - 0.0343267296335803</f>
        <v>-7.4415292590480298E-2</v>
      </c>
      <c r="Q51" t="s">
        <v>56</v>
      </c>
      <c r="R51" t="s">
        <v>84</v>
      </c>
      <c r="S51" t="s">
        <v>85</v>
      </c>
      <c r="T51" t="s">
        <v>414</v>
      </c>
      <c r="U51">
        <v>3.8213307973304498</v>
      </c>
      <c r="V51">
        <v>1.89834930077756E-2</v>
      </c>
      <c r="W51" t="s">
        <v>49</v>
      </c>
      <c r="X51" t="s">
        <v>50</v>
      </c>
    </row>
  </sheetData>
  <mergeCells count="2">
    <mergeCell ref="A1:K1"/>
    <mergeCell ref="A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42D6C-813C-604F-B2A0-E03028B4C0F7}">
  <dimension ref="A1:X15"/>
  <sheetViews>
    <sheetView workbookViewId="0">
      <selection activeCell="I18" sqref="I18"/>
    </sheetView>
  </sheetViews>
  <sheetFormatPr defaultColWidth="11.19921875" defaultRowHeight="15.6" x14ac:dyDescent="0.3"/>
  <sheetData>
    <row r="1" spans="1:24" ht="21" x14ac:dyDescent="0.3">
      <c r="A1" s="4" t="s">
        <v>433</v>
      </c>
      <c r="B1" s="5"/>
      <c r="C1" s="5"/>
      <c r="D1" s="5"/>
      <c r="E1" s="5"/>
      <c r="F1" s="5"/>
      <c r="G1" s="5"/>
      <c r="H1" s="5"/>
      <c r="I1" s="5"/>
      <c r="J1" s="5"/>
      <c r="K1" s="6"/>
    </row>
    <row r="2" spans="1:24" ht="91.8" customHeight="1" thickBot="1" x14ac:dyDescent="0.35">
      <c r="A2" s="15" t="s">
        <v>487</v>
      </c>
      <c r="B2" s="11"/>
      <c r="C2" s="11"/>
      <c r="D2" s="11"/>
      <c r="E2" s="11"/>
      <c r="F2" s="11"/>
      <c r="G2" s="11"/>
      <c r="H2" s="11"/>
      <c r="I2" s="11"/>
      <c r="J2" s="11"/>
      <c r="K2" s="12"/>
    </row>
    <row r="3" spans="1:24"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c r="X3" t="s">
        <v>39</v>
      </c>
    </row>
    <row r="4" spans="1:24" x14ac:dyDescent="0.3">
      <c r="A4" t="s">
        <v>415</v>
      </c>
      <c r="B4" t="s">
        <v>416</v>
      </c>
      <c r="C4" t="s">
        <v>375</v>
      </c>
      <c r="D4">
        <v>0.16945214181148799</v>
      </c>
      <c r="E4">
        <v>4.9628004341615E-3</v>
      </c>
      <c r="F4">
        <v>1.48884013024845E-2</v>
      </c>
      <c r="G4">
        <v>227.82094721226801</v>
      </c>
      <c r="H4" t="s">
        <v>42</v>
      </c>
      <c r="I4" t="b">
        <v>1</v>
      </c>
      <c r="J4">
        <v>578.69740344291301</v>
      </c>
      <c r="K4">
        <v>578.98311772862701</v>
      </c>
      <c r="L4">
        <v>0</v>
      </c>
      <c r="M4" t="s">
        <v>43</v>
      </c>
      <c r="N4" t="s">
        <v>43</v>
      </c>
      <c r="O4" t="s">
        <v>417</v>
      </c>
      <c r="P4" t="s">
        <v>418</v>
      </c>
      <c r="Q4" t="s">
        <v>43</v>
      </c>
      <c r="R4" t="s">
        <v>46</v>
      </c>
      <c r="S4" t="s">
        <v>47</v>
      </c>
      <c r="T4" t="s">
        <v>419</v>
      </c>
      <c r="U4">
        <v>68.675137770139798</v>
      </c>
      <c r="V4">
        <v>76.916271801991101</v>
      </c>
      <c r="W4" t="s">
        <v>49</v>
      </c>
      <c r="X4" t="s">
        <v>50</v>
      </c>
    </row>
    <row r="5" spans="1:24" x14ac:dyDescent="0.3">
      <c r="A5" t="s">
        <v>415</v>
      </c>
      <c r="B5" t="s">
        <v>420</v>
      </c>
      <c r="C5" t="s">
        <v>375</v>
      </c>
      <c r="D5">
        <v>6.4972125003094003E-3</v>
      </c>
      <c r="E5">
        <v>0.59863904936463197</v>
      </c>
      <c r="F5">
        <v>0.78779320149333498</v>
      </c>
      <c r="G5">
        <v>-26.1849845969464</v>
      </c>
      <c r="H5" t="s">
        <v>42</v>
      </c>
      <c r="I5" t="b">
        <v>1</v>
      </c>
      <c r="J5">
        <v>586.75921259892698</v>
      </c>
      <c r="K5">
        <v>587.04492688464097</v>
      </c>
      <c r="L5">
        <v>0</v>
      </c>
      <c r="M5" t="s">
        <v>43</v>
      </c>
      <c r="N5" t="s">
        <v>43</v>
      </c>
      <c r="O5" t="s">
        <v>421</v>
      </c>
      <c r="P5">
        <f>-122.96711455243 - 70.5971453585372</f>
        <v>-193.56425991096722</v>
      </c>
      <c r="Q5" t="s">
        <v>43</v>
      </c>
      <c r="R5" t="s">
        <v>46</v>
      </c>
      <c r="S5" t="s">
        <v>47</v>
      </c>
      <c r="T5" t="s">
        <v>422</v>
      </c>
      <c r="U5">
        <v>98.817988695968396</v>
      </c>
      <c r="V5">
        <v>49.378637732389599</v>
      </c>
      <c r="W5" t="s">
        <v>49</v>
      </c>
      <c r="X5" t="s">
        <v>50</v>
      </c>
    </row>
    <row r="6" spans="1:24" x14ac:dyDescent="0.3">
      <c r="A6" t="s">
        <v>415</v>
      </c>
      <c r="B6" t="s">
        <v>423</v>
      </c>
      <c r="C6" t="s">
        <v>375</v>
      </c>
      <c r="D6">
        <v>1.7032846504513E-3</v>
      </c>
      <c r="E6">
        <v>0.78779320149333498</v>
      </c>
      <c r="F6">
        <v>0.78779320149333498</v>
      </c>
      <c r="G6">
        <v>22.8409196036644</v>
      </c>
      <c r="H6" t="s">
        <v>42</v>
      </c>
      <c r="I6" t="b">
        <v>1</v>
      </c>
      <c r="J6">
        <v>586.97582794549498</v>
      </c>
      <c r="K6">
        <v>587.26154223121</v>
      </c>
      <c r="L6">
        <v>0</v>
      </c>
      <c r="M6" t="s">
        <v>43</v>
      </c>
      <c r="N6" t="s">
        <v>43</v>
      </c>
      <c r="O6" t="s">
        <v>424</v>
      </c>
      <c r="P6">
        <f>-142.439586287821 - 188.12142549515</f>
        <v>-330.56101178297098</v>
      </c>
      <c r="Q6" t="s">
        <v>43</v>
      </c>
      <c r="R6" t="s">
        <v>46</v>
      </c>
      <c r="S6" t="s">
        <v>47</v>
      </c>
      <c r="T6" t="s">
        <v>425</v>
      </c>
      <c r="U6">
        <v>86.895614933905193</v>
      </c>
      <c r="V6">
        <v>84.326788720145501</v>
      </c>
      <c r="W6" t="s">
        <v>49</v>
      </c>
      <c r="X6" t="s">
        <v>50</v>
      </c>
    </row>
    <row r="7" spans="1:24" x14ac:dyDescent="0.3">
      <c r="A7" t="s">
        <v>415</v>
      </c>
      <c r="B7" t="s">
        <v>416</v>
      </c>
      <c r="C7" t="s">
        <v>375</v>
      </c>
      <c r="D7">
        <v>3.3878838246340602E-2</v>
      </c>
      <c r="E7">
        <v>0.22614306333474499</v>
      </c>
      <c r="F7" t="s">
        <v>78</v>
      </c>
      <c r="G7">
        <v>278.46938456915399</v>
      </c>
      <c r="H7" t="s">
        <v>89</v>
      </c>
      <c r="I7" t="b">
        <v>0</v>
      </c>
      <c r="J7">
        <v>614.75108788733496</v>
      </c>
      <c r="K7">
        <v>615.03680217304998</v>
      </c>
      <c r="L7">
        <v>36.053684444422899</v>
      </c>
      <c r="M7" t="s">
        <v>43</v>
      </c>
      <c r="N7" t="s">
        <v>43</v>
      </c>
      <c r="O7" t="s">
        <v>417</v>
      </c>
      <c r="P7">
        <f>-166.009200317268 - 722.947969455577</f>
        <v>-888.95716977284496</v>
      </c>
      <c r="Q7" t="s">
        <v>43</v>
      </c>
      <c r="R7" t="s">
        <v>90</v>
      </c>
      <c r="S7" t="s">
        <v>43</v>
      </c>
      <c r="T7" t="s">
        <v>91</v>
      </c>
      <c r="U7">
        <v>43.577601655875696</v>
      </c>
      <c r="V7">
        <v>226.774788207358</v>
      </c>
      <c r="W7" t="s">
        <v>49</v>
      </c>
      <c r="X7" t="s">
        <v>50</v>
      </c>
    </row>
    <row r="8" spans="1:24" x14ac:dyDescent="0.3">
      <c r="A8" t="s">
        <v>415</v>
      </c>
      <c r="B8" t="s">
        <v>416</v>
      </c>
      <c r="C8" t="s">
        <v>375</v>
      </c>
      <c r="D8">
        <v>9.6429324065427896E-2</v>
      </c>
      <c r="E8">
        <v>3.7883023567605097E-2</v>
      </c>
      <c r="F8" t="s">
        <v>78</v>
      </c>
      <c r="G8">
        <v>273.11785862927098</v>
      </c>
      <c r="H8" t="s">
        <v>79</v>
      </c>
      <c r="I8" t="b">
        <v>0</v>
      </c>
      <c r="J8">
        <v>603.43972732457701</v>
      </c>
      <c r="K8">
        <v>603.72544161029202</v>
      </c>
      <c r="L8">
        <v>24.742323881665001</v>
      </c>
      <c r="M8" t="s">
        <v>43</v>
      </c>
      <c r="N8" t="s">
        <v>43</v>
      </c>
      <c r="O8" t="s">
        <v>417</v>
      </c>
      <c r="P8" t="s">
        <v>426</v>
      </c>
      <c r="Q8" t="s">
        <v>43</v>
      </c>
      <c r="R8" t="s">
        <v>80</v>
      </c>
      <c r="S8" t="s">
        <v>81</v>
      </c>
      <c r="T8" t="s">
        <v>427</v>
      </c>
      <c r="U8">
        <v>19.4262942121074</v>
      </c>
      <c r="V8">
        <v>127.494771141472</v>
      </c>
      <c r="W8" t="s">
        <v>49</v>
      </c>
      <c r="X8" t="s">
        <v>50</v>
      </c>
    </row>
    <row r="9" spans="1:24" x14ac:dyDescent="0.3">
      <c r="A9" t="s">
        <v>415</v>
      </c>
      <c r="B9" t="s">
        <v>416</v>
      </c>
      <c r="C9" t="s">
        <v>375</v>
      </c>
      <c r="D9">
        <v>3.3878838246340602E-2</v>
      </c>
      <c r="E9">
        <v>0.22614306333474499</v>
      </c>
      <c r="F9" t="s">
        <v>78</v>
      </c>
      <c r="G9">
        <v>278.46938456915399</v>
      </c>
      <c r="H9" t="s">
        <v>83</v>
      </c>
      <c r="I9" t="b">
        <v>0</v>
      </c>
      <c r="J9">
        <v>614.75108788733496</v>
      </c>
      <c r="K9">
        <v>615.03680217304998</v>
      </c>
      <c r="L9">
        <v>36.053684444422899</v>
      </c>
      <c r="M9" t="s">
        <v>43</v>
      </c>
      <c r="N9" t="s">
        <v>43</v>
      </c>
      <c r="O9" t="s">
        <v>417</v>
      </c>
      <c r="P9">
        <f>-166.009200317268 - 722.947969455577</f>
        <v>-888.95716977284496</v>
      </c>
      <c r="Q9" t="s">
        <v>43</v>
      </c>
      <c r="R9" t="s">
        <v>84</v>
      </c>
      <c r="S9" t="s">
        <v>85</v>
      </c>
      <c r="T9" t="s">
        <v>428</v>
      </c>
      <c r="U9">
        <v>43.577601655875696</v>
      </c>
      <c r="V9">
        <v>226.774788207358</v>
      </c>
      <c r="W9" t="s">
        <v>49</v>
      </c>
      <c r="X9" t="s">
        <v>50</v>
      </c>
    </row>
    <row r="10" spans="1:24" x14ac:dyDescent="0.3">
      <c r="A10" t="s">
        <v>415</v>
      </c>
      <c r="B10" t="s">
        <v>420</v>
      </c>
      <c r="C10" t="s">
        <v>375</v>
      </c>
      <c r="D10">
        <v>1.12941654346056E-2</v>
      </c>
      <c r="E10">
        <v>0.48716939162939799</v>
      </c>
      <c r="F10" t="s">
        <v>78</v>
      </c>
      <c r="G10">
        <v>-51.5892925866209</v>
      </c>
      <c r="H10" t="s">
        <v>89</v>
      </c>
      <c r="I10" t="b">
        <v>0</v>
      </c>
      <c r="J10">
        <v>615.79092977671905</v>
      </c>
      <c r="K10">
        <v>616.07664406243396</v>
      </c>
      <c r="L10">
        <v>29.031717177792899</v>
      </c>
      <c r="M10" t="s">
        <v>43</v>
      </c>
      <c r="N10" t="s">
        <v>43</v>
      </c>
      <c r="O10" t="s">
        <v>421</v>
      </c>
      <c r="P10">
        <f>-195.863232635832 - 92.68464746259</f>
        <v>-288.54788009842196</v>
      </c>
      <c r="Q10" t="s">
        <v>43</v>
      </c>
      <c r="R10" t="s">
        <v>90</v>
      </c>
      <c r="S10" t="s">
        <v>43</v>
      </c>
      <c r="T10" t="s">
        <v>91</v>
      </c>
      <c r="U10">
        <v>113.09393642925799</v>
      </c>
      <c r="V10">
        <v>73.6091530863321</v>
      </c>
      <c r="W10" t="s">
        <v>49</v>
      </c>
      <c r="X10" t="s">
        <v>50</v>
      </c>
    </row>
    <row r="11" spans="1:24" x14ac:dyDescent="0.3">
      <c r="A11" t="s">
        <v>415</v>
      </c>
      <c r="B11" t="s">
        <v>420</v>
      </c>
      <c r="C11" t="s">
        <v>375</v>
      </c>
      <c r="D11">
        <v>8.3175664768861002E-3</v>
      </c>
      <c r="E11">
        <v>0.55129498475995498</v>
      </c>
      <c r="F11" t="s">
        <v>78</v>
      </c>
      <c r="G11">
        <v>-43.870677949913301</v>
      </c>
      <c r="H11" t="s">
        <v>79</v>
      </c>
      <c r="I11" t="b">
        <v>0</v>
      </c>
      <c r="J11">
        <v>607.31866205605002</v>
      </c>
      <c r="K11">
        <v>607.60437634176401</v>
      </c>
      <c r="L11">
        <v>20.559449457123002</v>
      </c>
      <c r="M11" t="s">
        <v>43</v>
      </c>
      <c r="N11" t="s">
        <v>43</v>
      </c>
      <c r="O11" t="s">
        <v>421</v>
      </c>
      <c r="P11">
        <f>-187.051337684814 - 99.3099817849873</f>
        <v>-286.36131946980129</v>
      </c>
      <c r="Q11" t="s">
        <v>43</v>
      </c>
      <c r="R11" t="s">
        <v>80</v>
      </c>
      <c r="S11" t="s">
        <v>81</v>
      </c>
      <c r="T11" t="s">
        <v>429</v>
      </c>
      <c r="U11">
        <v>120.357985221996</v>
      </c>
      <c r="V11">
        <v>73.051357007602306</v>
      </c>
      <c r="W11" t="s">
        <v>49</v>
      </c>
      <c r="X11" t="s">
        <v>50</v>
      </c>
    </row>
    <row r="12" spans="1:24" x14ac:dyDescent="0.3">
      <c r="A12" t="s">
        <v>415</v>
      </c>
      <c r="B12" t="s">
        <v>420</v>
      </c>
      <c r="C12" t="s">
        <v>375</v>
      </c>
      <c r="D12">
        <v>1.12941654346056E-2</v>
      </c>
      <c r="E12">
        <v>0.48716939162939799</v>
      </c>
      <c r="F12" t="s">
        <v>78</v>
      </c>
      <c r="G12">
        <v>-51.5892925866209</v>
      </c>
      <c r="H12" t="s">
        <v>83</v>
      </c>
      <c r="I12" t="b">
        <v>0</v>
      </c>
      <c r="J12">
        <v>615.79092977671905</v>
      </c>
      <c r="K12">
        <v>616.07664406243396</v>
      </c>
      <c r="L12">
        <v>29.031717177792899</v>
      </c>
      <c r="M12" t="s">
        <v>43</v>
      </c>
      <c r="N12" t="s">
        <v>43</v>
      </c>
      <c r="O12" t="s">
        <v>421</v>
      </c>
      <c r="P12">
        <f>-195.863232635832 - 92.68464746259</f>
        <v>-288.54788009842196</v>
      </c>
      <c r="Q12" t="s">
        <v>43</v>
      </c>
      <c r="R12" t="s">
        <v>84</v>
      </c>
      <c r="S12" t="s">
        <v>85</v>
      </c>
      <c r="T12" t="s">
        <v>430</v>
      </c>
      <c r="U12">
        <v>113.09393642925799</v>
      </c>
      <c r="V12">
        <v>73.6091530863321</v>
      </c>
      <c r="W12" t="s">
        <v>49</v>
      </c>
      <c r="X12" t="s">
        <v>50</v>
      </c>
    </row>
    <row r="13" spans="1:24" x14ac:dyDescent="0.3">
      <c r="A13" t="s">
        <v>415</v>
      </c>
      <c r="B13" t="s">
        <v>423</v>
      </c>
      <c r="C13" t="s">
        <v>375</v>
      </c>
      <c r="D13">
        <v>3.0348727561546499E-2</v>
      </c>
      <c r="E13">
        <v>0.25240759320575801</v>
      </c>
      <c r="F13" t="s">
        <v>78</v>
      </c>
      <c r="G13">
        <v>98.777568392035903</v>
      </c>
      <c r="H13" t="s">
        <v>89</v>
      </c>
      <c r="I13" t="b">
        <v>0</v>
      </c>
      <c r="J13">
        <v>614.91521374645504</v>
      </c>
      <c r="K13">
        <v>615.20092803217005</v>
      </c>
      <c r="L13">
        <v>27.93938580096</v>
      </c>
      <c r="M13" t="s">
        <v>43</v>
      </c>
      <c r="N13" t="s">
        <v>43</v>
      </c>
      <c r="O13" t="s">
        <v>424</v>
      </c>
      <c r="P13">
        <f>-68.10759060525 - 265.662727389322</f>
        <v>-333.770317994572</v>
      </c>
      <c r="Q13" t="s">
        <v>43</v>
      </c>
      <c r="R13" t="s">
        <v>90</v>
      </c>
      <c r="S13" t="s">
        <v>43</v>
      </c>
      <c r="T13" t="s">
        <v>91</v>
      </c>
      <c r="U13">
        <v>93.352648564821294</v>
      </c>
      <c r="V13">
        <v>85.1454892843295</v>
      </c>
      <c r="W13" t="s">
        <v>49</v>
      </c>
      <c r="X13" t="s">
        <v>50</v>
      </c>
    </row>
    <row r="14" spans="1:24" x14ac:dyDescent="0.3">
      <c r="A14" t="s">
        <v>415</v>
      </c>
      <c r="B14" t="s">
        <v>423</v>
      </c>
      <c r="C14" t="s">
        <v>375</v>
      </c>
      <c r="D14">
        <v>1.37258999065925E-2</v>
      </c>
      <c r="E14">
        <v>0.44341081881981398</v>
      </c>
      <c r="F14" t="s">
        <v>78</v>
      </c>
      <c r="G14">
        <v>71.819325705318803</v>
      </c>
      <c r="H14" t="s">
        <v>79</v>
      </c>
      <c r="I14" t="b">
        <v>0</v>
      </c>
      <c r="J14">
        <v>607.10329786459795</v>
      </c>
      <c r="K14">
        <v>607.38901215031206</v>
      </c>
      <c r="L14">
        <v>20.127469919102001</v>
      </c>
      <c r="M14" t="s">
        <v>43</v>
      </c>
      <c r="N14" t="s">
        <v>43</v>
      </c>
      <c r="O14" t="s">
        <v>424</v>
      </c>
      <c r="P14">
        <f>-110.147226909111 - 253.785878319749</f>
        <v>-363.93310522885997</v>
      </c>
      <c r="Q14" t="s">
        <v>43</v>
      </c>
      <c r="R14" t="s">
        <v>80</v>
      </c>
      <c r="S14" t="s">
        <v>81</v>
      </c>
      <c r="T14" t="s">
        <v>431</v>
      </c>
      <c r="U14">
        <v>105.286341574495</v>
      </c>
      <c r="V14">
        <v>92.840077864505105</v>
      </c>
      <c r="W14" t="s">
        <v>49</v>
      </c>
      <c r="X14" t="s">
        <v>50</v>
      </c>
    </row>
    <row r="15" spans="1:24" x14ac:dyDescent="0.3">
      <c r="A15" t="s">
        <v>415</v>
      </c>
      <c r="B15" t="s">
        <v>423</v>
      </c>
      <c r="C15" t="s">
        <v>375</v>
      </c>
      <c r="D15">
        <v>3.0348727561546499E-2</v>
      </c>
      <c r="E15">
        <v>0.25240759320575801</v>
      </c>
      <c r="F15" t="s">
        <v>78</v>
      </c>
      <c r="G15">
        <v>98.777568392035903</v>
      </c>
      <c r="H15" t="s">
        <v>83</v>
      </c>
      <c r="I15" t="b">
        <v>0</v>
      </c>
      <c r="J15">
        <v>614.91521374645504</v>
      </c>
      <c r="K15">
        <v>615.20092803217005</v>
      </c>
      <c r="L15">
        <v>27.93938580096</v>
      </c>
      <c r="M15" t="s">
        <v>43</v>
      </c>
      <c r="N15" t="s">
        <v>43</v>
      </c>
      <c r="O15" t="s">
        <v>424</v>
      </c>
      <c r="P15">
        <f>-68.10759060525 - 265.662727389322</f>
        <v>-333.770317994572</v>
      </c>
      <c r="Q15" t="s">
        <v>43</v>
      </c>
      <c r="R15" t="s">
        <v>84</v>
      </c>
      <c r="S15" t="s">
        <v>85</v>
      </c>
      <c r="T15" t="s">
        <v>432</v>
      </c>
      <c r="U15">
        <v>93.352648564821294</v>
      </c>
      <c r="V15">
        <v>85.1454892843295</v>
      </c>
      <c r="W15" t="s">
        <v>49</v>
      </c>
      <c r="X15" t="s">
        <v>50</v>
      </c>
    </row>
  </sheetData>
  <mergeCells count="2">
    <mergeCell ref="A1:K1"/>
    <mergeCell ref="A2:K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EADD-CD29-9447-BF52-BF65408D1D4D}">
  <dimension ref="A1:X7"/>
  <sheetViews>
    <sheetView workbookViewId="0">
      <selection activeCell="G15" sqref="G15"/>
    </sheetView>
  </sheetViews>
  <sheetFormatPr defaultColWidth="11.19921875" defaultRowHeight="15.6" x14ac:dyDescent="0.3"/>
  <sheetData>
    <row r="1" spans="1:24" ht="21" x14ac:dyDescent="0.3">
      <c r="A1" s="4" t="s">
        <v>442</v>
      </c>
      <c r="B1" s="5"/>
      <c r="C1" s="5"/>
      <c r="D1" s="5"/>
      <c r="E1" s="5"/>
      <c r="F1" s="5"/>
      <c r="G1" s="5"/>
      <c r="H1" s="5"/>
      <c r="I1" s="5"/>
      <c r="J1" s="5"/>
      <c r="K1" s="6"/>
    </row>
    <row r="2" spans="1:24" ht="78" customHeight="1" thickBot="1" x14ac:dyDescent="0.35">
      <c r="A2" s="7" t="s">
        <v>488</v>
      </c>
      <c r="B2" s="13"/>
      <c r="C2" s="13"/>
      <c r="D2" s="13"/>
      <c r="E2" s="13"/>
      <c r="F2" s="13"/>
      <c r="G2" s="13"/>
      <c r="H2" s="13"/>
      <c r="I2" s="13"/>
      <c r="J2" s="13"/>
      <c r="K2" s="14"/>
    </row>
    <row r="3" spans="1:24"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c r="X3" t="s">
        <v>39</v>
      </c>
    </row>
    <row r="4" spans="1:24" x14ac:dyDescent="0.3">
      <c r="A4" t="s">
        <v>434</v>
      </c>
      <c r="B4" t="s">
        <v>375</v>
      </c>
      <c r="C4" t="s">
        <v>41</v>
      </c>
      <c r="D4">
        <v>0.81506690385785796</v>
      </c>
      <c r="E4" s="2">
        <v>7.0475646429812897E-7</v>
      </c>
      <c r="F4" s="2">
        <v>7.0475646429812897E-7</v>
      </c>
      <c r="G4">
        <v>2.99136089059002E-2</v>
      </c>
      <c r="H4" t="s">
        <v>42</v>
      </c>
      <c r="I4" t="b">
        <v>1</v>
      </c>
      <c r="J4">
        <v>77.534588256908606</v>
      </c>
      <c r="K4">
        <v>78.391731114051396</v>
      </c>
      <c r="L4">
        <v>0</v>
      </c>
      <c r="M4" t="s">
        <v>420</v>
      </c>
      <c r="N4">
        <v>1</v>
      </c>
      <c r="O4" t="s">
        <v>435</v>
      </c>
      <c r="P4" t="s">
        <v>436</v>
      </c>
      <c r="Q4" t="s">
        <v>56</v>
      </c>
      <c r="R4" t="s">
        <v>46</v>
      </c>
      <c r="S4" t="s">
        <v>47</v>
      </c>
      <c r="T4" t="s">
        <v>437</v>
      </c>
      <c r="U4">
        <v>0.69094092717796796</v>
      </c>
      <c r="V4">
        <v>3.6790346043929999E-3</v>
      </c>
      <c r="W4" t="s">
        <v>49</v>
      </c>
      <c r="X4" t="s">
        <v>50</v>
      </c>
    </row>
    <row r="5" spans="1:24" x14ac:dyDescent="0.3">
      <c r="A5" t="s">
        <v>434</v>
      </c>
      <c r="B5" t="s">
        <v>375</v>
      </c>
      <c r="C5" t="s">
        <v>41</v>
      </c>
      <c r="D5">
        <v>0.59952756568246501</v>
      </c>
      <c r="E5">
        <v>2.63793539432E-4</v>
      </c>
      <c r="F5" t="s">
        <v>78</v>
      </c>
      <c r="G5">
        <v>2.1018150961229699E-2</v>
      </c>
      <c r="H5" t="s">
        <v>89</v>
      </c>
      <c r="I5" t="b">
        <v>0</v>
      </c>
      <c r="J5">
        <v>99.497465728238296</v>
      </c>
      <c r="K5">
        <v>100.354608585381</v>
      </c>
      <c r="L5">
        <v>21.962877471329602</v>
      </c>
      <c r="M5" t="s">
        <v>420</v>
      </c>
      <c r="N5">
        <v>1</v>
      </c>
      <c r="O5" t="s">
        <v>435</v>
      </c>
      <c r="P5" t="s">
        <v>438</v>
      </c>
      <c r="Q5" t="s">
        <v>56</v>
      </c>
      <c r="R5" t="s">
        <v>90</v>
      </c>
      <c r="S5" t="s">
        <v>43</v>
      </c>
      <c r="T5" t="s">
        <v>91</v>
      </c>
      <c r="U5">
        <v>1.6688539266448801</v>
      </c>
      <c r="V5">
        <v>4.4353777463523999E-3</v>
      </c>
      <c r="W5" t="s">
        <v>49</v>
      </c>
      <c r="X5" t="s">
        <v>50</v>
      </c>
    </row>
    <row r="6" spans="1:24" x14ac:dyDescent="0.3">
      <c r="A6" t="s">
        <v>434</v>
      </c>
      <c r="B6" t="s">
        <v>375</v>
      </c>
      <c r="C6" t="s">
        <v>41</v>
      </c>
      <c r="D6">
        <v>0.84242475088681901</v>
      </c>
      <c r="E6" s="2">
        <v>2.09116188143454E-7</v>
      </c>
      <c r="F6" t="s">
        <v>78</v>
      </c>
      <c r="G6">
        <v>2.7718749506812499E-2</v>
      </c>
      <c r="H6" t="s">
        <v>79</v>
      </c>
      <c r="I6" t="b">
        <v>0</v>
      </c>
      <c r="J6">
        <v>80.189072452927505</v>
      </c>
      <c r="K6">
        <v>81.046215310070394</v>
      </c>
      <c r="L6">
        <v>2.65448419601899</v>
      </c>
      <c r="M6" t="s">
        <v>420</v>
      </c>
      <c r="N6">
        <v>1</v>
      </c>
      <c r="O6" t="s">
        <v>435</v>
      </c>
      <c r="P6" t="s">
        <v>439</v>
      </c>
      <c r="Q6" t="s">
        <v>56</v>
      </c>
      <c r="R6" t="s">
        <v>80</v>
      </c>
      <c r="S6" t="s">
        <v>81</v>
      </c>
      <c r="T6" t="s">
        <v>440</v>
      </c>
      <c r="U6">
        <v>0.91530948954878399</v>
      </c>
      <c r="V6">
        <v>3.0953263611128001E-3</v>
      </c>
      <c r="W6" t="s">
        <v>49</v>
      </c>
      <c r="X6" t="s">
        <v>50</v>
      </c>
    </row>
    <row r="7" spans="1:24" x14ac:dyDescent="0.3">
      <c r="A7" t="s">
        <v>434</v>
      </c>
      <c r="B7" t="s">
        <v>375</v>
      </c>
      <c r="C7" t="s">
        <v>41</v>
      </c>
      <c r="D7">
        <v>0.59952756568246501</v>
      </c>
      <c r="E7">
        <v>2.63793539432E-4</v>
      </c>
      <c r="F7" t="s">
        <v>78</v>
      </c>
      <c r="G7">
        <v>2.1018150961229699E-2</v>
      </c>
      <c r="H7" t="s">
        <v>83</v>
      </c>
      <c r="I7" t="b">
        <v>0</v>
      </c>
      <c r="J7">
        <v>99.497465728238296</v>
      </c>
      <c r="K7">
        <v>100.354608585381</v>
      </c>
      <c r="L7">
        <v>21.962877471329602</v>
      </c>
      <c r="M7" t="s">
        <v>420</v>
      </c>
      <c r="N7">
        <v>1</v>
      </c>
      <c r="O7" t="s">
        <v>435</v>
      </c>
      <c r="P7" t="s">
        <v>438</v>
      </c>
      <c r="Q7" t="s">
        <v>56</v>
      </c>
      <c r="R7" t="s">
        <v>84</v>
      </c>
      <c r="S7" t="s">
        <v>85</v>
      </c>
      <c r="T7" t="s">
        <v>441</v>
      </c>
      <c r="U7">
        <v>1.6688539266448801</v>
      </c>
      <c r="V7">
        <v>4.4353777463523999E-3</v>
      </c>
      <c r="W7" t="s">
        <v>49</v>
      </c>
      <c r="X7" t="s">
        <v>50</v>
      </c>
    </row>
  </sheetData>
  <mergeCells count="2">
    <mergeCell ref="A1:K1"/>
    <mergeCell ref="A2:K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9F183-2A47-8246-A93F-2AB42CD15988}">
  <dimension ref="A1:X7"/>
  <sheetViews>
    <sheetView workbookViewId="0">
      <selection activeCell="F10" sqref="F10"/>
    </sheetView>
  </sheetViews>
  <sheetFormatPr defaultColWidth="11.19921875" defaultRowHeight="15.6" x14ac:dyDescent="0.3"/>
  <sheetData>
    <row r="1" spans="1:24" ht="21" x14ac:dyDescent="0.3">
      <c r="A1" s="4" t="s">
        <v>494</v>
      </c>
      <c r="B1" s="5"/>
      <c r="C1" s="5"/>
      <c r="D1" s="5"/>
      <c r="E1" s="5"/>
      <c r="F1" s="5"/>
      <c r="G1" s="5"/>
      <c r="H1" s="5"/>
      <c r="I1" s="5"/>
      <c r="J1" s="5"/>
      <c r="K1" s="6"/>
    </row>
    <row r="2" spans="1:24" ht="87.6" customHeight="1" thickBot="1" x14ac:dyDescent="0.35">
      <c r="A2" s="7" t="s">
        <v>489</v>
      </c>
      <c r="B2" s="13"/>
      <c r="C2" s="13"/>
      <c r="D2" s="13"/>
      <c r="E2" s="13"/>
      <c r="F2" s="13"/>
      <c r="G2" s="13"/>
      <c r="H2" s="13"/>
      <c r="I2" s="13"/>
      <c r="J2" s="13"/>
      <c r="K2" s="14"/>
    </row>
    <row r="3" spans="1:24" ht="16.2" thickTop="1" x14ac:dyDescent="0.3">
      <c r="A3" t="s">
        <v>17</v>
      </c>
      <c r="B3" t="s">
        <v>18</v>
      </c>
      <c r="C3" t="s">
        <v>19</v>
      </c>
      <c r="D3" t="s">
        <v>20</v>
      </c>
      <c r="E3" t="s">
        <v>16</v>
      </c>
      <c r="F3" t="s">
        <v>21</v>
      </c>
      <c r="G3" t="s">
        <v>22</v>
      </c>
      <c r="H3" t="s">
        <v>23</v>
      </c>
      <c r="I3" t="s">
        <v>24</v>
      </c>
      <c r="J3" t="s">
        <v>25</v>
      </c>
      <c r="K3" t="s">
        <v>26</v>
      </c>
      <c r="L3" t="s">
        <v>27</v>
      </c>
      <c r="M3" t="s">
        <v>28</v>
      </c>
      <c r="N3" t="s">
        <v>29</v>
      </c>
      <c r="O3" t="s">
        <v>30</v>
      </c>
      <c r="P3" t="s">
        <v>31</v>
      </c>
      <c r="Q3" t="s">
        <v>32</v>
      </c>
      <c r="R3" t="s">
        <v>33</v>
      </c>
      <c r="S3" t="s">
        <v>34</v>
      </c>
      <c r="T3" t="s">
        <v>35</v>
      </c>
      <c r="U3" t="s">
        <v>36</v>
      </c>
      <c r="V3" t="s">
        <v>37</v>
      </c>
      <c r="W3" t="s">
        <v>38</v>
      </c>
      <c r="X3" t="s">
        <v>39</v>
      </c>
    </row>
    <row r="4" spans="1:24" x14ac:dyDescent="0.3">
      <c r="A4" t="s">
        <v>443</v>
      </c>
      <c r="B4" t="s">
        <v>375</v>
      </c>
      <c r="C4" t="s">
        <v>444</v>
      </c>
      <c r="D4">
        <v>0.109936991530786</v>
      </c>
      <c r="E4">
        <v>0.178907283657608</v>
      </c>
      <c r="F4">
        <v>0.178907283657608</v>
      </c>
      <c r="G4">
        <v>1.420813676079E-4</v>
      </c>
      <c r="H4" t="s">
        <v>42</v>
      </c>
      <c r="I4" t="b">
        <v>1</v>
      </c>
      <c r="J4">
        <v>-40.3286400024055</v>
      </c>
      <c r="K4">
        <v>-39.528640002405503</v>
      </c>
      <c r="L4">
        <v>0</v>
      </c>
      <c r="M4" t="s">
        <v>43</v>
      </c>
      <c r="N4" t="s">
        <v>43</v>
      </c>
      <c r="O4" t="s">
        <v>445</v>
      </c>
      <c r="P4">
        <f>-0.0000560127870733083 - 0.000340175522289293</f>
        <v>-3.961883093626013E-4</v>
      </c>
      <c r="Q4" t="s">
        <v>56</v>
      </c>
      <c r="R4" t="s">
        <v>46</v>
      </c>
      <c r="S4" t="s">
        <v>47</v>
      </c>
      <c r="T4" t="s">
        <v>446</v>
      </c>
      <c r="U4">
        <v>0.120105029767788</v>
      </c>
      <c r="V4">
        <v>1.010684462659E-4</v>
      </c>
      <c r="W4" t="s">
        <v>147</v>
      </c>
      <c r="X4" t="s">
        <v>50</v>
      </c>
    </row>
    <row r="5" spans="1:24" x14ac:dyDescent="0.3">
      <c r="A5" t="s">
        <v>443</v>
      </c>
      <c r="B5" t="s">
        <v>375</v>
      </c>
      <c r="C5" t="s">
        <v>444</v>
      </c>
      <c r="D5">
        <v>0.25340380173923499</v>
      </c>
      <c r="E5">
        <v>3.31992573734885E-2</v>
      </c>
      <c r="F5" t="s">
        <v>78</v>
      </c>
      <c r="G5">
        <v>1.5425336868070001E-4</v>
      </c>
      <c r="H5" t="s">
        <v>89</v>
      </c>
      <c r="I5" t="b">
        <v>0</v>
      </c>
      <c r="J5">
        <v>-35.7135502367654</v>
      </c>
      <c r="K5">
        <v>-34.913550236765403</v>
      </c>
      <c r="L5">
        <v>4.6150897656401</v>
      </c>
      <c r="M5" t="s">
        <v>43</v>
      </c>
      <c r="N5" t="s">
        <v>43</v>
      </c>
      <c r="O5" t="s">
        <v>445</v>
      </c>
      <c r="P5" t="s">
        <v>447</v>
      </c>
      <c r="Q5" t="s">
        <v>56</v>
      </c>
      <c r="R5" t="s">
        <v>90</v>
      </c>
      <c r="S5" t="s">
        <v>43</v>
      </c>
      <c r="T5" t="s">
        <v>91</v>
      </c>
      <c r="U5">
        <v>0.106410111348149</v>
      </c>
      <c r="V5" s="2">
        <v>6.6192836186184997E-5</v>
      </c>
      <c r="W5" t="s">
        <v>147</v>
      </c>
      <c r="X5" t="s">
        <v>50</v>
      </c>
    </row>
    <row r="6" spans="1:24" x14ac:dyDescent="0.3">
      <c r="A6" t="s">
        <v>443</v>
      </c>
      <c r="B6" t="s">
        <v>375</v>
      </c>
      <c r="C6" t="s">
        <v>444</v>
      </c>
      <c r="D6">
        <v>0.16063781005921601</v>
      </c>
      <c r="E6">
        <v>9.9288552106548994E-2</v>
      </c>
      <c r="F6" t="s">
        <v>78</v>
      </c>
      <c r="G6">
        <v>1.3372384666219999E-4</v>
      </c>
      <c r="H6" t="s">
        <v>79</v>
      </c>
      <c r="I6" t="b">
        <v>0</v>
      </c>
      <c r="J6">
        <v>-37.346848652244397</v>
      </c>
      <c r="K6">
        <v>-36.5468486522444</v>
      </c>
      <c r="L6">
        <v>2.9817913501611</v>
      </c>
      <c r="M6" t="s">
        <v>43</v>
      </c>
      <c r="N6" t="s">
        <v>43</v>
      </c>
      <c r="O6" t="s">
        <v>445</v>
      </c>
      <c r="P6">
        <f>-0.0000160568183542665 - 0.000283504511678681</f>
        <v>-2.9956133003294748E-4</v>
      </c>
      <c r="Q6" t="s">
        <v>56</v>
      </c>
      <c r="R6" t="s">
        <v>80</v>
      </c>
      <c r="S6" t="s">
        <v>81</v>
      </c>
      <c r="T6" t="s">
        <v>448</v>
      </c>
      <c r="U6">
        <v>0.107827791700566</v>
      </c>
      <c r="V6" s="2">
        <v>7.6418706641058005E-5</v>
      </c>
      <c r="W6" t="s">
        <v>147</v>
      </c>
      <c r="X6" t="s">
        <v>50</v>
      </c>
    </row>
    <row r="7" spans="1:24" x14ac:dyDescent="0.3">
      <c r="A7" t="s">
        <v>443</v>
      </c>
      <c r="B7" t="s">
        <v>375</v>
      </c>
      <c r="C7" t="s">
        <v>444</v>
      </c>
      <c r="D7">
        <v>0.25340380173923499</v>
      </c>
      <c r="E7">
        <v>3.31992573734885E-2</v>
      </c>
      <c r="F7" t="s">
        <v>78</v>
      </c>
      <c r="G7">
        <v>1.5425336868070001E-4</v>
      </c>
      <c r="H7" t="s">
        <v>83</v>
      </c>
      <c r="I7" t="b">
        <v>0</v>
      </c>
      <c r="J7">
        <v>-35.7135502367654</v>
      </c>
      <c r="K7">
        <v>-34.913550236765403</v>
      </c>
      <c r="L7">
        <v>4.6150897656401</v>
      </c>
      <c r="M7" t="s">
        <v>43</v>
      </c>
      <c r="N7" t="s">
        <v>43</v>
      </c>
      <c r="O7" t="s">
        <v>445</v>
      </c>
      <c r="P7" t="s">
        <v>447</v>
      </c>
      <c r="Q7" t="s">
        <v>56</v>
      </c>
      <c r="R7" t="s">
        <v>84</v>
      </c>
      <c r="S7" t="s">
        <v>85</v>
      </c>
      <c r="T7" t="s">
        <v>449</v>
      </c>
      <c r="U7">
        <v>0.106410111348149</v>
      </c>
      <c r="V7" s="2">
        <v>6.6192836186184997E-5</v>
      </c>
      <c r="W7" t="s">
        <v>147</v>
      </c>
      <c r="X7" t="s">
        <v>50</v>
      </c>
    </row>
  </sheetData>
  <mergeCells count="2">
    <mergeCell ref="A1:K1"/>
    <mergeCell ref="A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 S1 - Alpha Div vs Dis</vt:lpstr>
      <vt:lpstr>Table S2 - Aust A Div vs Dis</vt:lpstr>
      <vt:lpstr>Table S3 - Beta Div vs Dis</vt:lpstr>
      <vt:lpstr>Table S4 - Gamma vs Dis</vt:lpstr>
      <vt:lpstr>Table S5- Endo vs Dis &amp; Dom</vt:lpstr>
      <vt:lpstr>Table S6 - PGLS Opport vs Dis</vt:lpstr>
      <vt:lpstr>Table S7 - Life Hist vs Endo</vt:lpstr>
      <vt:lpstr>Table S8 - Endo vs Dis Str Tol</vt:lpstr>
      <vt:lpstr>Table S9 - Endo vs G Rate</vt:lpstr>
      <vt:lpstr>Table S10 - Endo vs G Rate</vt:lpstr>
      <vt:lpstr>Table S11 - Endo vs G Rate N Wd</vt:lpstr>
      <vt:lpstr>Table S12 - Endo vs G Rate N Wd</vt:lpstr>
      <vt:lpstr>Table S13 G Rate vs Dis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Tanya Brown</cp:lastModifiedBy>
  <dcterms:created xsi:type="dcterms:W3CDTF">2022-10-05T20:47:14Z</dcterms:created>
  <dcterms:modified xsi:type="dcterms:W3CDTF">2023-02-13T19:31:24Z</dcterms:modified>
</cp:coreProperties>
</file>