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7E1A41D0-07A6-3140-9043-A1D7FCF08BE2}" xr6:coauthVersionLast="47" xr6:coauthVersionMax="47" xr10:uidLastSave="{00000000-0000-0000-0000-000000000000}"/>
  <bookViews>
    <workbookView xWindow="2520" yWindow="1440" windowWidth="23260" windowHeight="12580" activeTab="1" xr2:uid="{635964DC-1275-F24E-A533-4EEDB34ABDB9}"/>
  </bookViews>
  <sheets>
    <sheet name="Table 9a" sheetId="1" r:id="rId1"/>
    <sheet name="Table 9b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6" i="3" l="1"/>
  <c r="Q225" i="3"/>
  <c r="Q224" i="3"/>
  <c r="Q223" i="3"/>
  <c r="Q221" i="3"/>
  <c r="Q220" i="3"/>
  <c r="Q219" i="3"/>
  <c r="Q218" i="3"/>
  <c r="Q217" i="3"/>
  <c r="Q216" i="3"/>
  <c r="Q215" i="3"/>
  <c r="Q214" i="3"/>
  <c r="Q213" i="3"/>
  <c r="Q212" i="3"/>
  <c r="Q210" i="3"/>
  <c r="Q209" i="3"/>
  <c r="Q208" i="3"/>
  <c r="Q207" i="3"/>
  <c r="Q206" i="3"/>
  <c r="Q205" i="3"/>
  <c r="Q204" i="3"/>
  <c r="Q202" i="3"/>
  <c r="Q201" i="3"/>
  <c r="Q200" i="3"/>
  <c r="Q199" i="3"/>
  <c r="Q198" i="3"/>
  <c r="Q197" i="3"/>
  <c r="Q196" i="3"/>
  <c r="Q195" i="3"/>
  <c r="Q194" i="3"/>
  <c r="Q193" i="3"/>
  <c r="Q192" i="3"/>
  <c r="Q190" i="3"/>
  <c r="Q189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2" i="3"/>
  <c r="Q161" i="3"/>
  <c r="Q160" i="3"/>
  <c r="Q158" i="3"/>
  <c r="Q157" i="3"/>
  <c r="Q155" i="3"/>
  <c r="Q154" i="3"/>
  <c r="Q153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4" i="3"/>
  <c r="Q123" i="3"/>
  <c r="Q122" i="3"/>
  <c r="Q121" i="3"/>
  <c r="Q118" i="3"/>
  <c r="Q116" i="3"/>
  <c r="Q115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99" i="3"/>
  <c r="Q98" i="3"/>
  <c r="Q97" i="3"/>
  <c r="Q96" i="3"/>
  <c r="Q94" i="3"/>
  <c r="Q93" i="3"/>
  <c r="Q92" i="3"/>
  <c r="Q90" i="3"/>
  <c r="Q89" i="3"/>
  <c r="Q84" i="3"/>
  <c r="Q83" i="3"/>
  <c r="Q82" i="3"/>
  <c r="Q81" i="3"/>
  <c r="Q80" i="3"/>
  <c r="Q77" i="3"/>
  <c r="Q76" i="3"/>
  <c r="Q75" i="3"/>
  <c r="Q73" i="3"/>
  <c r="Q72" i="3"/>
  <c r="Q71" i="3"/>
  <c r="Q70" i="3"/>
  <c r="Q69" i="3"/>
  <c r="Q68" i="3"/>
  <c r="Q67" i="3"/>
  <c r="Q66" i="3"/>
  <c r="Q65" i="3"/>
  <c r="Q63" i="3"/>
  <c r="Q61" i="3"/>
  <c r="Q60" i="3"/>
  <c r="Q59" i="3"/>
  <c r="Q58" i="3"/>
  <c r="Q57" i="3"/>
  <c r="Q54" i="3"/>
  <c r="Q52" i="3"/>
  <c r="Q51" i="3"/>
  <c r="Q50" i="3"/>
  <c r="Q49" i="3"/>
  <c r="Q48" i="3"/>
  <c r="Q47" i="3"/>
  <c r="Q46" i="3"/>
  <c r="Q45" i="3"/>
  <c r="Q44" i="3"/>
  <c r="Q42" i="3"/>
  <c r="Q41" i="3"/>
  <c r="Q40" i="3"/>
  <c r="Q38" i="3"/>
  <c r="Q37" i="3"/>
  <c r="Q36" i="3"/>
  <c r="Q35" i="3"/>
  <c r="Q34" i="3"/>
  <c r="Q33" i="3"/>
  <c r="Q32" i="3"/>
  <c r="Q30" i="3"/>
  <c r="Q28" i="3"/>
  <c r="Q26" i="3"/>
  <c r="Q25" i="3"/>
  <c r="Q24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4" i="3"/>
  <c r="Q226" i="1"/>
  <c r="Q225" i="1"/>
  <c r="Q224" i="1"/>
  <c r="Q222" i="1"/>
  <c r="Q221" i="1"/>
  <c r="Q220" i="1"/>
  <c r="Q219" i="1"/>
  <c r="Q218" i="1"/>
  <c r="Q217" i="1"/>
  <c r="Q216" i="1"/>
  <c r="Q215" i="1"/>
  <c r="Q214" i="1"/>
  <c r="Q213" i="1"/>
  <c r="Q211" i="1"/>
  <c r="Q210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0" i="1"/>
  <c r="Q189" i="1"/>
  <c r="Q188" i="1"/>
  <c r="Q186" i="1"/>
  <c r="Q185" i="1"/>
  <c r="Q184" i="1"/>
  <c r="Q183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2" i="1"/>
  <c r="Q161" i="1"/>
  <c r="Q160" i="1"/>
  <c r="Q158" i="1"/>
  <c r="Q157" i="1"/>
  <c r="Q155" i="1"/>
  <c r="Q154" i="1"/>
  <c r="Q153" i="1"/>
  <c r="Q152" i="1"/>
  <c r="Q150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28" i="1"/>
  <c r="Q127" i="1"/>
  <c r="Q126" i="1"/>
  <c r="Q125" i="1"/>
  <c r="Q124" i="1"/>
  <c r="Q123" i="1"/>
  <c r="Q122" i="1"/>
  <c r="Q121" i="1"/>
  <c r="Q118" i="1"/>
  <c r="Q117" i="1"/>
  <c r="Q113" i="1"/>
  <c r="Q112" i="1"/>
  <c r="Q111" i="1"/>
  <c r="Q110" i="1"/>
  <c r="Q109" i="1"/>
  <c r="Q108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0" i="1"/>
  <c r="Q89" i="1"/>
  <c r="Q88" i="1"/>
  <c r="Q87" i="1"/>
  <c r="Q85" i="1"/>
  <c r="Q84" i="1"/>
  <c r="Q83" i="1"/>
  <c r="Q82" i="1"/>
  <c r="Q81" i="1"/>
  <c r="Q80" i="1"/>
  <c r="Q78" i="1"/>
  <c r="Q77" i="1"/>
  <c r="Q74" i="1"/>
  <c r="Q73" i="1"/>
  <c r="Q72" i="1"/>
  <c r="Q71" i="1"/>
  <c r="Q70" i="1"/>
  <c r="Q69" i="1"/>
  <c r="Q68" i="1"/>
  <c r="Q67" i="1"/>
  <c r="Q66" i="1"/>
  <c r="Q65" i="1"/>
  <c r="Q63" i="1"/>
  <c r="Q61" i="1"/>
  <c r="Q60" i="1"/>
  <c r="Q59" i="1"/>
  <c r="Q58" i="1"/>
  <c r="Q57" i="1"/>
  <c r="Q56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8" i="1"/>
  <c r="Q37" i="1"/>
  <c r="Q36" i="1"/>
  <c r="Q35" i="1"/>
  <c r="Q33" i="1"/>
  <c r="Q32" i="1"/>
  <c r="Q31" i="1"/>
  <c r="Q30" i="1"/>
  <c r="Q28" i="1"/>
  <c r="Q27" i="1"/>
  <c r="Q26" i="1"/>
  <c r="Q23" i="1"/>
  <c r="Q21" i="1"/>
  <c r="Q19" i="1"/>
  <c r="Q18" i="1"/>
  <c r="Q17" i="1"/>
  <c r="Q16" i="1"/>
  <c r="Q15" i="1"/>
  <c r="Q14" i="1"/>
  <c r="Q13" i="1"/>
  <c r="Q12" i="1"/>
  <c r="Q11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<sst xmlns="http://schemas.openxmlformats.org/spreadsheetml/2006/main" count="6292" uniqueCount="617">
  <si>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</si>
  <si>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</si>
  <si>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</si>
  <si>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</si>
  <si>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</si>
  <si>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</si>
  <si>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</si>
  <si>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</si>
  <si>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</si>
  <si>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</si>
  <si>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</si>
  <si>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</si>
  <si>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</si>
  <si>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</si>
  <si>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</si>
  <si>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</si>
  <si>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</si>
  <si>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</si>
  <si>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</si>
  <si>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</si>
  <si>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</si>
  <si>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</si>
  <si>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</si>
  <si>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</si>
  <si>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BM_Lambda</t>
  </si>
  <si>
    <t>None</t>
  </si>
  <si>
    <t>all</t>
  </si>
  <si>
    <t>lambda=ML delta=1kappa=1</t>
  </si>
  <si>
    <t>lambda</t>
  </si>
  <si>
    <t>../output/huang_roy_genus_tree.newick</t>
  </si>
  <si>
    <t>mucus</t>
  </si>
  <si>
    <t>tissue</t>
  </si>
  <si>
    <t>skeleton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</si>
  <si>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</si>
  <si>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</si>
  <si>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</si>
  <si>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</si>
  <si>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</si>
  <si>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</si>
  <si>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</si>
  <si>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</si>
  <si>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</si>
  <si>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</si>
  <si>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tissue_D_0__Bacteria___D_1__Proteobacteria___D_2__Alphaproteobacteria___D_3__Rhodospirillales___D_4__Terasakiellaceae___D_5__uncultured</t>
  </si>
  <si>
    <t>mucus_D_0__Bacteria___D_1__Proteobacteria___D_2__Gammaproteobacteria___D_3__Vibrionales___D_4__Vibrionaceae___D_5__Vibrio</t>
  </si>
  <si>
    <t>all_D_0__Bacteria___D_1__Proteobacteria___D_2__Alphaproteobacteria___D_3__Rickettsiales___D_4__Midichloriaceae___D_5__MD3_55</t>
  </si>
  <si>
    <t>tissue_D_0__Bacteria___D_1__Tenericutes___D_2__Mollicutes___D_3__Mycoplasmatales___D_4__Mycoplasmataceae___D_5__Mycoplasma</t>
  </si>
  <si>
    <t>tissue_D_0__Archaea___D_1__Thaumarchaeota___D_2__Nitrososphaeria___D_3__Nitrosopumilales___D_4__Nitrosopumilaceae___D_5__Candidatus_Nitrosopumilus</t>
  </si>
  <si>
    <t>skeleton_D_0__Bacteria___D_1__Proteobacteria___D_2__Alphaproteobacteria___D_3__Dstr_E11___D_4__uncultured_alpha_proteobacterium___D_5__uncultured_alpha_proteobacterium</t>
  </si>
  <si>
    <t>all_D_0__Bacteria___D_1__Proteobacteria___D_2__Alphaproteobacteria___D_3__Rhodospirillales___D_4__Terasakiellaceae___D_5__uncultured</t>
  </si>
  <si>
    <t>all_D_0__Bacteria___D_1__Proteobacteria___D_2__Gammaproteobacteria___D_3__Betaproteobacteriales___D_4__Burkholderiaceae___D_5__Aquabacterium</t>
  </si>
  <si>
    <t>tissue_D_0__Bacteria___D_1__Bacteroidetes___D_2__Bacteroidia___D_3__Flavobacteriales___D_4__Flavobacteriaceae___D_5__Maritimimonas</t>
  </si>
  <si>
    <t>all_D_0__Bacteria___D_1__Spirochaetes___D_2__Spirochaetia___D_3__Spirochaetales___D_4__Spirochaetaceae___D_5__Spirochaeta_2</t>
  </si>
  <si>
    <t>tissue_D_0__Bacteria___D_1__Proteobacteria___D_2__Gammaproteobacteria___D_3__Enterobacteriales___D_4__Enterobacteriaceae___D_5__Pantoea</t>
  </si>
  <si>
    <t>skeleton_D_0__Bacteria___D_1__Proteobacteria___D_2__Deltaproteobacteria___D_3__Desulfobacterales___D_4__Desulfobacteraceae___D_5__Desulfobacter</t>
  </si>
  <si>
    <t>skeleton_D_0__Bacteria___D_1__Acidobacteria___D_2__Thermoanaerobaculia___D_3__Thermoanaerobaculales___D_4__Thermoanaerobaculaceae___D_5__Subgroup_10</t>
  </si>
  <si>
    <t>all_D_0__Bacteria___D_1__Proteobacteria___D_2__Alphaproteobacteria___D_3__Sphingomonadales___D_4__Sphingomonadaceae___D_5__Sphingobium</t>
  </si>
  <si>
    <t>all_D_0__Bacteria___D_1__Bacteroidetes___D_2__Chlorobia___D_3__Chlorobiales___D_4__Chlorobiaceae___D_5__Prosthecochloris</t>
  </si>
  <si>
    <t>skeleton_D_0__Archaea___D_1__Thaumarchaeota___D_2__Nitrososphaeria___D_3__Nitrosopumilales___D_4__Nitrosopumilaceae___D_5__Candidatus_Nitrosopumilus</t>
  </si>
  <si>
    <t>all_D_0__Bacteria___D_1__Proteobacteria___D_2__Gammaproteobacteria___D_3__Vibrionales___D_4__Vibrionaceae___D_5__Vibrio</t>
  </si>
  <si>
    <t>tissue_D_0__Bacteria___D_1__Proteobacteria___D_2__Gammaproteobacteria___D_3__Oceanospirillales___D_4__Endozoicomonadaceae___D_5__Endozoicomonas</t>
  </si>
  <si>
    <t>skeleton_D_0__Bacteria___D_1__Proteobacteria___D_2__Gammaproteobacteria___D_3__Pseudomonadales___D_4__Pseudomonadaceae___D_5__Pseudomonas</t>
  </si>
  <si>
    <t>tissue_D_0__Bacteria___D_1__Proteobacteria___D_2__Gammaproteobacteria___D_3__Betaproteobacteriales___D_4__Burkholderiaceae___D_5__Aquabacterium</t>
  </si>
  <si>
    <t>all_D_0__Bacteria___D_1__Proteobacteria___D_2__Gammaproteobacteria___D_3__Oceanospirillales___D_4__Endozoicomonadaceae___D_5__Endozoicomonas</t>
  </si>
  <si>
    <t>mucus_D_0__Bacteria___D_1__Tenericutes___D_2__Mollicutes___D_3__Entomoplasmatales___D_4__Spiroplasmataceae___D_5__Spiroplasma</t>
  </si>
  <si>
    <t>skeleton_D_0__Bacteria___D_1__Proteobacteria___D_2__Gammaproteobacteria___D_3__Oceanospirillales___D_4__Endozoicomonadaceae___D_5__Endozoicomonas</t>
  </si>
  <si>
    <t>mucus_D_0__Bacteria___D_1__Proteobacteria___D_2__Gammaproteobacteria___D_3__Alteromonadales___D_4__Pseudoalteromonadaceae___D_5__Pseudoalteromonas</t>
  </si>
  <si>
    <t>tissue_D_0__Archaea___D_1__Thaumarchaeota___D_2__Nitrososphaeria___D_3__Nitrosopumilales___D_4__Nitrosopumilaceae___D_5__uncultured_archaeon</t>
  </si>
  <si>
    <t>tissue_D_0__Bacteria___D_1__Proteobacteria___D_2__Alphaproteobacteria___D_3__Sphingomonadales___D_4__Sphingomonadaceae___D_5__Sphingobium</t>
  </si>
  <si>
    <t>all_D_0__Bacteria___D_1__Proteobacteria___D_2__Gammaproteobacteria___D_3__Pseudomonadales___D_4__Pseudomonadaceae___D_5__Pseudomonas</t>
  </si>
  <si>
    <t>mucus_D_0__Bacteria___D_1__Proteobacteria___D_2__Gammaproteobacteria___D_3__Pseudomonadales___D_4__Moraxellaceae___D_5__Enhydrobacter</t>
  </si>
  <si>
    <t>all_D_0__Bacteria___D_1__Tenericutes___D_2__Mollicutes___D_3__Mycoplasmatales___D_4__Mycoplasmataceae___D_5__Mycoplasma</t>
  </si>
  <si>
    <t>all_D_0__Bacteria___D_1__Bacteroidetes___D_2__Bacteroidia___D_3__Bacteroidales___D_4__Rikenellaceae___D_5__Rikenellaceae_RC9_gut_group</t>
  </si>
  <si>
    <t>all_D_0__Bacteria___D_1__Cyanobacteria___D_2__Oxyphotobacteria___D_3__Synechococcales___D_4__Cyanobiaceae___D_5__Synechococcus_CC9902</t>
  </si>
  <si>
    <t>skeleton_D_0__Bacteria___D_1__Bacteroidetes___D_2__Bacteroidia___D_3__Cytophagales___D_4__Amoebophilaceae___D_5__Candidatus_Amoebophilus</t>
  </si>
  <si>
    <t>skeleton_D_0__Bacteria___D_1__Firmicutes___D_2__Clostridia___D_3__Clostridiales___D_4__Clostridiaceae_4___D_5__Paramaledivibacter</t>
  </si>
  <si>
    <t>mucus_D_0__Bacteria___D_1__Proteobacteria___D_2__Alphaproteobacteria___D_3__Rhodospirillales___D_4__Terasakiellaceae___D_5__uncultured</t>
  </si>
  <si>
    <t>mucus_D_0__Bacteria___D_1__Proteobacteria___D_2__Alphaproteobacteria___D_3__Rickettsiales___D_4__Midichloriaceae___D_5__MD3_55</t>
  </si>
  <si>
    <t>mucus_D_0__Bacteria___D_1__Proteobacteria___D_2__Gammaproteobacteria___D_3__Vibrionales___D_4__Vibrionaceae___D_5__Photobacterium</t>
  </si>
  <si>
    <t>tissue_D_0__Bacteria___D_1__Proteobacteria___D_2__Gammaproteobacteria___D_3__Pseudomonadales___D_4__Pseudomonadaceae___D_5__Pseudomonas</t>
  </si>
  <si>
    <t>all_D_0__Bacteria___D_1__Proteobacteria___D_2__Deltaproteobacteria___D_3__Desulfobacterales___D_4__Desulfobacteraceae___D_5__Desulfobacter</t>
  </si>
  <si>
    <t>tissue_D_0__Bacteria___D_1__Proteobacteria___D_2__Alphaproteobacteria___D_3__Rickettsiales___D_4__Midichloriaceae___D_5__MD3_55</t>
  </si>
  <si>
    <t>skeleton_D_0__Bacteria___D_1__Chloroflexi___D_2__Chloroflexia___D_3__Chloroflexales___D_4__Chloroflexaceae___D_5__Candidatus_Chlorothrix</t>
  </si>
  <si>
    <t>skeleton_D_0__Bacteria___D_1__Bacteroidetes___D_2__Chlorobia___D_3__Chlorobiales___D_4__Chlorobiaceae___D_5__Prosthecochloris</t>
  </si>
  <si>
    <t>all_D_0__Bacteria___D_1__Proteobacteria___D_2__Alphaproteobacteria___D_3__Rhizobiales___D_4__Stappiaceae___D_5__Pseudovibrio</t>
  </si>
  <si>
    <t>mucus_D_0__Bacteria___D_1__Proteobacteria___D_2__Alphaproteobacteria___D_3__Sphingomonadales___D_4__Sphingomonadaceae___D_5__Sphingobium</t>
  </si>
  <si>
    <t>all_D_0__Bacteria___D_1__Proteobacteria___D_2__Alphaproteobacteria___D_3__Rhodobacterales___D_4__Rhodobacteraceae___D_5__Ruegeria</t>
  </si>
  <si>
    <t>mucus_D_0__Bacteria___D_1__Proteobacteria___D_2__Gammaproteobacteria___D_3__Oceanospirillales___D_4__Endozoicomonadaceae___D_5__Endozoicomonas</t>
  </si>
  <si>
    <t>skeleton_D_0__Bacteria___D_1__Spirochaetes___D_2__Spirochaetia___D_3__Spirochaetales___D_4__Spirochaetaceae___D_5__Spirochaeta_2</t>
  </si>
  <si>
    <t>mucus_D_0__Bacteria___D_1__Cyanobacteria___D_2__Oxyphotobacteria___D_3__Synechococcales___D_4__Cyanobiaceae___D_5__Synechococcus_CC9902</t>
  </si>
  <si>
    <t>all_D_0__Bacteria___D_1__Proteobacteria___D_2__Gammaproteobacteria___D_3__Alteromonadales___D_4__Pseudoalteromonadaceae___D_5__Pseudoalteromonas</t>
  </si>
  <si>
    <t>tissue_D_0__Bacteria___D_1__Proteobacteria___D_2__Alphaproteobacteria___D_3__Rhizobiales___D_4__Beijerinckiaceae___D_5__Methylobacterium</t>
  </si>
  <si>
    <t>all_D_0__Archaea___D_1__Thaumarchaeota___D_2__Nitrososphaeria___D_3__Nitrosopumilales___D_4__Nitrosopumilaceae___D_5__Candidatus_Nitrosopumilus</t>
  </si>
  <si>
    <t>skeleton_D_0__Bacteria___D_1__Proteobacteria___D_2__Alphaproteobacteria___D_3__Rhodospirillales___D_4__Terasakiellaceae___D_5__uncultured</t>
  </si>
  <si>
    <t>mucus_D_0__Bacteria___D_1__Proteobacteria___D_2__Gammaproteobacteria___D_3__Betaproteobacteriales___D_4__Burkholderiaceae___D_5__Aquabacterium</t>
  </si>
  <si>
    <t>skeleton_D_0__Bacteria___D_1__Proteobacteria___D_2__Alphaproteobacteria___D_3__Rhodobacterales___D_4__Rhodobacteraceae___D_5__Ruegeria</t>
  </si>
  <si>
    <t>skeleton_D_0__Bacteria___D_1__Bacteroidetes___D_2__Bacteroidia___D_3__Cytophagales___D_4__Cyclobacteriaceae___D_5__uncultured</t>
  </si>
  <si>
    <t>skeleton_D_0__Bacteria___D_1__Proteobacteria___D_2__Deltaproteobacteria___D_3__Myxococcales___D_4__P3OB_42___D_5__uncultured_bacterium</t>
  </si>
  <si>
    <t>all_D_0__Bacteria___D_1__Proteobacteria___D_2__Gammaproteobacteria___D_3__Cellvibrionales___D_4__Spongiibacteraceae___D_5__BD1_7_clade</t>
  </si>
  <si>
    <t>mucus_D_0__Bacteria___D_1__Proteobacteria___D_2__Gammaproteobacteria___D_3__Pseudomonadales___D_4__Pseudomonadaceae___D_5__Pseudomonas</t>
  </si>
  <si>
    <t>Supplementary Data Table 9a.</t>
  </si>
  <si>
    <r>
      <t xml:space="preserve">PGLS correlations between all dominant microbes and host growth rate with b) zero relative abundance counts excluded.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</si>
  <si>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host growth rate with a) zero relative abundance counts included.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</si>
  <si>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t>Supplementary Data Table 9b.</t>
  </si>
  <si>
    <t>A12b_Taxa_vs_Growth_Rate_Zeros_Included</t>
  </si>
  <si>
    <t>growth_rate_mm_per_year</t>
  </si>
  <si>
    <t>../output/PIC_results/A12b_Taxa_vs_Growth_Rate_Zeros_Included/PIC_all_D_0__Bacteria___D_1__Proteobacteria___D_2__Alphaproteobacteria___D_3__Rhizobiales___D_4__Stappiaceae___D_5__Pseudovibrio_vs_growth_rate_mm_per_year/PGLS_results.tsv</t>
  </si>
  <si>
    <t>lambda : 1e-06 (95% CI  NA  -  0.898126351905504 )</t>
  </si>
  <si>
    <t>../output/GCMP_trait_table_with_abundances_and_adiv_and_metadata_and_growth_data_pcoa_zeros.tsv</t>
  </si>
  <si>
    <t>../output/PIC_results/A12b_Taxa_vs_Growth_Rate_Zeros_Included/PIC_all_D_0__Bacteria___D_1__Bacteroidetes___D_2__Bacteroidia___D_3__Bacteroidales___D_4__Rikenellaceae___D_5__Rikenellaceae_RC9_gut_group_vs_growth_rate_mm_per_year/PGLS_results.tsv</t>
  </si>
  <si>
    <t>lambda : 1e-06 (95% CI  NA  -  0.949885843868242 )</t>
  </si>
  <si>
    <t>../output/PIC_results/A12b_Taxa_vs_Growth_Rate_Zeros_Included/PIC_mucus_D_0__Bacteria___D_1__Tenericutes___D_2__Mollicutes___D_3__Entomoplasmatales___D_4__Spiroplasmataceae___D_5__Spiroplasma_vs_growth_rate_mm_per_year/PGLS_results.tsv</t>
  </si>
  <si>
    <t>lambda : 1e-06 (95% CI  NA  -  0.80586309381129 )</t>
  </si>
  <si>
    <t>../output/PIC_results/A12b_Taxa_vs_Growth_Rate_Zeros_Included/PIC_tissue_D_0__Bacteria___D_1__Bacteroidetes___D_2__Bacteroidia___D_3__Flavobacteriales___D_4__Flavobacteriaceae___D_5__Maritimimonas_vs_growth_rate_mm_per_year/PGLS_results.tsv</t>
  </si>
  <si>
    <t>lambda : 1e-06 (95% CI  NA  -  0.926951761382366 )</t>
  </si>
  <si>
    <t>../output/PIC_results/A12b_Taxa_vs_Growth_Rate_Zeros_Included/PIC_mucus_D_0__Bacteria___D_1__Proteobacteria___D_2__Alphaproteobacteria___D_3__Sphingomonadales___D_4__Sphingomonadaceae___D_5__Sphingobium_vs_growth_rate_mm_per_year/PGLS_results.tsv</t>
  </si>
  <si>
    <t>lambda : 1e-06 (95% CI  NA  -  0.844792646563816 )</t>
  </si>
  <si>
    <t>../output/PIC_results/A12b_Taxa_vs_Growth_Rate_Zeros_Included/PIC_all_D_0__Bacteria___D_1__Proteobacteria___D_2__Gammaproteobacteria___D_3__Betaproteobacteriales___D_4__Burkholderiaceae___D_5__Aquabacterium_vs_growth_rate_mm_per_year/PGLS_results.tsv</t>
  </si>
  <si>
    <t>0.000189437813922009 - 0.00167211326541177</t>
  </si>
  <si>
    <t>lambda : 1e-06 (95% CI  NA  -  0.657662208454967 )</t>
  </si>
  <si>
    <t>../output/PIC_results/A12b_Taxa_vs_Growth_Rate_Zeros_Included/PIC_all_D_0__Bacteria___D_1__Proteobacteria___D_2__Gammaproteobacteria___D_3__Pseudomonadales___D_4__Pseudomonadaceae___D_5__Pseudomonas_vs_growth_rate_mm_per_year/PGLS_results.tsv</t>
  </si>
  <si>
    <t>0.000217624102111067 - 0.00125917510344321</t>
  </si>
  <si>
    <t>lambda : 1e-06 (95% CI  NA  -  0.663043513897116 )</t>
  </si>
  <si>
    <t>../output/PIC_results/A12b_Taxa_vs_Growth_Rate_Zeros_Included/PIC_tissue_D_0__Bacteria___D_1__Tenericutes___D_2__Mollicutes___D_3__Mycoplasmatales___D_4__Mycoplasmataceae___D_5__Mycoplasma_vs_growth_rate_mm_per_year/PGLS_results.tsv</t>
  </si>
  <si>
    <t>lambda : 1e-06 (95% CI  NA  -  0.913937579464988 )</t>
  </si>
  <si>
    <t>../output/PIC_results/A12b_Taxa_vs_Growth_Rate_Zeros_Included/PIC_skeleton_D_0__Bacteria___D_1__Proteobacteria___D_2__Alphaproteobacteria___D_3__Rhodobacterales___D_4__Rhodobacteraceae___D_5__Ruegeria_vs_growth_rate_mm_per_year/PGLS_results.tsv</t>
  </si>
  <si>
    <t>lambda : 1e-06 (95% CI  NA  -  0.897229042805946 )</t>
  </si>
  <si>
    <t>../output/PIC_results/A12b_Taxa_vs_Growth_Rate_Zeros_Included/PIC_all_D_0__Bacteria___D_1__Proteobacteria___D_2__Gammaproteobacteria___D_3__Cellvibrionales___D_4__Spongiibacteraceae___D_5__BD1_7_clade_vs_growth_rate_mm_per_year/PGLS_results.tsv</t>
  </si>
  <si>
    <t>lambda : 1e-06 (95% CI  NA  -  0.796675788189336 )</t>
  </si>
  <si>
    <t>../output/PIC_results/A12b_Taxa_vs_Growth_Rate_Zeros_Included/PIC_skeleton_D_0__Bacteria___D_1__Proteobacteria___D_2__Alphaproteobacteria___D_3__Dstr_E11___D_4__uncultured_alpha_proteobacterium___D_5__uncultured_alpha_proteobacterium_vs_growth_rate_mm_per_year/PGLS_results.tsv</t>
  </si>
  <si>
    <t>lambda : 1e-06 (95% CI  NA  -  0.890988333779964 )</t>
  </si>
  <si>
    <t>../output/PIC_results/A12b_Taxa_vs_Growth_Rate_Zeros_Included/PIC_all_D_0__Bacteria___D_1__Bacteroidetes___D_2__Chlorobia___D_3__Chlorobiales___D_4__Chlorobiaceae___D_5__Prosthecochloris_vs_growth_rate_mm_per_year/PGLS_results.tsv</t>
  </si>
  <si>
    <t>lambda : 1e-06 (95% CI  NA  -  0.92692578055112 )</t>
  </si>
  <si>
    <t>../output/PIC_results/A12b_Taxa_vs_Growth_Rate_Zeros_Included/PIC_skeleton_D_0__Bacteria___D_1__Acidobacteria___D_2__Thermoanaerobaculia___D_3__Thermoanaerobaculales___D_4__Thermoanaerobaculaceae___D_5__Subgroup_10_vs_growth_rate_mm_per_year/PGLS_results.tsv</t>
  </si>
  <si>
    <t>lambda : 1e-06 (95% CI  NA  -  0.821877346723416 )</t>
  </si>
  <si>
    <t>../output/PIC_results/A12b_Taxa_vs_Growth_Rate_Zeros_Included/PIC_mucus_D_0__Bacteria___D_1__Proteobacteria___D_2__Gammaproteobacteria___D_3__Pseudomonadales___D_4__Moraxellaceae___D_5__Enhydrobacter_vs_growth_rate_mm_per_year/PGLS_results.tsv</t>
  </si>
  <si>
    <t>lambda : 1e-06 (95% CI  NA  -  0.855493018004124 )</t>
  </si>
  <si>
    <t>../output/PIC_results/A12b_Taxa_vs_Growth_Rate_Zeros_Included/PIC_tissue_D_0__Bacteria___D_1__Proteobacteria___D_2__Alphaproteobacteria___D_3__Sphingomonadales___D_4__Sphingomonadaceae___D_5__Sphingobium_vs_growth_rate_mm_per_year/PGLS_results.tsv</t>
  </si>
  <si>
    <t>lambda : 1e-06 (95% CI  NA  -  0.804211791630037 )</t>
  </si>
  <si>
    <t>../output/PIC_results/A12b_Taxa_vs_Growth_Rate_Zeros_Included/PIC_all_D_0__Bacteria___D_1__Proteobacteria___D_2__Deltaproteobacteria___D_3__Desulfobacterales___D_4__Desulfobacteraceae___D_5__Desulfobacter_vs_growth_rate_mm_per_year/PGLS_results.tsv</t>
  </si>
  <si>
    <t>lambda : 1e-06 (95% CI  NA  -  0.929099500018543 )</t>
  </si>
  <si>
    <t>../output/PIC_results/A12b_Taxa_vs_Growth_Rate_Zeros_Included/PIC_skeleton_D_0__Bacteria___D_1__Proteobacteria___D_2__Alphaproteobacteria___D_3__Rhodospirillales___D_4__Terasakiellaceae___D_5__uncultured_vs_growth_rate_mm_per_year/PGLS_results.tsv</t>
  </si>
  <si>
    <t>0.000147435454032933 - 0.000694636191087539</t>
  </si>
  <si>
    <t>kappa : 0.820009907774148 (95% CI  NA  -  NA )</t>
  </si>
  <si>
    <t>../output/PIC_results/A12b_Taxa_vs_Growth_Rate_Zeros_Included/PIC_all_D_0__Archaea___D_1__Thaumarchaeota___D_2__Nitrososphaeria___D_3__Nitrosopumilales___D_4__Nitrosopumilaceae___D_5__Candidatus_Nitrosopumilus_vs_growth_rate_mm_per_year/PGLS_results.tsv</t>
  </si>
  <si>
    <t>lambda : 1e-06 (95% CI  NA  -  0.435358982091571 )</t>
  </si>
  <si>
    <t>../output/PIC_results/A12b_Taxa_vs_Growth_Rate_Zeros_Included/PIC_mucus_D_0__Bacteria___D_1__Proteobacteria___D_2__Gammaproteobacteria___D_3__Pseudomonadales___D_4__Pseudomonadaceae___D_5__Pseudomonas_vs_growth_rate_mm_per_year/PGLS_results.tsv</t>
  </si>
  <si>
    <t>0.000320330582255811 - 0.00114975347367455</t>
  </si>
  <si>
    <t>lambda : 1e-06 (95% CI  NA  -  0.400723014587529 )</t>
  </si>
  <si>
    <t>../output/PIC_results/A12b_Taxa_vs_Growth_Rate_Zeros_Included/PIC_tissue_D_0__Bacteria___D_1__Proteobacteria___D_2__Alphaproteobacteria___D_3__Rickettsiales___D_4__Midichloriaceae___D_5__MD3_55_vs_growth_rate_mm_per_year/PGLS_results.tsv</t>
  </si>
  <si>
    <t>lambda : 1e-06 (95% CI  NA  -  0.895107498153155 )</t>
  </si>
  <si>
    <t>../output/PIC_results/A12b_Taxa_vs_Growth_Rate_Zeros_Included/PIC_tissue_D_0__Bacteria___D_1__Proteobacteria___D_2__Gammaproteobacteria___D_3__Pseudomonadales___D_4__Pseudomonadaceae___D_5__Pseudomonas_vs_growth_rate_mm_per_year/PGLS_results.tsv</t>
  </si>
  <si>
    <t>3.75548741105742e-05 - 0.00120565624509303</t>
  </si>
  <si>
    <t>lambda : 1e-06 (95% CI  NA  -  0.755871805163761 )</t>
  </si>
  <si>
    <t>../output/PIC_results/A12b_Taxa_vs_Growth_Rate_Zeros_Included/PIC_mucus_D_0__Bacteria___D_1__Proteobacteria___D_2__Gammaproteobacteria___D_3__Betaproteobacteriales___D_4__Burkholderiaceae___D_5__Aquabacterium_vs_growth_rate_mm_per_year/PGLS_results.tsv</t>
  </si>
  <si>
    <t>0.00022901019819132 - 0.00168369856240199</t>
  </si>
  <si>
    <t>lambda : 1e-06 (95% CI  NA  -  0.545797088831874 )</t>
  </si>
  <si>
    <t>../output/PIC_results/A12b_Taxa_vs_Growth_Rate_Zeros_Included/PIC_all_D_0__Bacteria___D_1__Proteobacteria___D_2__Gammaproteobacteria___D_3__Alteromonadales___D_4__Pseudoalteromonadaceae___D_5__Pseudoalteromonas_vs_growth_rate_mm_per_year/PGLS_results.tsv</t>
  </si>
  <si>
    <t>lambda : 0.0663027359567466 (95% CI  NA  -  0.986746153476634 )</t>
  </si>
  <si>
    <t>../output/PIC_results/A12b_Taxa_vs_Growth_Rate_Zeros_Included/PIC_skeleton_D_0__Bacteria___D_1__Spirochaetes___D_2__Spirochaetia___D_3__Spirochaetales___D_4__Spirochaetaceae___D_5__Spirochaeta_2_vs_growth_rate_mm_per_year/PGLS_results.tsv</t>
  </si>
  <si>
    <t>lambda : 0.146889579421674 (95% CI  NA  -  0.977662685356709 )</t>
  </si>
  <si>
    <t>../output/PIC_results/A12b_Taxa_vs_Growth_Rate_Zeros_Included/PIC_skeleton_D_0__Bacteria___D_1__Bacteroidetes___D_2__Bacteroidia___D_3__Cytophagales___D_4__Cyclobacteriaceae___D_5__uncultured_vs_growth_rate_mm_per_year/PGLS_results.tsv</t>
  </si>
  <si>
    <t>lambda : 1e-06 (95% CI  NA  -  0.942515107866794 )</t>
  </si>
  <si>
    <t>../output/PIC_results/A12b_Taxa_vs_Growth_Rate_Zeros_Included/PIC_tissue_D_0__Bacteria___D_1__Proteobacteria___D_2__Alphaproteobacteria___D_3__Rhodospirillales___D_4__Terasakiellaceae___D_5__uncultured_vs_growth_rate_mm_per_year/PGLS_results.tsv</t>
  </si>
  <si>
    <t>0.000231004547073784 - 0.000893491882325058</t>
  </si>
  <si>
    <t>kappa : 0.855571656463881 (95% CI  0.0507540438874123  -  NA )</t>
  </si>
  <si>
    <t>../output/PIC_results/A12b_Taxa_vs_Growth_Rate_Zeros_Included/PIC_all_D_0__Bacteria___D_1__Cyanobacteria___D_2__Oxyphotobacteria___D_3__Synechococcales___D_4__Cyanobiaceae___D_5__Synechococcus_CC9902_vs_growth_rate_mm_per_year/PGLS_results.tsv</t>
  </si>
  <si>
    <t>lambda : 1e-06 (95% CI  NA  -  0.968236650510598 )</t>
  </si>
  <si>
    <t>../output/PIC_results/A12b_Taxa_vs_Growth_Rate_Zeros_Included/PIC_skeleton_D_0__Bacteria___D_1__Proteobacteria___D_2__Deltaproteobacteria___D_3__Desulfobacterales___D_4__Desulfobacteraceae___D_5__Desulfobacter_vs_growth_rate_mm_per_year/PGLS_results.tsv</t>
  </si>
  <si>
    <t>lambda : 1e-06 (95% CI  NA  -  0.929139248743772 )</t>
  </si>
  <si>
    <t>../output/PIC_results/A12b_Taxa_vs_Growth_Rate_Zeros_Included/PIC_skeleton_D_0__Bacteria___D_1__Bacteroidetes___D_2__Bacteroidia___D_3__Cytophagales___D_4__Amoebophilaceae___D_5__Candidatus_Amoebophilus_vs_growth_rate_mm_per_year/PGLS_results.tsv</t>
  </si>
  <si>
    <t>lambda : 1e-06 (95% CI  NA  -  0.915827446174256 )</t>
  </si>
  <si>
    <t>../output/PIC_results/A12b_Taxa_vs_Growth_Rate_Zeros_Included/PIC_mucus_D_0__Bacteria___D_1__Proteobacteria___D_2__Gammaproteobacteria___D_3__Vibrionales___D_4__Vibrionaceae___D_5__Photobacterium_vs_growth_rate_mm_per_year/PGLS_results.tsv</t>
  </si>
  <si>
    <t>lambda : 1e-06 (95% CI  NA  -  0.826856846002858 )</t>
  </si>
  <si>
    <t>../output/PIC_results/A12b_Taxa_vs_Growth_Rate_Zeros_Included/PIC_all_D_0__Bacteria___D_1__Proteobacteria___D_2__Alphaproteobacteria___D_3__Rhodospirillales___D_4__Terasakiellaceae___D_5__uncultured_vs_growth_rate_mm_per_year/PGLS_results.tsv</t>
  </si>
  <si>
    <t>0.000317722528407622 - 0.00114521644949796</t>
  </si>
  <si>
    <t>kappa : 0.878809241396336 (95% CI  0.0779057449604732  -  NA )</t>
  </si>
  <si>
    <t>../output/PIC_results/A12b_Taxa_vs_Growth_Rate_Zeros_Included/PIC_mucus_D_0__Bacteria___D_1__Proteobacteria___D_2__Gammaproteobacteria___D_3__Alteromonadales___D_4__Pseudoalteromonadaceae___D_5__Pseudoalteromonas_vs_growth_rate_mm_per_year/PGLS_results.tsv</t>
  </si>
  <si>
    <t>lambda : 1e-06 (95% CI  NA  -  0.920948112003996 )</t>
  </si>
  <si>
    <t>../output/PIC_results/A12b_Taxa_vs_Growth_Rate_Zeros_Included/PIC_all_D_0__Bacteria___D_1__Proteobacteria___D_2__Alphaproteobacteria___D_3__Rhodobacterales___D_4__Rhodobacteraceae___D_5__Ruegeria_vs_growth_rate_mm_per_year/PGLS_results.tsv</t>
  </si>
  <si>
    <t>lambda : 1e-06 (95% CI  NA  -  0.841624515786819 )</t>
  </si>
  <si>
    <t>../output/PIC_results/A12b_Taxa_vs_Growth_Rate_Zeros_Included/PIC_all_D_0__Bacteria___D_1__Proteobacteria___D_2__Alphaproteobacteria___D_3__Rickettsiales___D_4__Midichloriaceae___D_5__MD3_55_vs_growth_rate_mm_per_year/PGLS_results.tsv</t>
  </si>
  <si>
    <t>lambda : 1e-06 (95% CI  NA  -  0.865057552102655 )</t>
  </si>
  <si>
    <t>../output/PIC_results/A12b_Taxa_vs_Growth_Rate_Zeros_Included/PIC_mucus_D_0__Bacteria___D_1__Proteobacteria___D_2__Gammaproteobacteria___D_3__Vibrionales___D_4__Vibrionaceae___D_5__Vibrio_vs_growth_rate_mm_per_year/PGLS_results.tsv</t>
  </si>
  <si>
    <t>lambda : 1e-06 (95% CI  NA  -  0.841184019130809 )</t>
  </si>
  <si>
    <t>../output/PIC_results/A12b_Taxa_vs_Growth_Rate_Zeros_Included/PIC_skeleton_D_0__Bacteria___D_1__Chloroflexi___D_2__Chloroflexia___D_3__Chloroflexales___D_4__Chloroflexaceae___D_5__Candidatus_Chlorothrix_vs_growth_rate_mm_per_year/PGLS_results.tsv</t>
  </si>
  <si>
    <t>0.00757605440138304 - 0.0359787828528671</t>
  </si>
  <si>
    <t>../output/PIC_results/A12b_Taxa_vs_Growth_Rate_Zeros_Included/PIC_mucus_D_0__Bacteria___D_1__Proteobacteria___D_2__Alphaproteobacteria___D_3__Rickettsiales___D_4__Midichloriaceae___D_5__MD3_55_vs_growth_rate_mm_per_year/PGLS_results.tsv</t>
  </si>
  <si>
    <t>lambda : 1e-06 (95% CI  NA  -  0.753961905743593 )</t>
  </si>
  <si>
    <t>../output/PIC_results/A12b_Taxa_vs_Growth_Rate_Zeros_Included/PIC_skeleton_D_0__Bacteria___D_1__Proteobacteria___D_2__Gammaproteobacteria___D_3__Pseudomonadales___D_4__Pseudomonadaceae___D_5__Pseudomonas_vs_growth_rate_mm_per_year/PGLS_results.tsv</t>
  </si>
  <si>
    <t>lambda : 1e-06 (95% CI  NA  -  0.878594872253075 )</t>
  </si>
  <si>
    <t>../output/PIC_results/A12b_Taxa_vs_Growth_Rate_Zeros_Included/PIC_tissue_D_0__Archaea___D_1__Thaumarchaeota___D_2__Nitrososphaeria___D_3__Nitrosopumilales___D_4__Nitrosopumilaceae___D_5__Candidatus_Nitrosopumilus_vs_growth_rate_mm_per_year/PGLS_results.tsv</t>
  </si>
  <si>
    <t>lambda : 1e-06 (95% CI  NA  -  0.625093906885438 )</t>
  </si>
  <si>
    <t>../output/PIC_results/A12b_Taxa_vs_Growth_Rate_Zeros_Included/PIC_tissue_D_0__Bacteria___D_1__Proteobacteria___D_2__Gammaproteobacteria___D_3__Oceanospirillales___D_4__Endozoicomonadaceae___D_5__Endozoicomonas_vs_growth_rate_mm_per_year/PGLS_results.tsv</t>
  </si>
  <si>
    <t>lambda : 1e-06 (95% CI  NA  -  0.983616456028536 )</t>
  </si>
  <si>
    <t>../output/PIC_results/A12b_Taxa_vs_Growth_Rate_Zeros_Included/PIC_skeleton_D_0__Bacteria___D_1__Bacteroidetes___D_2__Chlorobia___D_3__Chlorobiales___D_4__Chlorobiaceae___D_5__Prosthecochloris_vs_growth_rate_mm_per_year/PGLS_results.tsv</t>
  </si>
  <si>
    <t>lambda : 0.0628822917022906 (95% CI  NA  -  0.92011027082227 )</t>
  </si>
  <si>
    <t>../output/PIC_results/A12b_Taxa_vs_Growth_Rate_Zeros_Included/PIC_all_D_0__Bacteria___D_1__Spirochaetes___D_2__Spirochaetia___D_3__Spirochaetales___D_4__Spirochaetaceae___D_5__Spirochaeta_2_vs_growth_rate_mm_per_year/PGLS_results.tsv</t>
  </si>
  <si>
    <t>lambda : 0.215173666540155 (95% CI  NA  -  0.9943476350465 )</t>
  </si>
  <si>
    <t>../output/PIC_results/A12b_Taxa_vs_Growth_Rate_Zeros_Included/PIC_skeleton_D_0__Bacteria___D_1__Proteobacteria___D_2__Gammaproteobacteria___D_3__Oceanospirillales___D_4__Endozoicomonadaceae___D_5__Endozoicomonas_vs_growth_rate_mm_per_year/PGLS_results.tsv</t>
  </si>
  <si>
    <t>lambda : 1e-06 (95% CI  NA  -  0.814078762436678 )</t>
  </si>
  <si>
    <t>../output/PIC_results/A12b_Taxa_vs_Growth_Rate_Zeros_Included/PIC_all_D_0__Bacteria___D_1__Tenericutes___D_2__Mollicutes___D_3__Mycoplasmatales___D_4__Mycoplasmataceae___D_5__Mycoplasma_vs_growth_rate_mm_per_year/PGLS_results.tsv</t>
  </si>
  <si>
    <t>lambda : 0.0507834367756677 (95% CI  NA  -  0.965929403208327 )</t>
  </si>
  <si>
    <t>../output/PIC_results/A12b_Taxa_vs_Growth_Rate_Zeros_Included/PIC_skeleton_D_0__Archaea___D_1__Thaumarchaeota___D_2__Nitrososphaeria___D_3__Nitrosopumilales___D_4__Nitrosopumilaceae___D_5__Candidatus_Nitrosopumilus_vs_growth_rate_mm_per_year/PGLS_results.tsv</t>
  </si>
  <si>
    <t>lambda : 1e-06 (95% CI  NA  -  0.806739502697231 )</t>
  </si>
  <si>
    <t>../output/PIC_results/A12b_Taxa_vs_Growth_Rate_Zeros_Included/PIC_all_D_0__Bacteria___D_1__Proteobacteria___D_2__Gammaproteobacteria___D_3__Oceanospirillales___D_4__Endozoicomonadaceae___D_5__Endozoicomonas_vs_growth_rate_mm_per_year/PGLS_results.tsv</t>
  </si>
  <si>
    <t>lambda : 1e-06 (95% CI  NA  -  NA )</t>
  </si>
  <si>
    <t>../output/PIC_results/A12b_Taxa_vs_Growth_Rate_Zeros_Included/PIC_all_D_0__Bacteria___D_1__Proteobacteria___D_2__Alphaproteobacteria___D_3__Sphingomonadales___D_4__Sphingomonadaceae___D_5__Sphingobium_vs_growth_rate_mm_per_year/PGLS_results.tsv</t>
  </si>
  <si>
    <t>0.000129072446030415 - 0.00154117598073164</t>
  </si>
  <si>
    <t>lambda : 1e-06 (95% CI  NA  -  0.738965946268167 )</t>
  </si>
  <si>
    <t>../output/PIC_results/A12b_Taxa_vs_Growth_Rate_Zeros_Included/PIC_mucus_D_0__Bacteria___D_1__Cyanobacteria___D_2__Oxyphotobacteria___D_3__Synechococcales___D_4__Cyanobiaceae___D_5__Synechococcus_CC9902_vs_growth_rate_mm_per_year/PGLS_results.tsv</t>
  </si>
  <si>
    <t>lambda : 1e-06 (95% CI  NA  -  0.879312564126048 )</t>
  </si>
  <si>
    <t>../output/PIC_results/A12b_Taxa_vs_Growth_Rate_Zeros_Included/PIC_all_D_0__Bacteria___D_1__Proteobacteria___D_2__Gammaproteobacteria___D_3__Vibrionales___D_4__Vibrionaceae___D_5__Vibrio_vs_growth_rate_mm_per_year/PGLS_results.tsv</t>
  </si>
  <si>
    <t>lambda : 0.0284266254139602 (95% CI  NA  -  0.935113561519625 )</t>
  </si>
  <si>
    <t>../output/PIC_results/A12b_Taxa_vs_Growth_Rate_Zeros_Included/PIC_mucus_D_0__Bacteria___D_1__Proteobacteria___D_2__Gammaproteobacteria___D_3__Oceanospirillales___D_4__Endozoicomonadaceae___D_5__Endozoicomonas_vs_growth_rate_mm_per_year/PGLS_results.tsv</t>
  </si>
  <si>
    <t>../output/PIC_results/A12b_Taxa_vs_Growth_Rate_Zeros_Included/PIC_tissue_D_0__Bacteria___D_1__Proteobacteria___D_2__Gammaproteobacteria___D_3__Enterobacteriales___D_4__Enterobacteriaceae___D_5__Pantoea_vs_growth_rate_mm_per_year/PGLS_results.tsv</t>
  </si>
  <si>
    <t>lambda : 1e-06 (95% CI  NA  -  0.91559037591103 )</t>
  </si>
  <si>
    <t>../output/PIC_results/A12b_Taxa_vs_Growth_Rate_Zeros_Included/PIC_skeleton_D_0__Bacteria___D_1__Proteobacteria___D_2__Deltaproteobacteria___D_3__Myxococcales___D_4__P3OB_42___D_5__uncultured_bacterium_vs_growth_rate_mm_per_year/PGLS_results.tsv</t>
  </si>
  <si>
    <t>0.000501089582792917 - 0.00153955813053884</t>
  </si>
  <si>
    <t>lambda : 0.344098076205937 (95% CI  NA  -  0.84659461692804 )</t>
  </si>
  <si>
    <t>../output/PIC_results/A12b_Taxa_vs_Growth_Rate_Zeros_Included/PIC_tissue_D_0__Bacteria___D_1__Proteobacteria___D_2__Gammaproteobacteria___D_3__Betaproteobacteriales___D_4__Burkholderiaceae___D_5__Aquabacterium_vs_growth_rate_mm_per_year/PGLS_results.tsv</t>
  </si>
  <si>
    <t>lambda : 1e-06 (95% CI  NA  -  0.801484069898706 )</t>
  </si>
  <si>
    <t>../output/PIC_results/A12b_Taxa_vs_Growth_Rate_Zeros_Included/PIC_tissue_D_0__Archaea___D_1__Thaumarchaeota___D_2__Nitrososphaeria___D_3__Nitrosopumilales___D_4__Nitrosopumilaceae___D_5__uncultured_archaeon_vs_growth_rate_mm_per_year/PGLS_results.tsv</t>
  </si>
  <si>
    <t>lambda : 1e-06 (95% CI  NA  -  0.546444267978587 )</t>
  </si>
  <si>
    <t>../output/PIC_results/A12b_Taxa_vs_Growth_Rate_Zeros_Included/PIC_skeleton_D_0__Bacteria___D_1__Firmicutes___D_2__Clostridia___D_3__Clostridiales___D_4__Clostridiaceae_4___D_5__Paramaledivibacter_vs_growth_rate_mm_per_year/PGLS_results.tsv</t>
  </si>
  <si>
    <t>lambda : 0.0037928180877486 (95% CI  NA  -  0.86532440186546 )</t>
  </si>
  <si>
    <t>../output/PIC_results/A12b_Taxa_vs_Growth_Rate_Zeros_Included/PIC_tissue_D_0__Bacteria___D_1__Proteobacteria___D_2__Alphaproteobacteria___D_3__Rhizobiales___D_4__Beijerinckiaceae___D_5__Methylobacterium_vs_growth_rate_mm_per_year/PGLS_results.tsv</t>
  </si>
  <si>
    <t>lambda : 1e-06 (95% CI  NA  -  0.911667221269147 )</t>
  </si>
  <si>
    <t>kappa : 0.021297426868093 (95% CI  NA  -  0.819164781766122 )</t>
  </si>
  <si>
    <t>delta : 1 (95% CI  0.19298923366246  -  NA )</t>
  </si>
  <si>
    <t>delta : 1 (95% CI  0.274140574786329  -  NA )</t>
  </si>
  <si>
    <t>3.0900740544636e-06 - 0.00135769384174786</t>
  </si>
  <si>
    <t>delta : 1 (95% CI  0.279797023194406  -  NA )</t>
  </si>
  <si>
    <t>kappa : 0.146517312384254 (95% CI  NA  -  0.996988779775007 )</t>
  </si>
  <si>
    <t>delta : 1 (95% CI  0.260212763007269  -  NA )</t>
  </si>
  <si>
    <t>delta : 1 (95% CI  0.277616176250714  -  NA )</t>
  </si>
  <si>
    <t>9.25496284884938e-05 - 0.000674473712351435</t>
  </si>
  <si>
    <t>delta : 1 (95% CI  0.238791161950291  -  NA )</t>
  </si>
  <si>
    <t>2.45154097557843e-05 - 0.00028399132760563</t>
  </si>
  <si>
    <t>delta : 1 (95% CI  0.248886762193731  -  NA )</t>
  </si>
  <si>
    <t>kappa : 0.200533147038679 (95% CI  NA  -  0.915887989023815 )</t>
  </si>
  <si>
    <t>0.000560093270560526 - 0.00151125464162568</t>
  </si>
  <si>
    <t>kappa : 1e-06 (95% CI  NA  -  0.414999261941294 )</t>
  </si>
  <si>
    <t>delta : 1 (95% CI  0.277887883562961  -  NA )</t>
  </si>
  <si>
    <t>delta : 1 (95% CI  0.283322760248295  -  NA )</t>
  </si>
  <si>
    <t>kappa : 0.519674981216379 (95% CI  NA  -  NA )</t>
  </si>
  <si>
    <t>delta : 1 (95% CI  0.282143194604856  -  NA )</t>
  </si>
  <si>
    <t>delta : 1 (95% CI  0.264460470220808  -  NA )</t>
  </si>
  <si>
    <t>kappa : 0.181674673166867 (95% CI  NA  -  0.935474068181013 )</t>
  </si>
  <si>
    <t>delta : 1 (95% CI  0.268275349625316  -  NA )</t>
  </si>
  <si>
    <t>0.000108713888349826 - 0.00172466382727423</t>
  </si>
  <si>
    <t>kappa : 1e-06 (95% CI  NA  -  0.87003272403891 )</t>
  </si>
  <si>
    <t>kappa : 0.243429693952941 (95% CI  NA  -  0.950114755451666 )</t>
  </si>
  <si>
    <t>kappa : 1e-06 (95% CI  NA  -  0.74677872899239 )</t>
  </si>
  <si>
    <t>kappa : 0.401324972362089 (95% CI  NA  -  NA )</t>
  </si>
  <si>
    <t>kappa : 0.239281700147771 (95% CI  NA  -  0.992754790093656 )</t>
  </si>
  <si>
    <t>delta : 1 (95% CI  0.279425345758424  -  NA )</t>
  </si>
  <si>
    <t>kappa : 1e-06 (95% CI  NA  -  0.8604050410693 )</t>
  </si>
  <si>
    <t>kappa : 0.357140123836876 (95% CI  NA  -  NA )</t>
  </si>
  <si>
    <t>kappa : 0.0782305585829289 (95% CI  NA  -  0.839601768994162 )</t>
  </si>
  <si>
    <t>8.53237646038205e-05 - 0.00198777439365783</t>
  </si>
  <si>
    <t>kappa : 1e-06 (95% CI  NA  -  0.753218304237213 )</t>
  </si>
  <si>
    <t>7.0940363313879e-06 - 0.00066436624328811</t>
  </si>
  <si>
    <t>kappa : 0.596552187728353 (95% CI  NA  -  NA )</t>
  </si>
  <si>
    <t>delta : 1 (95% CI  0.257369781122002  -  NA )</t>
  </si>
  <si>
    <t>kappa : 0.459741301468581 (95% CI  NA  -  NA )</t>
  </si>
  <si>
    <t>delta : 1 (95% CI  0.27482003942935  -  NA )</t>
  </si>
  <si>
    <t>kappa : 0.256774430882958 (95% CI  NA  -  0.965841135930382 )</t>
  </si>
  <si>
    <t>kappa : 0.242344328182883 (95% CI  NA  -  0.948836813764076 )</t>
  </si>
  <si>
    <t>kappa : 0.252531541457606 (95% CI  NA  -  0.965985698134749 )</t>
  </si>
  <si>
    <t>0.000129987437929472 - 0.000923114659371149</t>
  </si>
  <si>
    <t>delta : 1 (95% CI  0.200756021931265  -  NA )</t>
  </si>
  <si>
    <t>0.000179977843967673 - 0.000678967204588012</t>
  </si>
  <si>
    <t>0.000153562662169521 - 0.000680599196038895</t>
  </si>
  <si>
    <t>lambda : 0.986045789455875 (95% CI  NA  -  NA )</t>
  </si>
  <si>
    <t>delta : 1 (95% CI  0.290954385136722  -  NA )</t>
  </si>
  <si>
    <t>0.000260700914621804 - 0.000875330030277647</t>
  </si>
  <si>
    <t>0.000241086023932489 - 0.000880840928482049</t>
  </si>
  <si>
    <t>lambda : 0.991440782318571 (95% CI  NA  -  NA )</t>
  </si>
  <si>
    <t>delta : 1 (95% CI  0.27361255791248  -  NA )</t>
  </si>
  <si>
    <t>kappa : 0.255005936031597 (95% CI  NA  -  0.96872078659276 )</t>
  </si>
  <si>
    <t>kappa : 0.247751985372161 (95% CI  NA  -  0.954146170001797 )</t>
  </si>
  <si>
    <t>kappa : 0.164102610552211 (95% CI  NA  -  0.885128132920901 )</t>
  </si>
  <si>
    <t>delta : 1 (95% CI  0.276959681730775  -  NA )</t>
  </si>
  <si>
    <t>delta : 1 (95% CI  0.293935829094841  -  NA )</t>
  </si>
  <si>
    <t>delta : 1 (95% CI  0.284783612421046  -  NA )</t>
  </si>
  <si>
    <t>delta : 1 (95% CI  0.275617577339351  -  NA )</t>
  </si>
  <si>
    <t>0.000113820629621738 - 0.00121181202655254</t>
  </si>
  <si>
    <t>kappa : 1e-06 (95% CI  NA  -  0.586095541965335 )</t>
  </si>
  <si>
    <t>kappa : 0.210500507448105 (95% CI  NA  -  0.904862230195593 )</t>
  </si>
  <si>
    <t>delta : 1 (95% CI  0.278306766805512  -  NA )</t>
  </si>
  <si>
    <t>delta : 1 (95% CI  0.283722729911442  -  NA )</t>
  </si>
  <si>
    <t>kappa : 1e-06 (95% CI  NA  -  0.659873354521013 )</t>
  </si>
  <si>
    <t>delta : 1 (95% CI  0.276935787600625  -  NA )</t>
  </si>
  <si>
    <t>kappa : 0.254074179568519 (95% CI  NA  -  0.969176596458352 )</t>
  </si>
  <si>
    <t>delta : 1 (95% CI  0.268361523189458  -  NA )</t>
  </si>
  <si>
    <t>kappa : 0.207146297520814 (95% CI  NA  -  0.923740285086879 )</t>
  </si>
  <si>
    <t>delta : 1 (95% CI  0.279573740787789  -  NA )</t>
  </si>
  <si>
    <t>kappa : 0.290952444418552 (95% CI  NA  -  NA )</t>
  </si>
  <si>
    <t>0.000326054469008168 - 0.00113216398566226</t>
  </si>
  <si>
    <t>lambda : 0.991841660952152 (95% CI  NA  -  NA )</t>
  </si>
  <si>
    <t>delta : 1 (95% CI  0.25273839395834  -  NA )</t>
  </si>
  <si>
    <t>0.000101994023451667 - 0.00154832741622824</t>
  </si>
  <si>
    <t>kappa : 1e-06 (95% CI  NA  -  0.79132194224607 )</t>
  </si>
  <si>
    <t>delta : 1 (95% CI  0.275045397897814  -  NA )</t>
  </si>
  <si>
    <t>delta : 1 (95% CI  0.290791726964061  -  NA )</t>
  </si>
  <si>
    <t>delta : 1 (95% CI  0.286522020203278  -  NA )</t>
  </si>
  <si>
    <t>0.00757605440138303 - 0.0359787828528671</t>
  </si>
  <si>
    <t>kappa : 1 (95% CI  NA  -  NA )</t>
  </si>
  <si>
    <t>kappa : 0.10306890584667 (95% CI  NA  -  0.834539292608677 )</t>
  </si>
  <si>
    <t>delta : 1 (95% CI  0.278486292387533  -  NA )</t>
  </si>
  <si>
    <t>1.82059340413506e-05 - 0.000865006663747046</t>
  </si>
  <si>
    <t>kappa : 0.777518901907172 (95% CI  NA  -  NA )</t>
  </si>
  <si>
    <t>kappa : 0.19409706347651 (95% CI  NA  -  0.888900390544034 )</t>
  </si>
  <si>
    <t>kappa : 0.496395912419205 (95% CI  NA  -  NA )</t>
  </si>
  <si>
    <t>kappa : 0.322355108897163 (95% CI  NA  -  NA )</t>
  </si>
  <si>
    <t>delta : 1 (95% CI  0.289669336001673  -  NA )</t>
  </si>
  <si>
    <t>delta : 1 (95% CI  0.273279949664546  -  NA )</t>
  </si>
  <si>
    <t>delta : 1 (95% CI  0.283390963462117  -  NA )</t>
  </si>
  <si>
    <t>kappa : 0.336728365222817 (95% CI  NA  -  NA )</t>
  </si>
  <si>
    <t>delta : 1 (95% CI  0.276889141634175  -  NA )</t>
  </si>
  <si>
    <t>kappa : 0.23454139747448 (95% CI  NA  -  0.974333559262809 )</t>
  </si>
  <si>
    <t>kappa : 0.15078325313882 (95% CI  NA  -  0.900265287711474 )</t>
  </si>
  <si>
    <t>kappa : 0.143787524813442 (95% CI  NA  -  0.891408536661024 )</t>
  </si>
  <si>
    <t>delta : 1 (95% CI  0.299834447214686  -  NA )</t>
  </si>
  <si>
    <t>delta : 1 (95% CI  0.28742579543297  -  NA )</t>
  </si>
  <si>
    <t>kappa : 0.349798219204813 (95% CI  NA  -  NA )</t>
  </si>
  <si>
    <t>delta : 1 (95% CI  0.269373317039296  -  NA )</t>
  </si>
  <si>
    <t>0.000348427779350299 - 0.00112428835901827</t>
  </si>
  <si>
    <t>kappa : 0.117996797405282 (95% CI  NA  -  0.901041284728741 )</t>
  </si>
  <si>
    <t>kappa : 0.122029261525226 (95% CI  NA  -  0.88521988446026 )</t>
  </si>
  <si>
    <t>delta : 1 (95% CI  0.311320580460032  -  NA )</t>
  </si>
  <si>
    <t>delta : 1 (95% CI  0.276979702645057  -  NA )</t>
  </si>
  <si>
    <t>delta : 1 (95% CI  0.274714750279664  -  NA )</t>
  </si>
  <si>
    <t>delta : 1 (95% CI  0.269838479871722  -  NA )</t>
  </si>
  <si>
    <t>kappa : 0.159644429219956 (95% CI  NA  -  0.91724956973723 )</t>
  </si>
  <si>
    <t>kappa : 0.0406784218289797 (95% CI  NA  -  0.844512176725089 )</t>
  </si>
  <si>
    <t>kappa : 1e-06 (95% CI  NA  -  0.812851041363807 )</t>
  </si>
  <si>
    <t>delta : 1 (95% CI  0.283940287102386  -  NA )</t>
  </si>
  <si>
    <t>delta : 1 (95% CI  0.271982757286619  -  NA )</t>
  </si>
  <si>
    <t>delta : 1 (95% CI  0.278159873062248  -  NA )</t>
  </si>
  <si>
    <t>kappa : 0.163766388871323 (95% CI  NA  -  0.921896861444766 )</t>
  </si>
  <si>
    <t>8.89095900839805e-05 - 0.00120196877473105</t>
  </si>
  <si>
    <t>kappa : 1e-06 (95% CI  NA  -  0.764486955562726 )</t>
  </si>
  <si>
    <t>kappa : 0.173787097149908 (95% CI  NA  -  0.924881164915528 )</t>
  </si>
  <si>
    <t>delta : 1 (95% CI  0.207853178175266  -  NA )</t>
  </si>
  <si>
    <t>delta : 1 (95% CI  0.27830321072874  -  NA )</t>
  </si>
  <si>
    <t>delta : 1 (95% CI  0.26382104237805  -  NA )</t>
  </si>
  <si>
    <t>delta : 1 (95% CI  0.290319922898425  -  NA )</t>
  </si>
  <si>
    <t>delta : 1 (95% CI  0.27770126562856  -  NA )</t>
  </si>
  <si>
    <t>delta : 1 (95% CI  0.259809490948868  -  NA )</t>
  </si>
  <si>
    <t>kappa : 0.128939953789507 (95% CI  NA  -  0.890006566591937 )</t>
  </si>
  <si>
    <t>delta : 1 (95% CI  0.27505715537226  -  NA )</t>
  </si>
  <si>
    <t>kappa : 0.194251525416467 (95% CI  NA  -  0.897525967307734 )</t>
  </si>
  <si>
    <t>delta : 1 (95% CI  0.262056100478915  -  NA )</t>
  </si>
  <si>
    <t>delta : 1 (95% CI  0.216916119083807  -  NA )</t>
  </si>
  <si>
    <t>kappa : 0.0213646784816153 (95% CI  NA  -  0.784829083490491 )</t>
  </si>
  <si>
    <t>kappa : 0.383819296138257 (95% CI  NA  -  NA )</t>
  </si>
  <si>
    <t>delta : 1 (95% CI  0.211057897330649  -  NA )</t>
  </si>
  <si>
    <t>A12a_Taxa_vs_Growth_Rate_Zeros_Excluded</t>
  </si>
  <si>
    <t>../output/PIC_results/A12a_Taxa_vs_Growth_Rate_Zeros_Excluded/PIC_skeleton_D_0__Archaea___D_1__Thaumarchaeota___D_2__Nitrososphaeria___D_3__Nitrosopumilales___D_4__Nitrosopumilaceae___D_5__Candidatus_Nitrosopumilus_vs_growth_rate_mm_per_year/PGLS_results.tsv</t>
  </si>
  <si>
    <t>lambda : 0.347300006990091 (95% CI  NA  -  0.878559624527215 )</t>
  </si>
  <si>
    <t>../output/trait_table_growth_rate_endos_present.tsv</t>
  </si>
  <si>
    <t>../output/PIC_results/A12a_Taxa_vs_Growth_Rate_Zeros_Excluded/PIC_all_D_0__Bacteria___D_1__Proteobacteria___D_2__Alphaproteobacteria___D_3__Sphingomonadales___D_4__Sphingomonadaceae___D_5__Sphingobium_vs_growth_rate_mm_per_year/PGLS_results.tsv</t>
  </si>
  <si>
    <t>1.05353775759329e-05 - 0.00148427171411944</t>
  </si>
  <si>
    <t>lambda : 0.352479867000564 (95% CI  NA  -  0.82536167079308 )</t>
  </si>
  <si>
    <t>../output/PIC_results/A12a_Taxa_vs_Growth_Rate_Zeros_Excluded/PIC_mucus_D_0__Bacteria___D_1__Proteobacteria___D_2__Gammaproteobacteria___D_3__Oceanospirillales___D_4__Endozoicomonadaceae___D_5__Endozoicomonas_vs_growth_rate_mm_per_year/PGLS_results.tsv</t>
  </si>
  <si>
    <t>lambda : 0.575827473839258 (95% CI  NA  -  NA )</t>
  </si>
  <si>
    <t>../output/PIC_results/A12a_Taxa_vs_Growth_Rate_Zeros_Excluded/PIC_skeleton_D_0__Bacteria___D_1__Proteobacteria___D_2__Deltaproteobacteria___D_3__Desulfobacterales___D_4__Desulfobacteraceae___D_5__Desulfobacter_vs_growth_rate_mm_per_year/PGLS_results.tsv</t>
  </si>
  <si>
    <t>kappa : 1e-06 (95% CI  NA  -  0.400622033931085 )</t>
  </si>
  <si>
    <t>../output/PIC_results/A12a_Taxa_vs_Growth_Rate_Zeros_Excluded/PIC_skeleton_D_0__Bacteria___D_1__Bacteroidetes___D_2__Chlorobia___D_3__Chlorobiales___D_4__Chlorobiaceae___D_5__Prosthecochloris_vs_growth_rate_mm_per_year/PGLS_results.tsv</t>
  </si>
  <si>
    <t>lambda : 0.354575869642384 (95% CI  NA  -  0.88677971021934 )</t>
  </si>
  <si>
    <t>../output/PIC_results/A12a_Taxa_vs_Growth_Rate_Zeros_Excluded/PIC_all_D_0__Bacteria___D_1__Proteobacteria___D_2__Alphaproteobacteria___D_3__Rhizobiales___D_4__Stappiaceae___D_5__Pseudovibrio_vs_growth_rate_mm_per_year/PGLS_results.tsv</t>
  </si>
  <si>
    <t>lambda : 0.402595008699098 (95% CI  NA  -  0.893425746021742 )</t>
  </si>
  <si>
    <t>../output/PIC_results/A12a_Taxa_vs_Growth_Rate_Zeros_Excluded/PIC_all_D_0__Bacteria___D_1__Bacteroidetes___D_2__Bacteroidia___D_3__Bacteroidales___D_4__Rikenellaceae___D_5__Rikenellaceae_RC9_gut_group_vs_growth_rate_mm_per_year/PGLS_results.tsv</t>
  </si>
  <si>
    <t>lambda : 0.404119064776731 (95% CI  NA  -  0.893692038976704 )</t>
  </si>
  <si>
    <t>../output/PIC_results/A12a_Taxa_vs_Growth_Rate_Zeros_Excluded/PIC_all_D_0__Bacteria___D_1__Proteobacteria___D_2__Gammaproteobacteria___D_3__Cellvibrionales___D_4__Spongiibacteraceae___D_5__BD1_7_clade_vs_growth_rate_mm_per_year/PGLS_results.tsv</t>
  </si>
  <si>
    <t>lambda : 0.192499922904616 (95% CI  NA  -  0.878250881984453 )</t>
  </si>
  <si>
    <t>../output/PIC_results/A12a_Taxa_vs_Growth_Rate_Zeros_Excluded/PIC_mucus_D_0__Bacteria___D_1__Proteobacteria___D_2__Gammaproteobacteria___D_3__Vibrionales___D_4__Vibrionaceae___D_5__Photobacterium_vs_growth_rate_mm_per_year/PGLS_results.tsv</t>
  </si>
  <si>
    <t>lambda : 0.305211818785618 (95% CI  NA  -  0.869006245145578 )</t>
  </si>
  <si>
    <t>../output/PIC_results/A12a_Taxa_vs_Growth_Rate_Zeros_Excluded/PIC_skeleton_D_0__Bacteria___D_1__Proteobacteria___D_2__Alphaproteobacteria___D_3__Rhodospirillales___D_4__Terasakiellaceae___D_5__uncultured_vs_growth_rate_mm_per_year/PGLS_results.tsv</t>
  </si>
  <si>
    <t>0.000175550722509085 - 0.00063600519068836</t>
  </si>
  <si>
    <t>lambda : 0.893233947244831 (95% CI  0.17053363706995  -  NA )</t>
  </si>
  <si>
    <t>../output/PIC_results/A12a_Taxa_vs_Growth_Rate_Zeros_Excluded/PIC_mucus_D_0__Bacteria___D_1__Proteobacteria___D_2__Gammaproteobacteria___D_3__Betaproteobacteriales___D_4__Burkholderiaceae___D_5__Aquabacterium_vs_growth_rate_mm_per_year/PGLS_results.tsv</t>
  </si>
  <si>
    <t>8.18034865401144e-05 - 0.00145884600365504</t>
  </si>
  <si>
    <t>lambda : 0.0996304343924775 (95% CI  NA  -  0.791626067283025 )</t>
  </si>
  <si>
    <t>../output/PIC_results/A12a_Taxa_vs_Growth_Rate_Zeros_Excluded/PIC_mucus_D_0__Bacteria___D_1__Cyanobacteria___D_2__Oxyphotobacteria___D_3__Synechococcales___D_4__Cyanobiaceae___D_5__Synechococcus_CC9902_vs_growth_rate_mm_per_year/PGLS_results.tsv</t>
  </si>
  <si>
    <t>lambda : 0.391487441002574 (95% CI  NA  -  0.890072756220987 )</t>
  </si>
  <si>
    <t>../output/PIC_results/A12a_Taxa_vs_Growth_Rate_Zeros_Excluded/PIC_skeleton_D_0__Bacteria___D_1__Proteobacteria___D_2__Alphaproteobacteria___D_3__Rhodobacterales___D_4__Rhodobacteraceae___D_5__Ruegeria_vs_growth_rate_mm_per_year/PGLS_results.tsv</t>
  </si>
  <si>
    <t>lambda : 0.412555787155228 (95% CI  NA  -  0.892510355094076 )</t>
  </si>
  <si>
    <t>../output/PIC_results/A12a_Taxa_vs_Growth_Rate_Zeros_Excluded/PIC_mucus_D_0__Bacteria___D_1__Proteobacteria___D_2__Alphaproteobacteria___D_3__Sphingomonadales___D_4__Sphingomonadaceae___D_5__Sphingobium_vs_growth_rate_mm_per_year/PGLS_results.tsv</t>
  </si>
  <si>
    <t>lambda : 0.36276475567145 (95% CI  NA  -  0.896474481423774 )</t>
  </si>
  <si>
    <t>../output/PIC_results/A12a_Taxa_vs_Growth_Rate_Zeros_Excluded/PIC_tissue_D_0__Bacteria___D_1__Proteobacteria___D_2__Gammaproteobacteria___D_3__Betaproteobacteriales___D_4__Burkholderiaceae___D_5__Aquabacterium_vs_growth_rate_mm_per_year/PGLS_results.tsv</t>
  </si>
  <si>
    <t>lambda : 0.327060709446926 (95% CI  NA  -  0.838732094012789 )</t>
  </si>
  <si>
    <t>../output/PIC_results/A12a_Taxa_vs_Growth_Rate_Zeros_Excluded/PIC_skeleton_D_0__Bacteria___D_1__Proteobacteria___D_2__Gammaproteobacteria___D_3__Pseudomonadales___D_4__Pseudomonadaceae___D_5__Pseudomonas_vs_growth_rate_mm_per_year/PGLS_results.tsv</t>
  </si>
  <si>
    <t>lambda : 0.378638040099728 (95% CI  NA  -  0.842668279082416 )</t>
  </si>
  <si>
    <t>../output/PIC_results/A12a_Taxa_vs_Growth_Rate_Zeros_Excluded/PIC_all_D_0__Bacteria___D_1__Proteobacteria___D_2__Deltaproteobacteria___D_3__Desulfobacterales___D_4__Desulfobacteraceae___D_5__Desulfobacter_vs_growth_rate_mm_per_year/PGLS_results.tsv</t>
  </si>
  <si>
    <t>kappa : 1e-06 (95% CI  NA  -  0.41431939053259 )</t>
  </si>
  <si>
    <t>../output/PIC_results/A12a_Taxa_vs_Growth_Rate_Zeros_Excluded/PIC_tissue_D_0__Bacteria___D_1__Bacteroidetes___D_2__Bacteroidia___D_3__Flavobacteriales___D_4__Flavobacteriaceae___D_5__Maritimimonas_vs_growth_rate_mm_per_year/PGLS_results.tsv</t>
  </si>
  <si>
    <t>lambda : 0.413433848899714 (95% CI  NA  -  0.893821051987549 )</t>
  </si>
  <si>
    <t>../output/PIC_results/A12a_Taxa_vs_Growth_Rate_Zeros_Excluded/PIC_mucus_D_0__Bacteria___D_1__Proteobacteria___D_2__Gammaproteobacteria___D_3__Pseudomonadales___D_4__Pseudomonadaceae___D_5__Pseudomonas_vs_growth_rate_mm_per_year/PGLS_results.tsv</t>
  </si>
  <si>
    <t>0.000177875040354003 - 0.000974917313347378</t>
  </si>
  <si>
    <t>lambda : 1e-06 (95% CI  NA  -  0.647971843690527 )</t>
  </si>
  <si>
    <t>../output/PIC_results/A12a_Taxa_vs_Growth_Rate_Zeros_Excluded/PIC_all_D_0__Bacteria___D_1__Proteobacteria___D_2__Gammaproteobacteria___D_3__Pseudomonadales___D_4__Pseudomonadaceae___D_5__Pseudomonas_vs_growth_rate_mm_per_year/PGLS_results.tsv</t>
  </si>
  <si>
    <t>0.000120729942726277 - 0.00122429207849035</t>
  </si>
  <si>
    <t>lambda : 0.283806569334168 (95% CI  NA  -  0.798200873483782 )</t>
  </si>
  <si>
    <t>../output/PIC_results/A12a_Taxa_vs_Growth_Rate_Zeros_Excluded/PIC_tissue_D_0__Bacteria___D_1__Proteobacteria___D_2__Gammaproteobacteria___D_3__Pseudomonadales___D_4__Pseudomonadaceae___D_5__Pseudomonas_vs_growth_rate_mm_per_year/PGLS_results.tsv</t>
  </si>
  <si>
    <t>lambda : 0.343483632309664 (95% CI  NA  -  0.828888800057073 )</t>
  </si>
  <si>
    <t>../output/PIC_results/A12a_Taxa_vs_Growth_Rate_Zeros_Excluded/PIC_all_D_0__Bacteria___D_1__Bacteroidetes___D_2__Chlorobia___D_3__Chlorobiales___D_4__Chlorobiaceae___D_5__Prosthecochloris_vs_growth_rate_mm_per_year/PGLS_results.tsv</t>
  </si>
  <si>
    <t>lambda : 0.33200061578334 (95% CI  NA  -  0.883831714418648 )</t>
  </si>
  <si>
    <t>../output/PIC_results/A12a_Taxa_vs_Growth_Rate_Zeros_Excluded/PIC_all_D_0__Archaea___D_1__Thaumarchaeota___D_2__Nitrososphaeria___D_3__Nitrosopumilales___D_4__Nitrosopumilaceae___D_5__Candidatus_Nitrosopumilus_vs_growth_rate_mm_per_year/PGLS_results.tsv</t>
  </si>
  <si>
    <t>lambda : 0.169805077693958 (95% CI  NA  -  0.764842073140659 )</t>
  </si>
  <si>
    <t>../output/PIC_results/A12a_Taxa_vs_Growth_Rate_Zeros_Excluded/PIC_mucus_D_0__Bacteria___D_1__Proteobacteria___D_2__Gammaproteobacteria___D_3__Pseudomonadales___D_4__Moraxellaceae___D_5__Enhydrobacter_vs_growth_rate_mm_per_year/PGLS_results.tsv</t>
  </si>
  <si>
    <t>0.0695538120379244 - 0.231875250530866</t>
  </si>
  <si>
    <t>kappa : 0.344116500242266 (95% CI  NA  -  NA )</t>
  </si>
  <si>
    <t>../output/PIC_results/A12a_Taxa_vs_Growth_Rate_Zeros_Excluded/PIC_tissue_D_0__Bacteria___D_1__Proteobacteria___D_2__Alphaproteobacteria___D_3__Rhizobiales___D_4__Beijerinckiaceae___D_5__Methylobacterium_vs_growth_rate_mm_per_year/PGLS_results.tsv</t>
  </si>
  <si>
    <t>lambda : 0.416261787078696 (95% CI  NA  -  0.89976931632796 )</t>
  </si>
  <si>
    <t>../output/PIC_results/A12a_Taxa_vs_Growth_Rate_Zeros_Excluded/PIC_skeleton_D_0__Bacteria___D_1__Chloroflexi___D_2__Chloroflexia___D_3__Chloroflexales___D_4__Chloroflexaceae___D_5__Candidatus_Chlorothrix_vs_growth_rate_mm_per_year/PGLS_results.tsv</t>
  </si>
  <si>
    <t>0.00467324342899875 - 0.0317837566250063</t>
  </si>
  <si>
    <t>kappa : 0.404818086523892 (95% CI  NA  -  NA )</t>
  </si>
  <si>
    <t>../output/PIC_results/A12a_Taxa_vs_Growth_Rate_Zeros_Excluded/PIC_skeleton_D_0__Bacteria___D_1__Spirochaetes___D_2__Spirochaetia___D_3__Spirochaetales___D_4__Spirochaetaceae___D_5__Spirochaeta_2_vs_growth_rate_mm_per_year/PGLS_results.tsv</t>
  </si>
  <si>
    <t>lambda : 0.510850905334318 (95% CI  NA  -  0.924874834885248 )</t>
  </si>
  <si>
    <t>../output/PIC_results/A12a_Taxa_vs_Growth_Rate_Zeros_Excluded/PIC_tissue_D_0__Bacteria___D_1__Proteobacteria___D_2__Alphaproteobacteria___D_3__Rhodospirillales___D_4__Terasakiellaceae___D_5__uncultured_vs_growth_rate_mm_per_year/PGLS_results.tsv</t>
  </si>
  <si>
    <t>0.000271809041655291 - 0.000854013192412969</t>
  </si>
  <si>
    <t>kappa : 0.442686906295596 (95% CI  NA  -  NA )</t>
  </si>
  <si>
    <t>../output/PIC_results/A12a_Taxa_vs_Growth_Rate_Zeros_Excluded/PIC_skeleton_D_0__Bacteria___D_1__Proteobacteria___D_2__Deltaproteobacteria___D_3__Myxococcales___D_4__P3OB_42___D_5__uncultured_bacterium_vs_growth_rate_mm_per_year/PGLS_results.tsv</t>
  </si>
  <si>
    <t>lambda : 0.274880030774292 (95% CI  NA  -  0.854401153265633 )</t>
  </si>
  <si>
    <t>../output/PIC_results/A12a_Taxa_vs_Growth_Rate_Zeros_Excluded/PIC_tissue_D_0__Archaea___D_1__Thaumarchaeota___D_2__Nitrososphaeria___D_3__Nitrosopumilales___D_4__Nitrosopumilaceae___D_5__uncultured_archaeon_vs_growth_rate_mm_per_year/PGLS_results.tsv</t>
  </si>
  <si>
    <t>lambda : 1e-06 (95% CI  NA  -  0.760834088557021 )</t>
  </si>
  <si>
    <t>../output/PIC_results/A12a_Taxa_vs_Growth_Rate_Zeros_Excluded/PIC_tissue_D_0__Bacteria___D_1__Proteobacteria___D_2__Alphaproteobacteria___D_3__Rickettsiales___D_4__Midichloriaceae___D_5__MD3_55_vs_growth_rate_mm_per_year/PGLS_results.tsv</t>
  </si>
  <si>
    <t>lambda : 0.401456882912388 (95% CI  NA  -  0.879566647605016 )</t>
  </si>
  <si>
    <t>../output/PIC_results/A12a_Taxa_vs_Growth_Rate_Zeros_Excluded/PIC_mucus_D_0__Bacteria___D_1__Proteobacteria___D_2__Gammaproteobacteria___D_3__Alteromonadales___D_4__Pseudoalteromonadaceae___D_5__Pseudoalteromonas_vs_growth_rate_mm_per_year/PGLS_results.tsv</t>
  </si>
  <si>
    <t>lambda : 0.456570590561543 (95% CI  NA  -  0.919501929384497 )</t>
  </si>
  <si>
    <t>../output/PIC_results/A12a_Taxa_vs_Growth_Rate_Zeros_Excluded/PIC_all_D_0__Bacteria___D_1__Cyanobacteria___D_2__Oxyphotobacteria___D_3__Synechococcales___D_4__Cyanobiaceae___D_5__Synechococcus_CC9902_vs_growth_rate_mm_per_year/PGLS_results.tsv</t>
  </si>
  <si>
    <t>lambda : 0.496805602486837 (95% CI  NA  -  0.928128449513185 )</t>
  </si>
  <si>
    <t>../output/PIC_results/A12a_Taxa_vs_Growth_Rate_Zeros_Excluded/PIC_mucus_D_0__Bacteria___D_1__Tenericutes___D_2__Mollicutes___D_3__Entomoplasmatales___D_4__Spiroplasmataceae___D_5__Spiroplasma_vs_growth_rate_mm_per_year/PGLS_results.tsv</t>
  </si>
  <si>
    <t>lambda : 0.321380578606883 (95% CI  NA  -  0.879121102110339 )</t>
  </si>
  <si>
    <t>../output/PIC_results/A12a_Taxa_vs_Growth_Rate_Zeros_Excluded/PIC_all_D_0__Bacteria___D_1__Proteobacteria___D_2__Alphaproteobacteria___D_3__Rhodobacterales___D_4__Rhodobacteraceae___D_5__Ruegeria_vs_growth_rate_mm_per_year/PGLS_results.tsv</t>
  </si>
  <si>
    <t>lambda : 0.352550839158173 (95% CI  NA  -  0.886619376707087 )</t>
  </si>
  <si>
    <t>../output/PIC_results/A12a_Taxa_vs_Growth_Rate_Zeros_Excluded/PIC_tissue_D_0__Bacteria___D_1__Proteobacteria___D_2__Gammaproteobacteria___D_3__Oceanospirillales___D_4__Endozoicomonadaceae___D_5__Endozoicomonas_vs_growth_rate_mm_per_year/PGLS_results.tsv</t>
  </si>
  <si>
    <t>4.00809255239938e-05 - 0.000318899243199729</t>
  </si>
  <si>
    <t>lambda : 0.268307764979484 (95% CI  NA  -  0.919718163085841 )</t>
  </si>
  <si>
    <t>../output/PIC_results/A12a_Taxa_vs_Growth_Rate_Zeros_Excluded/PIC_all_D_0__Bacteria___D_1__Proteobacteria___D_2__Gammaproteobacteria___D_3__Betaproteobacteriales___D_4__Burkholderiaceae___D_5__Aquabacterium_vs_growth_rate_mm_per_year/PGLS_results.tsv</t>
  </si>
  <si>
    <t>lambda : 0.305762826095806 (95% CI  NA  -  0.81622551064646 )</t>
  </si>
  <si>
    <t>../output/PIC_results/A12a_Taxa_vs_Growth_Rate_Zeros_Excluded/PIC_all_D_0__Bacteria___D_1__Spirochaetes___D_2__Spirochaetia___D_3__Spirochaetales___D_4__Spirochaetaceae___D_5__Spirochaeta_2_vs_growth_rate_mm_per_year/PGLS_results.tsv</t>
  </si>
  <si>
    <t>lambda : 0.543340503906829 (95% CI  NA  -  0.93983208157836 )</t>
  </si>
  <si>
    <t>../output/PIC_results/A12a_Taxa_vs_Growth_Rate_Zeros_Excluded/PIC_tissue_D_0__Bacteria___D_1__Proteobacteria___D_2__Alphaproteobacteria___D_3__Sphingomonadales___D_4__Sphingomonadaceae___D_5__Sphingobium_vs_growth_rate_mm_per_year/PGLS_results.tsv</t>
  </si>
  <si>
    <t>lambda : 0.340008931007834 (95% CI  NA  -  0.837698290514035 )</t>
  </si>
  <si>
    <t>../output/PIC_results/A12a_Taxa_vs_Growth_Rate_Zeros_Excluded/PIC_skeleton_D_0__Bacteria___D_1__Proteobacteria___D_2__Gammaproteobacteria___D_3__Oceanospirillales___D_4__Endozoicomonadaceae___D_5__Endozoicomonas_vs_growth_rate_mm_per_year/PGLS_results.tsv</t>
  </si>
  <si>
    <t>0.000429112304194567 - 0.00191928024879112</t>
  </si>
  <si>
    <t>lambda : 0.22475073751866 (95% CI  NA  -  0.772092498617747 )</t>
  </si>
  <si>
    <t>../output/PIC_results/A12a_Taxa_vs_Growth_Rate_Zeros_Excluded/PIC_skeleton_D_0__Bacteria___D_1__Firmicutes___D_2__Clostridia___D_3__Clostridiales___D_4__Clostridiaceae_4___D_5__Paramaledivibacter_vs_growth_rate_mm_per_year/PGLS_results.tsv</t>
  </si>
  <si>
    <t>lambda : 0.364790941589533 (95% CI  NA  -  0.865198788434877 )</t>
  </si>
  <si>
    <t>../output/PIC_results/A12a_Taxa_vs_Growth_Rate_Zeros_Excluded/PIC_mucus_D_0__Bacteria___D_1__Proteobacteria___D_2__Alphaproteobacteria___D_3__Rickettsiales___D_4__Midichloriaceae___D_5__MD3_55_vs_growth_rate_mm_per_year/PGLS_results.tsv</t>
  </si>
  <si>
    <t>lambda : 0.263663424985164 (95% CI  NA  -  0.857983194741859 )</t>
  </si>
  <si>
    <t>../output/PIC_results/A12a_Taxa_vs_Growth_Rate_Zeros_Excluded/PIC_all_D_0__Bacteria___D_1__Tenericutes___D_2__Mollicutes___D_3__Mycoplasmatales___D_4__Mycoplasmataceae___D_5__Mycoplasma_vs_growth_rate_mm_per_year/PGLS_results.tsv</t>
  </si>
  <si>
    <t>lambda : 0.485981055667205 (95% CI  NA  -  0.915644246895887 )</t>
  </si>
  <si>
    <t>../output/PIC_results/A12a_Taxa_vs_Growth_Rate_Zeros_Excluded/PIC_all_D_0__Bacteria___D_1__Proteobacteria___D_2__Gammaproteobacteria___D_3__Vibrionales___D_4__Vibrionaceae___D_5__Vibrio_vs_growth_rate_mm_per_year/PGLS_results.tsv</t>
  </si>
  <si>
    <t>lambda : 0.443970873032583 (95% CI  NA  -  0.896126715552385 )</t>
  </si>
  <si>
    <t>../output/PIC_results/A12a_Taxa_vs_Growth_Rate_Zeros_Excluded/PIC_skeleton_D_0__Bacteria___D_1__Acidobacteria___D_2__Thermoanaerobaculia___D_3__Thermoanaerobaculales___D_4__Thermoanaerobaculaceae___D_5__Subgroup_10_vs_growth_rate_mm_per_year/PGLS_results.tsv</t>
  </si>
  <si>
    <t>lambda : 0.36393425673225 (95% CI  NA  -  0.863824093041103 )</t>
  </si>
  <si>
    <t>../output/PIC_results/A12a_Taxa_vs_Growth_Rate_Zeros_Excluded/PIC_tissue_D_0__Bacteria___D_1__Tenericutes___D_2__Mollicutes___D_3__Mycoplasmatales___D_4__Mycoplasmataceae___D_5__Mycoplasma_vs_growth_rate_mm_per_year/PGLS_results.tsv</t>
  </si>
  <si>
    <t>lambda : 0.396888681951833 (95% CI  NA  -  0.887708499817013 )</t>
  </si>
  <si>
    <t>../output/PIC_results/A12a_Taxa_vs_Growth_Rate_Zeros_Excluded/PIC_mucus_D_0__Bacteria___D_1__Proteobacteria___D_2__Gammaproteobacteria___D_3__Vibrionales___D_4__Vibrionaceae___D_5__Vibrio_vs_growth_rate_mm_per_year/PGLS_results.tsv</t>
  </si>
  <si>
    <t>lambda : 0.368843165134964 (95% CI  NA  -  0.87476926065059 )</t>
  </si>
  <si>
    <t>../output/PIC_results/A12a_Taxa_vs_Growth_Rate_Zeros_Excluded/PIC_all_D_0__Bacteria___D_1__Proteobacteria___D_2__Alphaproteobacteria___D_3__Rickettsiales___D_4__Midichloriaceae___D_5__MD3_55_vs_growth_rate_mm_per_year/PGLS_results.tsv</t>
  </si>
  <si>
    <t>kappa : 1e-06 (95% CI  NA  -  0.388433871981479 )</t>
  </si>
  <si>
    <t>../output/PIC_results/A12a_Taxa_vs_Growth_Rate_Zeros_Excluded/PIC_skeleton_D_0__Bacteria___D_1__Bacteroidetes___D_2__Bacteroidia___D_3__Cytophagales___D_4__Amoebophilaceae___D_5__Candidatus_Amoebophilus_vs_growth_rate_mm_per_year/PGLS_results.tsv</t>
  </si>
  <si>
    <t>lambda : 0.188862948260364 (95% CI  NA  -  0.860906974001707 )</t>
  </si>
  <si>
    <t>../output/PIC_results/A12a_Taxa_vs_Growth_Rate_Zeros_Excluded/PIC_all_D_0__Bacteria___D_1__Proteobacteria___D_2__Alphaproteobacteria___D_3__Rhodospirillales___D_4__Terasakiellaceae___D_5__uncultured_vs_growth_rate_mm_per_year/PGLS_results.tsv</t>
  </si>
  <si>
    <t>0.000382706549251186 - 0.00109838719769589</t>
  </si>
  <si>
    <t>kappa : 0.486016072699399 (95% CI  NA  -  NA )</t>
  </si>
  <si>
    <t>../output/PIC_results/A12a_Taxa_vs_Growth_Rate_Zeros_Excluded/PIC_skeleton_D_0__Bacteria___D_1__Proteobacteria___D_2__Alphaproteobacteria___D_3__Dstr_E11___D_4__uncultured_alpha_proteobacterium___D_5__uncultured_alpha_proteobacterium_vs_growth_rate_mm_per_year/PGLS_results.tsv</t>
  </si>
  <si>
    <t>lambda : 0.364075782619997 (95% CI  NA  -  0.89743586729635 )</t>
  </si>
  <si>
    <t>../output/PIC_results/A12a_Taxa_vs_Growth_Rate_Zeros_Excluded/PIC_all_D_0__Bacteria___D_1__Proteobacteria___D_2__Gammaproteobacteria___D_3__Oceanospirillales___D_4__Endozoicomonadaceae___D_5__Endozoicomonas_vs_growth_rate_mm_per_year/PGLS_results.tsv</t>
  </si>
  <si>
    <t>0.000111812302556838 - 0.00069984340022631</t>
  </si>
  <si>
    <t>lambda : 0.412688869803789 (95% CI  NA  -  0.951209318809315 )</t>
  </si>
  <si>
    <t>../output/PIC_results/A12a_Taxa_vs_Growth_Rate_Zeros_Excluded/PIC_mucus_D_0__Bacteria___D_1__Proteobacteria___D_2__Alphaproteobacteria___D_3__Rhodospirillales___D_4__Terasakiellaceae___D_5__uncultured_vs_growth_rate_mm_per_year/PGLS_results.tsv</t>
  </si>
  <si>
    <t>0.00399218075971876 - 0.0134014136244191</t>
  </si>
  <si>
    <t>kappa : 0.466116328744313 (95% CI  NA  -  NA )</t>
  </si>
  <si>
    <t>../output/PIC_results/A12a_Taxa_vs_Growth_Rate_Zeros_Excluded/PIC_all_D_0__Bacteria___D_1__Proteobacteria___D_2__Gammaproteobacteria___D_3__Alteromonadales___D_4__Pseudoalteromonadaceae___D_5__Pseudoalteromonas_vs_growth_rate_mm_per_year/PGLS_results.tsv</t>
  </si>
  <si>
    <t>lambda : 0.541009059001242 (95% CI  NA  -  0.936852055521107 )</t>
  </si>
  <si>
    <t>../output/PIC_results/A12a_Taxa_vs_Growth_Rate_Zeros_Excluded/PIC_tissue_D_0__Archaea___D_1__Thaumarchaeota___D_2__Nitrososphaeria___D_3__Nitrosopumilales___D_4__Nitrosopumilaceae___D_5__Candidatus_Nitrosopumilus_vs_growth_rate_mm_per_year/PGLS_results.tsv</t>
  </si>
  <si>
    <t>lambda : 0.248546163376906 (95% CI  NA  -  0.820530215087984 )</t>
  </si>
  <si>
    <t>../output/PIC_results/A12a_Taxa_vs_Growth_Rate_Zeros_Excluded/PIC_skeleton_D_0__Bacteria___D_1__Bacteroidetes___D_2__Bacteroidia___D_3__Cytophagales___D_4__Cyclobacteriaceae___D_5__uncultured_vs_growth_rate_mm_per_year/PGLS_results.tsv</t>
  </si>
  <si>
    <t>lambda : 0.389015568387352 (95% CI  NA  -  0.893531523684646 )</t>
  </si>
  <si>
    <t>kappa : 1e-06 (95% CI  NA  -  0.49815539299047 )</t>
  </si>
  <si>
    <t>6.07867697340463e-05 - 0.000275942524869468</t>
  </si>
  <si>
    <t>delta : 1 (95% CI  0.284023075456016  -  NA )</t>
  </si>
  <si>
    <t>delta : 1 (95% CI  0.300622812778368  -  NA )</t>
  </si>
  <si>
    <t>0.00563110180589196 - 0.0126905996971759</t>
  </si>
  <si>
    <t>delta : 1 (95% CI  0.291306234641238  -  NA )</t>
  </si>
  <si>
    <t>kappa : 1e-06 (95% CI  NA  -  0.476979358142251 )</t>
  </si>
  <si>
    <t>delta : 1 (95% CI  0.282585962307804  -  NA )</t>
  </si>
  <si>
    <t>delta : 1 (95% CI  0.306016567744841  -  NA )</t>
  </si>
  <si>
    <t>0.000296071397133464 - 0.000899507432714301</t>
  </si>
  <si>
    <t>delta : 1 (95% CI  0.296143752511752  -  NA )</t>
  </si>
  <si>
    <t>delta : 1 (95% CI  0.308409366645767  -  NA )</t>
  </si>
  <si>
    <t>1.44865181539493e-05 - 0.00112191456017445</t>
  </si>
  <si>
    <t>kappa : 1e-06 (95% CI  NA  -  0.364672161533885 )</t>
  </si>
  <si>
    <t>9.00530857593017e-05 - 0.000598581716543096</t>
  </si>
  <si>
    <t>kappa : 0.143822828237338 (95% CI  NA  -  0.813119765935264 )</t>
  </si>
  <si>
    <t>delta : 1 (95% CI  0.3040504321587  -  NA )</t>
  </si>
  <si>
    <t>delta : 1 (95% CI  0.270746668659997  -  NA )</t>
  </si>
  <si>
    <t>0.000183388368318304 - 0.00166500257637733</t>
  </si>
  <si>
    <t>kappa : 1e-06 (95% CI  NA  -  0.393711998709686 )</t>
  </si>
  <si>
    <t>delta : 1 (95% CI  0.209663381691699  -  NA )</t>
  </si>
  <si>
    <t>delta : 1 (95% CI  0.198339960135412  -  NA )</t>
  </si>
  <si>
    <t>0.000177847336191735 - 0.000669025120179934</t>
  </si>
  <si>
    <t>kappa : 0.409630806855955 (95% CI  NA  -  NA )</t>
  </si>
  <si>
    <t>delta : 1 (95% CI  0.305580831255743  -  NA )</t>
  </si>
  <si>
    <t>0.000193803251708751 - 0.000657293422515117</t>
  </si>
  <si>
    <t>kappa : 1e-06 (95% CI  NA  -  0.495307483915833 )</t>
  </si>
  <si>
    <t>0.000268157998908972 - 0.000835913116033543</t>
  </si>
  <si>
    <t>lambda : 0.904066702954339 (95% CI  0.245245268537354  -  NA )</t>
  </si>
  <si>
    <t>kappa : 1e-06 (95% CI  NA  -  0.353700834567164 )</t>
  </si>
  <si>
    <t>0.0622765394203863 - 0.234506418204362</t>
  </si>
  <si>
    <t>lambda : 0.835419001625217 (95% CI  NA  -  NA )</t>
  </si>
  <si>
    <t>kappa : 1e-06 (95% CI  NA  -  0.553484705218711 )</t>
  </si>
  <si>
    <t>delta : 1 (95% CI  0.296315865017633  -  NA )</t>
  </si>
  <si>
    <t>kappa : 1e-06 (95% CI  NA  -  0.496976848001557 )</t>
  </si>
  <si>
    <t>kappa : 1e-06 (95% CI  NA  -  0.523419248242143 )</t>
  </si>
  <si>
    <t>kappa : 1e-06 (95% CI  NA  -  0.441134033085655 )</t>
  </si>
  <si>
    <t>kappa : 1e-06 (95% CI  NA  -  0.54041797535205 )</t>
  </si>
  <si>
    <t>kappa : 1e-06 (95% CI  NA  -  0.47017419891273 )</t>
  </si>
  <si>
    <t>delta : 1 (95% CI  0.281120279868528  -  NA )</t>
  </si>
  <si>
    <t>kappa : 1e-06 (95% CI  NA  -  0.481989342393094 )</t>
  </si>
  <si>
    <t>delta : 1 (95% CI  0.291049866484358  -  NA )</t>
  </si>
  <si>
    <t>kappa : 1e-06 (95% CI  NA  -  0.542975681537226 )</t>
  </si>
  <si>
    <t>kappa : 1e-06 (95% CI  NA  -  0.400391242969396 )</t>
  </si>
  <si>
    <t>kappa : 1e-06 (95% CI  NA  -  0.64373762196662 )</t>
  </si>
  <si>
    <t>0.000474243718940595 - 0.00104514013646373</t>
  </si>
  <si>
    <t>delta : 1 (95% CI  0.220276537161554  -  NA )</t>
  </si>
  <si>
    <t>lambda : 0.516376975071692 (95% CI  NA  -  0.893317430986852 )</t>
  </si>
  <si>
    <t>0.102462078428501 - 0.222660295140797</t>
  </si>
  <si>
    <t>delta : 1 (95% CI  0.297178922035377  -  NA )</t>
  </si>
  <si>
    <t>0.0127269152328684 - 0.034718622444154</t>
  </si>
  <si>
    <t>0.00257703541469261 - 0.0308379550524436</t>
  </si>
  <si>
    <t>lambda : 0.836300304542316 (95% CI  0.0308686051992352  -  NA )</t>
  </si>
  <si>
    <t>delta : 1 (95% CI  0.295002978693883  -  NA )</t>
  </si>
  <si>
    <t>kappa : 1e-06 (95% CI  NA  -  0.400259839945169 )</t>
  </si>
  <si>
    <t>lambda : 0.52302802914611 (95% CI  0.00809888330205196  -  0.893066518748021 )</t>
  </si>
  <si>
    <t>kappa : 1e-06 (95% CI  NA  -  0.759170372708471 )</t>
  </si>
  <si>
    <t>0.000354718053836699 - 0.000814640749841414</t>
  </si>
  <si>
    <t>delta : 1 (95% CI  0.226153228244896  -  NA )</t>
  </si>
  <si>
    <t>delta : 1 (95% CI  0.297676716306271  -  NA )</t>
  </si>
  <si>
    <t>delta : 1 (95% CI  0.296565007442895  -  NA )</t>
  </si>
  <si>
    <t>delta : 1 (95% CI  0.290663545891559  -  NA )</t>
  </si>
  <si>
    <t>kappa : 1e-06 (95% CI  NA  -  0.374074001657476 )</t>
  </si>
  <si>
    <t>kappa : 1e-06 (95% CI  NA  -  0.461719708401326 )</t>
  </si>
  <si>
    <t>delta : 1 (95% CI  0.295044597231523  -  NA )</t>
  </si>
  <si>
    <t>delta : 1 (95% CI  0.30314938028236  -  NA )</t>
  </si>
  <si>
    <t>kappa : 1e-06 (95% CI  NA  -  0.687788638329812 )</t>
  </si>
  <si>
    <t>delta : 1 (95% CI  0.291399674793644  -  NA )</t>
  </si>
  <si>
    <t>kappa : 1e-06 (95% CI  NA  -  0.593550902454861 )</t>
  </si>
  <si>
    <t>delta : 1 (95% CI  0.298177826066556  -  NA )</t>
  </si>
  <si>
    <t>kappa : 1e-06 (95% CI  NA  -  0.584653604518238 )</t>
  </si>
  <si>
    <t>delta : 1 (95% CI  0.285781818653985  -  NA )</t>
  </si>
  <si>
    <t>kappa : 1e-06 (95% CI  NA  -  0.58709751354193 )</t>
  </si>
  <si>
    <t>kappa : 1e-06 (95% CI  NA  -  0.456852043216835 )</t>
  </si>
  <si>
    <t>delta : 1 (95% CI  0.29115346209552  -  NA )</t>
  </si>
  <si>
    <t>0.00360394957945922 - 0.0133579407026544</t>
  </si>
  <si>
    <t>lambda : 0.88036978157233 (95% CI  0.0288093387409877  -  NA )</t>
  </si>
  <si>
    <t>0.000259848724749362 - 0.000640069706539523</t>
  </si>
  <si>
    <t>delta : 1 (95% CI  0.232465336780991  -  NA )</t>
  </si>
  <si>
    <t>delta : 1 (95% CI  0.296549704343567  -  NA )</t>
  </si>
  <si>
    <t>delta : 1 (95% CI  0.297289353499078  -  NA )</t>
  </si>
  <si>
    <t>1.70180613964908e-05 - 0.000256336685797566</t>
  </si>
  <si>
    <t>kappa : 0.0609529045936827 (95% CI  NA  -  0.730049881763411 )</t>
  </si>
  <si>
    <t>kappa : 1e-06 (95% CI  NA  -  0.519653313221369 )</t>
  </si>
  <si>
    <t>delta : 1 (95% CI  0.294663790749036  -  NA )</t>
  </si>
  <si>
    <t>0.000390436692977157 - 0.00106902533754995</t>
  </si>
  <si>
    <t>lambda : 0.926223907233641 (95% CI  0.357310445817918  -  NA )</t>
  </si>
  <si>
    <t>kappa : 1e-06 (95% CI  NA  -  0.367466991306993 )</t>
  </si>
  <si>
    <t>kappa : 1e-06 (95% CI  NA  -  0.377105532875903 )</t>
  </si>
  <si>
    <t>kappa : 1e-06 (95% CI  NA  -  0.425694624660664 )</t>
  </si>
  <si>
    <t>delta : 1 (95% CI  0.283482322467507  -  NA )</t>
  </si>
  <si>
    <t>delta : 1 (95% CI  0.305546829279638  -  NA )</t>
  </si>
  <si>
    <t>delta : 1 (95% CI  0.296181694564284  -  NA )</t>
  </si>
  <si>
    <t>kappa : 1e-06 (95% CI  NA  -  0.393481912768849 )</t>
  </si>
  <si>
    <t>delta : 1 (95% CI  0.298207700354805  -  NA )</t>
  </si>
  <si>
    <t>kappa : 1e-06 (95% CI  NA  -  0.43338362191391 )</t>
  </si>
  <si>
    <t>kappa : 1e-06 (95% CI  NA  -  NA )</t>
  </si>
  <si>
    <t>kappa : 1e-06 (95% CI  NA  -  0.482130461795946 )</t>
  </si>
  <si>
    <t>delta : 1 (95% CI  0.308467636668605  -  NA )</t>
  </si>
  <si>
    <t>delta : 1 (95% CI  0.300895112874439  -  NA )</t>
  </si>
  <si>
    <t>kappa : 1e-06 (95% CI  NA  -  0.619755653611343 )</t>
  </si>
  <si>
    <t>delta : 1 (95% CI  0.294490890823241  -  NA )</t>
  </si>
  <si>
    <t>kappa : 1e-06 (95% CI  NA  -  0.402205809775545 )</t>
  </si>
  <si>
    <t>kappa : 1e-06 (95% CI  NA  -  0.471432840493094 )</t>
  </si>
  <si>
    <t>delta : 1 (95% CI  0.275092703373555  -  NA )</t>
  </si>
  <si>
    <t>delta : 1 (95% CI  0.303408742372615  -  NA )</t>
  </si>
  <si>
    <t>delta : 1 (95% CI  0.277619136129273  -  NA )</t>
  </si>
  <si>
    <t>delta : 1 (95% CI  0.290800594167716  -  NA )</t>
  </si>
  <si>
    <t>kappa : 1e-06 (95% CI  NA  -  0.425793780186514 )</t>
  </si>
  <si>
    <t>kappa : 1e-06 (95% CI  NA  -  0.358632215621546 )</t>
  </si>
  <si>
    <t>kappa : 1e-06 (95% CI  NA  -  0.481644900266671 )</t>
  </si>
  <si>
    <t>delta : 1 (95% CI  0.308322137137061  -  NA )</t>
  </si>
  <si>
    <t>delta : 1 (95% CI  0.303605134668668  -  NA )</t>
  </si>
  <si>
    <t>delta : 1 (95% CI  0.298896767967713  -  NA )</t>
  </si>
  <si>
    <t>kappa : 1e-06 (95% CI  NA  -  0.494939896572121 )</t>
  </si>
  <si>
    <t>kappa : 1e-06 (95% CI  NA  -  0.489491499252708 )</t>
  </si>
  <si>
    <t>kappa : 1e-06 (95% CI  NA  -  0.512247890598337 )</t>
  </si>
  <si>
    <t>delta : 1 (95% CI  0.281637750006013  -  NA )</t>
  </si>
  <si>
    <t>delta : 1 (95% CI  0.304695639010545  -  NA )</t>
  </si>
  <si>
    <t>delta : 1 (95% CI  0.293698557508506  -  NA )</t>
  </si>
  <si>
    <t>delta : 1 (95% CI  0.294325375369968  -  NA )</t>
  </si>
  <si>
    <t>delta : 1 (95% CI  0.293881290048818  -  NA )</t>
  </si>
  <si>
    <t>delta : 1 (95% CI  0.303639683018774  -  NA )</t>
  </si>
  <si>
    <t>kappa : 1e-06 (95% CI  NA  -  0.344345709939775 )</t>
  </si>
  <si>
    <t>delta : 1 (95% CI  0.286236197219079  -  NA )</t>
  </si>
  <si>
    <t>lambda : 0.353211323309834 (95% CI  NA  -  0.868922416004205 )</t>
  </si>
  <si>
    <t>delta : 1 (95% CI  0.225064068580573  -  NA )</t>
  </si>
  <si>
    <t>delta : 1 (95% CI  0.297691712554355  -  NA )</t>
  </si>
  <si>
    <t>kappa : 1e-06 (95% CI  NA  -  0.474534876905767 )</t>
  </si>
  <si>
    <t>kappa : 1e-06 (95% CI  NA  -  0.634486680758981 )</t>
  </si>
  <si>
    <t>delta : 1 (95% CI  0.19283162828543  -  NA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</si>
</sst>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Y227"/>
  <sheetViews>
    <sheetView workbookViewId="0">
      <selection activeCell="A4" sqref="A4:Y227"/>
    </sheetView>
  </sheetViews>
  <sheetFormatPr baseColWidth="10" defaultColWidth="11.1640625" defaultRowHeight="16" x14ac:dyDescent="0.2"/>
  <cols>
    <col min="3" max="3" width="10.83203125" customWidth="1"/>
  </cols>
  <sheetData>
    <row r="1" spans="1:25" ht="21" x14ac:dyDescent="0.2">
      <c r="A1" s="3" t="s">
        <v>100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102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104</v>
      </c>
      <c r="B4" t="s">
        <v>84</v>
      </c>
      <c r="C4" t="s">
        <v>105</v>
      </c>
      <c r="D4">
        <v>3.92422007248159E-2</v>
      </c>
      <c r="E4">
        <v>0.430713340125287</v>
      </c>
      <c r="F4">
        <v>0.56092900109339605</v>
      </c>
      <c r="G4">
        <v>18</v>
      </c>
      <c r="H4">
        <v>-2.0607447233487999E-3</v>
      </c>
      <c r="I4" t="s">
        <v>24</v>
      </c>
      <c r="J4" t="b">
        <v>1</v>
      </c>
      <c r="K4">
        <v>-38.9528983632934</v>
      </c>
      <c r="L4">
        <v>-38.152898363293403</v>
      </c>
      <c r="M4">
        <v>0</v>
      </c>
      <c r="N4" t="s">
        <v>25</v>
      </c>
      <c r="O4" t="s">
        <v>25</v>
      </c>
      <c r="P4" t="s">
        <v>106</v>
      </c>
      <c r="Q4">
        <f>-0.00705706831854286 - 0.00293557887184516</f>
        <v>-9.9926471903880199E-3</v>
      </c>
      <c r="R4" t="s">
        <v>26</v>
      </c>
      <c r="S4" t="s">
        <v>27</v>
      </c>
      <c r="T4" t="s">
        <v>28</v>
      </c>
      <c r="U4" t="s">
        <v>107</v>
      </c>
      <c r="V4">
        <v>0.143181948003506</v>
      </c>
      <c r="W4">
        <v>2.5491446914254999E-3</v>
      </c>
      <c r="X4" t="s">
        <v>108</v>
      </c>
      <c r="Y4" t="s">
        <v>29</v>
      </c>
    </row>
    <row r="5" spans="1:25" x14ac:dyDescent="0.2">
      <c r="A5" t="s">
        <v>104</v>
      </c>
      <c r="B5" t="s">
        <v>72</v>
      </c>
      <c r="C5" t="s">
        <v>105</v>
      </c>
      <c r="D5">
        <v>2.6897885498885E-3</v>
      </c>
      <c r="E5">
        <v>0.83805907715009897</v>
      </c>
      <c r="F5">
        <v>0.92022173177265698</v>
      </c>
      <c r="G5">
        <v>13</v>
      </c>
      <c r="H5">
        <v>-4.03307494338788E-2</v>
      </c>
      <c r="I5" t="s">
        <v>24</v>
      </c>
      <c r="J5" t="b">
        <v>1</v>
      </c>
      <c r="K5">
        <v>-38.280787018841799</v>
      </c>
      <c r="L5">
        <v>-37.480787018841802</v>
      </c>
      <c r="M5">
        <v>0</v>
      </c>
      <c r="N5" t="s">
        <v>25</v>
      </c>
      <c r="O5" t="s">
        <v>25</v>
      </c>
      <c r="P5" t="s">
        <v>109</v>
      </c>
      <c r="Q5">
        <f>-0.420860340940376 - 0.340198842072618</f>
        <v>-0.76105918301299402</v>
      </c>
      <c r="R5" t="s">
        <v>26</v>
      </c>
      <c r="S5" t="s">
        <v>27</v>
      </c>
      <c r="T5" t="s">
        <v>28</v>
      </c>
      <c r="U5" t="s">
        <v>110</v>
      </c>
      <c r="V5">
        <v>0.139445883319709</v>
      </c>
      <c r="W5">
        <v>0.19414775076862101</v>
      </c>
      <c r="X5" t="s">
        <v>108</v>
      </c>
      <c r="Y5" t="s">
        <v>29</v>
      </c>
    </row>
    <row r="6" spans="1:25" x14ac:dyDescent="0.2">
      <c r="A6" t="s">
        <v>104</v>
      </c>
      <c r="B6" t="s">
        <v>64</v>
      </c>
      <c r="C6" t="s">
        <v>105</v>
      </c>
      <c r="D6">
        <v>1.8115418967225998E-2</v>
      </c>
      <c r="E6">
        <v>0.60653402203288798</v>
      </c>
      <c r="F6">
        <v>0.70762302570503599</v>
      </c>
      <c r="G6">
        <v>17</v>
      </c>
      <c r="H6">
        <v>-3.2178653653372998E-3</v>
      </c>
      <c r="I6" t="s">
        <v>24</v>
      </c>
      <c r="J6" t="b">
        <v>1</v>
      </c>
      <c r="K6">
        <v>-36.925214256466397</v>
      </c>
      <c r="L6">
        <v>-36.0680713993236</v>
      </c>
      <c r="M6">
        <v>0</v>
      </c>
      <c r="N6" t="s">
        <v>25</v>
      </c>
      <c r="O6" t="s">
        <v>25</v>
      </c>
      <c r="P6" t="s">
        <v>111</v>
      </c>
      <c r="Q6">
        <f>-0.0152069034539625 - 0.00877117272328789</f>
        <v>-2.3978076177250389E-2</v>
      </c>
      <c r="R6" t="s">
        <v>30</v>
      </c>
      <c r="S6" t="s">
        <v>27</v>
      </c>
      <c r="T6" t="s">
        <v>28</v>
      </c>
      <c r="U6" t="s">
        <v>112</v>
      </c>
      <c r="V6">
        <v>0.14650088756260099</v>
      </c>
      <c r="W6">
        <v>6.1168561676658998E-3</v>
      </c>
      <c r="X6" t="s">
        <v>108</v>
      </c>
      <c r="Y6" t="s">
        <v>29</v>
      </c>
    </row>
    <row r="7" spans="1:25" x14ac:dyDescent="0.2">
      <c r="A7" t="s">
        <v>104</v>
      </c>
      <c r="B7" t="s">
        <v>51</v>
      </c>
      <c r="C7" t="s">
        <v>105</v>
      </c>
      <c r="D7">
        <v>4.8902897134830005E-4</v>
      </c>
      <c r="E7">
        <v>0.93059504333403298</v>
      </c>
      <c r="F7">
        <v>0.95229501699155406</v>
      </c>
      <c r="G7">
        <v>16</v>
      </c>
      <c r="H7" s="1">
        <v>4.6530147255330701E-5</v>
      </c>
      <c r="I7" t="s">
        <v>24</v>
      </c>
      <c r="J7" t="b">
        <v>1</v>
      </c>
      <c r="K7">
        <v>-38.2411102678129</v>
      </c>
      <c r="L7">
        <v>-37.441110267812903</v>
      </c>
      <c r="M7">
        <v>0</v>
      </c>
      <c r="N7" t="s">
        <v>25</v>
      </c>
      <c r="O7" t="s">
        <v>25</v>
      </c>
      <c r="P7" t="s">
        <v>113</v>
      </c>
      <c r="Q7">
        <f>-0.000984228520255539 - 0.0010772888147662</f>
        <v>-2.0615173350217392E-3</v>
      </c>
      <c r="R7" t="s">
        <v>31</v>
      </c>
      <c r="S7" t="s">
        <v>27</v>
      </c>
      <c r="T7" t="s">
        <v>28</v>
      </c>
      <c r="U7" t="s">
        <v>114</v>
      </c>
      <c r="V7">
        <v>0.13747610926720699</v>
      </c>
      <c r="W7">
        <v>5.2589727934219998E-4</v>
      </c>
      <c r="X7" t="s">
        <v>108</v>
      </c>
      <c r="Y7" t="s">
        <v>29</v>
      </c>
    </row>
    <row r="8" spans="1:25" x14ac:dyDescent="0.2">
      <c r="A8" t="s">
        <v>104</v>
      </c>
      <c r="B8" t="s">
        <v>85</v>
      </c>
      <c r="C8" t="s">
        <v>105</v>
      </c>
      <c r="D8">
        <v>0.17898859280066301</v>
      </c>
      <c r="E8">
        <v>9.0639654761899099E-2</v>
      </c>
      <c r="F8">
        <v>0.25379103333331698</v>
      </c>
      <c r="G8">
        <v>19</v>
      </c>
      <c r="H8">
        <v>5.8833771388039997E-4</v>
      </c>
      <c r="I8" t="s">
        <v>24</v>
      </c>
      <c r="J8" t="b">
        <v>1</v>
      </c>
      <c r="K8">
        <v>-39.967139231317297</v>
      </c>
      <c r="L8">
        <v>-39.1099963741745</v>
      </c>
      <c r="M8">
        <v>0</v>
      </c>
      <c r="N8" t="s">
        <v>25</v>
      </c>
      <c r="O8" t="s">
        <v>25</v>
      </c>
      <c r="P8" t="s">
        <v>115</v>
      </c>
      <c r="Q8">
        <f>-0.0000493367845768215 - 0.00122601221233776</f>
        <v>-1.2753489969145816E-3</v>
      </c>
      <c r="R8" t="s">
        <v>30</v>
      </c>
      <c r="S8" t="s">
        <v>27</v>
      </c>
      <c r="T8" t="s">
        <v>28</v>
      </c>
      <c r="U8" t="s">
        <v>116</v>
      </c>
      <c r="V8">
        <v>8.1167486891582694E-2</v>
      </c>
      <c r="W8">
        <v>3.2534413186590002E-4</v>
      </c>
      <c r="X8" t="s">
        <v>108</v>
      </c>
      <c r="Y8" t="s">
        <v>29</v>
      </c>
    </row>
    <row r="9" spans="1:25" x14ac:dyDescent="0.2">
      <c r="A9" t="s">
        <v>104</v>
      </c>
      <c r="B9" t="s">
        <v>50</v>
      </c>
      <c r="C9" t="s">
        <v>105</v>
      </c>
      <c r="D9">
        <v>0.274566472571316</v>
      </c>
      <c r="E9">
        <v>2.5610292038653799E-2</v>
      </c>
      <c r="F9">
        <v>0.110321258012662</v>
      </c>
      <c r="G9">
        <v>16</v>
      </c>
      <c r="H9">
        <v>9.3077553966679997E-4</v>
      </c>
      <c r="I9" t="s">
        <v>24</v>
      </c>
      <c r="J9" t="b">
        <v>1</v>
      </c>
      <c r="K9">
        <v>-44.010050604786898</v>
      </c>
      <c r="L9">
        <v>-43.2100506047869</v>
      </c>
      <c r="M9">
        <v>0</v>
      </c>
      <c r="N9" t="s">
        <v>25</v>
      </c>
      <c r="O9" t="s">
        <v>25</v>
      </c>
      <c r="P9" t="s">
        <v>117</v>
      </c>
      <c r="Q9" t="s">
        <v>118</v>
      </c>
      <c r="R9" t="s">
        <v>26</v>
      </c>
      <c r="S9" t="s">
        <v>27</v>
      </c>
      <c r="T9" t="s">
        <v>28</v>
      </c>
      <c r="U9" t="s">
        <v>119</v>
      </c>
      <c r="V9">
        <v>8.0063161844638603E-2</v>
      </c>
      <c r="W9">
        <v>3.7823353354329999E-4</v>
      </c>
      <c r="X9" t="s">
        <v>108</v>
      </c>
      <c r="Y9" t="s">
        <v>29</v>
      </c>
    </row>
    <row r="10" spans="1:25" x14ac:dyDescent="0.2">
      <c r="A10" t="s">
        <v>104</v>
      </c>
      <c r="B10" t="s">
        <v>69</v>
      </c>
      <c r="C10" t="s">
        <v>105</v>
      </c>
      <c r="D10">
        <v>0.325553052615285</v>
      </c>
      <c r="E10">
        <v>1.34079741037851E-2</v>
      </c>
      <c r="F10">
        <v>7.2960017586039497E-2</v>
      </c>
      <c r="G10">
        <v>7</v>
      </c>
      <c r="H10">
        <v>7.3839960277709998E-4</v>
      </c>
      <c r="I10" t="s">
        <v>24</v>
      </c>
      <c r="J10" t="b">
        <v>1</v>
      </c>
      <c r="K10">
        <v>-45.321826294119802</v>
      </c>
      <c r="L10">
        <v>-44.521826294119798</v>
      </c>
      <c r="M10">
        <v>0</v>
      </c>
      <c r="N10" t="s">
        <v>25</v>
      </c>
      <c r="O10" t="s">
        <v>25</v>
      </c>
      <c r="P10" t="s">
        <v>120</v>
      </c>
      <c r="Q10" t="s">
        <v>121</v>
      </c>
      <c r="R10" t="s">
        <v>26</v>
      </c>
      <c r="S10" t="s">
        <v>27</v>
      </c>
      <c r="T10" t="s">
        <v>28</v>
      </c>
      <c r="U10" t="s">
        <v>122</v>
      </c>
      <c r="V10">
        <v>7.9356965745439004E-2</v>
      </c>
      <c r="W10">
        <v>2.6570178605409998E-4</v>
      </c>
      <c r="X10" t="s">
        <v>108</v>
      </c>
      <c r="Y10" t="s">
        <v>29</v>
      </c>
    </row>
    <row r="11" spans="1:25" x14ac:dyDescent="0.2">
      <c r="A11" t="s">
        <v>104</v>
      </c>
      <c r="B11" t="s">
        <v>46</v>
      </c>
      <c r="C11" t="s">
        <v>105</v>
      </c>
      <c r="D11">
        <v>6.6780068355103098E-2</v>
      </c>
      <c r="E11">
        <v>0.30048790858689001</v>
      </c>
      <c r="F11">
        <v>0.45479251029367102</v>
      </c>
      <c r="G11">
        <v>19</v>
      </c>
      <c r="H11">
        <v>-0.10088147653198</v>
      </c>
      <c r="I11" t="s">
        <v>24</v>
      </c>
      <c r="J11" t="b">
        <v>1</v>
      </c>
      <c r="K11">
        <v>-39.476364445485402</v>
      </c>
      <c r="L11">
        <v>-38.676364445485397</v>
      </c>
      <c r="M11">
        <v>0</v>
      </c>
      <c r="N11" t="s">
        <v>25</v>
      </c>
      <c r="O11" t="s">
        <v>25</v>
      </c>
      <c r="P11" t="s">
        <v>123</v>
      </c>
      <c r="Q11">
        <f>-0.285670462980564 - 0.0839075099166041</f>
        <v>-0.36957797289716809</v>
      </c>
      <c r="R11" t="s">
        <v>31</v>
      </c>
      <c r="S11" t="s">
        <v>27</v>
      </c>
      <c r="T11" t="s">
        <v>28</v>
      </c>
      <c r="U11" t="s">
        <v>124</v>
      </c>
      <c r="V11">
        <v>0.14935580577115401</v>
      </c>
      <c r="W11">
        <v>9.4280095126828597E-2</v>
      </c>
      <c r="X11" t="s">
        <v>108</v>
      </c>
      <c r="Y11" t="s">
        <v>29</v>
      </c>
    </row>
    <row r="12" spans="1:25" x14ac:dyDescent="0.2">
      <c r="A12" t="s">
        <v>104</v>
      </c>
      <c r="B12" t="s">
        <v>95</v>
      </c>
      <c r="C12" t="s">
        <v>105</v>
      </c>
      <c r="D12">
        <v>5.9027400802723597E-2</v>
      </c>
      <c r="E12">
        <v>0.33133247924874198</v>
      </c>
      <c r="F12">
        <v>0.48827944310340898</v>
      </c>
      <c r="G12">
        <v>19</v>
      </c>
      <c r="H12">
        <v>-2.5115246005560001E-3</v>
      </c>
      <c r="I12" t="s">
        <v>24</v>
      </c>
      <c r="J12" t="b">
        <v>1</v>
      </c>
      <c r="K12">
        <v>-39.327448248683602</v>
      </c>
      <c r="L12">
        <v>-38.527448248683598</v>
      </c>
      <c r="M12">
        <v>0</v>
      </c>
      <c r="N12" t="s">
        <v>25</v>
      </c>
      <c r="O12" t="s">
        <v>25</v>
      </c>
      <c r="P12" t="s">
        <v>125</v>
      </c>
      <c r="Q12">
        <f>-0.00742507228414628 - 0.00240202308303417</f>
        <v>-9.8270953671804502E-3</v>
      </c>
      <c r="R12" t="s">
        <v>32</v>
      </c>
      <c r="S12" t="s">
        <v>27</v>
      </c>
      <c r="T12" t="s">
        <v>28</v>
      </c>
      <c r="U12" t="s">
        <v>126</v>
      </c>
      <c r="V12">
        <v>0.15364002730677701</v>
      </c>
      <c r="W12">
        <v>2.5069120834643999E-3</v>
      </c>
      <c r="X12" t="s">
        <v>108</v>
      </c>
      <c r="Y12" t="s">
        <v>29</v>
      </c>
    </row>
    <row r="13" spans="1:25" x14ac:dyDescent="0.2">
      <c r="A13" t="s">
        <v>104</v>
      </c>
      <c r="B13" t="s">
        <v>98</v>
      </c>
      <c r="C13" t="s">
        <v>105</v>
      </c>
      <c r="D13">
        <v>0.21717065898546101</v>
      </c>
      <c r="E13">
        <v>5.1268244475662299E-2</v>
      </c>
      <c r="F13">
        <v>0.17571979824342701</v>
      </c>
      <c r="G13">
        <v>11</v>
      </c>
      <c r="H13">
        <v>-8.4475225377936697E-2</v>
      </c>
      <c r="I13" t="s">
        <v>24</v>
      </c>
      <c r="J13" t="b">
        <v>1</v>
      </c>
      <c r="K13">
        <v>-42.639435709797397</v>
      </c>
      <c r="L13">
        <v>-41.839435709797399</v>
      </c>
      <c r="M13">
        <v>0</v>
      </c>
      <c r="N13" t="s">
        <v>25</v>
      </c>
      <c r="O13" t="s">
        <v>25</v>
      </c>
      <c r="P13" t="s">
        <v>127</v>
      </c>
      <c r="Q13">
        <f>-0.163063619062419 - -0.00588683169345443</f>
        <v>-0.15717678736896457</v>
      </c>
      <c r="R13" t="s">
        <v>26</v>
      </c>
      <c r="S13" t="s">
        <v>27</v>
      </c>
      <c r="T13" t="s">
        <v>28</v>
      </c>
      <c r="U13" t="s">
        <v>128</v>
      </c>
      <c r="V13">
        <v>0.156939520677502</v>
      </c>
      <c r="W13">
        <v>4.0096119226776701E-2</v>
      </c>
      <c r="X13" t="s">
        <v>108</v>
      </c>
      <c r="Y13" t="s">
        <v>29</v>
      </c>
    </row>
    <row r="14" spans="1:25" x14ac:dyDescent="0.2">
      <c r="A14" t="s">
        <v>104</v>
      </c>
      <c r="B14" t="s">
        <v>48</v>
      </c>
      <c r="C14" t="s">
        <v>105</v>
      </c>
      <c r="D14">
        <v>9.6753962609581398E-2</v>
      </c>
      <c r="E14">
        <v>0.208972011626475</v>
      </c>
      <c r="F14">
        <v>0.37749782745427701</v>
      </c>
      <c r="G14">
        <v>4</v>
      </c>
      <c r="H14">
        <v>-4.2475620300735E-3</v>
      </c>
      <c r="I14" t="s">
        <v>24</v>
      </c>
      <c r="J14" t="b">
        <v>1</v>
      </c>
      <c r="K14">
        <v>-40.063990921667703</v>
      </c>
      <c r="L14">
        <v>-39.263990921667698</v>
      </c>
      <c r="M14">
        <v>0</v>
      </c>
      <c r="N14" t="s">
        <v>25</v>
      </c>
      <c r="O14" t="s">
        <v>25</v>
      </c>
      <c r="P14" t="s">
        <v>129</v>
      </c>
      <c r="Q14">
        <f>-0.0106067909934169 - 0.00211166693326983</f>
        <v>-1.271845792668673E-2</v>
      </c>
      <c r="R14" t="s">
        <v>32</v>
      </c>
      <c r="S14" t="s">
        <v>27</v>
      </c>
      <c r="T14" t="s">
        <v>28</v>
      </c>
      <c r="U14" t="s">
        <v>130</v>
      </c>
      <c r="V14">
        <v>0.14941423653727101</v>
      </c>
      <c r="W14">
        <v>3.2445045731343001E-3</v>
      </c>
      <c r="X14" t="s">
        <v>108</v>
      </c>
      <c r="Y14" t="s">
        <v>29</v>
      </c>
    </row>
    <row r="15" spans="1:25" x14ac:dyDescent="0.2">
      <c r="A15" t="s">
        <v>104</v>
      </c>
      <c r="B15" t="s">
        <v>57</v>
      </c>
      <c r="C15" t="s">
        <v>105</v>
      </c>
      <c r="D15">
        <v>4.2498152888800002E-4</v>
      </c>
      <c r="E15">
        <v>0.93528974883099103</v>
      </c>
      <c r="F15">
        <v>0.95229501699155406</v>
      </c>
      <c r="G15">
        <v>14</v>
      </c>
      <c r="H15" s="1">
        <v>-7.5180167049725E-5</v>
      </c>
      <c r="I15" t="s">
        <v>24</v>
      </c>
      <c r="J15" t="b">
        <v>1</v>
      </c>
      <c r="K15">
        <v>-38.239956886747002</v>
      </c>
      <c r="L15">
        <v>-37.439956886746998</v>
      </c>
      <c r="M15">
        <v>0</v>
      </c>
      <c r="N15" t="s">
        <v>25</v>
      </c>
      <c r="O15" t="s">
        <v>25</v>
      </c>
      <c r="P15" t="s">
        <v>131</v>
      </c>
      <c r="Q15">
        <f>-0.00186175838989965 - 0.0017113980558002</f>
        <v>-3.5731564456998499E-3</v>
      </c>
      <c r="R15" t="s">
        <v>26</v>
      </c>
      <c r="S15" t="s">
        <v>27</v>
      </c>
      <c r="T15" t="s">
        <v>28</v>
      </c>
      <c r="U15" t="s">
        <v>132</v>
      </c>
      <c r="V15">
        <v>0.13884026460335999</v>
      </c>
      <c r="W15">
        <v>9.1151950145400003E-4</v>
      </c>
      <c r="X15" t="s">
        <v>108</v>
      </c>
      <c r="Y15" t="s">
        <v>29</v>
      </c>
    </row>
    <row r="16" spans="1:25" x14ac:dyDescent="0.2">
      <c r="A16" t="s">
        <v>104</v>
      </c>
      <c r="B16" t="s">
        <v>55</v>
      </c>
      <c r="C16" t="s">
        <v>105</v>
      </c>
      <c r="D16">
        <v>0.33559481862200902</v>
      </c>
      <c r="E16">
        <v>1.17540181223297E-2</v>
      </c>
      <c r="F16">
        <v>7.2960017586039497E-2</v>
      </c>
      <c r="G16">
        <v>18</v>
      </c>
      <c r="H16">
        <v>-6.1266363606245003E-3</v>
      </c>
      <c r="I16" t="s">
        <v>24</v>
      </c>
      <c r="J16" t="b">
        <v>1</v>
      </c>
      <c r="K16">
        <v>-45.591841441725002</v>
      </c>
      <c r="L16">
        <v>-44.791841441724998</v>
      </c>
      <c r="M16">
        <v>0</v>
      </c>
      <c r="N16" t="s">
        <v>25</v>
      </c>
      <c r="O16" t="s">
        <v>25</v>
      </c>
      <c r="P16" t="s">
        <v>133</v>
      </c>
      <c r="Q16">
        <f>-0.0103506670602145 - -0.00190260566103462</f>
        <v>-8.4480613991798799E-3</v>
      </c>
      <c r="R16" t="s">
        <v>32</v>
      </c>
      <c r="S16" t="s">
        <v>27</v>
      </c>
      <c r="T16" t="s">
        <v>28</v>
      </c>
      <c r="U16" t="s">
        <v>134</v>
      </c>
      <c r="V16">
        <v>0.17480015418862699</v>
      </c>
      <c r="W16">
        <v>2.1551177038723998E-3</v>
      </c>
      <c r="X16" t="s">
        <v>108</v>
      </c>
      <c r="Y16" t="s">
        <v>29</v>
      </c>
    </row>
    <row r="17" spans="1:25" x14ac:dyDescent="0.2">
      <c r="A17" t="s">
        <v>104</v>
      </c>
      <c r="B17" t="s">
        <v>70</v>
      </c>
      <c r="C17" t="s">
        <v>105</v>
      </c>
      <c r="D17">
        <v>2.6826362147595699E-2</v>
      </c>
      <c r="E17">
        <v>0.52991241238016895</v>
      </c>
      <c r="F17">
        <v>0.63138500198488201</v>
      </c>
      <c r="G17">
        <v>12</v>
      </c>
      <c r="H17">
        <v>4.0550037460099003E-3</v>
      </c>
      <c r="I17" t="s">
        <v>24</v>
      </c>
      <c r="J17" t="b">
        <v>1</v>
      </c>
      <c r="K17">
        <v>-37.076705411662999</v>
      </c>
      <c r="L17">
        <v>-36.219562554520202</v>
      </c>
      <c r="M17">
        <v>0</v>
      </c>
      <c r="N17" t="s">
        <v>25</v>
      </c>
      <c r="O17" t="s">
        <v>25</v>
      </c>
      <c r="P17" t="s">
        <v>135</v>
      </c>
      <c r="Q17">
        <f>-0.00830492530921276 - 0.0164149328012328</f>
        <v>-2.471985811044556E-2</v>
      </c>
      <c r="R17" t="s">
        <v>30</v>
      </c>
      <c r="S17" t="s">
        <v>27</v>
      </c>
      <c r="T17" t="s">
        <v>28</v>
      </c>
      <c r="U17" t="s">
        <v>136</v>
      </c>
      <c r="V17">
        <v>0.14025210593481299</v>
      </c>
      <c r="W17">
        <v>6.3060862526646E-3</v>
      </c>
      <c r="X17" t="s">
        <v>108</v>
      </c>
      <c r="Y17" t="s">
        <v>29</v>
      </c>
    </row>
    <row r="18" spans="1:25" x14ac:dyDescent="0.2">
      <c r="A18" t="s">
        <v>104</v>
      </c>
      <c r="B18" t="s">
        <v>68</v>
      </c>
      <c r="C18" t="s">
        <v>105</v>
      </c>
      <c r="D18">
        <v>0.138595140649139</v>
      </c>
      <c r="E18">
        <v>0.128165855224051</v>
      </c>
      <c r="F18">
        <v>0.29905366218945201</v>
      </c>
      <c r="G18">
        <v>16</v>
      </c>
      <c r="H18">
        <v>5.5490630873919998E-4</v>
      </c>
      <c r="I18" t="s">
        <v>24</v>
      </c>
      <c r="J18" t="b">
        <v>1</v>
      </c>
      <c r="K18">
        <v>-40.9177375660447</v>
      </c>
      <c r="L18">
        <v>-40.117737566044802</v>
      </c>
      <c r="M18">
        <v>0</v>
      </c>
      <c r="N18" t="s">
        <v>25</v>
      </c>
      <c r="O18" t="s">
        <v>25</v>
      </c>
      <c r="P18" t="s">
        <v>137</v>
      </c>
      <c r="Q18">
        <f>-0.000122962107326229 - 0.00123277472480465</f>
        <v>-1.3557368321308789E-3</v>
      </c>
      <c r="R18" t="s">
        <v>31</v>
      </c>
      <c r="S18" t="s">
        <v>27</v>
      </c>
      <c r="T18" t="s">
        <v>28</v>
      </c>
      <c r="U18" t="s">
        <v>138</v>
      </c>
      <c r="V18">
        <v>0.108704150859876</v>
      </c>
      <c r="W18">
        <v>3.4585123268639998E-4</v>
      </c>
      <c r="X18" t="s">
        <v>108</v>
      </c>
      <c r="Y18" t="s">
        <v>29</v>
      </c>
    </row>
    <row r="19" spans="1:25" x14ac:dyDescent="0.2">
      <c r="A19" t="s">
        <v>104</v>
      </c>
      <c r="B19" t="s">
        <v>80</v>
      </c>
      <c r="C19" t="s">
        <v>105</v>
      </c>
      <c r="D19">
        <v>5.394447411376E-4</v>
      </c>
      <c r="E19">
        <v>0.92711374784204004</v>
      </c>
      <c r="F19">
        <v>0.95229501699155406</v>
      </c>
      <c r="G19">
        <v>4</v>
      </c>
      <c r="H19">
        <v>3.9720817148959997E-3</v>
      </c>
      <c r="I19" t="s">
        <v>24</v>
      </c>
      <c r="J19" t="b">
        <v>1</v>
      </c>
      <c r="K19">
        <v>-38.242018218570998</v>
      </c>
      <c r="L19">
        <v>-37.442018218571</v>
      </c>
      <c r="M19">
        <v>0</v>
      </c>
      <c r="N19" t="s">
        <v>25</v>
      </c>
      <c r="O19" t="s">
        <v>25</v>
      </c>
      <c r="P19" t="s">
        <v>139</v>
      </c>
      <c r="Q19">
        <f>-0.0798046863202802 - 0.0877488497500724</f>
        <v>-0.16755353607035262</v>
      </c>
      <c r="R19" t="s">
        <v>26</v>
      </c>
      <c r="S19" t="s">
        <v>27</v>
      </c>
      <c r="T19" t="s">
        <v>28</v>
      </c>
      <c r="U19" t="s">
        <v>140</v>
      </c>
      <c r="V19">
        <v>0.13747720757113899</v>
      </c>
      <c r="W19">
        <v>4.2743248997538903E-2</v>
      </c>
      <c r="X19" t="s">
        <v>108</v>
      </c>
      <c r="Y19" t="s">
        <v>29</v>
      </c>
    </row>
    <row r="20" spans="1:25" x14ac:dyDescent="0.2">
      <c r="A20" t="s">
        <v>104</v>
      </c>
      <c r="B20" t="s">
        <v>93</v>
      </c>
      <c r="C20" t="s">
        <v>105</v>
      </c>
      <c r="D20">
        <v>0.36248354631690199</v>
      </c>
      <c r="E20">
        <v>8.1978343787553996E-3</v>
      </c>
      <c r="F20">
        <v>5.8666021162680403E-2</v>
      </c>
      <c r="G20">
        <v>15</v>
      </c>
      <c r="H20">
        <v>4.2103582256020002E-4</v>
      </c>
      <c r="I20" t="s">
        <v>34</v>
      </c>
      <c r="J20" t="b">
        <v>1</v>
      </c>
      <c r="K20">
        <v>-40.3384219887431</v>
      </c>
      <c r="L20">
        <v>-39.538421988743103</v>
      </c>
      <c r="M20">
        <v>0</v>
      </c>
      <c r="N20" t="s">
        <v>25</v>
      </c>
      <c r="O20" t="s">
        <v>25</v>
      </c>
      <c r="P20" t="s">
        <v>141</v>
      </c>
      <c r="Q20" t="s">
        <v>142</v>
      </c>
      <c r="R20" t="s">
        <v>32</v>
      </c>
      <c r="S20" t="s">
        <v>35</v>
      </c>
      <c r="T20" t="s">
        <v>36</v>
      </c>
      <c r="U20" t="s">
        <v>143</v>
      </c>
      <c r="V20">
        <v>0.12326671941964</v>
      </c>
      <c r="W20">
        <v>1.3959202475880001E-4</v>
      </c>
      <c r="X20" t="s">
        <v>108</v>
      </c>
      <c r="Y20" t="s">
        <v>29</v>
      </c>
    </row>
    <row r="21" spans="1:25" x14ac:dyDescent="0.2">
      <c r="A21" t="s">
        <v>104</v>
      </c>
      <c r="B21" t="s">
        <v>92</v>
      </c>
      <c r="C21" t="s">
        <v>105</v>
      </c>
      <c r="D21">
        <v>0.56120112811924805</v>
      </c>
      <c r="E21">
        <v>3.4621671150779999E-4</v>
      </c>
      <c r="F21">
        <v>1.9388135844436799E-2</v>
      </c>
      <c r="G21">
        <v>9</v>
      </c>
      <c r="H21">
        <v>-5.3892198220868003E-3</v>
      </c>
      <c r="I21" t="s">
        <v>24</v>
      </c>
      <c r="J21" t="b">
        <v>1</v>
      </c>
      <c r="K21">
        <v>-53.059159780342902</v>
      </c>
      <c r="L21">
        <v>-52.259159780342898</v>
      </c>
      <c r="M21">
        <v>0</v>
      </c>
      <c r="N21" t="s">
        <v>25</v>
      </c>
      <c r="O21" t="s">
        <v>25</v>
      </c>
      <c r="P21" t="s">
        <v>144</v>
      </c>
      <c r="Q21">
        <f>-0.00772426593771398 - -0.00305417370645974</f>
        <v>-4.6700922312542404E-3</v>
      </c>
      <c r="R21" t="s">
        <v>26</v>
      </c>
      <c r="S21" t="s">
        <v>27</v>
      </c>
      <c r="T21" t="s">
        <v>28</v>
      </c>
      <c r="U21" t="s">
        <v>145</v>
      </c>
      <c r="V21">
        <v>0.19736441267704699</v>
      </c>
      <c r="W21">
        <v>1.1913500589934001E-3</v>
      </c>
      <c r="X21" t="s">
        <v>108</v>
      </c>
      <c r="Y21" t="s">
        <v>29</v>
      </c>
    </row>
    <row r="22" spans="1:25" x14ac:dyDescent="0.2">
      <c r="A22" t="s">
        <v>104</v>
      </c>
      <c r="B22" t="s">
        <v>99</v>
      </c>
      <c r="C22" t="s">
        <v>105</v>
      </c>
      <c r="D22">
        <v>0.44584530677893303</v>
      </c>
      <c r="E22">
        <v>3.4006112506061999E-3</v>
      </c>
      <c r="F22">
        <v>3.8086846006789403E-2</v>
      </c>
      <c r="G22">
        <v>19</v>
      </c>
      <c r="H22">
        <v>7.3504202796509995E-4</v>
      </c>
      <c r="I22" t="s">
        <v>24</v>
      </c>
      <c r="J22" t="b">
        <v>1</v>
      </c>
      <c r="K22">
        <v>-46.649722377049002</v>
      </c>
      <c r="L22">
        <v>-45.792579519906099</v>
      </c>
      <c r="M22">
        <v>0</v>
      </c>
      <c r="N22" t="s">
        <v>25</v>
      </c>
      <c r="O22" t="s">
        <v>25</v>
      </c>
      <c r="P22" t="s">
        <v>146</v>
      </c>
      <c r="Q22" t="s">
        <v>147</v>
      </c>
      <c r="R22" t="s">
        <v>30</v>
      </c>
      <c r="S22" t="s">
        <v>27</v>
      </c>
      <c r="T22" t="s">
        <v>28</v>
      </c>
      <c r="U22" t="s">
        <v>148</v>
      </c>
      <c r="V22">
        <v>4.6721606418495203E-2</v>
      </c>
      <c r="W22">
        <v>2.115874723006E-4</v>
      </c>
      <c r="X22" t="s">
        <v>108</v>
      </c>
      <c r="Y22" t="s">
        <v>29</v>
      </c>
    </row>
    <row r="23" spans="1:25" x14ac:dyDescent="0.2">
      <c r="A23" t="s">
        <v>104</v>
      </c>
      <c r="B23" t="s">
        <v>81</v>
      </c>
      <c r="C23" t="s">
        <v>105</v>
      </c>
      <c r="D23">
        <v>0.18723899522558399</v>
      </c>
      <c r="E23">
        <v>7.2882180022730406E-2</v>
      </c>
      <c r="F23">
        <v>0.22558074213665599</v>
      </c>
      <c r="G23">
        <v>8</v>
      </c>
      <c r="H23">
        <v>-6.6877897496774905E-2</v>
      </c>
      <c r="I23" t="s">
        <v>24</v>
      </c>
      <c r="J23" t="b">
        <v>1</v>
      </c>
      <c r="K23">
        <v>-41.964032828211202</v>
      </c>
      <c r="L23">
        <v>-41.164032828211198</v>
      </c>
      <c r="M23">
        <v>0</v>
      </c>
      <c r="N23" t="s">
        <v>25</v>
      </c>
      <c r="O23" t="s">
        <v>25</v>
      </c>
      <c r="P23" t="s">
        <v>149</v>
      </c>
      <c r="Q23">
        <f>-0.13515293850529 - 0.00139714351173992</f>
        <v>-0.13655008201702992</v>
      </c>
      <c r="R23" t="s">
        <v>31</v>
      </c>
      <c r="S23" t="s">
        <v>27</v>
      </c>
      <c r="T23" t="s">
        <v>28</v>
      </c>
      <c r="U23" t="s">
        <v>150</v>
      </c>
      <c r="V23">
        <v>0.157215706219622</v>
      </c>
      <c r="W23">
        <v>3.4834204596181001E-2</v>
      </c>
      <c r="X23" t="s">
        <v>108</v>
      </c>
      <c r="Y23" t="s">
        <v>29</v>
      </c>
    </row>
    <row r="24" spans="1:25" x14ac:dyDescent="0.2">
      <c r="A24" t="s">
        <v>104</v>
      </c>
      <c r="B24" t="s">
        <v>79</v>
      </c>
      <c r="C24" t="s">
        <v>105</v>
      </c>
      <c r="D24">
        <v>0.213817882942544</v>
      </c>
      <c r="E24">
        <v>5.3343510181040402E-2</v>
      </c>
      <c r="F24">
        <v>0.17571979824342701</v>
      </c>
      <c r="G24">
        <v>13</v>
      </c>
      <c r="H24">
        <v>6.2160555960180002E-4</v>
      </c>
      <c r="I24" t="s">
        <v>24</v>
      </c>
      <c r="J24" t="b">
        <v>1</v>
      </c>
      <c r="K24">
        <v>-42.562508214692897</v>
      </c>
      <c r="L24">
        <v>-41.7625082146929</v>
      </c>
      <c r="M24">
        <v>0</v>
      </c>
      <c r="N24" t="s">
        <v>25</v>
      </c>
      <c r="O24" t="s">
        <v>25</v>
      </c>
      <c r="P24" t="s">
        <v>151</v>
      </c>
      <c r="Q24" t="s">
        <v>152</v>
      </c>
      <c r="R24" t="s">
        <v>31</v>
      </c>
      <c r="S24" t="s">
        <v>27</v>
      </c>
      <c r="T24" t="s">
        <v>28</v>
      </c>
      <c r="U24" t="s">
        <v>153</v>
      </c>
      <c r="V24">
        <v>9.8843771575570796E-2</v>
      </c>
      <c r="W24">
        <v>2.979850436179E-4</v>
      </c>
      <c r="X24" t="s">
        <v>108</v>
      </c>
      <c r="Y24" t="s">
        <v>29</v>
      </c>
    </row>
    <row r="25" spans="1:25" x14ac:dyDescent="0.2">
      <c r="A25" t="s">
        <v>104</v>
      </c>
      <c r="B25" t="s">
        <v>94</v>
      </c>
      <c r="C25" t="s">
        <v>105</v>
      </c>
      <c r="D25">
        <v>0.30688905731452598</v>
      </c>
      <c r="E25">
        <v>2.1034640205444401E-2</v>
      </c>
      <c r="F25">
        <v>9.8161654292073797E-2</v>
      </c>
      <c r="G25">
        <v>19</v>
      </c>
      <c r="H25">
        <v>9.5635438029659996E-4</v>
      </c>
      <c r="I25" t="s">
        <v>24</v>
      </c>
      <c r="J25" t="b">
        <v>1</v>
      </c>
      <c r="K25">
        <v>-42.846036986889203</v>
      </c>
      <c r="L25">
        <v>-41.988894129746399</v>
      </c>
      <c r="M25">
        <v>0</v>
      </c>
      <c r="N25" t="s">
        <v>25</v>
      </c>
      <c r="O25" t="s">
        <v>25</v>
      </c>
      <c r="P25" t="s">
        <v>154</v>
      </c>
      <c r="Q25" t="s">
        <v>155</v>
      </c>
      <c r="R25" t="s">
        <v>30</v>
      </c>
      <c r="S25" t="s">
        <v>27</v>
      </c>
      <c r="T25" t="s">
        <v>28</v>
      </c>
      <c r="U25" t="s">
        <v>156</v>
      </c>
      <c r="V25">
        <v>4.8583648163112197E-2</v>
      </c>
      <c r="W25">
        <v>3.7109397046189999E-4</v>
      </c>
      <c r="X25" t="s">
        <v>108</v>
      </c>
      <c r="Y25" t="s">
        <v>29</v>
      </c>
    </row>
    <row r="26" spans="1:25" x14ac:dyDescent="0.2">
      <c r="A26" t="s">
        <v>104</v>
      </c>
      <c r="B26" t="s">
        <v>90</v>
      </c>
      <c r="C26" t="s">
        <v>105</v>
      </c>
      <c r="D26">
        <v>7.1905080028109206E-2</v>
      </c>
      <c r="E26">
        <v>0.28199261613427401</v>
      </c>
      <c r="F26">
        <v>0.45118818581483799</v>
      </c>
      <c r="G26">
        <v>14</v>
      </c>
      <c r="H26">
        <v>-1.1885272194702E-3</v>
      </c>
      <c r="I26" t="s">
        <v>24</v>
      </c>
      <c r="J26" t="b">
        <v>1</v>
      </c>
      <c r="K26">
        <v>-39.439773329247501</v>
      </c>
      <c r="L26">
        <v>-38.639773329247497</v>
      </c>
      <c r="M26">
        <v>0</v>
      </c>
      <c r="N26" t="s">
        <v>25</v>
      </c>
      <c r="O26" t="s">
        <v>25</v>
      </c>
      <c r="P26" t="s">
        <v>157</v>
      </c>
      <c r="Q26">
        <f>-0.00328081598497578 - 0.000903761546035352</f>
        <v>-4.1845775310111319E-3</v>
      </c>
      <c r="R26" t="s">
        <v>26</v>
      </c>
      <c r="S26" t="s">
        <v>27</v>
      </c>
      <c r="T26" t="s">
        <v>28</v>
      </c>
      <c r="U26" t="s">
        <v>158</v>
      </c>
      <c r="V26">
        <v>0.142124189115854</v>
      </c>
      <c r="W26">
        <v>1.067494268115E-3</v>
      </c>
      <c r="X26" t="s">
        <v>108</v>
      </c>
      <c r="Y26" t="s">
        <v>29</v>
      </c>
    </row>
    <row r="27" spans="1:25" x14ac:dyDescent="0.2">
      <c r="A27" t="s">
        <v>104</v>
      </c>
      <c r="B27" t="s">
        <v>88</v>
      </c>
      <c r="C27" t="s">
        <v>105</v>
      </c>
      <c r="D27">
        <v>5.1113318028080598E-2</v>
      </c>
      <c r="E27">
        <v>0.36701153293128502</v>
      </c>
      <c r="F27">
        <v>0.513816146103799</v>
      </c>
      <c r="G27">
        <v>18</v>
      </c>
      <c r="H27">
        <v>-1.5468531491789001E-3</v>
      </c>
      <c r="I27" t="s">
        <v>24</v>
      </c>
      <c r="J27" t="b">
        <v>1</v>
      </c>
      <c r="K27">
        <v>-38.861208458587001</v>
      </c>
      <c r="L27">
        <v>-38.061208458586997</v>
      </c>
      <c r="M27">
        <v>0</v>
      </c>
      <c r="N27" t="s">
        <v>25</v>
      </c>
      <c r="O27" t="s">
        <v>25</v>
      </c>
      <c r="P27" t="s">
        <v>159</v>
      </c>
      <c r="Q27">
        <f>-0.0048126209620774 - 0.00171891466371953</f>
        <v>-6.5315356257969297E-3</v>
      </c>
      <c r="R27" t="s">
        <v>32</v>
      </c>
      <c r="S27" t="s">
        <v>27</v>
      </c>
      <c r="T27" t="s">
        <v>28</v>
      </c>
      <c r="U27" t="s">
        <v>160</v>
      </c>
      <c r="V27">
        <v>0.146045100187218</v>
      </c>
      <c r="W27">
        <v>1.6662080678053E-3</v>
      </c>
      <c r="X27" t="s">
        <v>108</v>
      </c>
      <c r="Y27" t="s">
        <v>29</v>
      </c>
    </row>
    <row r="28" spans="1:25" x14ac:dyDescent="0.2">
      <c r="A28" t="s">
        <v>104</v>
      </c>
      <c r="B28" t="s">
        <v>96</v>
      </c>
      <c r="C28" t="s">
        <v>105</v>
      </c>
      <c r="D28">
        <v>7.3595145470419995E-4</v>
      </c>
      <c r="E28">
        <v>0.91490623266664395</v>
      </c>
      <c r="F28">
        <v>0.95229501699155406</v>
      </c>
      <c r="G28">
        <v>4</v>
      </c>
      <c r="H28" s="1">
        <v>-6.1938258061638101E-5</v>
      </c>
      <c r="I28" t="s">
        <v>24</v>
      </c>
      <c r="J28" t="b">
        <v>1</v>
      </c>
      <c r="K28">
        <v>-38.245557596481198</v>
      </c>
      <c r="L28">
        <v>-37.445557596481201</v>
      </c>
      <c r="M28">
        <v>0</v>
      </c>
      <c r="N28" t="s">
        <v>25</v>
      </c>
      <c r="O28" t="s">
        <v>25</v>
      </c>
      <c r="P28" t="s">
        <v>161</v>
      </c>
      <c r="Q28">
        <f>-0.00118026990403841 - 0.00105639338791513</f>
        <v>-2.2366632919535402E-3</v>
      </c>
      <c r="R28" t="s">
        <v>32</v>
      </c>
      <c r="S28" t="s">
        <v>27</v>
      </c>
      <c r="T28" t="s">
        <v>28</v>
      </c>
      <c r="U28" t="s">
        <v>162</v>
      </c>
      <c r="V28">
        <v>0.13991630231483099</v>
      </c>
      <c r="W28">
        <v>5.7057737039629996E-4</v>
      </c>
      <c r="X28" t="s">
        <v>108</v>
      </c>
      <c r="Y28" t="s">
        <v>29</v>
      </c>
    </row>
    <row r="29" spans="1:25" x14ac:dyDescent="0.2">
      <c r="A29" t="s">
        <v>104</v>
      </c>
      <c r="B29" t="s">
        <v>43</v>
      </c>
      <c r="C29" t="s">
        <v>105</v>
      </c>
      <c r="D29">
        <v>0.40889833583889501</v>
      </c>
      <c r="E29">
        <v>4.2704794300905003E-3</v>
      </c>
      <c r="F29">
        <v>3.9857808014178001E-2</v>
      </c>
      <c r="G29">
        <v>15</v>
      </c>
      <c r="H29">
        <v>5.6224821469939997E-4</v>
      </c>
      <c r="I29" t="s">
        <v>34</v>
      </c>
      <c r="J29" t="b">
        <v>1</v>
      </c>
      <c r="K29">
        <v>-41.381235854632997</v>
      </c>
      <c r="L29">
        <v>-40.581235854633</v>
      </c>
      <c r="M29">
        <v>0</v>
      </c>
      <c r="N29" t="s">
        <v>25</v>
      </c>
      <c r="O29" t="s">
        <v>25</v>
      </c>
      <c r="P29" t="s">
        <v>163</v>
      </c>
      <c r="Q29" t="s">
        <v>164</v>
      </c>
      <c r="R29" t="s">
        <v>31</v>
      </c>
      <c r="S29" t="s">
        <v>35</v>
      </c>
      <c r="T29" t="s">
        <v>36</v>
      </c>
      <c r="U29" t="s">
        <v>165</v>
      </c>
      <c r="V29">
        <v>0.123727662764856</v>
      </c>
      <c r="W29">
        <v>1.6900187123750001E-4</v>
      </c>
      <c r="X29" t="s">
        <v>108</v>
      </c>
      <c r="Y29" t="s">
        <v>29</v>
      </c>
    </row>
    <row r="30" spans="1:25" x14ac:dyDescent="0.2">
      <c r="A30" t="s">
        <v>104</v>
      </c>
      <c r="B30" t="s">
        <v>73</v>
      </c>
      <c r="C30" t="s">
        <v>105</v>
      </c>
      <c r="D30" s="1">
        <v>2.8515549675774001E-5</v>
      </c>
      <c r="E30">
        <v>0.98322237137796098</v>
      </c>
      <c r="F30">
        <v>0.98322237137796098</v>
      </c>
      <c r="G30">
        <v>9</v>
      </c>
      <c r="H30" s="1">
        <v>-6.7864889301085001E-5</v>
      </c>
      <c r="I30" t="s">
        <v>24</v>
      </c>
      <c r="J30" t="b">
        <v>1</v>
      </c>
      <c r="K30">
        <v>-38.232818880495202</v>
      </c>
      <c r="L30">
        <v>-37.432818880495198</v>
      </c>
      <c r="M30">
        <v>0</v>
      </c>
      <c r="N30" t="s">
        <v>25</v>
      </c>
      <c r="O30" t="s">
        <v>25</v>
      </c>
      <c r="P30" t="s">
        <v>166</v>
      </c>
      <c r="Q30">
        <f>-0.00629508417240255 - 0.00615935439380038</f>
        <v>-1.245443856620293E-2</v>
      </c>
      <c r="R30" t="s">
        <v>26</v>
      </c>
      <c r="S30" t="s">
        <v>27</v>
      </c>
      <c r="T30" t="s">
        <v>28</v>
      </c>
      <c r="U30" t="s">
        <v>167</v>
      </c>
      <c r="V30">
        <v>0.13871335757599301</v>
      </c>
      <c r="W30">
        <v>3.1771526954599001E-3</v>
      </c>
      <c r="X30" t="s">
        <v>108</v>
      </c>
      <c r="Y30" t="s">
        <v>29</v>
      </c>
    </row>
    <row r="31" spans="1:25" x14ac:dyDescent="0.2">
      <c r="A31" t="s">
        <v>104</v>
      </c>
      <c r="B31" t="s">
        <v>54</v>
      </c>
      <c r="C31" t="s">
        <v>105</v>
      </c>
      <c r="D31">
        <v>2.8460085545167998E-3</v>
      </c>
      <c r="E31">
        <v>0.83348326380117399</v>
      </c>
      <c r="F31">
        <v>0.92022173177265698</v>
      </c>
      <c r="G31">
        <v>10</v>
      </c>
      <c r="H31">
        <v>2.8557889579463999E-3</v>
      </c>
      <c r="I31" t="s">
        <v>24</v>
      </c>
      <c r="J31" t="b">
        <v>1</v>
      </c>
      <c r="K31">
        <v>-38.283606783754102</v>
      </c>
      <c r="L31">
        <v>-37.483606783754098</v>
      </c>
      <c r="M31">
        <v>0</v>
      </c>
      <c r="N31" t="s">
        <v>25</v>
      </c>
      <c r="O31" t="s">
        <v>25</v>
      </c>
      <c r="P31" t="s">
        <v>168</v>
      </c>
      <c r="Q31">
        <f>-0.0233372087838347 - 0.0290487866997275</f>
        <v>-5.2385995483562202E-2</v>
      </c>
      <c r="R31" t="s">
        <v>32</v>
      </c>
      <c r="S31" t="s">
        <v>27</v>
      </c>
      <c r="T31" t="s">
        <v>28</v>
      </c>
      <c r="U31" t="s">
        <v>169</v>
      </c>
      <c r="V31">
        <v>0.13680002047468101</v>
      </c>
      <c r="W31">
        <v>1.3363774358051601E-2</v>
      </c>
      <c r="X31" t="s">
        <v>108</v>
      </c>
      <c r="Y31" t="s">
        <v>29</v>
      </c>
    </row>
    <row r="32" spans="1:25" x14ac:dyDescent="0.2">
      <c r="A32" t="s">
        <v>104</v>
      </c>
      <c r="B32" t="s">
        <v>74</v>
      </c>
      <c r="C32" t="s">
        <v>105</v>
      </c>
      <c r="D32">
        <v>2.5326022727645701E-2</v>
      </c>
      <c r="E32">
        <v>0.52820503116636197</v>
      </c>
      <c r="F32">
        <v>0.63138500198488201</v>
      </c>
      <c r="G32">
        <v>19</v>
      </c>
      <c r="H32">
        <v>1.929229307212E-4</v>
      </c>
      <c r="I32" t="s">
        <v>24</v>
      </c>
      <c r="J32" t="b">
        <v>1</v>
      </c>
      <c r="K32">
        <v>-38.694046024653602</v>
      </c>
      <c r="L32">
        <v>-37.894046024653598</v>
      </c>
      <c r="M32">
        <v>0</v>
      </c>
      <c r="N32" t="s">
        <v>25</v>
      </c>
      <c r="O32" t="s">
        <v>25</v>
      </c>
      <c r="P32" t="s">
        <v>170</v>
      </c>
      <c r="Q32">
        <f>-0.000393520492456557 - 0.000779366353898968</f>
        <v>-1.1728868463555251E-3</v>
      </c>
      <c r="R32" t="s">
        <v>32</v>
      </c>
      <c r="S32" t="s">
        <v>27</v>
      </c>
      <c r="T32" t="s">
        <v>28</v>
      </c>
      <c r="U32" t="s">
        <v>171</v>
      </c>
      <c r="V32">
        <v>0.12885848278916201</v>
      </c>
      <c r="W32">
        <v>2.9920582815190001E-4</v>
      </c>
      <c r="X32" t="s">
        <v>108</v>
      </c>
      <c r="Y32" t="s">
        <v>29</v>
      </c>
    </row>
    <row r="33" spans="1:25" x14ac:dyDescent="0.2">
      <c r="A33" t="s">
        <v>104</v>
      </c>
      <c r="B33" t="s">
        <v>78</v>
      </c>
      <c r="C33" t="s">
        <v>105</v>
      </c>
      <c r="D33">
        <v>0.13370726570879901</v>
      </c>
      <c r="E33">
        <v>0.14891696578607799</v>
      </c>
      <c r="F33">
        <v>0.333574003360814</v>
      </c>
      <c r="G33">
        <v>14</v>
      </c>
      <c r="H33">
        <v>-1.9262560780944E-3</v>
      </c>
      <c r="I33" t="s">
        <v>24</v>
      </c>
      <c r="J33" t="b">
        <v>1</v>
      </c>
      <c r="K33">
        <v>-39.054479302392799</v>
      </c>
      <c r="L33">
        <v>-38.197336445250002</v>
      </c>
      <c r="M33">
        <v>0</v>
      </c>
      <c r="N33" t="s">
        <v>25</v>
      </c>
      <c r="O33" t="s">
        <v>25</v>
      </c>
      <c r="P33" t="s">
        <v>172</v>
      </c>
      <c r="Q33">
        <f>-0.00440755619535339 - 0.000555044039164505</f>
        <v>-4.9626002345178949E-3</v>
      </c>
      <c r="R33" t="s">
        <v>30</v>
      </c>
      <c r="S33" t="s">
        <v>27</v>
      </c>
      <c r="T33" t="s">
        <v>28</v>
      </c>
      <c r="U33" t="s">
        <v>173</v>
      </c>
      <c r="V33">
        <v>0.156319395609088</v>
      </c>
      <c r="W33">
        <v>1.2659694475811E-3</v>
      </c>
      <c r="X33" t="s">
        <v>108</v>
      </c>
      <c r="Y33" t="s">
        <v>29</v>
      </c>
    </row>
    <row r="34" spans="1:25" x14ac:dyDescent="0.2">
      <c r="A34" t="s">
        <v>104</v>
      </c>
      <c r="B34" t="s">
        <v>49</v>
      </c>
      <c r="C34" t="s">
        <v>105</v>
      </c>
      <c r="D34">
        <v>0.428714492727642</v>
      </c>
      <c r="E34">
        <v>3.1901294198517002E-3</v>
      </c>
      <c r="F34">
        <v>3.8086846006789403E-2</v>
      </c>
      <c r="G34">
        <v>6</v>
      </c>
      <c r="H34">
        <v>7.3146948895270005E-4</v>
      </c>
      <c r="I34" t="s">
        <v>34</v>
      </c>
      <c r="J34" t="b">
        <v>1</v>
      </c>
      <c r="K34">
        <v>-41.778032329185997</v>
      </c>
      <c r="L34">
        <v>-40.978032329186</v>
      </c>
      <c r="M34">
        <v>0</v>
      </c>
      <c r="N34" t="s">
        <v>25</v>
      </c>
      <c r="O34" t="s">
        <v>25</v>
      </c>
      <c r="P34" t="s">
        <v>174</v>
      </c>
      <c r="Q34" t="s">
        <v>175</v>
      </c>
      <c r="R34" t="s">
        <v>26</v>
      </c>
      <c r="S34" t="s">
        <v>35</v>
      </c>
      <c r="T34" t="s">
        <v>36</v>
      </c>
      <c r="U34" t="s">
        <v>176</v>
      </c>
      <c r="V34">
        <v>0.12351702929344401</v>
      </c>
      <c r="W34">
        <v>2.1109538803320001E-4</v>
      </c>
      <c r="X34" t="s">
        <v>108</v>
      </c>
      <c r="Y34" t="s">
        <v>29</v>
      </c>
    </row>
    <row r="35" spans="1:25" x14ac:dyDescent="0.2">
      <c r="A35" t="s">
        <v>104</v>
      </c>
      <c r="B35" t="s">
        <v>66</v>
      </c>
      <c r="C35" t="s">
        <v>105</v>
      </c>
      <c r="D35">
        <v>7.2136484417894206E-2</v>
      </c>
      <c r="E35">
        <v>0.29724780340829199</v>
      </c>
      <c r="F35">
        <v>0.45479251029367102</v>
      </c>
      <c r="G35">
        <v>17</v>
      </c>
      <c r="H35">
        <v>-1.713732163704E-4</v>
      </c>
      <c r="I35" t="s">
        <v>24</v>
      </c>
      <c r="J35" t="b">
        <v>1</v>
      </c>
      <c r="K35">
        <v>-37.8872292728921</v>
      </c>
      <c r="L35">
        <v>-37.030086415749203</v>
      </c>
      <c r="M35">
        <v>0</v>
      </c>
      <c r="N35" t="s">
        <v>25</v>
      </c>
      <c r="O35" t="s">
        <v>25</v>
      </c>
      <c r="P35" t="s">
        <v>177</v>
      </c>
      <c r="Q35">
        <f>-0.000482414440269601 - 0.000139668007528616</f>
        <v>-6.2208244779821706E-4</v>
      </c>
      <c r="R35" t="s">
        <v>30</v>
      </c>
      <c r="S35" t="s">
        <v>27</v>
      </c>
      <c r="T35" t="s">
        <v>28</v>
      </c>
      <c r="U35" t="s">
        <v>178</v>
      </c>
      <c r="V35">
        <v>0.14926575556709501</v>
      </c>
      <c r="W35">
        <v>1.586945019893E-4</v>
      </c>
      <c r="X35" t="s">
        <v>108</v>
      </c>
      <c r="Y35" t="s">
        <v>29</v>
      </c>
    </row>
    <row r="36" spans="1:25" x14ac:dyDescent="0.2">
      <c r="A36" t="s">
        <v>104</v>
      </c>
      <c r="B36" t="s">
        <v>86</v>
      </c>
      <c r="C36" t="s">
        <v>105</v>
      </c>
      <c r="D36">
        <v>0.15227515513791801</v>
      </c>
      <c r="E36">
        <v>0.10938733523166901</v>
      </c>
      <c r="F36">
        <v>0.27146619719656301</v>
      </c>
      <c r="G36">
        <v>15</v>
      </c>
      <c r="H36">
        <v>-5.2289083479026997E-3</v>
      </c>
      <c r="I36" t="s">
        <v>24</v>
      </c>
      <c r="J36" t="b">
        <v>1</v>
      </c>
      <c r="K36">
        <v>-41.205890675643197</v>
      </c>
      <c r="L36">
        <v>-40.405890675643199</v>
      </c>
      <c r="M36">
        <v>0</v>
      </c>
      <c r="N36" t="s">
        <v>25</v>
      </c>
      <c r="O36" t="s">
        <v>25</v>
      </c>
      <c r="P36" t="s">
        <v>179</v>
      </c>
      <c r="Q36">
        <f>-0.0112742387256328 - 0.000816422029827309</f>
        <v>-1.2090660755460109E-2</v>
      </c>
      <c r="R36" t="s">
        <v>26</v>
      </c>
      <c r="S36" t="s">
        <v>27</v>
      </c>
      <c r="T36" t="s">
        <v>28</v>
      </c>
      <c r="U36" t="s">
        <v>180</v>
      </c>
      <c r="V36">
        <v>0.16567635599330699</v>
      </c>
      <c r="W36">
        <v>3.0843522335357002E-3</v>
      </c>
      <c r="X36" t="s">
        <v>108</v>
      </c>
      <c r="Y36" t="s">
        <v>29</v>
      </c>
    </row>
    <row r="37" spans="1:25" x14ac:dyDescent="0.2">
      <c r="A37" t="s">
        <v>104</v>
      </c>
      <c r="B37" t="s">
        <v>45</v>
      </c>
      <c r="C37" t="s">
        <v>105</v>
      </c>
      <c r="D37">
        <v>0.15958848401804601</v>
      </c>
      <c r="E37">
        <v>0.100503153697845</v>
      </c>
      <c r="F37">
        <v>0.26800840986092</v>
      </c>
      <c r="G37">
        <v>7</v>
      </c>
      <c r="H37">
        <v>-1.07829134163473E-2</v>
      </c>
      <c r="I37" t="s">
        <v>24</v>
      </c>
      <c r="J37" t="b">
        <v>1</v>
      </c>
      <c r="K37">
        <v>-41.361850521588003</v>
      </c>
      <c r="L37">
        <v>-40.561850521587999</v>
      </c>
      <c r="M37">
        <v>0</v>
      </c>
      <c r="N37" t="s">
        <v>25</v>
      </c>
      <c r="O37" t="s">
        <v>25</v>
      </c>
      <c r="P37" t="s">
        <v>181</v>
      </c>
      <c r="Q37">
        <f>-0.0229077926262572 - 0.00134196579356253</f>
        <v>-2.4249758419819727E-2</v>
      </c>
      <c r="R37" t="s">
        <v>26</v>
      </c>
      <c r="S37" t="s">
        <v>27</v>
      </c>
      <c r="T37" t="s">
        <v>28</v>
      </c>
      <c r="U37" t="s">
        <v>182</v>
      </c>
      <c r="V37">
        <v>0.14819805804210401</v>
      </c>
      <c r="W37">
        <v>6.1861628621989002E-3</v>
      </c>
      <c r="X37" t="s">
        <v>108</v>
      </c>
      <c r="Y37" t="s">
        <v>29</v>
      </c>
    </row>
    <row r="38" spans="1:25" x14ac:dyDescent="0.2">
      <c r="A38" t="s">
        <v>104</v>
      </c>
      <c r="B38" t="s">
        <v>44</v>
      </c>
      <c r="C38" t="s">
        <v>105</v>
      </c>
      <c r="D38">
        <v>9.1640230171890102E-2</v>
      </c>
      <c r="E38">
        <v>0.23758366840876299</v>
      </c>
      <c r="F38">
        <v>0.40317228578456699</v>
      </c>
      <c r="G38">
        <v>18</v>
      </c>
      <c r="H38">
        <v>-7.4368764902590001E-4</v>
      </c>
      <c r="I38" t="s">
        <v>24</v>
      </c>
      <c r="J38" t="b">
        <v>1</v>
      </c>
      <c r="K38">
        <v>-38.2483794121719</v>
      </c>
      <c r="L38">
        <v>-37.391236555029103</v>
      </c>
      <c r="M38">
        <v>0</v>
      </c>
      <c r="N38" t="s">
        <v>25</v>
      </c>
      <c r="O38" t="s">
        <v>25</v>
      </c>
      <c r="P38" t="s">
        <v>183</v>
      </c>
      <c r="Q38">
        <f>-0.00192860175834723 - 0.000441226460295342</f>
        <v>-2.369828218642572E-3</v>
      </c>
      <c r="R38" t="s">
        <v>30</v>
      </c>
      <c r="S38" t="s">
        <v>27</v>
      </c>
      <c r="T38" t="s">
        <v>28</v>
      </c>
      <c r="U38" t="s">
        <v>184</v>
      </c>
      <c r="V38">
        <v>0.155803077415582</v>
      </c>
      <c r="W38">
        <v>6.045480149598E-4</v>
      </c>
      <c r="X38" t="s">
        <v>108</v>
      </c>
      <c r="Y38" t="s">
        <v>29</v>
      </c>
    </row>
    <row r="39" spans="1:25" x14ac:dyDescent="0.2">
      <c r="A39" t="s">
        <v>104</v>
      </c>
      <c r="B39" t="s">
        <v>82</v>
      </c>
      <c r="C39" t="s">
        <v>105</v>
      </c>
      <c r="D39">
        <v>0.360861105069816</v>
      </c>
      <c r="E39">
        <v>8.3808601660972006E-3</v>
      </c>
      <c r="F39">
        <v>5.8666021162680403E-2</v>
      </c>
      <c r="G39">
        <v>19</v>
      </c>
      <c r="H39">
        <v>2.1777418627125102E-2</v>
      </c>
      <c r="I39" t="s">
        <v>40</v>
      </c>
      <c r="J39" t="b">
        <v>1</v>
      </c>
      <c r="K39">
        <v>-38.510798489044198</v>
      </c>
      <c r="L39">
        <v>-37.710798489044301</v>
      </c>
      <c r="M39">
        <v>0</v>
      </c>
      <c r="N39" t="s">
        <v>25</v>
      </c>
      <c r="O39" t="s">
        <v>25</v>
      </c>
      <c r="P39" t="s">
        <v>185</v>
      </c>
      <c r="Q39" t="s">
        <v>186</v>
      </c>
      <c r="R39" t="s">
        <v>32</v>
      </c>
      <c r="S39" t="s">
        <v>41</v>
      </c>
      <c r="T39" t="s">
        <v>25</v>
      </c>
      <c r="U39" t="s">
        <v>42</v>
      </c>
      <c r="V39">
        <v>0.10427455315288001</v>
      </c>
      <c r="W39">
        <v>7.2455939927254997E-3</v>
      </c>
      <c r="X39" t="s">
        <v>108</v>
      </c>
      <c r="Y39" t="s">
        <v>29</v>
      </c>
    </row>
    <row r="40" spans="1:25" x14ac:dyDescent="0.2">
      <c r="A40" t="s">
        <v>104</v>
      </c>
      <c r="B40" t="s">
        <v>77</v>
      </c>
      <c r="C40" t="s">
        <v>105</v>
      </c>
      <c r="D40">
        <v>0.19432934860420301</v>
      </c>
      <c r="E40">
        <v>7.6536323224937003E-2</v>
      </c>
      <c r="F40">
        <v>0.22558074213665599</v>
      </c>
      <c r="G40">
        <v>18</v>
      </c>
      <c r="H40">
        <v>-5.0963772535968996E-3</v>
      </c>
      <c r="I40" t="s">
        <v>24</v>
      </c>
      <c r="J40" t="b">
        <v>1</v>
      </c>
      <c r="K40">
        <v>-40.287792648712298</v>
      </c>
      <c r="L40">
        <v>-39.4306497915695</v>
      </c>
      <c r="M40">
        <v>0</v>
      </c>
      <c r="N40" t="s">
        <v>25</v>
      </c>
      <c r="O40" t="s">
        <v>25</v>
      </c>
      <c r="P40" t="s">
        <v>187</v>
      </c>
      <c r="Q40">
        <f>-0.0103478556700579 - 0.000155101162864089</f>
        <v>-1.0502956832921989E-2</v>
      </c>
      <c r="R40" t="s">
        <v>30</v>
      </c>
      <c r="S40" t="s">
        <v>27</v>
      </c>
      <c r="T40" t="s">
        <v>28</v>
      </c>
      <c r="U40" t="s">
        <v>188</v>
      </c>
      <c r="V40">
        <v>0.15617957265313101</v>
      </c>
      <c r="W40">
        <v>2.6793257226840998E-3</v>
      </c>
      <c r="X40" t="s">
        <v>108</v>
      </c>
      <c r="Y40" t="s">
        <v>29</v>
      </c>
    </row>
    <row r="41" spans="1:25" x14ac:dyDescent="0.2">
      <c r="A41" t="s">
        <v>104</v>
      </c>
      <c r="B41" t="s">
        <v>61</v>
      </c>
      <c r="C41" t="s">
        <v>105</v>
      </c>
      <c r="D41">
        <v>0.120953640545736</v>
      </c>
      <c r="E41">
        <v>0.15730423990907</v>
      </c>
      <c r="F41">
        <v>0.33880913211184299</v>
      </c>
      <c r="G41">
        <v>12</v>
      </c>
      <c r="H41">
        <v>2.819771126147E-4</v>
      </c>
      <c r="I41" t="s">
        <v>24</v>
      </c>
      <c r="J41" t="b">
        <v>1</v>
      </c>
      <c r="K41">
        <v>-40.552823141301303</v>
      </c>
      <c r="L41">
        <v>-39.752823141301299</v>
      </c>
      <c r="M41">
        <v>0</v>
      </c>
      <c r="N41" t="s">
        <v>25</v>
      </c>
      <c r="O41" t="s">
        <v>25</v>
      </c>
      <c r="P41" t="s">
        <v>189</v>
      </c>
      <c r="Q41">
        <f>-0.0000905058018061548 - 0.000654460027035709</f>
        <v>-7.4496582884186384E-4</v>
      </c>
      <c r="R41" t="s">
        <v>32</v>
      </c>
      <c r="S41" t="s">
        <v>27</v>
      </c>
      <c r="T41" t="s">
        <v>28</v>
      </c>
      <c r="U41" t="s">
        <v>190</v>
      </c>
      <c r="V41">
        <v>0.120403548612314</v>
      </c>
      <c r="W41">
        <v>1.9004230327589999E-4</v>
      </c>
      <c r="X41" t="s">
        <v>108</v>
      </c>
      <c r="Y41" t="s">
        <v>29</v>
      </c>
    </row>
    <row r="42" spans="1:25" x14ac:dyDescent="0.2">
      <c r="A42" t="s">
        <v>104</v>
      </c>
      <c r="B42" t="s">
        <v>47</v>
      </c>
      <c r="C42" t="s">
        <v>105</v>
      </c>
      <c r="D42">
        <v>0.48125250713456502</v>
      </c>
      <c r="E42">
        <v>1.4072040009511001E-3</v>
      </c>
      <c r="F42">
        <v>2.63355490307354E-2</v>
      </c>
      <c r="G42">
        <v>18</v>
      </c>
      <c r="H42">
        <v>-3.8957348887462E-3</v>
      </c>
      <c r="I42" t="s">
        <v>24</v>
      </c>
      <c r="J42" t="b">
        <v>1</v>
      </c>
      <c r="K42">
        <v>-50.046390321911701</v>
      </c>
      <c r="L42">
        <v>-49.246390321911697</v>
      </c>
      <c r="M42">
        <v>0</v>
      </c>
      <c r="N42" t="s">
        <v>25</v>
      </c>
      <c r="O42" t="s">
        <v>25</v>
      </c>
      <c r="P42" t="s">
        <v>191</v>
      </c>
      <c r="Q42">
        <f>-0.00587761316653778 - -0.00191385661095481</f>
        <v>-3.9637565555829708E-3</v>
      </c>
      <c r="R42" t="s">
        <v>31</v>
      </c>
      <c r="S42" t="s">
        <v>27</v>
      </c>
      <c r="T42" t="s">
        <v>28</v>
      </c>
      <c r="U42" t="s">
        <v>192</v>
      </c>
      <c r="V42">
        <v>0.182281245224063</v>
      </c>
      <c r="W42">
        <v>1.0111623866283E-3</v>
      </c>
      <c r="X42" t="s">
        <v>108</v>
      </c>
      <c r="Y42" t="s">
        <v>29</v>
      </c>
    </row>
    <row r="43" spans="1:25" x14ac:dyDescent="0.2">
      <c r="A43" t="s">
        <v>104</v>
      </c>
      <c r="B43" t="s">
        <v>60</v>
      </c>
      <c r="C43" t="s">
        <v>105</v>
      </c>
      <c r="D43">
        <v>0.109936991530786</v>
      </c>
      <c r="E43">
        <v>0.178907283657608</v>
      </c>
      <c r="F43">
        <v>0.37106695869726097</v>
      </c>
      <c r="G43">
        <v>18</v>
      </c>
      <c r="H43">
        <v>1.420813676079E-4</v>
      </c>
      <c r="I43" t="s">
        <v>24</v>
      </c>
      <c r="J43" t="b">
        <v>1</v>
      </c>
      <c r="K43">
        <v>-40.3286400024055</v>
      </c>
      <c r="L43">
        <v>-39.528640002405503</v>
      </c>
      <c r="M43">
        <v>0</v>
      </c>
      <c r="N43" t="s">
        <v>25</v>
      </c>
      <c r="O43" t="s">
        <v>25</v>
      </c>
      <c r="P43" t="s">
        <v>193</v>
      </c>
      <c r="Q43">
        <f>-0.0000560127870733083 - 0.000340175522289293</f>
        <v>-3.961883093626013E-4</v>
      </c>
      <c r="R43" t="s">
        <v>31</v>
      </c>
      <c r="S43" t="s">
        <v>27</v>
      </c>
      <c r="T43" t="s">
        <v>28</v>
      </c>
      <c r="U43" t="s">
        <v>194</v>
      </c>
      <c r="V43">
        <v>0.120105029767788</v>
      </c>
      <c r="W43">
        <v>1.010684462659E-4</v>
      </c>
      <c r="X43" t="s">
        <v>108</v>
      </c>
      <c r="Y43" t="s">
        <v>29</v>
      </c>
    </row>
    <row r="44" spans="1:25" x14ac:dyDescent="0.2">
      <c r="A44" t="s">
        <v>104</v>
      </c>
      <c r="B44" t="s">
        <v>83</v>
      </c>
      <c r="C44" t="s">
        <v>105</v>
      </c>
      <c r="D44">
        <v>2.5122609636955898E-2</v>
      </c>
      <c r="E44">
        <v>0.52988767321996599</v>
      </c>
      <c r="F44">
        <v>0.63138500198488201</v>
      </c>
      <c r="G44">
        <v>8</v>
      </c>
      <c r="H44">
        <v>3.1016612849809998E-4</v>
      </c>
      <c r="I44" t="s">
        <v>24</v>
      </c>
      <c r="J44" t="b">
        <v>1</v>
      </c>
      <c r="K44">
        <v>-38.562138651850198</v>
      </c>
      <c r="L44">
        <v>-37.762138651850201</v>
      </c>
      <c r="M44">
        <v>0</v>
      </c>
      <c r="N44" t="s">
        <v>25</v>
      </c>
      <c r="O44" t="s">
        <v>25</v>
      </c>
      <c r="P44" t="s">
        <v>195</v>
      </c>
      <c r="Q44">
        <f>-0.000636578987187643 - 0.00125691124418385</f>
        <v>-1.893490231371493E-3</v>
      </c>
      <c r="R44" t="s">
        <v>32</v>
      </c>
      <c r="S44" t="s">
        <v>27</v>
      </c>
      <c r="T44" t="s">
        <v>28</v>
      </c>
      <c r="U44" t="s">
        <v>196</v>
      </c>
      <c r="V44">
        <v>0.13061443401638201</v>
      </c>
      <c r="W44">
        <v>4.8303322228860002E-4</v>
      </c>
      <c r="X44" t="s">
        <v>108</v>
      </c>
      <c r="Y44" t="s">
        <v>29</v>
      </c>
    </row>
    <row r="45" spans="1:25" x14ac:dyDescent="0.2">
      <c r="A45" t="s">
        <v>104</v>
      </c>
      <c r="B45" t="s">
        <v>52</v>
      </c>
      <c r="C45" t="s">
        <v>105</v>
      </c>
      <c r="D45">
        <v>9.7180243340686701E-2</v>
      </c>
      <c r="E45">
        <v>0.20791884329500099</v>
      </c>
      <c r="F45">
        <v>0.37749782745427701</v>
      </c>
      <c r="G45">
        <v>5</v>
      </c>
      <c r="H45">
        <v>-4.9365786468402997E-3</v>
      </c>
      <c r="I45" t="s">
        <v>24</v>
      </c>
      <c r="J45" t="b">
        <v>1</v>
      </c>
      <c r="K45">
        <v>-39.610191408767697</v>
      </c>
      <c r="L45">
        <v>-38.8101914087677</v>
      </c>
      <c r="M45">
        <v>0</v>
      </c>
      <c r="N45" t="s">
        <v>25</v>
      </c>
      <c r="O45" t="s">
        <v>25</v>
      </c>
      <c r="P45" t="s">
        <v>197</v>
      </c>
      <c r="Q45">
        <f>-0.0123093994150245 - 0.00243624212134393</f>
        <v>-1.4745641536368429E-2</v>
      </c>
      <c r="R45" t="s">
        <v>26</v>
      </c>
      <c r="S45" t="s">
        <v>27</v>
      </c>
      <c r="T45" t="s">
        <v>28</v>
      </c>
      <c r="U45" t="s">
        <v>198</v>
      </c>
      <c r="V45">
        <v>0.15079289180532199</v>
      </c>
      <c r="W45">
        <v>3.7616432490735E-3</v>
      </c>
      <c r="X45" t="s">
        <v>108</v>
      </c>
      <c r="Y45" t="s">
        <v>29</v>
      </c>
    </row>
    <row r="46" spans="1:25" x14ac:dyDescent="0.2">
      <c r="A46" t="s">
        <v>104</v>
      </c>
      <c r="B46" t="s">
        <v>65</v>
      </c>
      <c r="C46" t="s">
        <v>105</v>
      </c>
      <c r="D46">
        <v>0.15062694360729501</v>
      </c>
      <c r="E46">
        <v>0.11149504527716</v>
      </c>
      <c r="F46">
        <v>0.27146619719656301</v>
      </c>
      <c r="G46">
        <v>18</v>
      </c>
      <c r="H46">
        <v>9.3469126825779995E-4</v>
      </c>
      <c r="I46" t="s">
        <v>24</v>
      </c>
      <c r="J46" t="b">
        <v>1</v>
      </c>
      <c r="K46">
        <v>-41.170927675739698</v>
      </c>
      <c r="L46">
        <v>-40.370927675739701</v>
      </c>
      <c r="M46">
        <v>0</v>
      </c>
      <c r="N46" t="s">
        <v>25</v>
      </c>
      <c r="O46" t="s">
        <v>25</v>
      </c>
      <c r="P46" t="s">
        <v>199</v>
      </c>
      <c r="Q46">
        <f>-0.000152891139054486 - 0.00202227367557019</f>
        <v>-2.1751648146246757E-3</v>
      </c>
      <c r="R46" t="s">
        <v>32</v>
      </c>
      <c r="S46" t="s">
        <v>27</v>
      </c>
      <c r="T46" t="s">
        <v>28</v>
      </c>
      <c r="U46" t="s">
        <v>200</v>
      </c>
      <c r="V46">
        <v>0.119646308303064</v>
      </c>
      <c r="W46">
        <v>5.5488898332260001E-4</v>
      </c>
      <c r="X46" t="s">
        <v>108</v>
      </c>
      <c r="Y46" t="s">
        <v>29</v>
      </c>
    </row>
    <row r="47" spans="1:25" x14ac:dyDescent="0.2">
      <c r="A47" t="s">
        <v>104</v>
      </c>
      <c r="B47" t="s">
        <v>71</v>
      </c>
      <c r="C47" t="s">
        <v>105</v>
      </c>
      <c r="D47">
        <v>4.4026148290831797E-2</v>
      </c>
      <c r="E47">
        <v>0.40334551245808098</v>
      </c>
      <c r="F47">
        <v>0.53865509243555199</v>
      </c>
      <c r="G47">
        <v>7</v>
      </c>
      <c r="H47">
        <v>-1.4044618367891899E-2</v>
      </c>
      <c r="I47" t="s">
        <v>24</v>
      </c>
      <c r="J47" t="b">
        <v>1</v>
      </c>
      <c r="K47">
        <v>-38.941099850685497</v>
      </c>
      <c r="L47">
        <v>-38.141099850685499</v>
      </c>
      <c r="M47">
        <v>0</v>
      </c>
      <c r="N47" t="s">
        <v>25</v>
      </c>
      <c r="O47" t="s">
        <v>25</v>
      </c>
      <c r="P47" t="s">
        <v>201</v>
      </c>
      <c r="Q47">
        <f>-0.0461127519030145 - 0.0180235151672307</f>
        <v>-6.4136267070245195E-2</v>
      </c>
      <c r="R47" t="s">
        <v>26</v>
      </c>
      <c r="S47" t="s">
        <v>27</v>
      </c>
      <c r="T47" t="s">
        <v>28</v>
      </c>
      <c r="U47" t="s">
        <v>202</v>
      </c>
      <c r="V47">
        <v>0.14124817045455099</v>
      </c>
      <c r="W47">
        <v>1.6361292619960499E-2</v>
      </c>
      <c r="X47" t="s">
        <v>108</v>
      </c>
      <c r="Y47" t="s">
        <v>29</v>
      </c>
    </row>
    <row r="48" spans="1:25" x14ac:dyDescent="0.2">
      <c r="A48" t="s">
        <v>104</v>
      </c>
      <c r="B48" t="s">
        <v>58</v>
      </c>
      <c r="C48" t="s">
        <v>105</v>
      </c>
      <c r="D48">
        <v>0.22706319351808801</v>
      </c>
      <c r="E48">
        <v>4.5581978451094199E-2</v>
      </c>
      <c r="F48">
        <v>0.170172719550751</v>
      </c>
      <c r="G48">
        <v>15</v>
      </c>
      <c r="H48">
        <v>-2.1775991061653002E-3</v>
      </c>
      <c r="I48" t="s">
        <v>24</v>
      </c>
      <c r="J48" t="b">
        <v>1</v>
      </c>
      <c r="K48">
        <v>-42.868349318425402</v>
      </c>
      <c r="L48">
        <v>-42.068349318425398</v>
      </c>
      <c r="M48">
        <v>0</v>
      </c>
      <c r="N48" t="s">
        <v>25</v>
      </c>
      <c r="O48" t="s">
        <v>25</v>
      </c>
      <c r="P48" t="s">
        <v>203</v>
      </c>
      <c r="Q48">
        <f>-0.00414626779052211 - -0.000208930421808608</f>
        <v>-3.9373373687135015E-3</v>
      </c>
      <c r="R48" t="s">
        <v>32</v>
      </c>
      <c r="S48" t="s">
        <v>27</v>
      </c>
      <c r="T48" t="s">
        <v>28</v>
      </c>
      <c r="U48" t="s">
        <v>204</v>
      </c>
      <c r="V48">
        <v>0.172208993986328</v>
      </c>
      <c r="W48">
        <v>1.0044227981412001E-3</v>
      </c>
      <c r="X48" t="s">
        <v>108</v>
      </c>
      <c r="Y48" t="s">
        <v>29</v>
      </c>
    </row>
    <row r="49" spans="1:25" x14ac:dyDescent="0.2">
      <c r="A49" t="s">
        <v>104</v>
      </c>
      <c r="B49" t="s">
        <v>63</v>
      </c>
      <c r="C49" t="s">
        <v>105</v>
      </c>
      <c r="D49">
        <v>0.106594848949394</v>
      </c>
      <c r="E49">
        <v>0.186063006466479</v>
      </c>
      <c r="F49">
        <v>0.37212601293295799</v>
      </c>
      <c r="G49">
        <v>7</v>
      </c>
      <c r="H49">
        <v>3.1188693947110002E-4</v>
      </c>
      <c r="I49" t="s">
        <v>24</v>
      </c>
      <c r="J49" t="b">
        <v>1</v>
      </c>
      <c r="K49">
        <v>-40.261177472655298</v>
      </c>
      <c r="L49">
        <v>-39.461177472655301</v>
      </c>
      <c r="M49">
        <v>0</v>
      </c>
      <c r="N49" t="s">
        <v>25</v>
      </c>
      <c r="O49" t="s">
        <v>25</v>
      </c>
      <c r="P49" t="s">
        <v>205</v>
      </c>
      <c r="Q49">
        <f>-0.00013054796868837 - 0.000754321847630591</f>
        <v>-8.8486981631896104E-4</v>
      </c>
      <c r="R49" t="s">
        <v>26</v>
      </c>
      <c r="S49" t="s">
        <v>27</v>
      </c>
      <c r="T49" t="s">
        <v>28</v>
      </c>
      <c r="U49" t="s">
        <v>206</v>
      </c>
      <c r="V49">
        <v>0.11904447749710401</v>
      </c>
      <c r="W49">
        <v>2.257320959997E-4</v>
      </c>
      <c r="X49" t="s">
        <v>108</v>
      </c>
      <c r="Y49" t="s">
        <v>29</v>
      </c>
    </row>
    <row r="50" spans="1:25" x14ac:dyDescent="0.2">
      <c r="A50" t="s">
        <v>104</v>
      </c>
      <c r="B50" t="s">
        <v>56</v>
      </c>
      <c r="C50" t="s">
        <v>105</v>
      </c>
      <c r="D50">
        <v>0.25144583819803701</v>
      </c>
      <c r="E50">
        <v>3.3998207920124597E-2</v>
      </c>
      <c r="F50">
        <v>0.135992831680498</v>
      </c>
      <c r="G50">
        <v>19</v>
      </c>
      <c r="H50">
        <v>8.3512421338099996E-4</v>
      </c>
      <c r="I50" t="s">
        <v>24</v>
      </c>
      <c r="J50" t="b">
        <v>1</v>
      </c>
      <c r="K50">
        <v>-43.445316504385303</v>
      </c>
      <c r="L50">
        <v>-42.645316504385299</v>
      </c>
      <c r="M50">
        <v>0</v>
      </c>
      <c r="N50" t="s">
        <v>25</v>
      </c>
      <c r="O50" t="s">
        <v>25</v>
      </c>
      <c r="P50" t="s">
        <v>207</v>
      </c>
      <c r="Q50" t="s">
        <v>208</v>
      </c>
      <c r="R50" t="s">
        <v>26</v>
      </c>
      <c r="S50" t="s">
        <v>27</v>
      </c>
      <c r="T50" t="s">
        <v>28</v>
      </c>
      <c r="U50" t="s">
        <v>209</v>
      </c>
      <c r="V50">
        <v>8.3758413017864297E-2</v>
      </c>
      <c r="W50">
        <v>3.6023049354620001E-4</v>
      </c>
      <c r="X50" t="s">
        <v>108</v>
      </c>
      <c r="Y50" t="s">
        <v>29</v>
      </c>
    </row>
    <row r="51" spans="1:25" x14ac:dyDescent="0.2">
      <c r="A51" t="s">
        <v>104</v>
      </c>
      <c r="B51" t="s">
        <v>89</v>
      </c>
      <c r="C51" t="s">
        <v>105</v>
      </c>
      <c r="D51">
        <v>4.6859998635334001E-2</v>
      </c>
      <c r="E51">
        <v>0.40399131932666399</v>
      </c>
      <c r="F51">
        <v>0.53865509243555199</v>
      </c>
      <c r="G51">
        <v>13</v>
      </c>
      <c r="H51">
        <v>8.3357386457730005E-4</v>
      </c>
      <c r="I51" t="s">
        <v>24</v>
      </c>
      <c r="J51" t="b">
        <v>1</v>
      </c>
      <c r="K51">
        <v>-37.430317713287103</v>
      </c>
      <c r="L51">
        <v>-36.573174856144298</v>
      </c>
      <c r="M51">
        <v>0</v>
      </c>
      <c r="N51" t="s">
        <v>25</v>
      </c>
      <c r="O51" t="s">
        <v>25</v>
      </c>
      <c r="P51" t="s">
        <v>210</v>
      </c>
      <c r="Q51">
        <f>-0.00106895714340847 - 0.00273610487256314</f>
        <v>-3.80506201597161E-3</v>
      </c>
      <c r="R51" t="s">
        <v>30</v>
      </c>
      <c r="S51" t="s">
        <v>27</v>
      </c>
      <c r="T51" t="s">
        <v>28</v>
      </c>
      <c r="U51" t="s">
        <v>211</v>
      </c>
      <c r="V51">
        <v>0.124268993295352</v>
      </c>
      <c r="W51">
        <v>9.7067908570699999E-4</v>
      </c>
      <c r="X51" t="s">
        <v>108</v>
      </c>
      <c r="Y51" t="s">
        <v>29</v>
      </c>
    </row>
    <row r="52" spans="1:25" x14ac:dyDescent="0.2">
      <c r="A52" t="s">
        <v>104</v>
      </c>
      <c r="B52" t="s">
        <v>59</v>
      </c>
      <c r="C52" t="s">
        <v>105</v>
      </c>
      <c r="D52">
        <v>9.7048048134789705E-2</v>
      </c>
      <c r="E52">
        <v>0.20824482488263099</v>
      </c>
      <c r="F52">
        <v>0.37749782745427701</v>
      </c>
      <c r="G52">
        <v>12</v>
      </c>
      <c r="H52">
        <v>-2.8071367184127E-3</v>
      </c>
      <c r="I52" t="s">
        <v>24</v>
      </c>
      <c r="J52" t="b">
        <v>1</v>
      </c>
      <c r="K52">
        <v>-40.0155168437622</v>
      </c>
      <c r="L52">
        <v>-39.215516843762202</v>
      </c>
      <c r="M52">
        <v>0</v>
      </c>
      <c r="N52" t="s">
        <v>25</v>
      </c>
      <c r="O52" t="s">
        <v>25</v>
      </c>
      <c r="P52" t="s">
        <v>212</v>
      </c>
      <c r="Q52">
        <f>-0.00700278005916636 - 0.00138850662234093</f>
        <v>-8.3912866815072894E-3</v>
      </c>
      <c r="R52" t="s">
        <v>26</v>
      </c>
      <c r="S52" t="s">
        <v>27</v>
      </c>
      <c r="T52" t="s">
        <v>28</v>
      </c>
      <c r="U52" t="s">
        <v>213</v>
      </c>
      <c r="V52">
        <v>0.154216673481025</v>
      </c>
      <c r="W52">
        <v>2.1406343575273001E-3</v>
      </c>
      <c r="X52" t="s">
        <v>108</v>
      </c>
      <c r="Y52" t="s">
        <v>29</v>
      </c>
    </row>
    <row r="53" spans="1:25" x14ac:dyDescent="0.2">
      <c r="A53" t="s">
        <v>104</v>
      </c>
      <c r="B53" t="s">
        <v>87</v>
      </c>
      <c r="C53" t="s">
        <v>105</v>
      </c>
      <c r="D53">
        <v>5.0059763817110999E-3</v>
      </c>
      <c r="E53">
        <v>0.78728403248206302</v>
      </c>
      <c r="F53">
        <v>0.8997531799795</v>
      </c>
      <c r="G53">
        <v>16</v>
      </c>
      <c r="H53" s="1">
        <v>7.3533840281801404E-5</v>
      </c>
      <c r="I53" t="s">
        <v>24</v>
      </c>
      <c r="J53" t="b">
        <v>1</v>
      </c>
      <c r="K53">
        <v>-36.699743870678503</v>
      </c>
      <c r="L53">
        <v>-35.842601013535599</v>
      </c>
      <c r="M53">
        <v>0</v>
      </c>
      <c r="N53" t="s">
        <v>25</v>
      </c>
      <c r="O53" t="s">
        <v>25</v>
      </c>
      <c r="P53" t="s">
        <v>214</v>
      </c>
      <c r="Q53">
        <f>-0.000451108730311615 - 0.000598176410875217</f>
        <v>-1.0492851411868318E-3</v>
      </c>
      <c r="R53" t="s">
        <v>30</v>
      </c>
      <c r="S53" t="s">
        <v>27</v>
      </c>
      <c r="T53" t="s">
        <v>28</v>
      </c>
      <c r="U53" t="s">
        <v>206</v>
      </c>
      <c r="V53">
        <v>0.14007977050033599</v>
      </c>
      <c r="W53">
        <v>2.6767478091500001E-4</v>
      </c>
      <c r="X53" t="s">
        <v>108</v>
      </c>
      <c r="Y53" t="s">
        <v>29</v>
      </c>
    </row>
    <row r="54" spans="1:25" x14ac:dyDescent="0.2">
      <c r="A54" t="s">
        <v>104</v>
      </c>
      <c r="B54" t="s">
        <v>53</v>
      </c>
      <c r="C54" t="s">
        <v>105</v>
      </c>
      <c r="D54">
        <v>5.2068772254052903E-2</v>
      </c>
      <c r="E54">
        <v>0.362450232930495</v>
      </c>
      <c r="F54">
        <v>0.513816146103799</v>
      </c>
      <c r="G54">
        <v>10</v>
      </c>
      <c r="H54">
        <v>0.14464950536249099</v>
      </c>
      <c r="I54" t="s">
        <v>24</v>
      </c>
      <c r="J54" t="b">
        <v>1</v>
      </c>
      <c r="K54">
        <v>-39.194825424029602</v>
      </c>
      <c r="L54">
        <v>-38.394825424029598</v>
      </c>
      <c r="M54">
        <v>0</v>
      </c>
      <c r="N54" t="s">
        <v>25</v>
      </c>
      <c r="O54" t="s">
        <v>25</v>
      </c>
      <c r="P54" t="s">
        <v>215</v>
      </c>
      <c r="Q54">
        <f>-0.157772075621941 - 0.447071086346922</f>
        <v>-0.60484316196886301</v>
      </c>
      <c r="R54" t="s">
        <v>31</v>
      </c>
      <c r="S54" t="s">
        <v>27</v>
      </c>
      <c r="T54" t="s">
        <v>28</v>
      </c>
      <c r="U54" t="s">
        <v>216</v>
      </c>
      <c r="V54">
        <v>0.13166022434801899</v>
      </c>
      <c r="W54">
        <v>0.15429672499205699</v>
      </c>
      <c r="X54" t="s">
        <v>108</v>
      </c>
      <c r="Y54" t="s">
        <v>29</v>
      </c>
    </row>
    <row r="55" spans="1:25" x14ac:dyDescent="0.2">
      <c r="A55" t="s">
        <v>104</v>
      </c>
      <c r="B55" t="s">
        <v>97</v>
      </c>
      <c r="C55" t="s">
        <v>105</v>
      </c>
      <c r="D55">
        <v>0.48109416700498198</v>
      </c>
      <c r="E55">
        <v>1.4108329837894001E-3</v>
      </c>
      <c r="F55">
        <v>2.63355490307354E-2</v>
      </c>
      <c r="G55">
        <v>17</v>
      </c>
      <c r="H55">
        <v>1.0203238566658E-3</v>
      </c>
      <c r="I55" t="s">
        <v>24</v>
      </c>
      <c r="J55" t="b">
        <v>1</v>
      </c>
      <c r="K55">
        <v>-49.317587471644899</v>
      </c>
      <c r="L55">
        <v>-48.517587471644902</v>
      </c>
      <c r="M55">
        <v>0</v>
      </c>
      <c r="N55" t="s">
        <v>25</v>
      </c>
      <c r="O55" t="s">
        <v>25</v>
      </c>
      <c r="P55" t="s">
        <v>217</v>
      </c>
      <c r="Q55" t="s">
        <v>218</v>
      </c>
      <c r="R55" t="s">
        <v>32</v>
      </c>
      <c r="S55" t="s">
        <v>27</v>
      </c>
      <c r="T55" t="s">
        <v>28</v>
      </c>
      <c r="U55" t="s">
        <v>219</v>
      </c>
      <c r="V55">
        <v>0.1157722611604</v>
      </c>
      <c r="W55">
        <v>2.6491544585350001E-4</v>
      </c>
      <c r="X55" t="s">
        <v>108</v>
      </c>
      <c r="Y55" t="s">
        <v>29</v>
      </c>
    </row>
    <row r="56" spans="1:25" x14ac:dyDescent="0.2">
      <c r="A56" t="s">
        <v>104</v>
      </c>
      <c r="B56" t="s">
        <v>62</v>
      </c>
      <c r="C56" t="s">
        <v>105</v>
      </c>
      <c r="D56">
        <v>9.1172824950261105E-2</v>
      </c>
      <c r="E56">
        <v>0.22331287481249401</v>
      </c>
      <c r="F56">
        <v>0.39079753092186398</v>
      </c>
      <c r="G56">
        <v>10</v>
      </c>
      <c r="H56">
        <v>4.6653838221170002E-4</v>
      </c>
      <c r="I56" t="s">
        <v>24</v>
      </c>
      <c r="J56" t="b">
        <v>1</v>
      </c>
      <c r="K56">
        <v>-39.9531115213831</v>
      </c>
      <c r="L56">
        <v>-39.153111521383202</v>
      </c>
      <c r="M56">
        <v>0</v>
      </c>
      <c r="N56" t="s">
        <v>25</v>
      </c>
      <c r="O56" t="s">
        <v>25</v>
      </c>
      <c r="P56" t="s">
        <v>220</v>
      </c>
      <c r="Q56">
        <f>-0.000255219284231912 - 0.00118829604865543</f>
        <v>-1.4435153328873421E-3</v>
      </c>
      <c r="R56" t="s">
        <v>31</v>
      </c>
      <c r="S56" t="s">
        <v>27</v>
      </c>
      <c r="T56" t="s">
        <v>28</v>
      </c>
      <c r="U56" t="s">
        <v>221</v>
      </c>
      <c r="V56">
        <v>0.113381594011412</v>
      </c>
      <c r="W56">
        <v>3.6824370736919998E-4</v>
      </c>
      <c r="X56" t="s">
        <v>108</v>
      </c>
      <c r="Y56" t="s">
        <v>29</v>
      </c>
    </row>
    <row r="57" spans="1:25" x14ac:dyDescent="0.2">
      <c r="A57" t="s">
        <v>104</v>
      </c>
      <c r="B57" t="s">
        <v>67</v>
      </c>
      <c r="C57" t="s">
        <v>105</v>
      </c>
      <c r="D57">
        <v>0.32042914859122401</v>
      </c>
      <c r="E57">
        <v>1.43314320258292E-2</v>
      </c>
      <c r="F57">
        <v>7.2960017586039497E-2</v>
      </c>
      <c r="G57">
        <v>19</v>
      </c>
      <c r="H57">
        <v>-1.22823195923895E-2</v>
      </c>
      <c r="I57" t="s">
        <v>24</v>
      </c>
      <c r="J57" t="b">
        <v>1</v>
      </c>
      <c r="K57">
        <v>-45.185593649651999</v>
      </c>
      <c r="L57">
        <v>-44.385593649652002</v>
      </c>
      <c r="M57">
        <v>0</v>
      </c>
      <c r="N57" t="s">
        <v>25</v>
      </c>
      <c r="O57" t="s">
        <v>25</v>
      </c>
      <c r="P57" t="s">
        <v>222</v>
      </c>
      <c r="Q57">
        <f>-0.0210468335534243 - -0.00351780563135467</f>
        <v>-1.7529027922069632E-2</v>
      </c>
      <c r="R57" t="s">
        <v>31</v>
      </c>
      <c r="S57" t="s">
        <v>27</v>
      </c>
      <c r="T57" t="s">
        <v>28</v>
      </c>
      <c r="U57" t="s">
        <v>223</v>
      </c>
      <c r="V57">
        <v>0.16607693481254601</v>
      </c>
      <c r="W57">
        <v>4.4716907964462999E-3</v>
      </c>
      <c r="X57" t="s">
        <v>108</v>
      </c>
      <c r="Y57" t="s">
        <v>29</v>
      </c>
    </row>
    <row r="58" spans="1:25" x14ac:dyDescent="0.2">
      <c r="A58" t="s">
        <v>104</v>
      </c>
      <c r="B58" t="s">
        <v>75</v>
      </c>
      <c r="C58" t="s">
        <v>105</v>
      </c>
      <c r="D58">
        <v>8.0759527180237198E-2</v>
      </c>
      <c r="E58">
        <v>0.25308583054586298</v>
      </c>
      <c r="F58">
        <v>0.41684725031083297</v>
      </c>
      <c r="G58">
        <v>17</v>
      </c>
      <c r="H58">
        <v>-6.0950892509750005E-4</v>
      </c>
      <c r="I58" t="s">
        <v>24</v>
      </c>
      <c r="J58" t="b">
        <v>1</v>
      </c>
      <c r="K58">
        <v>-39.7413481323292</v>
      </c>
      <c r="L58">
        <v>-38.941348132329203</v>
      </c>
      <c r="M58">
        <v>0</v>
      </c>
      <c r="N58" t="s">
        <v>25</v>
      </c>
      <c r="O58" t="s">
        <v>25</v>
      </c>
      <c r="P58" t="s">
        <v>224</v>
      </c>
      <c r="Q58">
        <f>-0.00161712209289595 - 0.000398104242700906</f>
        <v>-2.015226335596856E-3</v>
      </c>
      <c r="R58" t="s">
        <v>32</v>
      </c>
      <c r="S58" t="s">
        <v>27</v>
      </c>
      <c r="T58" t="s">
        <v>28</v>
      </c>
      <c r="U58" t="s">
        <v>225</v>
      </c>
      <c r="V58">
        <v>0.150902919546337</v>
      </c>
      <c r="W58">
        <v>5.1408835091750003E-4</v>
      </c>
      <c r="X58" t="s">
        <v>108</v>
      </c>
      <c r="Y58" t="s">
        <v>29</v>
      </c>
    </row>
    <row r="59" spans="1:25" x14ac:dyDescent="0.2">
      <c r="A59" t="s">
        <v>104</v>
      </c>
      <c r="B59" t="s">
        <v>91</v>
      </c>
      <c r="C59" t="s">
        <v>105</v>
      </c>
      <c r="D59">
        <v>3.3388552084847201E-2</v>
      </c>
      <c r="E59">
        <v>0.46800573107551502</v>
      </c>
      <c r="F59">
        <v>0.59564365773247296</v>
      </c>
      <c r="G59">
        <v>16</v>
      </c>
      <c r="H59">
        <v>5.3554022324599996E-4</v>
      </c>
      <c r="I59" t="s">
        <v>24</v>
      </c>
      <c r="J59" t="b">
        <v>1</v>
      </c>
      <c r="K59">
        <v>-38.843561764048303</v>
      </c>
      <c r="L59">
        <v>-38.043561764048299</v>
      </c>
      <c r="M59">
        <v>0</v>
      </c>
      <c r="N59" t="s">
        <v>25</v>
      </c>
      <c r="O59" t="s">
        <v>25</v>
      </c>
      <c r="P59" t="s">
        <v>226</v>
      </c>
      <c r="Q59">
        <f>-0.000876396875459719 - 0.00194747732195172</f>
        <v>-2.8238741974114393E-3</v>
      </c>
      <c r="R59" t="s">
        <v>31</v>
      </c>
      <c r="S59" t="s">
        <v>27</v>
      </c>
      <c r="T59" t="s">
        <v>28</v>
      </c>
      <c r="U59" t="s">
        <v>227</v>
      </c>
      <c r="V59">
        <v>0.127400823936548</v>
      </c>
      <c r="W59">
        <v>7.203760707682E-4</v>
      </c>
      <c r="X59" t="s">
        <v>108</v>
      </c>
      <c r="Y59" t="s">
        <v>29</v>
      </c>
    </row>
    <row r="60" spans="1:25" x14ac:dyDescent="0.2">
      <c r="A60" t="s">
        <v>104</v>
      </c>
      <c r="B60" t="s">
        <v>50</v>
      </c>
      <c r="C60" t="s">
        <v>105</v>
      </c>
      <c r="D60">
        <v>0.16380413878231101</v>
      </c>
      <c r="E60">
        <v>9.57106961250105E-2</v>
      </c>
      <c r="F60" t="s">
        <v>33</v>
      </c>
      <c r="G60">
        <v>16</v>
      </c>
      <c r="H60">
        <v>7.9935304654790002E-4</v>
      </c>
      <c r="I60" t="s">
        <v>34</v>
      </c>
      <c r="J60" t="b">
        <v>0</v>
      </c>
      <c r="K60">
        <v>-37.596625750677099</v>
      </c>
      <c r="L60">
        <v>-36.796625750677102</v>
      </c>
      <c r="M60">
        <v>6.41342485410979</v>
      </c>
      <c r="N60" t="s">
        <v>25</v>
      </c>
      <c r="O60" t="s">
        <v>25</v>
      </c>
      <c r="P60" t="s">
        <v>117</v>
      </c>
      <c r="Q60">
        <f>-0.0000856123429321904 - 0.00168431843602817</f>
        <v>-1.7699307789603603E-3</v>
      </c>
      <c r="R60" t="s">
        <v>26</v>
      </c>
      <c r="S60" t="s">
        <v>35</v>
      </c>
      <c r="T60" t="s">
        <v>36</v>
      </c>
      <c r="U60" t="s">
        <v>228</v>
      </c>
      <c r="V60">
        <v>8.3694742377790898E-2</v>
      </c>
      <c r="W60">
        <v>4.5151295381639999E-4</v>
      </c>
      <c r="X60" t="s">
        <v>108</v>
      </c>
      <c r="Y60" t="s">
        <v>29</v>
      </c>
    </row>
    <row r="61" spans="1:25" x14ac:dyDescent="0.2">
      <c r="A61" t="s">
        <v>104</v>
      </c>
      <c r="B61" t="s">
        <v>66</v>
      </c>
      <c r="C61" t="s">
        <v>105</v>
      </c>
      <c r="D61">
        <v>0.207786693126192</v>
      </c>
      <c r="E61">
        <v>6.5925539152128704E-2</v>
      </c>
      <c r="F61" t="s">
        <v>33</v>
      </c>
      <c r="G61">
        <v>17</v>
      </c>
      <c r="H61">
        <v>-1.6813989329359999E-4</v>
      </c>
      <c r="I61" t="s">
        <v>40</v>
      </c>
      <c r="J61" t="b">
        <v>0</v>
      </c>
      <c r="K61">
        <v>-30.667503072059201</v>
      </c>
      <c r="L61">
        <v>-29.810360214916301</v>
      </c>
      <c r="M61">
        <v>7.2197262008329002</v>
      </c>
      <c r="N61" t="s">
        <v>25</v>
      </c>
      <c r="O61" t="s">
        <v>25</v>
      </c>
      <c r="P61" t="s">
        <v>177</v>
      </c>
      <c r="Q61">
        <f>-0.000334287239954769 - -1.99254663256756E-06</f>
        <v>-3.3229469332220142E-4</v>
      </c>
      <c r="R61" t="s">
        <v>30</v>
      </c>
      <c r="S61" t="s">
        <v>41</v>
      </c>
      <c r="T61" t="s">
        <v>25</v>
      </c>
      <c r="U61" t="s">
        <v>42</v>
      </c>
      <c r="V61">
        <v>0.130378591443474</v>
      </c>
      <c r="W61" s="1">
        <v>8.4769054418928999E-5</v>
      </c>
      <c r="X61" t="s">
        <v>108</v>
      </c>
      <c r="Y61" t="s">
        <v>29</v>
      </c>
    </row>
    <row r="62" spans="1:25" x14ac:dyDescent="0.2">
      <c r="A62" t="s">
        <v>104</v>
      </c>
      <c r="B62" t="s">
        <v>82</v>
      </c>
      <c r="C62" t="s">
        <v>105</v>
      </c>
      <c r="D62">
        <v>0.360861105069816</v>
      </c>
      <c r="E62">
        <v>8.3808601660972006E-3</v>
      </c>
      <c r="F62" t="s">
        <v>33</v>
      </c>
      <c r="G62">
        <v>19</v>
      </c>
      <c r="H62">
        <v>2.1777418627125102E-2</v>
      </c>
      <c r="I62" t="s">
        <v>37</v>
      </c>
      <c r="J62" t="b">
        <v>0</v>
      </c>
      <c r="K62">
        <v>-38.510798489044198</v>
      </c>
      <c r="L62">
        <v>-37.710798489044301</v>
      </c>
      <c r="M62">
        <v>0</v>
      </c>
      <c r="N62" t="s">
        <v>25</v>
      </c>
      <c r="O62" t="s">
        <v>25</v>
      </c>
      <c r="P62" t="s">
        <v>185</v>
      </c>
      <c r="Q62" t="s">
        <v>186</v>
      </c>
      <c r="R62" t="s">
        <v>32</v>
      </c>
      <c r="S62" t="s">
        <v>38</v>
      </c>
      <c r="T62" t="s">
        <v>39</v>
      </c>
      <c r="U62" t="s">
        <v>229</v>
      </c>
      <c r="V62">
        <v>0.10427455315288001</v>
      </c>
      <c r="W62">
        <v>7.2455939927254997E-3</v>
      </c>
      <c r="X62" t="s">
        <v>108</v>
      </c>
      <c r="Y62" t="s">
        <v>29</v>
      </c>
    </row>
    <row r="63" spans="1:25" x14ac:dyDescent="0.2">
      <c r="A63" t="s">
        <v>104</v>
      </c>
      <c r="B63" t="s">
        <v>74</v>
      </c>
      <c r="C63" t="s">
        <v>105</v>
      </c>
      <c r="D63">
        <v>1.2143008400274999E-2</v>
      </c>
      <c r="E63">
        <v>0.66335540531049397</v>
      </c>
      <c r="F63" t="s">
        <v>33</v>
      </c>
      <c r="G63">
        <v>19</v>
      </c>
      <c r="H63" s="1">
        <v>-9.5226066565489394E-5</v>
      </c>
      <c r="I63" t="s">
        <v>37</v>
      </c>
      <c r="J63" t="b">
        <v>0</v>
      </c>
      <c r="K63">
        <v>-30.6733078212431</v>
      </c>
      <c r="L63">
        <v>-29.873307821243099</v>
      </c>
      <c r="M63">
        <v>8.0207382034104899</v>
      </c>
      <c r="N63" t="s">
        <v>25</v>
      </c>
      <c r="O63" t="s">
        <v>25</v>
      </c>
      <c r="P63" t="s">
        <v>170</v>
      </c>
      <c r="Q63">
        <f>-0.000516084289332088 - 0.000325632156201109</f>
        <v>-8.4171644553319698E-4</v>
      </c>
      <c r="R63" t="s">
        <v>32</v>
      </c>
      <c r="S63" t="s">
        <v>38</v>
      </c>
      <c r="T63" t="s">
        <v>39</v>
      </c>
      <c r="U63" t="s">
        <v>230</v>
      </c>
      <c r="V63">
        <v>0.130280110554363</v>
      </c>
      <c r="W63">
        <v>2.147235830441E-4</v>
      </c>
      <c r="X63" t="s">
        <v>108</v>
      </c>
      <c r="Y63" t="s">
        <v>29</v>
      </c>
    </row>
    <row r="64" spans="1:25" x14ac:dyDescent="0.2">
      <c r="A64" t="s">
        <v>104</v>
      </c>
      <c r="B64" t="s">
        <v>85</v>
      </c>
      <c r="C64" t="s">
        <v>105</v>
      </c>
      <c r="D64">
        <v>0.20537098224078901</v>
      </c>
      <c r="E64">
        <v>6.7720320051265895E-2</v>
      </c>
      <c r="F64" t="s">
        <v>33</v>
      </c>
      <c r="G64">
        <v>19</v>
      </c>
      <c r="H64">
        <v>6.8039195790110005E-4</v>
      </c>
      <c r="I64" t="s">
        <v>40</v>
      </c>
      <c r="J64" t="b">
        <v>0</v>
      </c>
      <c r="K64">
        <v>-30.615743529048601</v>
      </c>
      <c r="L64">
        <v>-29.7586006719057</v>
      </c>
      <c r="M64">
        <v>9.3513957022687997</v>
      </c>
      <c r="N64" t="s">
        <v>25</v>
      </c>
      <c r="O64" t="s">
        <v>25</v>
      </c>
      <c r="P64" t="s">
        <v>115</v>
      </c>
      <c r="Q64" t="s">
        <v>231</v>
      </c>
      <c r="R64" t="s">
        <v>30</v>
      </c>
      <c r="S64" t="s">
        <v>41</v>
      </c>
      <c r="T64" t="s">
        <v>25</v>
      </c>
      <c r="U64" t="s">
        <v>42</v>
      </c>
      <c r="V64">
        <v>5.4342881290267403E-2</v>
      </c>
      <c r="W64">
        <v>3.45562185636E-4</v>
      </c>
      <c r="X64" t="s">
        <v>108</v>
      </c>
      <c r="Y64" t="s">
        <v>29</v>
      </c>
    </row>
    <row r="65" spans="1:25" x14ac:dyDescent="0.2">
      <c r="A65" t="s">
        <v>104</v>
      </c>
      <c r="B65" t="s">
        <v>71</v>
      </c>
      <c r="C65" t="s">
        <v>105</v>
      </c>
      <c r="D65">
        <v>0.117367083066674</v>
      </c>
      <c r="E65">
        <v>0.164020366317843</v>
      </c>
      <c r="F65" t="s">
        <v>33</v>
      </c>
      <c r="G65">
        <v>7</v>
      </c>
      <c r="H65">
        <v>-1.35812421276482E-2</v>
      </c>
      <c r="I65" t="s">
        <v>40</v>
      </c>
      <c r="J65" t="b">
        <v>0</v>
      </c>
      <c r="K65">
        <v>-32.700621727935399</v>
      </c>
      <c r="L65">
        <v>-31.900621727935398</v>
      </c>
      <c r="M65">
        <v>6.2404781227501003</v>
      </c>
      <c r="N65" t="s">
        <v>25</v>
      </c>
      <c r="O65" t="s">
        <v>25</v>
      </c>
      <c r="P65" t="s">
        <v>201</v>
      </c>
      <c r="Q65">
        <f>-0.0318308054208534 - 0.004668321165557</f>
        <v>-3.6499126586410399E-2</v>
      </c>
      <c r="R65" t="s">
        <v>26</v>
      </c>
      <c r="S65" t="s">
        <v>41</v>
      </c>
      <c r="T65" t="s">
        <v>25</v>
      </c>
      <c r="U65" t="s">
        <v>42</v>
      </c>
      <c r="V65">
        <v>0.12826403803261199</v>
      </c>
      <c r="W65">
        <v>9.3110016802066993E-3</v>
      </c>
      <c r="X65" t="s">
        <v>108</v>
      </c>
      <c r="Y65" t="s">
        <v>29</v>
      </c>
    </row>
    <row r="66" spans="1:25" x14ac:dyDescent="0.2">
      <c r="A66" t="s">
        <v>104</v>
      </c>
      <c r="B66" t="s">
        <v>53</v>
      </c>
      <c r="C66" t="s">
        <v>105</v>
      </c>
      <c r="D66">
        <v>2.8009860957817202E-2</v>
      </c>
      <c r="E66">
        <v>0.50682758004930895</v>
      </c>
      <c r="F66" t="s">
        <v>33</v>
      </c>
      <c r="G66">
        <v>10</v>
      </c>
      <c r="H66">
        <v>0.111496720047449</v>
      </c>
      <c r="I66" t="s">
        <v>37</v>
      </c>
      <c r="J66" t="b">
        <v>0</v>
      </c>
      <c r="K66">
        <v>-30.964768906894601</v>
      </c>
      <c r="L66">
        <v>-30.164768906894601</v>
      </c>
      <c r="M66">
        <v>8.2300565171349902</v>
      </c>
      <c r="N66" t="s">
        <v>25</v>
      </c>
      <c r="O66" t="s">
        <v>25</v>
      </c>
      <c r="P66" t="s">
        <v>215</v>
      </c>
      <c r="Q66">
        <f>-0.210338541025027 - 0.433331981119926</f>
        <v>-0.64367052214495302</v>
      </c>
      <c r="R66" t="s">
        <v>31</v>
      </c>
      <c r="S66" t="s">
        <v>38</v>
      </c>
      <c r="T66" t="s">
        <v>39</v>
      </c>
      <c r="U66" t="s">
        <v>232</v>
      </c>
      <c r="V66">
        <v>0.12133699173695101</v>
      </c>
      <c r="W66">
        <v>0.16420166381248799</v>
      </c>
      <c r="X66" t="s">
        <v>108</v>
      </c>
      <c r="Y66" t="s">
        <v>29</v>
      </c>
    </row>
    <row r="67" spans="1:25" x14ac:dyDescent="0.2">
      <c r="A67" t="s">
        <v>104</v>
      </c>
      <c r="B67" t="s">
        <v>57</v>
      </c>
      <c r="C67" t="s">
        <v>105</v>
      </c>
      <c r="D67">
        <v>1.3033823387207899E-2</v>
      </c>
      <c r="E67">
        <v>0.65193833160741499</v>
      </c>
      <c r="F67" t="s">
        <v>33</v>
      </c>
      <c r="G67">
        <v>14</v>
      </c>
      <c r="H67">
        <v>3.5454068635829998E-4</v>
      </c>
      <c r="I67" t="s">
        <v>34</v>
      </c>
      <c r="J67" t="b">
        <v>0</v>
      </c>
      <c r="K67">
        <v>-34.929020456203702</v>
      </c>
      <c r="L67">
        <v>-34.129020456203698</v>
      </c>
      <c r="M67">
        <v>3.3109364305433</v>
      </c>
      <c r="N67" t="s">
        <v>25</v>
      </c>
      <c r="O67" t="s">
        <v>25</v>
      </c>
      <c r="P67" t="s">
        <v>131</v>
      </c>
      <c r="Q67">
        <f>-0.00115720027282634 - 0.00186628164554299</f>
        <v>-3.02348191836933E-3</v>
      </c>
      <c r="R67" t="s">
        <v>26</v>
      </c>
      <c r="S67" t="s">
        <v>35</v>
      </c>
      <c r="T67" t="s">
        <v>36</v>
      </c>
      <c r="U67" t="s">
        <v>233</v>
      </c>
      <c r="V67">
        <v>0.124784203165979</v>
      </c>
      <c r="W67">
        <v>7.7129640774720003E-4</v>
      </c>
      <c r="X67" t="s">
        <v>108</v>
      </c>
      <c r="Y67" t="s">
        <v>29</v>
      </c>
    </row>
    <row r="68" spans="1:25" x14ac:dyDescent="0.2">
      <c r="A68" t="s">
        <v>104</v>
      </c>
      <c r="B68" t="s">
        <v>67</v>
      </c>
      <c r="C68" t="s">
        <v>105</v>
      </c>
      <c r="D68">
        <v>1.0258534934733599E-2</v>
      </c>
      <c r="E68">
        <v>0.68923396653528701</v>
      </c>
      <c r="F68" t="s">
        <v>33</v>
      </c>
      <c r="G68">
        <v>19</v>
      </c>
      <c r="H68">
        <v>-3.2978821901271998E-3</v>
      </c>
      <c r="I68" t="s">
        <v>40</v>
      </c>
      <c r="J68" t="b">
        <v>0</v>
      </c>
      <c r="K68">
        <v>-30.639003048671601</v>
      </c>
      <c r="L68">
        <v>-29.8390030486716</v>
      </c>
      <c r="M68">
        <v>14.5465906009804</v>
      </c>
      <c r="N68" t="s">
        <v>25</v>
      </c>
      <c r="O68" t="s">
        <v>25</v>
      </c>
      <c r="P68" t="s">
        <v>222</v>
      </c>
      <c r="Q68">
        <f>-0.0191705317959811 - 0.0125747674157266</f>
        <v>-3.1745299211707698E-2</v>
      </c>
      <c r="R68" t="s">
        <v>31</v>
      </c>
      <c r="S68" t="s">
        <v>41</v>
      </c>
      <c r="T68" t="s">
        <v>25</v>
      </c>
      <c r="U68" t="s">
        <v>42</v>
      </c>
      <c r="V68">
        <v>0.13852330795887499</v>
      </c>
      <c r="W68">
        <v>8.0982906152315005E-3</v>
      </c>
      <c r="X68" t="s">
        <v>108</v>
      </c>
      <c r="Y68" t="s">
        <v>29</v>
      </c>
    </row>
    <row r="69" spans="1:25" x14ac:dyDescent="0.2">
      <c r="A69" t="s">
        <v>104</v>
      </c>
      <c r="B69" t="s">
        <v>94</v>
      </c>
      <c r="C69" t="s">
        <v>105</v>
      </c>
      <c r="D69">
        <v>0.16770949153738399</v>
      </c>
      <c r="E69">
        <v>0.10259089624673</v>
      </c>
      <c r="F69" t="s">
        <v>33</v>
      </c>
      <c r="G69">
        <v>19</v>
      </c>
      <c r="H69">
        <v>6.6041786754900004E-4</v>
      </c>
      <c r="I69" t="s">
        <v>40</v>
      </c>
      <c r="J69" t="b">
        <v>0</v>
      </c>
      <c r="K69">
        <v>-29.828538345164901</v>
      </c>
      <c r="L69">
        <v>-28.9713954880221</v>
      </c>
      <c r="M69">
        <v>13.017498641724201</v>
      </c>
      <c r="N69" t="s">
        <v>25</v>
      </c>
      <c r="O69" t="s">
        <v>25</v>
      </c>
      <c r="P69" t="s">
        <v>154</v>
      </c>
      <c r="Q69">
        <f>-0.0000841219117565475 - 0.00140495764685473</f>
        <v>-1.4890795586112776E-3</v>
      </c>
      <c r="R69" t="s">
        <v>30</v>
      </c>
      <c r="S69" t="s">
        <v>41</v>
      </c>
      <c r="T69" t="s">
        <v>25</v>
      </c>
      <c r="U69" t="s">
        <v>42</v>
      </c>
      <c r="V69">
        <v>6.5984827783361094E-2</v>
      </c>
      <c r="W69">
        <v>3.7986723433960001E-4</v>
      </c>
      <c r="X69" t="s">
        <v>108</v>
      </c>
      <c r="Y69" t="s">
        <v>29</v>
      </c>
    </row>
    <row r="70" spans="1:25" x14ac:dyDescent="0.2">
      <c r="A70" t="s">
        <v>104</v>
      </c>
      <c r="B70" t="s">
        <v>44</v>
      </c>
      <c r="C70" t="s">
        <v>105</v>
      </c>
      <c r="D70">
        <v>8.3052635511627296E-2</v>
      </c>
      <c r="E70">
        <v>0.26197625742649899</v>
      </c>
      <c r="F70" t="s">
        <v>33</v>
      </c>
      <c r="G70">
        <v>18</v>
      </c>
      <c r="H70">
        <v>-4.0151253939589999E-4</v>
      </c>
      <c r="I70" t="s">
        <v>40</v>
      </c>
      <c r="J70" t="b">
        <v>0</v>
      </c>
      <c r="K70">
        <v>-28.181773467386002</v>
      </c>
      <c r="L70">
        <v>-27.324630610243101</v>
      </c>
      <c r="M70">
        <v>10.066605944786</v>
      </c>
      <c r="N70" t="s">
        <v>25</v>
      </c>
      <c r="O70" t="s">
        <v>25</v>
      </c>
      <c r="P70" t="s">
        <v>183</v>
      </c>
      <c r="Q70">
        <f>-0.00107666996556139 - 0.000273644886769521</f>
        <v>-1.3503148523309112E-3</v>
      </c>
      <c r="R70" t="s">
        <v>30</v>
      </c>
      <c r="S70" t="s">
        <v>41</v>
      </c>
      <c r="T70" t="s">
        <v>25</v>
      </c>
      <c r="U70" t="s">
        <v>42</v>
      </c>
      <c r="V70">
        <v>0.13405770932552499</v>
      </c>
      <c r="W70">
        <v>3.4446807457420001E-4</v>
      </c>
      <c r="X70" t="s">
        <v>108</v>
      </c>
      <c r="Y70" t="s">
        <v>29</v>
      </c>
    </row>
    <row r="71" spans="1:25" x14ac:dyDescent="0.2">
      <c r="A71" t="s">
        <v>104</v>
      </c>
      <c r="B71" t="s">
        <v>66</v>
      </c>
      <c r="C71" t="s">
        <v>105</v>
      </c>
      <c r="D71">
        <v>0.207786693126192</v>
      </c>
      <c r="E71">
        <v>6.5925539152128704E-2</v>
      </c>
      <c r="F71" t="s">
        <v>33</v>
      </c>
      <c r="G71">
        <v>17</v>
      </c>
      <c r="H71">
        <v>-1.6813989329359999E-4</v>
      </c>
      <c r="I71" t="s">
        <v>37</v>
      </c>
      <c r="J71" t="b">
        <v>0</v>
      </c>
      <c r="K71">
        <v>-30.667503072059201</v>
      </c>
      <c r="L71">
        <v>-29.810360214916301</v>
      </c>
      <c r="M71">
        <v>7.2197262008329002</v>
      </c>
      <c r="N71" t="s">
        <v>25</v>
      </c>
      <c r="O71" t="s">
        <v>25</v>
      </c>
      <c r="P71" t="s">
        <v>177</v>
      </c>
      <c r="Q71">
        <f>-0.000334287239954769 - -1.99254663256756E-06</f>
        <v>-3.3229469332220142E-4</v>
      </c>
      <c r="R71" t="s">
        <v>30</v>
      </c>
      <c r="S71" t="s">
        <v>38</v>
      </c>
      <c r="T71" t="s">
        <v>39</v>
      </c>
      <c r="U71" t="s">
        <v>234</v>
      </c>
      <c r="V71">
        <v>0.130378591443474</v>
      </c>
      <c r="W71" s="1">
        <v>8.4769054418928999E-5</v>
      </c>
      <c r="X71" t="s">
        <v>108</v>
      </c>
      <c r="Y71" t="s">
        <v>29</v>
      </c>
    </row>
    <row r="72" spans="1:25" x14ac:dyDescent="0.2">
      <c r="A72" t="s">
        <v>104</v>
      </c>
      <c r="B72" t="s">
        <v>48</v>
      </c>
      <c r="C72" t="s">
        <v>105</v>
      </c>
      <c r="D72">
        <v>0.11477361372648</v>
      </c>
      <c r="E72">
        <v>0.169062967471069</v>
      </c>
      <c r="F72" t="s">
        <v>33</v>
      </c>
      <c r="G72">
        <v>4</v>
      </c>
      <c r="H72">
        <v>-2.5410629624960999E-3</v>
      </c>
      <c r="I72" t="s">
        <v>40</v>
      </c>
      <c r="J72" t="b">
        <v>0</v>
      </c>
      <c r="K72">
        <v>-32.647809288022799</v>
      </c>
      <c r="L72">
        <v>-31.847809288022798</v>
      </c>
      <c r="M72">
        <v>7.4161816336449</v>
      </c>
      <c r="N72" t="s">
        <v>25</v>
      </c>
      <c r="O72" t="s">
        <v>25</v>
      </c>
      <c r="P72" t="s">
        <v>129</v>
      </c>
      <c r="Q72">
        <f>-0.00599900455591475 - 0.000916878630922515</f>
        <v>-6.9158831868372647E-3</v>
      </c>
      <c r="R72" t="s">
        <v>32</v>
      </c>
      <c r="S72" t="s">
        <v>41</v>
      </c>
      <c r="T72" t="s">
        <v>25</v>
      </c>
      <c r="U72" t="s">
        <v>42</v>
      </c>
      <c r="V72">
        <v>0.131760677959884</v>
      </c>
      <c r="W72">
        <v>1.7642559150095E-3</v>
      </c>
      <c r="X72" t="s">
        <v>108</v>
      </c>
      <c r="Y72" t="s">
        <v>29</v>
      </c>
    </row>
    <row r="73" spans="1:25" x14ac:dyDescent="0.2">
      <c r="A73" t="s">
        <v>104</v>
      </c>
      <c r="B73" t="s">
        <v>72</v>
      </c>
      <c r="C73" t="s">
        <v>105</v>
      </c>
      <c r="D73">
        <v>1.71060992437795E-2</v>
      </c>
      <c r="E73">
        <v>0.60495319992358598</v>
      </c>
      <c r="F73" t="s">
        <v>33</v>
      </c>
      <c r="G73">
        <v>13</v>
      </c>
      <c r="H73">
        <v>-9.7023536044430994E-2</v>
      </c>
      <c r="I73" t="s">
        <v>37</v>
      </c>
      <c r="J73" t="b">
        <v>0</v>
      </c>
      <c r="K73">
        <v>-30.763969532362701</v>
      </c>
      <c r="L73">
        <v>-29.9639695323627</v>
      </c>
      <c r="M73">
        <v>7.5168174864791002</v>
      </c>
      <c r="N73" t="s">
        <v>25</v>
      </c>
      <c r="O73" t="s">
        <v>25</v>
      </c>
      <c r="P73" t="s">
        <v>109</v>
      </c>
      <c r="Q73">
        <f>-0.457395506942929 - 0.263348434854067</f>
        <v>-0.72074394179699608</v>
      </c>
      <c r="R73" t="s">
        <v>26</v>
      </c>
      <c r="S73" t="s">
        <v>38</v>
      </c>
      <c r="T73" t="s">
        <v>39</v>
      </c>
      <c r="U73" t="s">
        <v>235</v>
      </c>
      <c r="V73">
        <v>0.129084549683223</v>
      </c>
      <c r="W73">
        <v>0.183863250458418</v>
      </c>
      <c r="X73" t="s">
        <v>108</v>
      </c>
      <c r="Y73" t="s">
        <v>29</v>
      </c>
    </row>
    <row r="74" spans="1:25" x14ac:dyDescent="0.2">
      <c r="A74" t="s">
        <v>104</v>
      </c>
      <c r="B74" t="s">
        <v>64</v>
      </c>
      <c r="C74" t="s">
        <v>105</v>
      </c>
      <c r="D74">
        <v>1.70053547637685E-2</v>
      </c>
      <c r="E74">
        <v>0.61788035315229495</v>
      </c>
      <c r="F74" t="s">
        <v>33</v>
      </c>
      <c r="G74">
        <v>17</v>
      </c>
      <c r="H74">
        <v>5.5150646892387E-3</v>
      </c>
      <c r="I74" t="s">
        <v>40</v>
      </c>
      <c r="J74" t="b">
        <v>0</v>
      </c>
      <c r="K74">
        <v>-26.9993622361098</v>
      </c>
      <c r="L74">
        <v>-26.142219378966999</v>
      </c>
      <c r="M74">
        <v>9.9258520203566007</v>
      </c>
      <c r="N74" t="s">
        <v>25</v>
      </c>
      <c r="O74" t="s">
        <v>25</v>
      </c>
      <c r="P74" t="s">
        <v>111</v>
      </c>
      <c r="Q74">
        <f>-0.0157048571774271 - 0.0267349865559046</f>
        <v>-4.2439843733331699E-2</v>
      </c>
      <c r="R74" t="s">
        <v>30</v>
      </c>
      <c r="S74" t="s">
        <v>41</v>
      </c>
      <c r="T74" t="s">
        <v>25</v>
      </c>
      <c r="U74" t="s">
        <v>42</v>
      </c>
      <c r="V74">
        <v>0.119547164206478</v>
      </c>
      <c r="W74">
        <v>1.08264907482989E-2</v>
      </c>
      <c r="X74" t="s">
        <v>108</v>
      </c>
      <c r="Y74" t="s">
        <v>29</v>
      </c>
    </row>
    <row r="75" spans="1:25" x14ac:dyDescent="0.2">
      <c r="A75" t="s">
        <v>104</v>
      </c>
      <c r="B75" t="s">
        <v>63</v>
      </c>
      <c r="C75" t="s">
        <v>105</v>
      </c>
      <c r="D75">
        <v>0.29435093860754202</v>
      </c>
      <c r="E75">
        <v>2.00019284750859E-2</v>
      </c>
      <c r="F75" t="s">
        <v>33</v>
      </c>
      <c r="G75">
        <v>7</v>
      </c>
      <c r="H75">
        <v>3.835116704199E-4</v>
      </c>
      <c r="I75" t="s">
        <v>37</v>
      </c>
      <c r="J75" t="b">
        <v>0</v>
      </c>
      <c r="K75">
        <v>-36.728866168835197</v>
      </c>
      <c r="L75">
        <v>-35.928866168835199</v>
      </c>
      <c r="M75">
        <v>3.5323113038201002</v>
      </c>
      <c r="N75" t="s">
        <v>25</v>
      </c>
      <c r="O75" t="s">
        <v>25</v>
      </c>
      <c r="P75" t="s">
        <v>205</v>
      </c>
      <c r="Q75" t="s">
        <v>236</v>
      </c>
      <c r="R75" t="s">
        <v>26</v>
      </c>
      <c r="S75" t="s">
        <v>38</v>
      </c>
      <c r="T75" t="s">
        <v>39</v>
      </c>
      <c r="U75" t="s">
        <v>237</v>
      </c>
      <c r="V75">
        <v>0.101051158554099</v>
      </c>
      <c r="W75">
        <v>1.484500213936E-4</v>
      </c>
      <c r="X75" t="s">
        <v>108</v>
      </c>
      <c r="Y75" t="s">
        <v>29</v>
      </c>
    </row>
    <row r="76" spans="1:25" x14ac:dyDescent="0.2">
      <c r="A76" t="s">
        <v>104</v>
      </c>
      <c r="B76" t="s">
        <v>60</v>
      </c>
      <c r="C76" t="s">
        <v>105</v>
      </c>
      <c r="D76">
        <v>0.25340380173923499</v>
      </c>
      <c r="E76">
        <v>3.31992573734885E-2</v>
      </c>
      <c r="F76" t="s">
        <v>33</v>
      </c>
      <c r="G76">
        <v>18</v>
      </c>
      <c r="H76">
        <v>1.5425336868070001E-4</v>
      </c>
      <c r="I76" t="s">
        <v>37</v>
      </c>
      <c r="J76" t="b">
        <v>0</v>
      </c>
      <c r="K76">
        <v>-35.7135502367654</v>
      </c>
      <c r="L76">
        <v>-34.913550236765403</v>
      </c>
      <c r="M76">
        <v>4.6150897656401</v>
      </c>
      <c r="N76" t="s">
        <v>25</v>
      </c>
      <c r="O76" t="s">
        <v>25</v>
      </c>
      <c r="P76" t="s">
        <v>193</v>
      </c>
      <c r="Q76" t="s">
        <v>238</v>
      </c>
      <c r="R76" t="s">
        <v>31</v>
      </c>
      <c r="S76" t="s">
        <v>38</v>
      </c>
      <c r="T76" t="s">
        <v>39</v>
      </c>
      <c r="U76" t="s">
        <v>239</v>
      </c>
      <c r="V76">
        <v>0.106410111348149</v>
      </c>
      <c r="W76" s="1">
        <v>6.6192836186184997E-5</v>
      </c>
      <c r="X76" t="s">
        <v>108</v>
      </c>
      <c r="Y76" t="s">
        <v>29</v>
      </c>
    </row>
    <row r="77" spans="1:25" x14ac:dyDescent="0.2">
      <c r="A77" t="s">
        <v>104</v>
      </c>
      <c r="B77" t="s">
        <v>61</v>
      </c>
      <c r="C77" t="s">
        <v>105</v>
      </c>
      <c r="D77">
        <v>4.7351696111462997E-2</v>
      </c>
      <c r="E77">
        <v>0.38572212431604003</v>
      </c>
      <c r="F77" t="s">
        <v>33</v>
      </c>
      <c r="G77">
        <v>12</v>
      </c>
      <c r="H77">
        <v>1.9141277817360001E-4</v>
      </c>
      <c r="I77" t="s">
        <v>40</v>
      </c>
      <c r="J77" t="b">
        <v>0</v>
      </c>
      <c r="K77">
        <v>-31.3265664749003</v>
      </c>
      <c r="L77">
        <v>-30.526566474900299</v>
      </c>
      <c r="M77">
        <v>9.2262566664009995</v>
      </c>
      <c r="N77" t="s">
        <v>25</v>
      </c>
      <c r="O77" t="s">
        <v>25</v>
      </c>
      <c r="P77" t="s">
        <v>189</v>
      </c>
      <c r="Q77">
        <f>-0.00022928046431362 - 0.000612106020660972</f>
        <v>-8.4138648497459202E-4</v>
      </c>
      <c r="R77" t="s">
        <v>32</v>
      </c>
      <c r="S77" t="s">
        <v>41</v>
      </c>
      <c r="T77" t="s">
        <v>25</v>
      </c>
      <c r="U77" t="s">
        <v>42</v>
      </c>
      <c r="V77">
        <v>0.11476740247602001</v>
      </c>
      <c r="W77">
        <v>2.1463940943220001E-4</v>
      </c>
      <c r="X77" t="s">
        <v>108</v>
      </c>
      <c r="Y77" t="s">
        <v>29</v>
      </c>
    </row>
    <row r="78" spans="1:25" x14ac:dyDescent="0.2">
      <c r="A78" t="s">
        <v>104</v>
      </c>
      <c r="B78" t="s">
        <v>81</v>
      </c>
      <c r="C78" t="s">
        <v>105</v>
      </c>
      <c r="D78">
        <v>0.14222133508897999</v>
      </c>
      <c r="E78">
        <v>0.122893247175339</v>
      </c>
      <c r="F78" t="s">
        <v>33</v>
      </c>
      <c r="G78">
        <v>8</v>
      </c>
      <c r="H78">
        <v>-4.9669936957584399E-2</v>
      </c>
      <c r="I78" t="s">
        <v>34</v>
      </c>
      <c r="J78" t="b">
        <v>0</v>
      </c>
      <c r="K78">
        <v>-37.517620843193598</v>
      </c>
      <c r="L78">
        <v>-36.7176208431936</v>
      </c>
      <c r="M78">
        <v>4.4464119850175896</v>
      </c>
      <c r="N78" t="s">
        <v>25</v>
      </c>
      <c r="O78" t="s">
        <v>25</v>
      </c>
      <c r="P78" t="s">
        <v>149</v>
      </c>
      <c r="Q78">
        <f>-0.109441544085758 - 0.0101016701705893</f>
        <v>-0.1195432142563473</v>
      </c>
      <c r="R78" t="s">
        <v>31</v>
      </c>
      <c r="S78" t="s">
        <v>35</v>
      </c>
      <c r="T78" t="s">
        <v>36</v>
      </c>
      <c r="U78" t="s">
        <v>240</v>
      </c>
      <c r="V78">
        <v>0.14516498601611699</v>
      </c>
      <c r="W78">
        <v>3.04957179225376E-2</v>
      </c>
      <c r="X78" t="s">
        <v>108</v>
      </c>
      <c r="Y78" t="s">
        <v>29</v>
      </c>
    </row>
    <row r="79" spans="1:25" x14ac:dyDescent="0.2">
      <c r="A79" t="s">
        <v>104</v>
      </c>
      <c r="B79" t="s">
        <v>97</v>
      </c>
      <c r="C79" t="s">
        <v>105</v>
      </c>
      <c r="D79">
        <v>0.53241508112628899</v>
      </c>
      <c r="E79">
        <v>5.8828969308619995E-4</v>
      </c>
      <c r="F79" t="s">
        <v>33</v>
      </c>
      <c r="G79">
        <v>17</v>
      </c>
      <c r="H79">
        <v>1.0356739560931001E-3</v>
      </c>
      <c r="I79" t="s">
        <v>34</v>
      </c>
      <c r="J79" t="b">
        <v>0</v>
      </c>
      <c r="K79">
        <v>-47.983181884056002</v>
      </c>
      <c r="L79">
        <v>-47.183181884055998</v>
      </c>
      <c r="M79">
        <v>1.3344055875889</v>
      </c>
      <c r="N79" t="s">
        <v>25</v>
      </c>
      <c r="O79" t="s">
        <v>25</v>
      </c>
      <c r="P79" t="s">
        <v>217</v>
      </c>
      <c r="Q79" t="s">
        <v>241</v>
      </c>
      <c r="R79" t="s">
        <v>32</v>
      </c>
      <c r="S79" t="s">
        <v>35</v>
      </c>
      <c r="T79" t="s">
        <v>36</v>
      </c>
      <c r="U79" t="s">
        <v>242</v>
      </c>
      <c r="V79">
        <v>0.11169260895621699</v>
      </c>
      <c r="W79">
        <v>2.426432069043E-4</v>
      </c>
      <c r="X79" t="s">
        <v>108</v>
      </c>
      <c r="Y79" t="s">
        <v>29</v>
      </c>
    </row>
    <row r="80" spans="1:25" x14ac:dyDescent="0.2">
      <c r="A80" t="s">
        <v>104</v>
      </c>
      <c r="B80" t="s">
        <v>99</v>
      </c>
      <c r="C80" t="s">
        <v>105</v>
      </c>
      <c r="D80">
        <v>0.111474015683933</v>
      </c>
      <c r="E80">
        <v>0.19028988612845299</v>
      </c>
      <c r="F80" t="s">
        <v>33</v>
      </c>
      <c r="G80">
        <v>19</v>
      </c>
      <c r="H80">
        <v>3.5459733479020002E-4</v>
      </c>
      <c r="I80" t="s">
        <v>40</v>
      </c>
      <c r="J80" t="b">
        <v>0</v>
      </c>
      <c r="K80">
        <v>-28.7170385036898</v>
      </c>
      <c r="L80">
        <v>-27.859895646546999</v>
      </c>
      <c r="M80">
        <v>17.9326838733591</v>
      </c>
      <c r="N80" t="s">
        <v>25</v>
      </c>
      <c r="O80" t="s">
        <v>25</v>
      </c>
      <c r="P80" t="s">
        <v>146</v>
      </c>
      <c r="Q80">
        <f>-0.000152036455806026 - 0.000861231125386456</f>
        <v>-1.0132675811924819E-3</v>
      </c>
      <c r="R80" t="s">
        <v>30</v>
      </c>
      <c r="S80" t="s">
        <v>41</v>
      </c>
      <c r="T80" t="s">
        <v>25</v>
      </c>
      <c r="U80" t="s">
        <v>42</v>
      </c>
      <c r="V80">
        <v>8.4761133506364106E-2</v>
      </c>
      <c r="W80">
        <v>2.5848662785520001E-4</v>
      </c>
      <c r="X80" t="s">
        <v>108</v>
      </c>
      <c r="Y80" t="s">
        <v>29</v>
      </c>
    </row>
    <row r="81" spans="1:25" x14ac:dyDescent="0.2">
      <c r="A81" t="s">
        <v>104</v>
      </c>
      <c r="B81" t="s">
        <v>57</v>
      </c>
      <c r="C81" t="s">
        <v>105</v>
      </c>
      <c r="D81">
        <v>3.3154179381631302E-2</v>
      </c>
      <c r="E81">
        <v>0.46959864874632401</v>
      </c>
      <c r="F81" t="s">
        <v>33</v>
      </c>
      <c r="G81">
        <v>14</v>
      </c>
      <c r="H81">
        <v>-3.3678980461750001E-4</v>
      </c>
      <c r="I81" t="s">
        <v>40</v>
      </c>
      <c r="J81" t="b">
        <v>0</v>
      </c>
      <c r="K81">
        <v>-31.0602880233671</v>
      </c>
      <c r="L81">
        <v>-30.260288023367099</v>
      </c>
      <c r="M81">
        <v>7.1796688633798897</v>
      </c>
      <c r="N81" t="s">
        <v>25</v>
      </c>
      <c r="O81" t="s">
        <v>25</v>
      </c>
      <c r="P81" t="s">
        <v>131</v>
      </c>
      <c r="Q81">
        <f>-0.00122796786591907 - 0.000554388256683959</f>
        <v>-1.782356122603029E-3</v>
      </c>
      <c r="R81" t="s">
        <v>26</v>
      </c>
      <c r="S81" t="s">
        <v>41</v>
      </c>
      <c r="T81" t="s">
        <v>25</v>
      </c>
      <c r="U81" t="s">
        <v>42</v>
      </c>
      <c r="V81">
        <v>0.129260356746038</v>
      </c>
      <c r="W81">
        <v>4.5468268433750001E-4</v>
      </c>
      <c r="X81" t="s">
        <v>108</v>
      </c>
      <c r="Y81" t="s">
        <v>29</v>
      </c>
    </row>
    <row r="82" spans="1:25" x14ac:dyDescent="0.2">
      <c r="A82" t="s">
        <v>104</v>
      </c>
      <c r="B82" t="s">
        <v>86</v>
      </c>
      <c r="C82" t="s">
        <v>105</v>
      </c>
      <c r="D82">
        <v>9.5911963277551096E-2</v>
      </c>
      <c r="E82">
        <v>0.21106937995424599</v>
      </c>
      <c r="F82" t="s">
        <v>33</v>
      </c>
      <c r="G82">
        <v>15</v>
      </c>
      <c r="H82">
        <v>-6.1959470467157999E-3</v>
      </c>
      <c r="I82" t="s">
        <v>40</v>
      </c>
      <c r="J82" t="b">
        <v>0</v>
      </c>
      <c r="K82">
        <v>-32.268309430628797</v>
      </c>
      <c r="L82">
        <v>-31.4683094306288</v>
      </c>
      <c r="M82">
        <v>8.9375812450143997</v>
      </c>
      <c r="N82" t="s">
        <v>25</v>
      </c>
      <c r="O82" t="s">
        <v>25</v>
      </c>
      <c r="P82" t="s">
        <v>179</v>
      </c>
      <c r="Q82">
        <f>-0.0155171668304137 - 0.00312527273698197</f>
        <v>-1.8642439567395669E-2</v>
      </c>
      <c r="R82" t="s">
        <v>26</v>
      </c>
      <c r="S82" t="s">
        <v>41</v>
      </c>
      <c r="T82" t="s">
        <v>25</v>
      </c>
      <c r="U82" t="s">
        <v>42</v>
      </c>
      <c r="V82">
        <v>0.171982579618636</v>
      </c>
      <c r="W82">
        <v>4.7557243794375996E-3</v>
      </c>
      <c r="X82" t="s">
        <v>108</v>
      </c>
      <c r="Y82" t="s">
        <v>29</v>
      </c>
    </row>
    <row r="83" spans="1:25" x14ac:dyDescent="0.2">
      <c r="A83" t="s">
        <v>104</v>
      </c>
      <c r="B83" t="s">
        <v>44</v>
      </c>
      <c r="C83" t="s">
        <v>105</v>
      </c>
      <c r="D83">
        <v>8.3052635511627296E-2</v>
      </c>
      <c r="E83">
        <v>0.26197625742649899</v>
      </c>
      <c r="F83" t="s">
        <v>33</v>
      </c>
      <c r="G83">
        <v>18</v>
      </c>
      <c r="H83">
        <v>-4.0151253939589999E-4</v>
      </c>
      <c r="I83" t="s">
        <v>37</v>
      </c>
      <c r="J83" t="b">
        <v>0</v>
      </c>
      <c r="K83">
        <v>-28.181773467386002</v>
      </c>
      <c r="L83">
        <v>-27.324630610243101</v>
      </c>
      <c r="M83">
        <v>10.066605944786</v>
      </c>
      <c r="N83" t="s">
        <v>25</v>
      </c>
      <c r="O83" t="s">
        <v>25</v>
      </c>
      <c r="P83" t="s">
        <v>183</v>
      </c>
      <c r="Q83">
        <f>-0.00107666996556139 - 0.000273644886769521</f>
        <v>-1.3503148523309112E-3</v>
      </c>
      <c r="R83" t="s">
        <v>30</v>
      </c>
      <c r="S83" t="s">
        <v>38</v>
      </c>
      <c r="T83" t="s">
        <v>39</v>
      </c>
      <c r="U83" t="s">
        <v>243</v>
      </c>
      <c r="V83">
        <v>0.13405770932552499</v>
      </c>
      <c r="W83">
        <v>3.4446807457420001E-4</v>
      </c>
      <c r="X83" t="s">
        <v>108</v>
      </c>
      <c r="Y83" t="s">
        <v>29</v>
      </c>
    </row>
    <row r="84" spans="1:25" x14ac:dyDescent="0.2">
      <c r="A84" t="s">
        <v>104</v>
      </c>
      <c r="B84" t="s">
        <v>61</v>
      </c>
      <c r="C84" t="s">
        <v>105</v>
      </c>
      <c r="D84">
        <v>4.7351696111462997E-2</v>
      </c>
      <c r="E84">
        <v>0.38572212431604003</v>
      </c>
      <c r="F84" t="s">
        <v>33</v>
      </c>
      <c r="G84">
        <v>12</v>
      </c>
      <c r="H84">
        <v>1.9141277817360001E-4</v>
      </c>
      <c r="I84" t="s">
        <v>37</v>
      </c>
      <c r="J84" t="b">
        <v>0</v>
      </c>
      <c r="K84">
        <v>-31.3265664749003</v>
      </c>
      <c r="L84">
        <v>-30.526566474900299</v>
      </c>
      <c r="M84">
        <v>9.2262566664009995</v>
      </c>
      <c r="N84" t="s">
        <v>25</v>
      </c>
      <c r="O84" t="s">
        <v>25</v>
      </c>
      <c r="P84" t="s">
        <v>189</v>
      </c>
      <c r="Q84">
        <f>-0.00022928046431362 - 0.000612106020660972</f>
        <v>-8.4138648497459202E-4</v>
      </c>
      <c r="R84" t="s">
        <v>32</v>
      </c>
      <c r="S84" t="s">
        <v>38</v>
      </c>
      <c r="T84" t="s">
        <v>39</v>
      </c>
      <c r="U84" t="s">
        <v>244</v>
      </c>
      <c r="V84">
        <v>0.11476740247602001</v>
      </c>
      <c r="W84">
        <v>2.1463940943220001E-4</v>
      </c>
      <c r="X84" t="s">
        <v>108</v>
      </c>
      <c r="Y84" t="s">
        <v>29</v>
      </c>
    </row>
    <row r="85" spans="1:25" x14ac:dyDescent="0.2">
      <c r="A85" t="s">
        <v>104</v>
      </c>
      <c r="B85" t="s">
        <v>60</v>
      </c>
      <c r="C85" t="s">
        <v>105</v>
      </c>
      <c r="D85">
        <v>0.16063781005921601</v>
      </c>
      <c r="E85">
        <v>9.9288552106548994E-2</v>
      </c>
      <c r="F85" t="s">
        <v>33</v>
      </c>
      <c r="G85">
        <v>18</v>
      </c>
      <c r="H85">
        <v>1.3372384666219999E-4</v>
      </c>
      <c r="I85" t="s">
        <v>34</v>
      </c>
      <c r="J85" t="b">
        <v>0</v>
      </c>
      <c r="K85">
        <v>-37.346848652244397</v>
      </c>
      <c r="L85">
        <v>-36.5468486522444</v>
      </c>
      <c r="M85">
        <v>2.9817913501611</v>
      </c>
      <c r="N85" t="s">
        <v>25</v>
      </c>
      <c r="O85" t="s">
        <v>25</v>
      </c>
      <c r="P85" t="s">
        <v>193</v>
      </c>
      <c r="Q85">
        <f>-0.0000160568183542665 - 0.000283504511678681</f>
        <v>-2.9956133003294748E-4</v>
      </c>
      <c r="R85" t="s">
        <v>31</v>
      </c>
      <c r="S85" t="s">
        <v>35</v>
      </c>
      <c r="T85" t="s">
        <v>36</v>
      </c>
      <c r="U85" t="s">
        <v>245</v>
      </c>
      <c r="V85">
        <v>0.107827791700566</v>
      </c>
      <c r="W85" s="1">
        <v>7.6418706641058005E-5</v>
      </c>
      <c r="X85" t="s">
        <v>108</v>
      </c>
      <c r="Y85" t="s">
        <v>29</v>
      </c>
    </row>
    <row r="86" spans="1:25" x14ac:dyDescent="0.2">
      <c r="A86" t="s">
        <v>104</v>
      </c>
      <c r="B86" t="s">
        <v>85</v>
      </c>
      <c r="C86" t="s">
        <v>105</v>
      </c>
      <c r="D86">
        <v>0.20537098224078901</v>
      </c>
      <c r="E86">
        <v>6.7720320051265895E-2</v>
      </c>
      <c r="F86" t="s">
        <v>33</v>
      </c>
      <c r="G86">
        <v>19</v>
      </c>
      <c r="H86">
        <v>6.8039195790110005E-4</v>
      </c>
      <c r="I86" t="s">
        <v>37</v>
      </c>
      <c r="J86" t="b">
        <v>0</v>
      </c>
      <c r="K86">
        <v>-30.615743529048601</v>
      </c>
      <c r="L86">
        <v>-29.7586006719057</v>
      </c>
      <c r="M86">
        <v>9.3513957022687997</v>
      </c>
      <c r="N86" t="s">
        <v>25</v>
      </c>
      <c r="O86" t="s">
        <v>25</v>
      </c>
      <c r="P86" t="s">
        <v>115</v>
      </c>
      <c r="Q86" t="s">
        <v>231</v>
      </c>
      <c r="R86" t="s">
        <v>30</v>
      </c>
      <c r="S86" t="s">
        <v>38</v>
      </c>
      <c r="T86" t="s">
        <v>39</v>
      </c>
      <c r="U86" t="s">
        <v>246</v>
      </c>
      <c r="V86">
        <v>5.4342881290267403E-2</v>
      </c>
      <c r="W86">
        <v>3.45562185636E-4</v>
      </c>
      <c r="X86" t="s">
        <v>108</v>
      </c>
      <c r="Y86" t="s">
        <v>29</v>
      </c>
    </row>
    <row r="87" spans="1:25" x14ac:dyDescent="0.2">
      <c r="A87" t="s">
        <v>104</v>
      </c>
      <c r="B87" t="s">
        <v>64</v>
      </c>
      <c r="C87" t="s">
        <v>105</v>
      </c>
      <c r="D87">
        <v>1.70053547637685E-2</v>
      </c>
      <c r="E87">
        <v>0.61788035315229495</v>
      </c>
      <c r="F87" t="s">
        <v>33</v>
      </c>
      <c r="G87">
        <v>17</v>
      </c>
      <c r="H87">
        <v>5.5150646892387E-3</v>
      </c>
      <c r="I87" t="s">
        <v>37</v>
      </c>
      <c r="J87" t="b">
        <v>0</v>
      </c>
      <c r="K87">
        <v>-26.9993622361098</v>
      </c>
      <c r="L87">
        <v>-26.142219378966999</v>
      </c>
      <c r="M87">
        <v>9.9258520203566007</v>
      </c>
      <c r="N87" t="s">
        <v>25</v>
      </c>
      <c r="O87" t="s">
        <v>25</v>
      </c>
      <c r="P87" t="s">
        <v>111</v>
      </c>
      <c r="Q87">
        <f>-0.0157048571774271 - 0.0267349865559046</f>
        <v>-4.2439843733331699E-2</v>
      </c>
      <c r="R87" t="s">
        <v>30</v>
      </c>
      <c r="S87" t="s">
        <v>38</v>
      </c>
      <c r="T87" t="s">
        <v>39</v>
      </c>
      <c r="U87" t="s">
        <v>247</v>
      </c>
      <c r="V87">
        <v>0.119547164206478</v>
      </c>
      <c r="W87">
        <v>1.08264907482989E-2</v>
      </c>
      <c r="X87" t="s">
        <v>108</v>
      </c>
      <c r="Y87" t="s">
        <v>29</v>
      </c>
    </row>
    <row r="88" spans="1:25" x14ac:dyDescent="0.2">
      <c r="A88" t="s">
        <v>104</v>
      </c>
      <c r="B88" t="s">
        <v>98</v>
      </c>
      <c r="C88" t="s">
        <v>105</v>
      </c>
      <c r="D88">
        <v>0.13131283406680999</v>
      </c>
      <c r="E88">
        <v>0.13945835522175901</v>
      </c>
      <c r="F88" t="s">
        <v>33</v>
      </c>
      <c r="G88">
        <v>11</v>
      </c>
      <c r="H88">
        <v>-5.64842588504832E-2</v>
      </c>
      <c r="I88" t="s">
        <v>34</v>
      </c>
      <c r="J88" t="b">
        <v>0</v>
      </c>
      <c r="K88">
        <v>-37.27314248623</v>
      </c>
      <c r="L88">
        <v>-36.473142486230003</v>
      </c>
      <c r="M88">
        <v>5.3662932235673901</v>
      </c>
      <c r="N88" t="s">
        <v>25</v>
      </c>
      <c r="O88" t="s">
        <v>25</v>
      </c>
      <c r="P88" t="s">
        <v>127</v>
      </c>
      <c r="Q88">
        <f>-0.127671412747887 - 0.0147028950469202</f>
        <v>-0.1423743077948072</v>
      </c>
      <c r="R88" t="s">
        <v>26</v>
      </c>
      <c r="S88" t="s">
        <v>35</v>
      </c>
      <c r="T88" t="s">
        <v>36</v>
      </c>
      <c r="U88" t="s">
        <v>248</v>
      </c>
      <c r="V88">
        <v>0.135055768940084</v>
      </c>
      <c r="W88">
        <v>3.6319976478266999E-2</v>
      </c>
      <c r="X88" t="s">
        <v>108</v>
      </c>
      <c r="Y88" t="s">
        <v>29</v>
      </c>
    </row>
    <row r="89" spans="1:25" x14ac:dyDescent="0.2">
      <c r="A89" t="s">
        <v>104</v>
      </c>
      <c r="B89" t="s">
        <v>79</v>
      </c>
      <c r="C89" t="s">
        <v>105</v>
      </c>
      <c r="D89">
        <v>2.4679014932040201E-2</v>
      </c>
      <c r="E89">
        <v>0.53358949284242096</v>
      </c>
      <c r="F89" t="s">
        <v>33</v>
      </c>
      <c r="G89">
        <v>13</v>
      </c>
      <c r="H89">
        <v>2.206206139725E-4</v>
      </c>
      <c r="I89" t="s">
        <v>40</v>
      </c>
      <c r="J89" t="b">
        <v>0</v>
      </c>
      <c r="K89">
        <v>-30.903191395018499</v>
      </c>
      <c r="L89">
        <v>-30.103191395018499</v>
      </c>
      <c r="M89">
        <v>11.6593168196744</v>
      </c>
      <c r="N89" t="s">
        <v>25</v>
      </c>
      <c r="O89" t="s">
        <v>25</v>
      </c>
      <c r="P89" t="s">
        <v>151</v>
      </c>
      <c r="Q89">
        <f>-0.000458977308918776 - 0.000900218536863845</f>
        <v>-1.3591958457826209E-3</v>
      </c>
      <c r="R89" t="s">
        <v>31</v>
      </c>
      <c r="S89" t="s">
        <v>41</v>
      </c>
      <c r="T89" t="s">
        <v>25</v>
      </c>
      <c r="U89" t="s">
        <v>42</v>
      </c>
      <c r="V89">
        <v>0.11415062646740699</v>
      </c>
      <c r="W89">
        <v>3.4673363412819998E-4</v>
      </c>
      <c r="X89" t="s">
        <v>108</v>
      </c>
      <c r="Y89" t="s">
        <v>29</v>
      </c>
    </row>
    <row r="90" spans="1:25" x14ac:dyDescent="0.2">
      <c r="A90" t="s">
        <v>104</v>
      </c>
      <c r="B90" t="s">
        <v>48</v>
      </c>
      <c r="C90" t="s">
        <v>105</v>
      </c>
      <c r="D90">
        <v>0.11477361372648</v>
      </c>
      <c r="E90">
        <v>0.169062967471069</v>
      </c>
      <c r="F90" t="s">
        <v>33</v>
      </c>
      <c r="G90">
        <v>4</v>
      </c>
      <c r="H90">
        <v>-2.5410629624960999E-3</v>
      </c>
      <c r="I90" t="s">
        <v>37</v>
      </c>
      <c r="J90" t="b">
        <v>0</v>
      </c>
      <c r="K90">
        <v>-32.647809288022799</v>
      </c>
      <c r="L90">
        <v>-31.847809288022798</v>
      </c>
      <c r="M90">
        <v>7.4161816336449</v>
      </c>
      <c r="N90" t="s">
        <v>25</v>
      </c>
      <c r="O90" t="s">
        <v>25</v>
      </c>
      <c r="P90" t="s">
        <v>129</v>
      </c>
      <c r="Q90">
        <f>-0.00599900455591475 - 0.000916878630922515</f>
        <v>-6.9158831868372647E-3</v>
      </c>
      <c r="R90" t="s">
        <v>32</v>
      </c>
      <c r="S90" t="s">
        <v>38</v>
      </c>
      <c r="T90" t="s">
        <v>39</v>
      </c>
      <c r="U90" t="s">
        <v>249</v>
      </c>
      <c r="V90">
        <v>0.131760677959884</v>
      </c>
      <c r="W90">
        <v>1.7642559150095E-3</v>
      </c>
      <c r="X90" t="s">
        <v>108</v>
      </c>
      <c r="Y90" t="s">
        <v>29</v>
      </c>
    </row>
    <row r="91" spans="1:25" x14ac:dyDescent="0.2">
      <c r="A91" t="s">
        <v>104</v>
      </c>
      <c r="B91" t="s">
        <v>97</v>
      </c>
      <c r="C91" t="s">
        <v>105</v>
      </c>
      <c r="D91">
        <v>0.23609201602977101</v>
      </c>
      <c r="E91">
        <v>4.0916941247530501E-2</v>
      </c>
      <c r="F91" t="s">
        <v>33</v>
      </c>
      <c r="G91">
        <v>17</v>
      </c>
      <c r="H91">
        <v>9.1668885781199996E-4</v>
      </c>
      <c r="I91" t="s">
        <v>40</v>
      </c>
      <c r="J91" t="b">
        <v>0</v>
      </c>
      <c r="K91">
        <v>-35.300938618422798</v>
      </c>
      <c r="L91">
        <v>-34.500938618422801</v>
      </c>
      <c r="M91">
        <v>14.016648853222099</v>
      </c>
      <c r="N91" t="s">
        <v>25</v>
      </c>
      <c r="O91" t="s">
        <v>25</v>
      </c>
      <c r="P91" t="s">
        <v>217</v>
      </c>
      <c r="Q91" t="s">
        <v>250</v>
      </c>
      <c r="R91" t="s">
        <v>32</v>
      </c>
      <c r="S91" t="s">
        <v>41</v>
      </c>
      <c r="T91" t="s">
        <v>25</v>
      </c>
      <c r="U91" t="s">
        <v>42</v>
      </c>
      <c r="V91">
        <v>0.11216012326531</v>
      </c>
      <c r="W91">
        <v>4.1223212727660002E-4</v>
      </c>
      <c r="X91" t="s">
        <v>108</v>
      </c>
      <c r="Y91" t="s">
        <v>29</v>
      </c>
    </row>
    <row r="92" spans="1:25" x14ac:dyDescent="0.2">
      <c r="A92" t="s">
        <v>104</v>
      </c>
      <c r="B92" t="s">
        <v>55</v>
      </c>
      <c r="C92" t="s">
        <v>105</v>
      </c>
      <c r="D92">
        <v>0.29797538806138002</v>
      </c>
      <c r="E92">
        <v>1.91065652581499E-2</v>
      </c>
      <c r="F92" t="s">
        <v>33</v>
      </c>
      <c r="G92">
        <v>18</v>
      </c>
      <c r="H92">
        <v>-6.5682362014084002E-3</v>
      </c>
      <c r="I92" t="s">
        <v>34</v>
      </c>
      <c r="J92" t="b">
        <v>0</v>
      </c>
      <c r="K92">
        <v>-40.6682071311985</v>
      </c>
      <c r="L92">
        <v>-39.868207131198503</v>
      </c>
      <c r="M92">
        <v>4.9236343105264897</v>
      </c>
      <c r="N92" t="s">
        <v>25</v>
      </c>
      <c r="O92" t="s">
        <v>25</v>
      </c>
      <c r="P92" t="s">
        <v>133</v>
      </c>
      <c r="Q92">
        <f>-0.0115082801681472 - -0.00162819223466963</f>
        <v>-9.8800879334775705E-3</v>
      </c>
      <c r="R92" t="s">
        <v>32</v>
      </c>
      <c r="S92" t="s">
        <v>35</v>
      </c>
      <c r="T92" t="s">
        <v>36</v>
      </c>
      <c r="U92" t="s">
        <v>251</v>
      </c>
      <c r="V92">
        <v>0.162758303899145</v>
      </c>
      <c r="W92">
        <v>2.5204305952748001E-3</v>
      </c>
      <c r="X92" t="s">
        <v>108</v>
      </c>
      <c r="Y92" t="s">
        <v>29</v>
      </c>
    </row>
    <row r="93" spans="1:25" x14ac:dyDescent="0.2">
      <c r="A93" t="s">
        <v>104</v>
      </c>
      <c r="B93" t="s">
        <v>83</v>
      </c>
      <c r="C93" t="s">
        <v>105</v>
      </c>
      <c r="D93">
        <v>1.9488821320434901E-2</v>
      </c>
      <c r="E93">
        <v>0.580619897536653</v>
      </c>
      <c r="F93" t="s">
        <v>33</v>
      </c>
      <c r="G93">
        <v>8</v>
      </c>
      <c r="H93">
        <v>-1.5462891080069999E-4</v>
      </c>
      <c r="I93" t="s">
        <v>40</v>
      </c>
      <c r="J93" t="b">
        <v>0</v>
      </c>
      <c r="K93">
        <v>-30.807657937658</v>
      </c>
      <c r="L93">
        <v>-30.007657937657999</v>
      </c>
      <c r="M93">
        <v>7.7544807141921996</v>
      </c>
      <c r="N93" t="s">
        <v>25</v>
      </c>
      <c r="O93" t="s">
        <v>25</v>
      </c>
      <c r="P93" t="s">
        <v>195</v>
      </c>
      <c r="Q93">
        <f>-0.000692056879972401 - 0.00038279905837091</f>
        <v>-1.074855938343311E-3</v>
      </c>
      <c r="R93" t="s">
        <v>32</v>
      </c>
      <c r="S93" t="s">
        <v>41</v>
      </c>
      <c r="T93" t="s">
        <v>25</v>
      </c>
      <c r="U93" t="s">
        <v>42</v>
      </c>
      <c r="V93">
        <v>0.12885152155160301</v>
      </c>
      <c r="W93">
        <v>2.7419794345489998E-4</v>
      </c>
      <c r="X93" t="s">
        <v>108</v>
      </c>
      <c r="Y93" t="s">
        <v>29</v>
      </c>
    </row>
    <row r="94" spans="1:25" x14ac:dyDescent="0.2">
      <c r="A94" t="s">
        <v>104</v>
      </c>
      <c r="B94" t="s">
        <v>72</v>
      </c>
      <c r="C94" t="s">
        <v>105</v>
      </c>
      <c r="D94">
        <v>1.71060992437795E-2</v>
      </c>
      <c r="E94">
        <v>0.60495319992358598</v>
      </c>
      <c r="F94" t="s">
        <v>33</v>
      </c>
      <c r="G94">
        <v>13</v>
      </c>
      <c r="H94">
        <v>-9.7023536044430994E-2</v>
      </c>
      <c r="I94" t="s">
        <v>40</v>
      </c>
      <c r="J94" t="b">
        <v>0</v>
      </c>
      <c r="K94">
        <v>-30.763969532362701</v>
      </c>
      <c r="L94">
        <v>-29.9639695323627</v>
      </c>
      <c r="M94">
        <v>7.5168174864791002</v>
      </c>
      <c r="N94" t="s">
        <v>25</v>
      </c>
      <c r="O94" t="s">
        <v>25</v>
      </c>
      <c r="P94" t="s">
        <v>109</v>
      </c>
      <c r="Q94">
        <f>-0.457395506942929 - 0.263348434854067</f>
        <v>-0.72074394179699608</v>
      </c>
      <c r="R94" t="s">
        <v>26</v>
      </c>
      <c r="S94" t="s">
        <v>41</v>
      </c>
      <c r="T94" t="s">
        <v>25</v>
      </c>
      <c r="U94" t="s">
        <v>42</v>
      </c>
      <c r="V94">
        <v>0.129084549683223</v>
      </c>
      <c r="W94">
        <v>0.183863250458418</v>
      </c>
      <c r="X94" t="s">
        <v>108</v>
      </c>
      <c r="Y94" t="s">
        <v>29</v>
      </c>
    </row>
    <row r="95" spans="1:25" x14ac:dyDescent="0.2">
      <c r="A95" t="s">
        <v>104</v>
      </c>
      <c r="B95" t="s">
        <v>54</v>
      </c>
      <c r="C95" t="s">
        <v>105</v>
      </c>
      <c r="D95">
        <v>9.7658929150723998E-3</v>
      </c>
      <c r="E95">
        <v>0.69644338121092897</v>
      </c>
      <c r="F95" t="s">
        <v>33</v>
      </c>
      <c r="G95">
        <v>10</v>
      </c>
      <c r="H95">
        <v>4.7641669988268999E-3</v>
      </c>
      <c r="I95" t="s">
        <v>34</v>
      </c>
      <c r="J95" t="b">
        <v>0</v>
      </c>
      <c r="K95">
        <v>-34.950961795753201</v>
      </c>
      <c r="L95">
        <v>-34.150961795753197</v>
      </c>
      <c r="M95">
        <v>3.3326449880008999</v>
      </c>
      <c r="N95" t="s">
        <v>25</v>
      </c>
      <c r="O95" t="s">
        <v>25</v>
      </c>
      <c r="P95" t="s">
        <v>168</v>
      </c>
      <c r="Q95">
        <f>-0.0187427686257413 - 0.0282711026233951</f>
        <v>-4.7013871249136398E-2</v>
      </c>
      <c r="R95" t="s">
        <v>32</v>
      </c>
      <c r="S95" t="s">
        <v>35</v>
      </c>
      <c r="T95" t="s">
        <v>36</v>
      </c>
      <c r="U95" t="s">
        <v>252</v>
      </c>
      <c r="V95">
        <v>0.12467192070302099</v>
      </c>
      <c r="W95">
        <v>1.1993334502330699E-2</v>
      </c>
      <c r="X95" t="s">
        <v>108</v>
      </c>
      <c r="Y95" t="s">
        <v>29</v>
      </c>
    </row>
    <row r="96" spans="1:25" x14ac:dyDescent="0.2">
      <c r="A96" t="s">
        <v>104</v>
      </c>
      <c r="B96" t="s">
        <v>84</v>
      </c>
      <c r="C96" t="s">
        <v>105</v>
      </c>
      <c r="D96">
        <v>1.1085137478160799E-2</v>
      </c>
      <c r="E96">
        <v>0.67757020656872702</v>
      </c>
      <c r="F96" t="s">
        <v>33</v>
      </c>
      <c r="G96">
        <v>18</v>
      </c>
      <c r="H96">
        <v>-2.4819135494417999E-3</v>
      </c>
      <c r="I96" t="s">
        <v>40</v>
      </c>
      <c r="J96" t="b">
        <v>0</v>
      </c>
      <c r="K96">
        <v>-30.654042392735299</v>
      </c>
      <c r="L96">
        <v>-29.854042392735298</v>
      </c>
      <c r="M96">
        <v>8.2988559705580993</v>
      </c>
      <c r="N96" t="s">
        <v>25</v>
      </c>
      <c r="O96" t="s">
        <v>25</v>
      </c>
      <c r="P96" t="s">
        <v>106</v>
      </c>
      <c r="Q96">
        <f>-0.0139685173156385 - 0.00900469021675475</f>
        <v>-2.297320753239325E-2</v>
      </c>
      <c r="R96" t="s">
        <v>26</v>
      </c>
      <c r="S96" t="s">
        <v>41</v>
      </c>
      <c r="T96" t="s">
        <v>25</v>
      </c>
      <c r="U96" t="s">
        <v>42</v>
      </c>
      <c r="V96">
        <v>0.13912666816768701</v>
      </c>
      <c r="W96">
        <v>5.8605121256105003E-3</v>
      </c>
      <c r="X96" t="s">
        <v>108</v>
      </c>
      <c r="Y96" t="s">
        <v>29</v>
      </c>
    </row>
    <row r="97" spans="1:25" x14ac:dyDescent="0.2">
      <c r="A97" t="s">
        <v>104</v>
      </c>
      <c r="B97" t="s">
        <v>50</v>
      </c>
      <c r="C97" t="s">
        <v>105</v>
      </c>
      <c r="D97">
        <v>7.5188049380308195E-2</v>
      </c>
      <c r="E97">
        <v>0.270849772472598</v>
      </c>
      <c r="F97" t="s">
        <v>33</v>
      </c>
      <c r="G97">
        <v>16</v>
      </c>
      <c r="H97">
        <v>5.1234351646390003E-4</v>
      </c>
      <c r="I97" t="s">
        <v>40</v>
      </c>
      <c r="J97" t="b">
        <v>0</v>
      </c>
      <c r="K97">
        <v>-31.860363212011102</v>
      </c>
      <c r="L97">
        <v>-31.060363212011101</v>
      </c>
      <c r="M97">
        <v>12.1496873927758</v>
      </c>
      <c r="N97" t="s">
        <v>25</v>
      </c>
      <c r="O97" t="s">
        <v>25</v>
      </c>
      <c r="P97" t="s">
        <v>117</v>
      </c>
      <c r="Q97">
        <f>-0.000368116487466826 - 0.00139280352039466</f>
        <v>-1.760920007861486E-3</v>
      </c>
      <c r="R97" t="s">
        <v>26</v>
      </c>
      <c r="S97" t="s">
        <v>41</v>
      </c>
      <c r="T97" t="s">
        <v>25</v>
      </c>
      <c r="U97" t="s">
        <v>42</v>
      </c>
      <c r="V97">
        <v>9.7477521579506704E-2</v>
      </c>
      <c r="W97">
        <v>4.4921428771969998E-4</v>
      </c>
      <c r="X97" t="s">
        <v>108</v>
      </c>
      <c r="Y97" t="s">
        <v>29</v>
      </c>
    </row>
    <row r="98" spans="1:25" x14ac:dyDescent="0.2">
      <c r="A98" t="s">
        <v>104</v>
      </c>
      <c r="B98" t="s">
        <v>79</v>
      </c>
      <c r="C98" t="s">
        <v>105</v>
      </c>
      <c r="D98">
        <v>0.163687951064656</v>
      </c>
      <c r="E98">
        <v>9.5839708313360597E-2</v>
      </c>
      <c r="F98" t="s">
        <v>33</v>
      </c>
      <c r="G98">
        <v>13</v>
      </c>
      <c r="H98">
        <v>5.1666495630710004E-4</v>
      </c>
      <c r="I98" t="s">
        <v>34</v>
      </c>
      <c r="J98" t="b">
        <v>0</v>
      </c>
      <c r="K98">
        <v>-37.5176069290683</v>
      </c>
      <c r="L98">
        <v>-36.717606929068303</v>
      </c>
      <c r="M98">
        <v>5.0449012856245901</v>
      </c>
      <c r="N98" t="s">
        <v>25</v>
      </c>
      <c r="O98" t="s">
        <v>25</v>
      </c>
      <c r="P98" t="s">
        <v>151</v>
      </c>
      <c r="Q98">
        <f>-0.000055578593933511 - 0.0010889085065479</f>
        <v>-1.144487100481411E-3</v>
      </c>
      <c r="R98" t="s">
        <v>31</v>
      </c>
      <c r="S98" t="s">
        <v>35</v>
      </c>
      <c r="T98" t="s">
        <v>36</v>
      </c>
      <c r="U98" t="s">
        <v>253</v>
      </c>
      <c r="V98">
        <v>9.9846376866574604E-2</v>
      </c>
      <c r="W98">
        <v>2.9196099502070002E-4</v>
      </c>
      <c r="X98" t="s">
        <v>108</v>
      </c>
      <c r="Y98" t="s">
        <v>29</v>
      </c>
    </row>
    <row r="99" spans="1:25" x14ac:dyDescent="0.2">
      <c r="A99" t="s">
        <v>104</v>
      </c>
      <c r="B99" t="s">
        <v>80</v>
      </c>
      <c r="C99" t="s">
        <v>105</v>
      </c>
      <c r="D99">
        <v>3.4615787583107999E-3</v>
      </c>
      <c r="E99">
        <v>0.81661846488205403</v>
      </c>
      <c r="F99" t="s">
        <v>33</v>
      </c>
      <c r="G99">
        <v>4</v>
      </c>
      <c r="H99">
        <v>1.1430461510469199E-2</v>
      </c>
      <c r="I99" t="s">
        <v>40</v>
      </c>
      <c r="J99" t="b">
        <v>0</v>
      </c>
      <c r="K99">
        <v>-30.5158122641635</v>
      </c>
      <c r="L99">
        <v>-29.7158122641635</v>
      </c>
      <c r="M99">
        <v>7.7262059544074999</v>
      </c>
      <c r="N99" t="s">
        <v>25</v>
      </c>
      <c r="O99" t="s">
        <v>25</v>
      </c>
      <c r="P99" t="s">
        <v>139</v>
      </c>
      <c r="Q99">
        <f>-0.08360151473432 - 0.106462437755258</f>
        <v>-0.190063952489578</v>
      </c>
      <c r="R99" t="s">
        <v>26</v>
      </c>
      <c r="S99" t="s">
        <v>41</v>
      </c>
      <c r="T99" t="s">
        <v>25</v>
      </c>
      <c r="U99" t="s">
        <v>42</v>
      </c>
      <c r="V99">
        <v>0.124417942926753</v>
      </c>
      <c r="W99">
        <v>4.8485702165708702E-2</v>
      </c>
      <c r="X99" t="s">
        <v>108</v>
      </c>
      <c r="Y99" t="s">
        <v>29</v>
      </c>
    </row>
    <row r="100" spans="1:25" x14ac:dyDescent="0.2">
      <c r="A100" t="s">
        <v>104</v>
      </c>
      <c r="B100" t="s">
        <v>88</v>
      </c>
      <c r="C100" t="s">
        <v>105</v>
      </c>
      <c r="D100">
        <v>6.9882480978231298E-2</v>
      </c>
      <c r="E100">
        <v>0.28912565223300202</v>
      </c>
      <c r="F100" t="s">
        <v>33</v>
      </c>
      <c r="G100">
        <v>18</v>
      </c>
      <c r="H100">
        <v>-1.5959240484678999E-3</v>
      </c>
      <c r="I100" t="s">
        <v>34</v>
      </c>
      <c r="J100" t="b">
        <v>0</v>
      </c>
      <c r="K100">
        <v>-35.894689622364197</v>
      </c>
      <c r="L100">
        <v>-35.0946896223642</v>
      </c>
      <c r="M100">
        <v>2.9665188362227899</v>
      </c>
      <c r="N100" t="s">
        <v>25</v>
      </c>
      <c r="O100" t="s">
        <v>25</v>
      </c>
      <c r="P100" t="s">
        <v>159</v>
      </c>
      <c r="Q100">
        <f>-0.00444886677916619 - 0.00125701868223032</f>
        <v>-5.7058854613965104E-3</v>
      </c>
      <c r="R100" t="s">
        <v>32</v>
      </c>
      <c r="S100" t="s">
        <v>35</v>
      </c>
      <c r="T100" t="s">
        <v>36</v>
      </c>
      <c r="U100" t="s">
        <v>254</v>
      </c>
      <c r="V100">
        <v>0.133880853112927</v>
      </c>
      <c r="W100">
        <v>1.4555830258664E-3</v>
      </c>
      <c r="X100" t="s">
        <v>108</v>
      </c>
      <c r="Y100" t="s">
        <v>29</v>
      </c>
    </row>
    <row r="101" spans="1:25" x14ac:dyDescent="0.2">
      <c r="A101" t="s">
        <v>104</v>
      </c>
      <c r="B101" t="s">
        <v>62</v>
      </c>
      <c r="C101" t="s">
        <v>105</v>
      </c>
      <c r="D101">
        <v>2.246240403046E-4</v>
      </c>
      <c r="E101">
        <v>0.952932717432867</v>
      </c>
      <c r="F101" t="s">
        <v>33</v>
      </c>
      <c r="G101">
        <v>10</v>
      </c>
      <c r="H101" s="1">
        <v>2.4576121203482699E-5</v>
      </c>
      <c r="I101" t="s">
        <v>34</v>
      </c>
      <c r="J101" t="b">
        <v>0</v>
      </c>
      <c r="K101">
        <v>-34.777867856006601</v>
      </c>
      <c r="L101">
        <v>-33.977867856006597</v>
      </c>
      <c r="M101">
        <v>5.1752436653766001</v>
      </c>
      <c r="N101" t="s">
        <v>25</v>
      </c>
      <c r="O101" t="s">
        <v>25</v>
      </c>
      <c r="P101" t="s">
        <v>220</v>
      </c>
      <c r="Q101">
        <f>-0.000778825161786155 - 0.000827977404193121</f>
        <v>-1.6068025659792761E-3</v>
      </c>
      <c r="R101" t="s">
        <v>31</v>
      </c>
      <c r="S101" t="s">
        <v>35</v>
      </c>
      <c r="T101" t="s">
        <v>36</v>
      </c>
      <c r="U101" t="s">
        <v>255</v>
      </c>
      <c r="V101">
        <v>0.125507598769309</v>
      </c>
      <c r="W101">
        <v>4.0989861377019999E-4</v>
      </c>
      <c r="X101" t="s">
        <v>108</v>
      </c>
      <c r="Y101" t="s">
        <v>29</v>
      </c>
    </row>
    <row r="102" spans="1:25" x14ac:dyDescent="0.2">
      <c r="A102" t="s">
        <v>104</v>
      </c>
      <c r="B102" t="s">
        <v>78</v>
      </c>
      <c r="C102" t="s">
        <v>105</v>
      </c>
      <c r="D102">
        <v>9.9312467791591405E-2</v>
      </c>
      <c r="E102">
        <v>0.21792107106289299</v>
      </c>
      <c r="F102" t="s">
        <v>33</v>
      </c>
      <c r="G102">
        <v>14</v>
      </c>
      <c r="H102">
        <v>-9.9427376241970002E-4</v>
      </c>
      <c r="I102" t="s">
        <v>37</v>
      </c>
      <c r="J102" t="b">
        <v>0</v>
      </c>
      <c r="K102">
        <v>-28.4859319349932</v>
      </c>
      <c r="L102">
        <v>-27.6287890778503</v>
      </c>
      <c r="M102">
        <v>10.568547367399701</v>
      </c>
      <c r="N102" t="s">
        <v>25</v>
      </c>
      <c r="O102" t="s">
        <v>25</v>
      </c>
      <c r="P102" t="s">
        <v>172</v>
      </c>
      <c r="Q102">
        <f>-0.00250958418223844 - 0.000521036657399031</f>
        <v>-3.030620839637471E-3</v>
      </c>
      <c r="R102" t="s">
        <v>30</v>
      </c>
      <c r="S102" t="s">
        <v>38</v>
      </c>
      <c r="T102" t="s">
        <v>39</v>
      </c>
      <c r="U102" t="s">
        <v>256</v>
      </c>
      <c r="V102">
        <v>0.13311039589416901</v>
      </c>
      <c r="W102">
        <v>7.7311756113199995E-4</v>
      </c>
      <c r="X102" t="s">
        <v>108</v>
      </c>
      <c r="Y102" t="s">
        <v>29</v>
      </c>
    </row>
    <row r="103" spans="1:25" x14ac:dyDescent="0.2">
      <c r="A103" t="s">
        <v>104</v>
      </c>
      <c r="B103" t="s">
        <v>92</v>
      </c>
      <c r="C103" t="s">
        <v>105</v>
      </c>
      <c r="D103">
        <v>0.44931078813424102</v>
      </c>
      <c r="E103">
        <v>2.3337186364125002E-3</v>
      </c>
      <c r="F103" t="s">
        <v>33</v>
      </c>
      <c r="G103">
        <v>9</v>
      </c>
      <c r="H103">
        <v>-5.3754756926901997E-3</v>
      </c>
      <c r="I103" t="s">
        <v>34</v>
      </c>
      <c r="J103" t="b">
        <v>0</v>
      </c>
      <c r="K103">
        <v>-45.038568555997699</v>
      </c>
      <c r="L103">
        <v>-44.238568555997702</v>
      </c>
      <c r="M103">
        <v>8.0205912243451891</v>
      </c>
      <c r="N103" t="s">
        <v>25</v>
      </c>
      <c r="O103" t="s">
        <v>25</v>
      </c>
      <c r="P103" t="s">
        <v>144</v>
      </c>
      <c r="Q103">
        <f>-0.00829151143946611 - -0.00245943994591438</f>
        <v>-5.8320714935517302E-3</v>
      </c>
      <c r="R103" t="s">
        <v>26</v>
      </c>
      <c r="S103" t="s">
        <v>35</v>
      </c>
      <c r="T103" t="s">
        <v>36</v>
      </c>
      <c r="U103" t="s">
        <v>257</v>
      </c>
      <c r="V103">
        <v>0.20082757158123299</v>
      </c>
      <c r="W103">
        <v>1.4877733401917001E-3</v>
      </c>
      <c r="X103" t="s">
        <v>108</v>
      </c>
      <c r="Y103" t="s">
        <v>29</v>
      </c>
    </row>
    <row r="104" spans="1:25" x14ac:dyDescent="0.2">
      <c r="A104" t="s">
        <v>104</v>
      </c>
      <c r="B104" t="s">
        <v>71</v>
      </c>
      <c r="C104" t="s">
        <v>105</v>
      </c>
      <c r="D104">
        <v>6.0697239726806303E-2</v>
      </c>
      <c r="E104">
        <v>0.32437189236008701</v>
      </c>
      <c r="F104" t="s">
        <v>33</v>
      </c>
      <c r="G104">
        <v>7</v>
      </c>
      <c r="H104">
        <v>-1.24225645624912E-2</v>
      </c>
      <c r="I104" t="s">
        <v>34</v>
      </c>
      <c r="J104" t="b">
        <v>0</v>
      </c>
      <c r="K104">
        <v>-35.808990549914</v>
      </c>
      <c r="L104">
        <v>-35.008990549914003</v>
      </c>
      <c r="M104">
        <v>3.1321093007714902</v>
      </c>
      <c r="N104" t="s">
        <v>25</v>
      </c>
      <c r="O104" t="s">
        <v>25</v>
      </c>
      <c r="P104" t="s">
        <v>201</v>
      </c>
      <c r="Q104">
        <f>-0.0363681616708198 - 0.0115230325458373</f>
        <v>-4.78911942166571E-2</v>
      </c>
      <c r="R104" t="s">
        <v>26</v>
      </c>
      <c r="S104" t="s">
        <v>35</v>
      </c>
      <c r="T104" t="s">
        <v>36</v>
      </c>
      <c r="U104" t="s">
        <v>258</v>
      </c>
      <c r="V104">
        <v>0.127330585576409</v>
      </c>
      <c r="W104">
        <v>1.2217141381800301E-2</v>
      </c>
      <c r="X104" t="s">
        <v>108</v>
      </c>
      <c r="Y104" t="s">
        <v>29</v>
      </c>
    </row>
    <row r="105" spans="1:25" x14ac:dyDescent="0.2">
      <c r="A105" t="s">
        <v>104</v>
      </c>
      <c r="B105" t="s">
        <v>68</v>
      </c>
      <c r="C105" t="s">
        <v>105</v>
      </c>
      <c r="D105">
        <v>7.8917172066615193E-2</v>
      </c>
      <c r="E105">
        <v>0.25880747942778898</v>
      </c>
      <c r="F105" t="s">
        <v>33</v>
      </c>
      <c r="G105">
        <v>16</v>
      </c>
      <c r="H105">
        <v>3.6809039238899999E-4</v>
      </c>
      <c r="I105" t="s">
        <v>34</v>
      </c>
      <c r="J105" t="b">
        <v>0</v>
      </c>
      <c r="K105">
        <v>-36.028833576411301</v>
      </c>
      <c r="L105">
        <v>-35.228833576411297</v>
      </c>
      <c r="M105">
        <v>4.8889039896334996</v>
      </c>
      <c r="N105" t="s">
        <v>25</v>
      </c>
      <c r="O105" t="s">
        <v>25</v>
      </c>
      <c r="P105" t="s">
        <v>137</v>
      </c>
      <c r="Q105">
        <f>-0.000248098900655061 - 0.000984279685433231</f>
        <v>-1.2323785860882919E-3</v>
      </c>
      <c r="R105" t="s">
        <v>31</v>
      </c>
      <c r="S105" t="s">
        <v>35</v>
      </c>
      <c r="T105" t="s">
        <v>36</v>
      </c>
      <c r="U105" t="s">
        <v>259</v>
      </c>
      <c r="V105">
        <v>0.110365127243279</v>
      </c>
      <c r="W105">
        <v>3.143822923694E-4</v>
      </c>
      <c r="X105" t="s">
        <v>108</v>
      </c>
      <c r="Y105" t="s">
        <v>29</v>
      </c>
    </row>
    <row r="106" spans="1:25" x14ac:dyDescent="0.2">
      <c r="A106" t="s">
        <v>104</v>
      </c>
      <c r="B106" t="s">
        <v>94</v>
      </c>
      <c r="C106" t="s">
        <v>105</v>
      </c>
      <c r="D106">
        <v>0.233194805149431</v>
      </c>
      <c r="E106">
        <v>4.9589476825393497E-2</v>
      </c>
      <c r="F106" t="s">
        <v>33</v>
      </c>
      <c r="G106">
        <v>19</v>
      </c>
      <c r="H106">
        <v>1.0365490791307999E-3</v>
      </c>
      <c r="I106" t="s">
        <v>34</v>
      </c>
      <c r="J106" t="b">
        <v>0</v>
      </c>
      <c r="K106">
        <v>-36.176977038363901</v>
      </c>
      <c r="L106">
        <v>-35.319834181221097</v>
      </c>
      <c r="M106">
        <v>6.6690599485252999</v>
      </c>
      <c r="N106" t="s">
        <v>25</v>
      </c>
      <c r="O106" t="s">
        <v>25</v>
      </c>
      <c r="P106" t="s">
        <v>154</v>
      </c>
      <c r="Q106" t="s">
        <v>260</v>
      </c>
      <c r="R106" t="s">
        <v>30</v>
      </c>
      <c r="S106" t="s">
        <v>35</v>
      </c>
      <c r="T106" t="s">
        <v>36</v>
      </c>
      <c r="U106" t="s">
        <v>261</v>
      </c>
      <c r="V106">
        <v>3.0625398361149799E-2</v>
      </c>
      <c r="W106">
        <v>4.8531903802390001E-4</v>
      </c>
      <c r="X106" t="s">
        <v>108</v>
      </c>
      <c r="Y106" t="s">
        <v>29</v>
      </c>
    </row>
    <row r="107" spans="1:25" x14ac:dyDescent="0.2">
      <c r="A107" t="s">
        <v>104</v>
      </c>
      <c r="B107" t="s">
        <v>63</v>
      </c>
      <c r="C107" t="s">
        <v>105</v>
      </c>
      <c r="D107">
        <v>0.200369505084175</v>
      </c>
      <c r="E107">
        <v>6.2500306080436593E-2</v>
      </c>
      <c r="F107" t="s">
        <v>33</v>
      </c>
      <c r="G107">
        <v>7</v>
      </c>
      <c r="H107">
        <v>3.3573013980970002E-4</v>
      </c>
      <c r="I107" t="s">
        <v>34</v>
      </c>
      <c r="J107" t="b">
        <v>0</v>
      </c>
      <c r="K107">
        <v>-37.845956300752498</v>
      </c>
      <c r="L107">
        <v>-37.045956300752501</v>
      </c>
      <c r="M107">
        <v>2.4152211719027998</v>
      </c>
      <c r="N107" t="s">
        <v>25</v>
      </c>
      <c r="O107" t="s">
        <v>25</v>
      </c>
      <c r="P107" t="s">
        <v>205</v>
      </c>
      <c r="Q107" t="s">
        <v>262</v>
      </c>
      <c r="R107" t="s">
        <v>26</v>
      </c>
      <c r="S107" t="s">
        <v>35</v>
      </c>
      <c r="T107" t="s">
        <v>36</v>
      </c>
      <c r="U107" t="s">
        <v>263</v>
      </c>
      <c r="V107">
        <v>0.102835185641299</v>
      </c>
      <c r="W107">
        <v>1.6767148136650001E-4</v>
      </c>
      <c r="X107" t="s">
        <v>108</v>
      </c>
      <c r="Y107" t="s">
        <v>29</v>
      </c>
    </row>
    <row r="108" spans="1:25" x14ac:dyDescent="0.2">
      <c r="A108" t="s">
        <v>104</v>
      </c>
      <c r="B108" t="s">
        <v>73</v>
      </c>
      <c r="C108" t="s">
        <v>105</v>
      </c>
      <c r="D108">
        <v>0.130136489133926</v>
      </c>
      <c r="E108">
        <v>0.141375478633017</v>
      </c>
      <c r="F108" t="s">
        <v>33</v>
      </c>
      <c r="G108">
        <v>9</v>
      </c>
      <c r="H108">
        <v>2.5231728703442998E-3</v>
      </c>
      <c r="I108" t="s">
        <v>37</v>
      </c>
      <c r="J108" t="b">
        <v>0</v>
      </c>
      <c r="K108">
        <v>-32.962937100903197</v>
      </c>
      <c r="L108">
        <v>-32.1629371009032</v>
      </c>
      <c r="M108">
        <v>5.2698817795919899</v>
      </c>
      <c r="N108" t="s">
        <v>25</v>
      </c>
      <c r="O108" t="s">
        <v>25</v>
      </c>
      <c r="P108" t="s">
        <v>166</v>
      </c>
      <c r="Q108">
        <f>-0.000673285848967485 - 0.00571963158965613</f>
        <v>-6.3929174386236146E-3</v>
      </c>
      <c r="R108" t="s">
        <v>26</v>
      </c>
      <c r="S108" t="s">
        <v>38</v>
      </c>
      <c r="T108" t="s">
        <v>39</v>
      </c>
      <c r="U108" t="s">
        <v>264</v>
      </c>
      <c r="V108">
        <v>0.10418680092259</v>
      </c>
      <c r="W108">
        <v>1.6308462853630999E-3</v>
      </c>
      <c r="X108" t="s">
        <v>108</v>
      </c>
      <c r="Y108" t="s">
        <v>29</v>
      </c>
    </row>
    <row r="109" spans="1:25" x14ac:dyDescent="0.2">
      <c r="A109" t="s">
        <v>104</v>
      </c>
      <c r="B109" t="s">
        <v>90</v>
      </c>
      <c r="C109" t="s">
        <v>105</v>
      </c>
      <c r="D109">
        <v>0.117357138709727</v>
      </c>
      <c r="E109">
        <v>0.16403939809385801</v>
      </c>
      <c r="F109" t="s">
        <v>33</v>
      </c>
      <c r="G109">
        <v>14</v>
      </c>
      <c r="H109">
        <v>-1.0832568955200001E-3</v>
      </c>
      <c r="I109" t="s">
        <v>34</v>
      </c>
      <c r="J109" t="b">
        <v>0</v>
      </c>
      <c r="K109">
        <v>-36.669783948430101</v>
      </c>
      <c r="L109">
        <v>-35.869783948430097</v>
      </c>
      <c r="M109">
        <v>2.7699893808173899</v>
      </c>
      <c r="N109" t="s">
        <v>25</v>
      </c>
      <c r="O109" t="s">
        <v>25</v>
      </c>
      <c r="P109" t="s">
        <v>157</v>
      </c>
      <c r="Q109">
        <f>-0.00253893480877331 - 0.000372421017733166</f>
        <v>-2.9113558265064761E-3</v>
      </c>
      <c r="R109" t="s">
        <v>26</v>
      </c>
      <c r="S109" t="s">
        <v>35</v>
      </c>
      <c r="T109" t="s">
        <v>36</v>
      </c>
      <c r="U109" t="s">
        <v>265</v>
      </c>
      <c r="V109">
        <v>0.128899590655599</v>
      </c>
      <c r="W109">
        <v>7.426928128843E-4</v>
      </c>
      <c r="X109" t="s">
        <v>108</v>
      </c>
      <c r="Y109" t="s">
        <v>29</v>
      </c>
    </row>
    <row r="110" spans="1:25" x14ac:dyDescent="0.2">
      <c r="A110" t="s">
        <v>104</v>
      </c>
      <c r="B110" t="s">
        <v>75</v>
      </c>
      <c r="C110" t="s">
        <v>105</v>
      </c>
      <c r="D110">
        <v>4.1028682664082999E-3</v>
      </c>
      <c r="E110">
        <v>0.80065031729835301</v>
      </c>
      <c r="F110" t="s">
        <v>33</v>
      </c>
      <c r="G110">
        <v>17</v>
      </c>
      <c r="H110" s="1">
        <v>8.3921227635124805E-5</v>
      </c>
      <c r="I110" t="s">
        <v>37</v>
      </c>
      <c r="J110" t="b">
        <v>0</v>
      </c>
      <c r="K110">
        <v>-30.527399300469</v>
      </c>
      <c r="L110">
        <v>-29.727399300468999</v>
      </c>
      <c r="M110">
        <v>9.2139488318602005</v>
      </c>
      <c r="N110" t="s">
        <v>25</v>
      </c>
      <c r="O110" t="s">
        <v>25</v>
      </c>
      <c r="P110" t="s">
        <v>224</v>
      </c>
      <c r="Q110">
        <f>-0.000556744308999185 - 0.000724586764269435</f>
        <v>-1.28133107326862E-3</v>
      </c>
      <c r="R110" t="s">
        <v>32</v>
      </c>
      <c r="S110" t="s">
        <v>38</v>
      </c>
      <c r="T110" t="s">
        <v>39</v>
      </c>
      <c r="U110" t="s">
        <v>266</v>
      </c>
      <c r="V110">
        <v>0.12502373606802999</v>
      </c>
      <c r="W110">
        <v>3.268701717521E-4</v>
      </c>
      <c r="X110" t="s">
        <v>108</v>
      </c>
      <c r="Y110" t="s">
        <v>29</v>
      </c>
    </row>
    <row r="111" spans="1:25" x14ac:dyDescent="0.2">
      <c r="A111" t="s">
        <v>104</v>
      </c>
      <c r="B111" t="s">
        <v>96</v>
      </c>
      <c r="C111" t="s">
        <v>105</v>
      </c>
      <c r="D111">
        <v>1.9116426800922098E-2</v>
      </c>
      <c r="E111">
        <v>0.58429386148060403</v>
      </c>
      <c r="F111" t="s">
        <v>33</v>
      </c>
      <c r="G111">
        <v>4</v>
      </c>
      <c r="H111">
        <v>-2.5058188605439998E-4</v>
      </c>
      <c r="I111" t="s">
        <v>34</v>
      </c>
      <c r="J111" t="b">
        <v>0</v>
      </c>
      <c r="K111">
        <v>-35.121472662602201</v>
      </c>
      <c r="L111">
        <v>-34.321472662602197</v>
      </c>
      <c r="M111">
        <v>3.1240849338790002</v>
      </c>
      <c r="N111" t="s">
        <v>25</v>
      </c>
      <c r="O111" t="s">
        <v>25</v>
      </c>
      <c r="P111" t="s">
        <v>161</v>
      </c>
      <c r="Q111">
        <f>-0.00113011283373494 - 0.000628949061626101</f>
        <v>-1.7590618953610411E-3</v>
      </c>
      <c r="R111" t="s">
        <v>32</v>
      </c>
      <c r="S111" t="s">
        <v>35</v>
      </c>
      <c r="T111" t="s">
        <v>36</v>
      </c>
      <c r="U111" t="s">
        <v>267</v>
      </c>
      <c r="V111">
        <v>0.13241946139737501</v>
      </c>
      <c r="W111">
        <v>4.4874027942880002E-4</v>
      </c>
      <c r="X111" t="s">
        <v>108</v>
      </c>
      <c r="Y111" t="s">
        <v>29</v>
      </c>
    </row>
    <row r="112" spans="1:25" x14ac:dyDescent="0.2">
      <c r="A112" t="s">
        <v>104</v>
      </c>
      <c r="B112" t="s">
        <v>80</v>
      </c>
      <c r="C112" t="s">
        <v>105</v>
      </c>
      <c r="D112">
        <v>7.5513072913594003E-3</v>
      </c>
      <c r="E112">
        <v>0.73170398299564199</v>
      </c>
      <c r="F112" t="s">
        <v>33</v>
      </c>
      <c r="G112">
        <v>4</v>
      </c>
      <c r="H112">
        <v>1.34625695671332E-2</v>
      </c>
      <c r="I112" t="s">
        <v>34</v>
      </c>
      <c r="J112" t="b">
        <v>0</v>
      </c>
      <c r="K112">
        <v>-34.9106495952852</v>
      </c>
      <c r="L112">
        <v>-34.110649595285203</v>
      </c>
      <c r="M112">
        <v>3.33136862328579</v>
      </c>
      <c r="N112" t="s">
        <v>25</v>
      </c>
      <c r="O112" t="s">
        <v>25</v>
      </c>
      <c r="P112" t="s">
        <v>139</v>
      </c>
      <c r="Q112">
        <f>-0.0621627113124766 - 0.0890878504467431</f>
        <v>-0.15125056175921969</v>
      </c>
      <c r="R112" t="s">
        <v>26</v>
      </c>
      <c r="S112" t="s">
        <v>35</v>
      </c>
      <c r="T112" t="s">
        <v>36</v>
      </c>
      <c r="U112" t="s">
        <v>268</v>
      </c>
      <c r="V112">
        <v>0.124294559551129</v>
      </c>
      <c r="W112">
        <v>3.8584326979392798E-2</v>
      </c>
      <c r="X112" t="s">
        <v>108</v>
      </c>
      <c r="Y112" t="s">
        <v>29</v>
      </c>
    </row>
    <row r="113" spans="1:25" x14ac:dyDescent="0.2">
      <c r="A113" t="s">
        <v>104</v>
      </c>
      <c r="B113" t="s">
        <v>86</v>
      </c>
      <c r="C113" t="s">
        <v>105</v>
      </c>
      <c r="D113">
        <v>8.9376979195254502E-2</v>
      </c>
      <c r="E113">
        <v>0.22815525255338201</v>
      </c>
      <c r="F113" t="s">
        <v>33</v>
      </c>
      <c r="G113">
        <v>15</v>
      </c>
      <c r="H113">
        <v>-4.6889354036998001E-3</v>
      </c>
      <c r="I113" t="s">
        <v>34</v>
      </c>
      <c r="J113" t="b">
        <v>0</v>
      </c>
      <c r="K113">
        <v>-36.459706901878398</v>
      </c>
      <c r="L113">
        <v>-35.659706901878401</v>
      </c>
      <c r="M113">
        <v>4.7461837737647903</v>
      </c>
      <c r="N113" t="s">
        <v>25</v>
      </c>
      <c r="O113" t="s">
        <v>25</v>
      </c>
      <c r="P113" t="s">
        <v>179</v>
      </c>
      <c r="Q113">
        <f>-0.0120226973114168 - 0.00264482650401708</f>
        <v>-1.4667523815433878E-2</v>
      </c>
      <c r="R113" t="s">
        <v>26</v>
      </c>
      <c r="S113" t="s">
        <v>35</v>
      </c>
      <c r="T113" t="s">
        <v>36</v>
      </c>
      <c r="U113" t="s">
        <v>269</v>
      </c>
      <c r="V113">
        <v>0.163297575677046</v>
      </c>
      <c r="W113">
        <v>3.7417152590391999E-3</v>
      </c>
      <c r="X113" t="s">
        <v>108</v>
      </c>
      <c r="Y113" t="s">
        <v>29</v>
      </c>
    </row>
    <row r="114" spans="1:25" x14ac:dyDescent="0.2">
      <c r="A114" t="s">
        <v>104</v>
      </c>
      <c r="B114" t="s">
        <v>87</v>
      </c>
      <c r="C114" t="s">
        <v>105</v>
      </c>
      <c r="D114">
        <v>0.31106659269799097</v>
      </c>
      <c r="E114">
        <v>2.0000896440195402E-2</v>
      </c>
      <c r="F114" t="s">
        <v>33</v>
      </c>
      <c r="G114">
        <v>16</v>
      </c>
      <c r="H114">
        <v>5.2655104865030004E-4</v>
      </c>
      <c r="I114" t="s">
        <v>37</v>
      </c>
      <c r="J114" t="b">
        <v>0</v>
      </c>
      <c r="K114">
        <v>-33.042166216183901</v>
      </c>
      <c r="L114">
        <v>-32.185023359040997</v>
      </c>
      <c r="M114">
        <v>3.6575776544946002</v>
      </c>
      <c r="N114" t="s">
        <v>25</v>
      </c>
      <c r="O114" t="s">
        <v>25</v>
      </c>
      <c r="P114" t="s">
        <v>214</v>
      </c>
      <c r="Q114" t="s">
        <v>270</v>
      </c>
      <c r="R114" t="s">
        <v>30</v>
      </c>
      <c r="S114" t="s">
        <v>38</v>
      </c>
      <c r="T114" t="s">
        <v>39</v>
      </c>
      <c r="U114" t="s">
        <v>271</v>
      </c>
      <c r="V114">
        <v>9.4110584812558004E-2</v>
      </c>
      <c r="W114">
        <v>2.023283728167E-4</v>
      </c>
      <c r="X114" t="s">
        <v>108</v>
      </c>
      <c r="Y114" t="s">
        <v>29</v>
      </c>
    </row>
    <row r="115" spans="1:25" x14ac:dyDescent="0.2">
      <c r="A115" t="s">
        <v>104</v>
      </c>
      <c r="B115" t="s">
        <v>93</v>
      </c>
      <c r="C115" t="s">
        <v>105</v>
      </c>
      <c r="D115">
        <v>0.41569788108393402</v>
      </c>
      <c r="E115">
        <v>3.8674915329344E-3</v>
      </c>
      <c r="F115" t="s">
        <v>33</v>
      </c>
      <c r="G115">
        <v>15</v>
      </c>
      <c r="H115">
        <v>4.2947252427780002E-4</v>
      </c>
      <c r="I115" t="s">
        <v>40</v>
      </c>
      <c r="J115" t="b">
        <v>0</v>
      </c>
      <c r="K115">
        <v>-40.125463608432597</v>
      </c>
      <c r="L115">
        <v>-39.325463608432599</v>
      </c>
      <c r="M115">
        <v>0.21295838031050299</v>
      </c>
      <c r="N115" t="s">
        <v>25</v>
      </c>
      <c r="O115" t="s">
        <v>25</v>
      </c>
      <c r="P115" t="s">
        <v>141</v>
      </c>
      <c r="Q115" t="s">
        <v>272</v>
      </c>
      <c r="R115" t="s">
        <v>32</v>
      </c>
      <c r="S115" t="s">
        <v>41</v>
      </c>
      <c r="T115" t="s">
        <v>25</v>
      </c>
      <c r="U115" t="s">
        <v>42</v>
      </c>
      <c r="V115">
        <v>0.12268435930716901</v>
      </c>
      <c r="W115">
        <v>1.2729320423979999E-4</v>
      </c>
      <c r="X115" t="s">
        <v>108</v>
      </c>
      <c r="Y115" t="s">
        <v>29</v>
      </c>
    </row>
    <row r="116" spans="1:25" x14ac:dyDescent="0.2">
      <c r="A116" t="s">
        <v>104</v>
      </c>
      <c r="B116" t="s">
        <v>93</v>
      </c>
      <c r="C116" t="s">
        <v>105</v>
      </c>
      <c r="D116">
        <v>0.37557228922279601</v>
      </c>
      <c r="E116">
        <v>6.8486691933551001E-3</v>
      </c>
      <c r="F116" t="s">
        <v>33</v>
      </c>
      <c r="G116">
        <v>15</v>
      </c>
      <c r="H116">
        <v>4.170809291042E-4</v>
      </c>
      <c r="I116" t="s">
        <v>24</v>
      </c>
      <c r="J116" t="b">
        <v>0</v>
      </c>
      <c r="K116">
        <v>-40.305961366038701</v>
      </c>
      <c r="L116">
        <v>-39.505961366038697</v>
      </c>
      <c r="M116">
        <v>3.2460622704405702E-2</v>
      </c>
      <c r="N116" t="s">
        <v>25</v>
      </c>
      <c r="O116" t="s">
        <v>25</v>
      </c>
      <c r="P116" t="s">
        <v>141</v>
      </c>
      <c r="Q116" t="s">
        <v>273</v>
      </c>
      <c r="R116" t="s">
        <v>32</v>
      </c>
      <c r="S116" t="s">
        <v>27</v>
      </c>
      <c r="T116" t="s">
        <v>28</v>
      </c>
      <c r="U116" t="s">
        <v>274</v>
      </c>
      <c r="V116">
        <v>0.122726818751541</v>
      </c>
      <c r="W116">
        <v>1.344480953748E-4</v>
      </c>
      <c r="X116" t="s">
        <v>108</v>
      </c>
      <c r="Y116" t="s">
        <v>29</v>
      </c>
    </row>
    <row r="117" spans="1:25" x14ac:dyDescent="0.2">
      <c r="A117" t="s">
        <v>104</v>
      </c>
      <c r="B117" t="s">
        <v>88</v>
      </c>
      <c r="C117" t="s">
        <v>105</v>
      </c>
      <c r="D117">
        <v>0.14695651943736099</v>
      </c>
      <c r="E117">
        <v>0.11633567831051</v>
      </c>
      <c r="F117" t="s">
        <v>33</v>
      </c>
      <c r="G117">
        <v>18</v>
      </c>
      <c r="H117">
        <v>-2.0353091438257E-3</v>
      </c>
      <c r="I117" t="s">
        <v>40</v>
      </c>
      <c r="J117" t="b">
        <v>0</v>
      </c>
      <c r="K117">
        <v>-33.314401417933098</v>
      </c>
      <c r="L117">
        <v>-32.514401417933101</v>
      </c>
      <c r="M117">
        <v>5.5468070406538903</v>
      </c>
      <c r="N117" t="s">
        <v>25</v>
      </c>
      <c r="O117" t="s">
        <v>25</v>
      </c>
      <c r="P117" t="s">
        <v>159</v>
      </c>
      <c r="Q117">
        <f>-0.0044381091207954 - 0.000367490833143881</f>
        <v>-4.8055999539392807E-3</v>
      </c>
      <c r="R117" t="s">
        <v>32</v>
      </c>
      <c r="S117" t="s">
        <v>41</v>
      </c>
      <c r="T117" t="s">
        <v>25</v>
      </c>
      <c r="U117" t="s">
        <v>42</v>
      </c>
      <c r="V117">
        <v>0.13666574437288101</v>
      </c>
      <c r="W117">
        <v>1.2259183555967E-3</v>
      </c>
      <c r="X117" t="s">
        <v>108</v>
      </c>
      <c r="Y117" t="s">
        <v>29</v>
      </c>
    </row>
    <row r="118" spans="1:25" x14ac:dyDescent="0.2">
      <c r="A118" t="s">
        <v>104</v>
      </c>
      <c r="B118" t="s">
        <v>56</v>
      </c>
      <c r="C118" t="s">
        <v>105</v>
      </c>
      <c r="D118">
        <v>7.1184443325020497E-2</v>
      </c>
      <c r="E118">
        <v>0.284509978186887</v>
      </c>
      <c r="F118" t="s">
        <v>33</v>
      </c>
      <c r="G118">
        <v>19</v>
      </c>
      <c r="H118">
        <v>4.7786799203250002E-4</v>
      </c>
      <c r="I118" t="s">
        <v>37</v>
      </c>
      <c r="J118" t="b">
        <v>0</v>
      </c>
      <c r="K118">
        <v>-31.7826075455955</v>
      </c>
      <c r="L118">
        <v>-30.982607545595499</v>
      </c>
      <c r="M118">
        <v>11.6627089587898</v>
      </c>
      <c r="N118" t="s">
        <v>25</v>
      </c>
      <c r="O118" t="s">
        <v>25</v>
      </c>
      <c r="P118" t="s">
        <v>207</v>
      </c>
      <c r="Q118">
        <f>-0.000367948630562458 - 0.00132368461462754</f>
        <v>-1.691633245189998E-3</v>
      </c>
      <c r="R118" t="s">
        <v>26</v>
      </c>
      <c r="S118" t="s">
        <v>38</v>
      </c>
      <c r="T118" t="s">
        <v>39</v>
      </c>
      <c r="U118" t="s">
        <v>275</v>
      </c>
      <c r="V118">
        <v>9.6739623379853201E-2</v>
      </c>
      <c r="W118">
        <v>4.3153909316070001E-4</v>
      </c>
      <c r="X118" t="s">
        <v>108</v>
      </c>
      <c r="Y118" t="s">
        <v>29</v>
      </c>
    </row>
    <row r="119" spans="1:25" x14ac:dyDescent="0.2">
      <c r="A119" t="s">
        <v>104</v>
      </c>
      <c r="B119" t="s">
        <v>43</v>
      </c>
      <c r="C119" t="s">
        <v>105</v>
      </c>
      <c r="D119">
        <v>0.45062490570115299</v>
      </c>
      <c r="E119">
        <v>2.2868422673515999E-3</v>
      </c>
      <c r="F119" t="s">
        <v>33</v>
      </c>
      <c r="G119">
        <v>15</v>
      </c>
      <c r="H119">
        <v>5.6801547244969997E-4</v>
      </c>
      <c r="I119" t="s">
        <v>40</v>
      </c>
      <c r="J119" t="b">
        <v>0</v>
      </c>
      <c r="K119">
        <v>-41.234924854361502</v>
      </c>
      <c r="L119">
        <v>-40.434924854361498</v>
      </c>
      <c r="M119">
        <v>0.14631100027150201</v>
      </c>
      <c r="N119" t="s">
        <v>25</v>
      </c>
      <c r="O119" t="s">
        <v>25</v>
      </c>
      <c r="P119" t="s">
        <v>163</v>
      </c>
      <c r="Q119" t="s">
        <v>276</v>
      </c>
      <c r="R119" t="s">
        <v>31</v>
      </c>
      <c r="S119" t="s">
        <v>41</v>
      </c>
      <c r="T119" t="s">
        <v>25</v>
      </c>
      <c r="U119" t="s">
        <v>42</v>
      </c>
      <c r="V119">
        <v>0.123379262821116</v>
      </c>
      <c r="W119">
        <v>1.5679314174890001E-4</v>
      </c>
      <c r="X119" t="s">
        <v>108</v>
      </c>
      <c r="Y119" t="s">
        <v>29</v>
      </c>
    </row>
    <row r="120" spans="1:25" x14ac:dyDescent="0.2">
      <c r="A120" t="s">
        <v>104</v>
      </c>
      <c r="B120" t="s">
        <v>43</v>
      </c>
      <c r="C120" t="s">
        <v>105</v>
      </c>
      <c r="D120">
        <v>0.42475974132487598</v>
      </c>
      <c r="E120">
        <v>3.3836600806989E-3</v>
      </c>
      <c r="F120" t="s">
        <v>33</v>
      </c>
      <c r="G120">
        <v>15</v>
      </c>
      <c r="H120">
        <v>5.6096347620720002E-4</v>
      </c>
      <c r="I120" t="s">
        <v>24</v>
      </c>
      <c r="J120" t="b">
        <v>0</v>
      </c>
      <c r="K120">
        <v>-41.326313233157897</v>
      </c>
      <c r="L120">
        <v>-40.5263132331579</v>
      </c>
      <c r="M120">
        <v>5.4922621475100103E-2</v>
      </c>
      <c r="N120" t="s">
        <v>25</v>
      </c>
      <c r="O120" t="s">
        <v>25</v>
      </c>
      <c r="P120" t="s">
        <v>163</v>
      </c>
      <c r="Q120" t="s">
        <v>277</v>
      </c>
      <c r="R120" t="s">
        <v>31</v>
      </c>
      <c r="S120" t="s">
        <v>27</v>
      </c>
      <c r="T120" t="s">
        <v>28</v>
      </c>
      <c r="U120" t="s">
        <v>278</v>
      </c>
      <c r="V120">
        <v>0.12337534572620899</v>
      </c>
      <c r="W120">
        <v>1.6320278177279999E-4</v>
      </c>
      <c r="X120" t="s">
        <v>108</v>
      </c>
      <c r="Y120" t="s">
        <v>29</v>
      </c>
    </row>
    <row r="121" spans="1:25" x14ac:dyDescent="0.2">
      <c r="A121" t="s">
        <v>104</v>
      </c>
      <c r="B121" t="s">
        <v>91</v>
      </c>
      <c r="C121" t="s">
        <v>105</v>
      </c>
      <c r="D121">
        <v>3.5060171942907E-3</v>
      </c>
      <c r="E121">
        <v>0.81546417811120597</v>
      </c>
      <c r="F121" t="s">
        <v>33</v>
      </c>
      <c r="G121">
        <v>16</v>
      </c>
      <c r="H121">
        <v>-1.4979177697430001E-4</v>
      </c>
      <c r="I121" t="s">
        <v>37</v>
      </c>
      <c r="J121" t="b">
        <v>0</v>
      </c>
      <c r="K121">
        <v>-30.516614952415001</v>
      </c>
      <c r="L121">
        <v>-29.716614952415</v>
      </c>
      <c r="M121">
        <v>8.3269468116332899</v>
      </c>
      <c r="N121" t="s">
        <v>25</v>
      </c>
      <c r="O121" t="s">
        <v>25</v>
      </c>
      <c r="P121" t="s">
        <v>226</v>
      </c>
      <c r="Q121">
        <f>-0.00138720391657837 - 0.00108762036262972</f>
        <v>-2.4748242792080903E-3</v>
      </c>
      <c r="R121" t="s">
        <v>31</v>
      </c>
      <c r="S121" t="s">
        <v>38</v>
      </c>
      <c r="T121" t="s">
        <v>39</v>
      </c>
      <c r="U121" t="s">
        <v>279</v>
      </c>
      <c r="V121">
        <v>0.129473699032159</v>
      </c>
      <c r="W121">
        <v>6.3133272428769999E-4</v>
      </c>
      <c r="X121" t="s">
        <v>108</v>
      </c>
      <c r="Y121" t="s">
        <v>29</v>
      </c>
    </row>
    <row r="122" spans="1:25" x14ac:dyDescent="0.2">
      <c r="A122" t="s">
        <v>104</v>
      </c>
      <c r="B122" t="s">
        <v>59</v>
      </c>
      <c r="C122" t="s">
        <v>105</v>
      </c>
      <c r="D122">
        <v>7.2023598755276294E-2</v>
      </c>
      <c r="E122">
        <v>0.28158111632411498</v>
      </c>
      <c r="F122" t="s">
        <v>33</v>
      </c>
      <c r="G122">
        <v>12</v>
      </c>
      <c r="H122">
        <v>-1.9037436469593E-3</v>
      </c>
      <c r="I122" t="s">
        <v>34</v>
      </c>
      <c r="J122" t="b">
        <v>0</v>
      </c>
      <c r="K122">
        <v>-36.119723434776297</v>
      </c>
      <c r="L122">
        <v>-35.3197234347763</v>
      </c>
      <c r="M122">
        <v>3.8957934089859001</v>
      </c>
      <c r="N122" t="s">
        <v>25</v>
      </c>
      <c r="O122" t="s">
        <v>25</v>
      </c>
      <c r="P122" t="s">
        <v>212</v>
      </c>
      <c r="Q122">
        <f>-0.00525213031668398 - 0.00144464302276521</f>
        <v>-6.6967733394491906E-3</v>
      </c>
      <c r="R122" t="s">
        <v>26</v>
      </c>
      <c r="S122" t="s">
        <v>35</v>
      </c>
      <c r="T122" t="s">
        <v>36</v>
      </c>
      <c r="U122" t="s">
        <v>280</v>
      </c>
      <c r="V122">
        <v>0.137895373873022</v>
      </c>
      <c r="W122">
        <v>1.7083605457778E-3</v>
      </c>
      <c r="X122" t="s">
        <v>108</v>
      </c>
      <c r="Y122" t="s">
        <v>29</v>
      </c>
    </row>
    <row r="123" spans="1:25" x14ac:dyDescent="0.2">
      <c r="A123" t="s">
        <v>104</v>
      </c>
      <c r="B123" t="s">
        <v>51</v>
      </c>
      <c r="C123" t="s">
        <v>105</v>
      </c>
      <c r="D123">
        <v>2.8031471776350002E-3</v>
      </c>
      <c r="E123">
        <v>0.83472543688587597</v>
      </c>
      <c r="F123" t="s">
        <v>33</v>
      </c>
      <c r="G123">
        <v>16</v>
      </c>
      <c r="H123" s="1">
        <v>-9.5492446169734201E-5</v>
      </c>
      <c r="I123" t="s">
        <v>34</v>
      </c>
      <c r="J123" t="b">
        <v>0</v>
      </c>
      <c r="K123">
        <v>-34.8250596933606</v>
      </c>
      <c r="L123">
        <v>-34.025059693360603</v>
      </c>
      <c r="M123">
        <v>3.41605057445229</v>
      </c>
      <c r="N123" t="s">
        <v>25</v>
      </c>
      <c r="O123" t="s">
        <v>25</v>
      </c>
      <c r="P123" t="s">
        <v>113</v>
      </c>
      <c r="Q123">
        <f>-0.000978028787204937 - 0.000787043894865468</f>
        <v>-1.7650726820704051E-3</v>
      </c>
      <c r="R123" t="s">
        <v>31</v>
      </c>
      <c r="S123" t="s">
        <v>35</v>
      </c>
      <c r="T123" t="s">
        <v>36</v>
      </c>
      <c r="U123" t="s">
        <v>281</v>
      </c>
      <c r="V123">
        <v>0.127418904959648</v>
      </c>
      <c r="W123">
        <v>4.5027364338530001E-4</v>
      </c>
      <c r="X123" t="s">
        <v>108</v>
      </c>
      <c r="Y123" t="s">
        <v>29</v>
      </c>
    </row>
    <row r="124" spans="1:25" x14ac:dyDescent="0.2">
      <c r="A124" t="s">
        <v>104</v>
      </c>
      <c r="B124" t="s">
        <v>61</v>
      </c>
      <c r="C124" t="s">
        <v>105</v>
      </c>
      <c r="D124">
        <v>9.0988283739505099E-2</v>
      </c>
      <c r="E124">
        <v>0.22380519431492399</v>
      </c>
      <c r="F124" t="s">
        <v>33</v>
      </c>
      <c r="G124">
        <v>12</v>
      </c>
      <c r="H124">
        <v>2.358927973327E-4</v>
      </c>
      <c r="I124" t="s">
        <v>34</v>
      </c>
      <c r="J124" t="b">
        <v>0</v>
      </c>
      <c r="K124">
        <v>-36.435591062495497</v>
      </c>
      <c r="L124">
        <v>-35.6355910624955</v>
      </c>
      <c r="M124">
        <v>4.1172320788057899</v>
      </c>
      <c r="N124" t="s">
        <v>25</v>
      </c>
      <c r="O124" t="s">
        <v>25</v>
      </c>
      <c r="P124" t="s">
        <v>189</v>
      </c>
      <c r="Q124">
        <f>-0.000129451863005454 - 0.000601237457670895</f>
        <v>-7.3068932067634905E-4</v>
      </c>
      <c r="R124" t="s">
        <v>32</v>
      </c>
      <c r="S124" t="s">
        <v>35</v>
      </c>
      <c r="T124" t="s">
        <v>36</v>
      </c>
      <c r="U124" t="s">
        <v>282</v>
      </c>
      <c r="V124">
        <v>0.11235280711152899</v>
      </c>
      <c r="W124">
        <v>1.864003369072E-4</v>
      </c>
      <c r="X124" t="s">
        <v>108</v>
      </c>
      <c r="Y124" t="s">
        <v>29</v>
      </c>
    </row>
    <row r="125" spans="1:25" x14ac:dyDescent="0.2">
      <c r="A125" t="s">
        <v>104</v>
      </c>
      <c r="B125" t="s">
        <v>54</v>
      </c>
      <c r="C125" t="s">
        <v>105</v>
      </c>
      <c r="D125">
        <v>6.4746580711671003E-3</v>
      </c>
      <c r="E125">
        <v>0.75094637396995301</v>
      </c>
      <c r="F125" t="s">
        <v>33</v>
      </c>
      <c r="G125">
        <v>10</v>
      </c>
      <c r="H125">
        <v>4.7121277726344998E-3</v>
      </c>
      <c r="I125" t="s">
        <v>37</v>
      </c>
      <c r="J125" t="b">
        <v>0</v>
      </c>
      <c r="K125">
        <v>-30.5703185268049</v>
      </c>
      <c r="L125">
        <v>-29.7703185268049</v>
      </c>
      <c r="M125">
        <v>7.7132882569491903</v>
      </c>
      <c r="N125" t="s">
        <v>25</v>
      </c>
      <c r="O125" t="s">
        <v>25</v>
      </c>
      <c r="P125" t="s">
        <v>168</v>
      </c>
      <c r="Q125">
        <f>-0.0238897267711194 - 0.0333139823163885</f>
        <v>-5.7203709087507895E-2</v>
      </c>
      <c r="R125" t="s">
        <v>32</v>
      </c>
      <c r="S125" t="s">
        <v>38</v>
      </c>
      <c r="T125" t="s">
        <v>39</v>
      </c>
      <c r="U125" t="s">
        <v>283</v>
      </c>
      <c r="V125">
        <v>0.124271867079271</v>
      </c>
      <c r="W125">
        <v>1.45927829304867E-2</v>
      </c>
      <c r="X125" t="s">
        <v>108</v>
      </c>
      <c r="Y125" t="s">
        <v>29</v>
      </c>
    </row>
    <row r="126" spans="1:25" x14ac:dyDescent="0.2">
      <c r="A126" t="s">
        <v>104</v>
      </c>
      <c r="B126" t="s">
        <v>69</v>
      </c>
      <c r="C126" t="s">
        <v>105</v>
      </c>
      <c r="D126">
        <v>0.12921862401439499</v>
      </c>
      <c r="E126">
        <v>0.14289008163089401</v>
      </c>
      <c r="F126" t="s">
        <v>33</v>
      </c>
      <c r="G126">
        <v>7</v>
      </c>
      <c r="H126">
        <v>4.8109672893840001E-4</v>
      </c>
      <c r="I126" t="s">
        <v>37</v>
      </c>
      <c r="J126" t="b">
        <v>0</v>
      </c>
      <c r="K126">
        <v>-32.943953821995898</v>
      </c>
      <c r="L126">
        <v>-32.1439538219959</v>
      </c>
      <c r="M126">
        <v>12.3778724721238</v>
      </c>
      <c r="N126" t="s">
        <v>25</v>
      </c>
      <c r="O126" t="s">
        <v>25</v>
      </c>
      <c r="P126" t="s">
        <v>120</v>
      </c>
      <c r="Q126">
        <f>-0.000130859689195968 - 0.00109305314707283</f>
        <v>-1.2239128362687979E-3</v>
      </c>
      <c r="R126" t="s">
        <v>26</v>
      </c>
      <c r="S126" t="s">
        <v>38</v>
      </c>
      <c r="T126" t="s">
        <v>39</v>
      </c>
      <c r="U126" t="s">
        <v>284</v>
      </c>
      <c r="V126">
        <v>9.1486487360558602E-2</v>
      </c>
      <c r="W126">
        <v>3.122226623134E-4</v>
      </c>
      <c r="X126" t="s">
        <v>108</v>
      </c>
      <c r="Y126" t="s">
        <v>29</v>
      </c>
    </row>
    <row r="127" spans="1:25" x14ac:dyDescent="0.2">
      <c r="A127" t="s">
        <v>104</v>
      </c>
      <c r="B127" t="s">
        <v>47</v>
      </c>
      <c r="C127" t="s">
        <v>105</v>
      </c>
      <c r="D127">
        <v>0.336243189856332</v>
      </c>
      <c r="E127">
        <v>1.1653915965970501E-2</v>
      </c>
      <c r="F127" t="s">
        <v>33</v>
      </c>
      <c r="G127">
        <v>18</v>
      </c>
      <c r="H127">
        <v>-2.363956469035E-3</v>
      </c>
      <c r="I127" t="s">
        <v>37</v>
      </c>
      <c r="J127" t="b">
        <v>0</v>
      </c>
      <c r="K127">
        <v>-37.830505789000703</v>
      </c>
      <c r="L127">
        <v>-37.030505789000699</v>
      </c>
      <c r="M127">
        <v>12.2158845329109</v>
      </c>
      <c r="N127" t="s">
        <v>25</v>
      </c>
      <c r="O127" t="s">
        <v>25</v>
      </c>
      <c r="P127" t="s">
        <v>191</v>
      </c>
      <c r="Q127">
        <f>-0.00399142762972728 - -0.000736485308342898</f>
        <v>-3.2549423213843825E-3</v>
      </c>
      <c r="R127" t="s">
        <v>31</v>
      </c>
      <c r="S127" t="s">
        <v>38</v>
      </c>
      <c r="T127" t="s">
        <v>39</v>
      </c>
      <c r="U127" t="s">
        <v>285</v>
      </c>
      <c r="V127">
        <v>0.162125350962597</v>
      </c>
      <c r="W127">
        <v>8.3034242892449995E-4</v>
      </c>
      <c r="X127" t="s">
        <v>108</v>
      </c>
      <c r="Y127" t="s">
        <v>29</v>
      </c>
    </row>
    <row r="128" spans="1:25" x14ac:dyDescent="0.2">
      <c r="A128" t="s">
        <v>104</v>
      </c>
      <c r="B128" t="s">
        <v>65</v>
      </c>
      <c r="C128" t="s">
        <v>105</v>
      </c>
      <c r="D128">
        <v>9.2640445130464599E-2</v>
      </c>
      <c r="E128">
        <v>0.21943984287992699</v>
      </c>
      <c r="F128" t="s">
        <v>33</v>
      </c>
      <c r="G128">
        <v>18</v>
      </c>
      <c r="H128">
        <v>6.3924934540599996E-4</v>
      </c>
      <c r="I128" t="s">
        <v>37</v>
      </c>
      <c r="J128" t="b">
        <v>0</v>
      </c>
      <c r="K128">
        <v>-32.203292489541703</v>
      </c>
      <c r="L128">
        <v>-31.403292489541698</v>
      </c>
      <c r="M128">
        <v>8.9676351861980006</v>
      </c>
      <c r="N128" t="s">
        <v>25</v>
      </c>
      <c r="O128" t="s">
        <v>25</v>
      </c>
      <c r="P128" t="s">
        <v>199</v>
      </c>
      <c r="Q128">
        <f>-0.000341043344019797 - 0.00161954203483181</f>
        <v>-1.9605853788516071E-3</v>
      </c>
      <c r="R128" t="s">
        <v>32</v>
      </c>
      <c r="S128" t="s">
        <v>38</v>
      </c>
      <c r="T128" t="s">
        <v>39</v>
      </c>
      <c r="U128" t="s">
        <v>286</v>
      </c>
      <c r="V128">
        <v>0.112951055055421</v>
      </c>
      <c r="W128">
        <v>5.0014933133960004E-4</v>
      </c>
      <c r="X128" t="s">
        <v>108</v>
      </c>
      <c r="Y128" t="s">
        <v>29</v>
      </c>
    </row>
    <row r="129" spans="1:25" x14ac:dyDescent="0.2">
      <c r="A129" t="s">
        <v>104</v>
      </c>
      <c r="B129" t="s">
        <v>60</v>
      </c>
      <c r="C129" t="s">
        <v>105</v>
      </c>
      <c r="D129">
        <v>0.25340380173923499</v>
      </c>
      <c r="E129">
        <v>3.31992573734885E-2</v>
      </c>
      <c r="F129" t="s">
        <v>33</v>
      </c>
      <c r="G129">
        <v>18</v>
      </c>
      <c r="H129">
        <v>1.5425336868070001E-4</v>
      </c>
      <c r="I129" t="s">
        <v>40</v>
      </c>
      <c r="J129" t="b">
        <v>0</v>
      </c>
      <c r="K129">
        <v>-35.7135502367654</v>
      </c>
      <c r="L129">
        <v>-34.913550236765403</v>
      </c>
      <c r="M129">
        <v>4.6150897656401</v>
      </c>
      <c r="N129" t="s">
        <v>25</v>
      </c>
      <c r="O129" t="s">
        <v>25</v>
      </c>
      <c r="P129" t="s">
        <v>193</v>
      </c>
      <c r="Q129" t="s">
        <v>238</v>
      </c>
      <c r="R129" t="s">
        <v>31</v>
      </c>
      <c r="S129" t="s">
        <v>41</v>
      </c>
      <c r="T129" t="s">
        <v>25</v>
      </c>
      <c r="U129" t="s">
        <v>42</v>
      </c>
      <c r="V129">
        <v>0.106410111348149</v>
      </c>
      <c r="W129" s="1">
        <v>6.6192836186184997E-5</v>
      </c>
      <c r="X129" t="s">
        <v>108</v>
      </c>
      <c r="Y129" t="s">
        <v>29</v>
      </c>
    </row>
    <row r="130" spans="1:25" x14ac:dyDescent="0.2">
      <c r="A130" t="s">
        <v>104</v>
      </c>
      <c r="B130" t="s">
        <v>99</v>
      </c>
      <c r="C130" t="s">
        <v>105</v>
      </c>
      <c r="D130">
        <v>0.27183218522691999</v>
      </c>
      <c r="E130">
        <v>3.1848241643767997E-2</v>
      </c>
      <c r="F130" t="s">
        <v>33</v>
      </c>
      <c r="G130">
        <v>19</v>
      </c>
      <c r="H130">
        <v>6.6281632808710001E-4</v>
      </c>
      <c r="I130" t="s">
        <v>34</v>
      </c>
      <c r="J130" t="b">
        <v>0</v>
      </c>
      <c r="K130">
        <v>-37.055898278707197</v>
      </c>
      <c r="L130">
        <v>-36.1987554215644</v>
      </c>
      <c r="M130">
        <v>9.59382409834169</v>
      </c>
      <c r="N130" t="s">
        <v>25</v>
      </c>
      <c r="O130" t="s">
        <v>25</v>
      </c>
      <c r="P130" t="s">
        <v>146</v>
      </c>
      <c r="Q130" t="s">
        <v>287</v>
      </c>
      <c r="R130" t="s">
        <v>30</v>
      </c>
      <c r="S130" t="s">
        <v>35</v>
      </c>
      <c r="T130" t="s">
        <v>36</v>
      </c>
      <c r="U130" t="s">
        <v>288</v>
      </c>
      <c r="V130">
        <v>4.5214121216086901E-2</v>
      </c>
      <c r="W130">
        <v>2.8009984615580001E-4</v>
      </c>
      <c r="X130" t="s">
        <v>108</v>
      </c>
      <c r="Y130" t="s">
        <v>29</v>
      </c>
    </row>
    <row r="131" spans="1:25" x14ac:dyDescent="0.2">
      <c r="A131" t="s">
        <v>104</v>
      </c>
      <c r="B131" t="s">
        <v>73</v>
      </c>
      <c r="C131" t="s">
        <v>105</v>
      </c>
      <c r="D131">
        <v>0.130136489133926</v>
      </c>
      <c r="E131">
        <v>0.141375478633017</v>
      </c>
      <c r="F131" t="s">
        <v>33</v>
      </c>
      <c r="G131">
        <v>9</v>
      </c>
      <c r="H131">
        <v>2.5231728703442998E-3</v>
      </c>
      <c r="I131" t="s">
        <v>40</v>
      </c>
      <c r="J131" t="b">
        <v>0</v>
      </c>
      <c r="K131">
        <v>-32.962937100903197</v>
      </c>
      <c r="L131">
        <v>-32.1629371009032</v>
      </c>
      <c r="M131">
        <v>5.2698817795919899</v>
      </c>
      <c r="N131" t="s">
        <v>25</v>
      </c>
      <c r="O131" t="s">
        <v>25</v>
      </c>
      <c r="P131" t="s">
        <v>166</v>
      </c>
      <c r="Q131">
        <f>-0.000673285848967485 - 0.00571963158965613</f>
        <v>-6.3929174386236146E-3</v>
      </c>
      <c r="R131" t="s">
        <v>26</v>
      </c>
      <c r="S131" t="s">
        <v>41</v>
      </c>
      <c r="T131" t="s">
        <v>25</v>
      </c>
      <c r="U131" t="s">
        <v>42</v>
      </c>
      <c r="V131">
        <v>0.10418680092259</v>
      </c>
      <c r="W131">
        <v>1.6308462853630999E-3</v>
      </c>
      <c r="X131" t="s">
        <v>108</v>
      </c>
      <c r="Y131" t="s">
        <v>29</v>
      </c>
    </row>
    <row r="132" spans="1:25" x14ac:dyDescent="0.2">
      <c r="A132" t="s">
        <v>104</v>
      </c>
      <c r="B132" t="s">
        <v>95</v>
      </c>
      <c r="C132" t="s">
        <v>105</v>
      </c>
      <c r="D132">
        <v>3.11527931750002E-2</v>
      </c>
      <c r="E132">
        <v>0.48355021805297299</v>
      </c>
      <c r="F132" t="s">
        <v>33</v>
      </c>
      <c r="G132">
        <v>19</v>
      </c>
      <c r="H132">
        <v>-1.9963012671439999E-3</v>
      </c>
      <c r="I132" t="s">
        <v>34</v>
      </c>
      <c r="J132" t="b">
        <v>0</v>
      </c>
      <c r="K132">
        <v>-35.332685631173099</v>
      </c>
      <c r="L132">
        <v>-34.532685631173202</v>
      </c>
      <c r="M132">
        <v>3.9947626175103901</v>
      </c>
      <c r="N132" t="s">
        <v>25</v>
      </c>
      <c r="O132" t="s">
        <v>25</v>
      </c>
      <c r="P132" t="s">
        <v>125</v>
      </c>
      <c r="Q132">
        <f>-0.00745138363272903 - 0.00345878109844086</f>
        <v>-1.091016473116989E-2</v>
      </c>
      <c r="R132" t="s">
        <v>32</v>
      </c>
      <c r="S132" t="s">
        <v>35</v>
      </c>
      <c r="T132" t="s">
        <v>36</v>
      </c>
      <c r="U132" t="s">
        <v>289</v>
      </c>
      <c r="V132">
        <v>0.147473282026993</v>
      </c>
      <c r="W132">
        <v>2.7832052885636998E-3</v>
      </c>
      <c r="X132" t="s">
        <v>108</v>
      </c>
      <c r="Y132" t="s">
        <v>29</v>
      </c>
    </row>
    <row r="133" spans="1:25" x14ac:dyDescent="0.2">
      <c r="A133" t="s">
        <v>104</v>
      </c>
      <c r="B133" t="s">
        <v>51</v>
      </c>
      <c r="C133" t="s">
        <v>105</v>
      </c>
      <c r="D133">
        <v>2.0231144861376999E-3</v>
      </c>
      <c r="E133">
        <v>0.85933652992683696</v>
      </c>
      <c r="F133" t="s">
        <v>33</v>
      </c>
      <c r="G133">
        <v>16</v>
      </c>
      <c r="H133" s="1">
        <v>-6.7470407632790305E-5</v>
      </c>
      <c r="I133" t="s">
        <v>40</v>
      </c>
      <c r="J133" t="b">
        <v>0</v>
      </c>
      <c r="K133">
        <v>-30.489848701687301</v>
      </c>
      <c r="L133">
        <v>-29.6898487016873</v>
      </c>
      <c r="M133">
        <v>7.7512615661256001</v>
      </c>
      <c r="N133" t="s">
        <v>25</v>
      </c>
      <c r="O133" t="s">
        <v>25</v>
      </c>
      <c r="P133" t="s">
        <v>113</v>
      </c>
      <c r="Q133">
        <f>-0.000801746563222435 - 0.000666805747956854</f>
        <v>-1.4685523111792891E-3</v>
      </c>
      <c r="R133" t="s">
        <v>31</v>
      </c>
      <c r="S133" t="s">
        <v>41</v>
      </c>
      <c r="T133" t="s">
        <v>25</v>
      </c>
      <c r="U133" t="s">
        <v>42</v>
      </c>
      <c r="V133">
        <v>0.12727998309514901</v>
      </c>
      <c r="W133">
        <v>3.7463069162730001E-4</v>
      </c>
      <c r="X133" t="s">
        <v>108</v>
      </c>
      <c r="Y133" t="s">
        <v>29</v>
      </c>
    </row>
    <row r="134" spans="1:25" x14ac:dyDescent="0.2">
      <c r="A134" t="s">
        <v>104</v>
      </c>
      <c r="B134" t="s">
        <v>46</v>
      </c>
      <c r="C134" t="s">
        <v>105</v>
      </c>
      <c r="D134">
        <v>1.1045528078019E-3</v>
      </c>
      <c r="E134">
        <v>0.89584183467493494</v>
      </c>
      <c r="F134" t="s">
        <v>33</v>
      </c>
      <c r="G134">
        <v>19</v>
      </c>
      <c r="H134">
        <v>-8.7900777208114993E-3</v>
      </c>
      <c r="I134" t="s">
        <v>37</v>
      </c>
      <c r="J134" t="b">
        <v>0</v>
      </c>
      <c r="K134">
        <v>-30.473288693212599</v>
      </c>
      <c r="L134">
        <v>-29.673288693212601</v>
      </c>
      <c r="M134">
        <v>9.0030757522727907</v>
      </c>
      <c r="N134" t="s">
        <v>25</v>
      </c>
      <c r="O134" t="s">
        <v>25</v>
      </c>
      <c r="P134" t="s">
        <v>123</v>
      </c>
      <c r="Q134">
        <f>-0.138315664959114 - 0.120735509517491</f>
        <v>-0.25905117447660497</v>
      </c>
      <c r="R134" t="s">
        <v>31</v>
      </c>
      <c r="S134" t="s">
        <v>38</v>
      </c>
      <c r="T134" t="s">
        <v>39</v>
      </c>
      <c r="U134" t="s">
        <v>290</v>
      </c>
      <c r="V134">
        <v>0.12740384327301699</v>
      </c>
      <c r="W134">
        <v>6.60844832848482E-2</v>
      </c>
      <c r="X134" t="s">
        <v>108</v>
      </c>
      <c r="Y134" t="s">
        <v>29</v>
      </c>
    </row>
    <row r="135" spans="1:25" x14ac:dyDescent="0.2">
      <c r="A135" t="s">
        <v>104</v>
      </c>
      <c r="B135" t="s">
        <v>78</v>
      </c>
      <c r="C135" t="s">
        <v>105</v>
      </c>
      <c r="D135">
        <v>9.9312467791591405E-2</v>
      </c>
      <c r="E135">
        <v>0.21792107106289299</v>
      </c>
      <c r="F135" t="s">
        <v>33</v>
      </c>
      <c r="G135">
        <v>14</v>
      </c>
      <c r="H135">
        <v>-9.9427376241970002E-4</v>
      </c>
      <c r="I135" t="s">
        <v>40</v>
      </c>
      <c r="J135" t="b">
        <v>0</v>
      </c>
      <c r="K135">
        <v>-28.4859319349932</v>
      </c>
      <c r="L135">
        <v>-27.6287890778503</v>
      </c>
      <c r="M135">
        <v>10.568547367399701</v>
      </c>
      <c r="N135" t="s">
        <v>25</v>
      </c>
      <c r="O135" t="s">
        <v>25</v>
      </c>
      <c r="P135" t="s">
        <v>172</v>
      </c>
      <c r="Q135">
        <f>-0.00250958418223844 - 0.000521036657399031</f>
        <v>-3.030620839637471E-3</v>
      </c>
      <c r="R135" t="s">
        <v>30</v>
      </c>
      <c r="S135" t="s">
        <v>41</v>
      </c>
      <c r="T135" t="s">
        <v>25</v>
      </c>
      <c r="U135" t="s">
        <v>42</v>
      </c>
      <c r="V135">
        <v>0.13311039589416901</v>
      </c>
      <c r="W135">
        <v>7.7311756113199995E-4</v>
      </c>
      <c r="X135" t="s">
        <v>108</v>
      </c>
      <c r="Y135" t="s">
        <v>29</v>
      </c>
    </row>
    <row r="136" spans="1:25" x14ac:dyDescent="0.2">
      <c r="A136" t="s">
        <v>104</v>
      </c>
      <c r="B136" t="s">
        <v>45</v>
      </c>
      <c r="C136" t="s">
        <v>105</v>
      </c>
      <c r="D136">
        <v>9.6867602020311694E-2</v>
      </c>
      <c r="E136">
        <v>0.20869068750507999</v>
      </c>
      <c r="F136" t="s">
        <v>33</v>
      </c>
      <c r="G136">
        <v>7</v>
      </c>
      <c r="H136">
        <v>-1.4588762445914999E-2</v>
      </c>
      <c r="I136" t="s">
        <v>37</v>
      </c>
      <c r="J136" t="b">
        <v>0</v>
      </c>
      <c r="K136">
        <v>-32.287345845492901</v>
      </c>
      <c r="L136">
        <v>-31.4873458454929</v>
      </c>
      <c r="M136">
        <v>9.0745046760950991</v>
      </c>
      <c r="N136" t="s">
        <v>25</v>
      </c>
      <c r="O136" t="s">
        <v>25</v>
      </c>
      <c r="P136" t="s">
        <v>181</v>
      </c>
      <c r="Q136">
        <f>-0.0364161102743754 - 0.00723858538254545</f>
        <v>-4.3654695656920851E-2</v>
      </c>
      <c r="R136" t="s">
        <v>26</v>
      </c>
      <c r="S136" t="s">
        <v>38</v>
      </c>
      <c r="T136" t="s">
        <v>39</v>
      </c>
      <c r="U136" t="s">
        <v>291</v>
      </c>
      <c r="V136">
        <v>0.14945847629385101</v>
      </c>
      <c r="W136">
        <v>1.1136401953296101E-2</v>
      </c>
      <c r="X136" t="s">
        <v>108</v>
      </c>
      <c r="Y136" t="s">
        <v>29</v>
      </c>
    </row>
    <row r="137" spans="1:25" x14ac:dyDescent="0.2">
      <c r="A137" t="s">
        <v>104</v>
      </c>
      <c r="B137" t="s">
        <v>67</v>
      </c>
      <c r="C137" t="s">
        <v>105</v>
      </c>
      <c r="D137">
        <v>0.20464773488417801</v>
      </c>
      <c r="E137">
        <v>5.9435837148165097E-2</v>
      </c>
      <c r="F137" t="s">
        <v>33</v>
      </c>
      <c r="G137">
        <v>19</v>
      </c>
      <c r="H137">
        <v>-1.10280332778483E-2</v>
      </c>
      <c r="I137" t="s">
        <v>34</v>
      </c>
      <c r="J137" t="b">
        <v>0</v>
      </c>
      <c r="K137">
        <v>-38.421507356751697</v>
      </c>
      <c r="L137">
        <v>-37.6215073567517</v>
      </c>
      <c r="M137">
        <v>6.7640862929003003</v>
      </c>
      <c r="N137" t="s">
        <v>25</v>
      </c>
      <c r="O137" t="s">
        <v>25</v>
      </c>
      <c r="P137" t="s">
        <v>222</v>
      </c>
      <c r="Q137">
        <f>-0.02168099675469 - -0.000375069801006498</f>
        <v>-2.13059269536835E-2</v>
      </c>
      <c r="R137" t="s">
        <v>31</v>
      </c>
      <c r="S137" t="s">
        <v>35</v>
      </c>
      <c r="T137" t="s">
        <v>36</v>
      </c>
      <c r="U137" t="s">
        <v>292</v>
      </c>
      <c r="V137">
        <v>0.17125533770561499</v>
      </c>
      <c r="W137">
        <v>5.4351854473682001E-3</v>
      </c>
      <c r="X137" t="s">
        <v>108</v>
      </c>
      <c r="Y137" t="s">
        <v>29</v>
      </c>
    </row>
    <row r="138" spans="1:25" x14ac:dyDescent="0.2">
      <c r="A138" t="s">
        <v>104</v>
      </c>
      <c r="B138" t="s">
        <v>70</v>
      </c>
      <c r="C138" t="s">
        <v>105</v>
      </c>
      <c r="D138">
        <v>5.0591945483403698E-2</v>
      </c>
      <c r="E138">
        <v>0.385417996530176</v>
      </c>
      <c r="F138" t="s">
        <v>33</v>
      </c>
      <c r="G138">
        <v>12</v>
      </c>
      <c r="H138">
        <v>6.1818180939226999E-3</v>
      </c>
      <c r="I138" t="s">
        <v>37</v>
      </c>
      <c r="J138" t="b">
        <v>0</v>
      </c>
      <c r="K138">
        <v>-27.590366945160699</v>
      </c>
      <c r="L138">
        <v>-26.733224088017799</v>
      </c>
      <c r="M138">
        <v>9.4863384665023993</v>
      </c>
      <c r="N138" t="s">
        <v>25</v>
      </c>
      <c r="O138" t="s">
        <v>25</v>
      </c>
      <c r="P138" t="s">
        <v>135</v>
      </c>
      <c r="Q138">
        <f>-0.00737046387400191 - 0.0197341000618473</f>
        <v>-2.7104563935849209E-2</v>
      </c>
      <c r="R138" t="s">
        <v>30</v>
      </c>
      <c r="S138" t="s">
        <v>38</v>
      </c>
      <c r="T138" t="s">
        <v>39</v>
      </c>
      <c r="U138" t="s">
        <v>293</v>
      </c>
      <c r="V138">
        <v>0.123503765093679</v>
      </c>
      <c r="W138">
        <v>6.9144295754717004E-3</v>
      </c>
      <c r="X138" t="s">
        <v>108</v>
      </c>
      <c r="Y138" t="s">
        <v>29</v>
      </c>
    </row>
    <row r="139" spans="1:25" x14ac:dyDescent="0.2">
      <c r="A139" t="s">
        <v>104</v>
      </c>
      <c r="B139" t="s">
        <v>89</v>
      </c>
      <c r="C139" t="s">
        <v>105</v>
      </c>
      <c r="D139">
        <v>0.113245857070027</v>
      </c>
      <c r="E139">
        <v>0.18658827011728801</v>
      </c>
      <c r="F139" t="s">
        <v>33</v>
      </c>
      <c r="G139">
        <v>13</v>
      </c>
      <c r="H139">
        <v>9.3952151336150003E-4</v>
      </c>
      <c r="I139" t="s">
        <v>40</v>
      </c>
      <c r="J139" t="b">
        <v>0</v>
      </c>
      <c r="K139">
        <v>-28.750972656506502</v>
      </c>
      <c r="L139">
        <v>-27.893829799363601</v>
      </c>
      <c r="M139">
        <v>8.67934505678069</v>
      </c>
      <c r="N139" t="s">
        <v>25</v>
      </c>
      <c r="O139" t="s">
        <v>25</v>
      </c>
      <c r="P139" t="s">
        <v>210</v>
      </c>
      <c r="Q139">
        <f>-0.00039095625639783 - 0.00226999928312087</f>
        <v>-2.6609555395187001E-3</v>
      </c>
      <c r="R139" t="s">
        <v>30</v>
      </c>
      <c r="S139" t="s">
        <v>41</v>
      </c>
      <c r="T139" t="s">
        <v>25</v>
      </c>
      <c r="U139" t="s">
        <v>42</v>
      </c>
      <c r="V139">
        <v>0.107464104526778</v>
      </c>
      <c r="W139">
        <v>6.7881518865269995E-4</v>
      </c>
      <c r="X139" t="s">
        <v>108</v>
      </c>
      <c r="Y139" t="s">
        <v>29</v>
      </c>
    </row>
    <row r="140" spans="1:25" x14ac:dyDescent="0.2">
      <c r="A140" t="s">
        <v>104</v>
      </c>
      <c r="B140" t="s">
        <v>84</v>
      </c>
      <c r="C140" t="s">
        <v>105</v>
      </c>
      <c r="D140">
        <v>2.4831396330163998E-3</v>
      </c>
      <c r="E140">
        <v>0.844329316657076</v>
      </c>
      <c r="F140" t="s">
        <v>33</v>
      </c>
      <c r="G140">
        <v>18</v>
      </c>
      <c r="H140">
        <v>-7.307256316648E-4</v>
      </c>
      <c r="I140" t="s">
        <v>34</v>
      </c>
      <c r="J140" t="b">
        <v>0</v>
      </c>
      <c r="K140">
        <v>-34.819077604508998</v>
      </c>
      <c r="L140">
        <v>-34.0190776045091</v>
      </c>
      <c r="M140">
        <v>4.1338207587843003</v>
      </c>
      <c r="N140" t="s">
        <v>25</v>
      </c>
      <c r="O140" t="s">
        <v>25</v>
      </c>
      <c r="P140" t="s">
        <v>106</v>
      </c>
      <c r="Q140">
        <f>-0.00790718074905225 - 0.00644572948572261</f>
        <v>-1.4352910234774859E-2</v>
      </c>
      <c r="R140" t="s">
        <v>26</v>
      </c>
      <c r="S140" t="s">
        <v>35</v>
      </c>
      <c r="T140" t="s">
        <v>36</v>
      </c>
      <c r="U140" t="s">
        <v>294</v>
      </c>
      <c r="V140">
        <v>0.130450367504996</v>
      </c>
      <c r="W140">
        <v>3.6614566925445998E-3</v>
      </c>
      <c r="X140" t="s">
        <v>108</v>
      </c>
      <c r="Y140" t="s">
        <v>29</v>
      </c>
    </row>
    <row r="141" spans="1:25" x14ac:dyDescent="0.2">
      <c r="A141" t="s">
        <v>104</v>
      </c>
      <c r="B141" t="s">
        <v>53</v>
      </c>
      <c r="C141" t="s">
        <v>105</v>
      </c>
      <c r="D141">
        <v>2.8009860957817202E-2</v>
      </c>
      <c r="E141">
        <v>0.50682758004930895</v>
      </c>
      <c r="F141" t="s">
        <v>33</v>
      </c>
      <c r="G141">
        <v>10</v>
      </c>
      <c r="H141">
        <v>0.111496720047449</v>
      </c>
      <c r="I141" t="s">
        <v>40</v>
      </c>
      <c r="J141" t="b">
        <v>0</v>
      </c>
      <c r="K141">
        <v>-30.964768906894601</v>
      </c>
      <c r="L141">
        <v>-30.164768906894601</v>
      </c>
      <c r="M141">
        <v>8.2300565171349902</v>
      </c>
      <c r="N141" t="s">
        <v>25</v>
      </c>
      <c r="O141" t="s">
        <v>25</v>
      </c>
      <c r="P141" t="s">
        <v>215</v>
      </c>
      <c r="Q141">
        <f>-0.210338541025027 - 0.433331981119926</f>
        <v>-0.64367052214495302</v>
      </c>
      <c r="R141" t="s">
        <v>31</v>
      </c>
      <c r="S141" t="s">
        <v>41</v>
      </c>
      <c r="T141" t="s">
        <v>25</v>
      </c>
      <c r="U141" t="s">
        <v>42</v>
      </c>
      <c r="V141">
        <v>0.12133699173695101</v>
      </c>
      <c r="W141">
        <v>0.16420166381248799</v>
      </c>
      <c r="X141" t="s">
        <v>108</v>
      </c>
      <c r="Y141" t="s">
        <v>29</v>
      </c>
    </row>
    <row r="142" spans="1:25" x14ac:dyDescent="0.2">
      <c r="A142" t="s">
        <v>104</v>
      </c>
      <c r="B142" t="s">
        <v>71</v>
      </c>
      <c r="C142" t="s">
        <v>105</v>
      </c>
      <c r="D142">
        <v>0.117367083066674</v>
      </c>
      <c r="E142">
        <v>0.164020366317843</v>
      </c>
      <c r="F142" t="s">
        <v>33</v>
      </c>
      <c r="G142">
        <v>7</v>
      </c>
      <c r="H142">
        <v>-1.35812421276482E-2</v>
      </c>
      <c r="I142" t="s">
        <v>37</v>
      </c>
      <c r="J142" t="b">
        <v>0</v>
      </c>
      <c r="K142">
        <v>-32.700621727935399</v>
      </c>
      <c r="L142">
        <v>-31.900621727935398</v>
      </c>
      <c r="M142">
        <v>6.2404781227501003</v>
      </c>
      <c r="N142" t="s">
        <v>25</v>
      </c>
      <c r="O142" t="s">
        <v>25</v>
      </c>
      <c r="P142" t="s">
        <v>201</v>
      </c>
      <c r="Q142">
        <f>-0.0318308054208534 - 0.004668321165557</f>
        <v>-3.6499126586410399E-2</v>
      </c>
      <c r="R142" t="s">
        <v>26</v>
      </c>
      <c r="S142" t="s">
        <v>38</v>
      </c>
      <c r="T142" t="s">
        <v>39</v>
      </c>
      <c r="U142" t="s">
        <v>295</v>
      </c>
      <c r="V142">
        <v>0.12826403803261199</v>
      </c>
      <c r="W142">
        <v>9.3110016802066993E-3</v>
      </c>
      <c r="X142" t="s">
        <v>108</v>
      </c>
      <c r="Y142" t="s">
        <v>29</v>
      </c>
    </row>
    <row r="143" spans="1:25" x14ac:dyDescent="0.2">
      <c r="A143" t="s">
        <v>104</v>
      </c>
      <c r="B143" t="s">
        <v>56</v>
      </c>
      <c r="C143" t="s">
        <v>105</v>
      </c>
      <c r="D143">
        <v>7.1184443325020497E-2</v>
      </c>
      <c r="E143">
        <v>0.284509978186887</v>
      </c>
      <c r="F143" t="s">
        <v>33</v>
      </c>
      <c r="G143">
        <v>19</v>
      </c>
      <c r="H143">
        <v>4.7786799203250002E-4</v>
      </c>
      <c r="I143" t="s">
        <v>40</v>
      </c>
      <c r="J143" t="b">
        <v>0</v>
      </c>
      <c r="K143">
        <v>-31.7826075455955</v>
      </c>
      <c r="L143">
        <v>-30.982607545595499</v>
      </c>
      <c r="M143">
        <v>11.6627089587898</v>
      </c>
      <c r="N143" t="s">
        <v>25</v>
      </c>
      <c r="O143" t="s">
        <v>25</v>
      </c>
      <c r="P143" t="s">
        <v>207</v>
      </c>
      <c r="Q143">
        <f>-0.000367948630562458 - 0.00132368461462754</f>
        <v>-1.691633245189998E-3</v>
      </c>
      <c r="R143" t="s">
        <v>26</v>
      </c>
      <c r="S143" t="s">
        <v>41</v>
      </c>
      <c r="T143" t="s">
        <v>25</v>
      </c>
      <c r="U143" t="s">
        <v>42</v>
      </c>
      <c r="V143">
        <v>9.6739623379853201E-2</v>
      </c>
      <c r="W143">
        <v>4.3153909316070001E-4</v>
      </c>
      <c r="X143" t="s">
        <v>108</v>
      </c>
      <c r="Y143" t="s">
        <v>29</v>
      </c>
    </row>
    <row r="144" spans="1:25" x14ac:dyDescent="0.2">
      <c r="A144" t="s">
        <v>104</v>
      </c>
      <c r="B144" t="s">
        <v>62</v>
      </c>
      <c r="C144" t="s">
        <v>105</v>
      </c>
      <c r="D144">
        <v>2.2448448171281901E-2</v>
      </c>
      <c r="E144">
        <v>0.55291550283319402</v>
      </c>
      <c r="F144" t="s">
        <v>33</v>
      </c>
      <c r="G144">
        <v>10</v>
      </c>
      <c r="H144">
        <v>-2.4063590785520001E-4</v>
      </c>
      <c r="I144" t="s">
        <v>40</v>
      </c>
      <c r="J144" t="b">
        <v>0</v>
      </c>
      <c r="K144">
        <v>-30.862072255499399</v>
      </c>
      <c r="L144">
        <v>-30.062072255499402</v>
      </c>
      <c r="M144">
        <v>9.0910392658838006</v>
      </c>
      <c r="N144" t="s">
        <v>25</v>
      </c>
      <c r="O144" t="s">
        <v>25</v>
      </c>
      <c r="P144" t="s">
        <v>220</v>
      </c>
      <c r="Q144">
        <f>-0.00101873191411497 - 0.000537460098404483</f>
        <v>-1.556192012519453E-3</v>
      </c>
      <c r="R144" t="s">
        <v>31</v>
      </c>
      <c r="S144" t="s">
        <v>41</v>
      </c>
      <c r="T144" t="s">
        <v>25</v>
      </c>
      <c r="U144" t="s">
        <v>42</v>
      </c>
      <c r="V144">
        <v>0.13766508802763999</v>
      </c>
      <c r="W144">
        <v>3.9698775829570001E-4</v>
      </c>
      <c r="X144" t="s">
        <v>108</v>
      </c>
      <c r="Y144" t="s">
        <v>29</v>
      </c>
    </row>
    <row r="145" spans="1:25" x14ac:dyDescent="0.2">
      <c r="A145" t="s">
        <v>104</v>
      </c>
      <c r="B145" t="s">
        <v>53</v>
      </c>
      <c r="C145" t="s">
        <v>105</v>
      </c>
      <c r="D145">
        <v>4.7573822740469E-2</v>
      </c>
      <c r="E145">
        <v>0.38458243372864698</v>
      </c>
      <c r="F145" t="s">
        <v>33</v>
      </c>
      <c r="G145">
        <v>10</v>
      </c>
      <c r="H145">
        <v>0.128479040618418</v>
      </c>
      <c r="I145" t="s">
        <v>34</v>
      </c>
      <c r="J145" t="b">
        <v>0</v>
      </c>
      <c r="K145">
        <v>-35.638281416475799</v>
      </c>
      <c r="L145">
        <v>-34.838281416475901</v>
      </c>
      <c r="M145">
        <v>3.5565440075536898</v>
      </c>
      <c r="N145" t="s">
        <v>25</v>
      </c>
      <c r="O145" t="s">
        <v>25</v>
      </c>
      <c r="P145" t="s">
        <v>215</v>
      </c>
      <c r="Q145">
        <f>-0.153203547022913 - 0.410161628259749</f>
        <v>-0.56336517528266206</v>
      </c>
      <c r="R145" t="s">
        <v>31</v>
      </c>
      <c r="S145" t="s">
        <v>35</v>
      </c>
      <c r="T145" t="s">
        <v>36</v>
      </c>
      <c r="U145" t="s">
        <v>296</v>
      </c>
      <c r="V145">
        <v>0.11942868343492</v>
      </c>
      <c r="W145">
        <v>0.14371560593945401</v>
      </c>
      <c r="X145" t="s">
        <v>108</v>
      </c>
      <c r="Y145" t="s">
        <v>29</v>
      </c>
    </row>
    <row r="146" spans="1:25" x14ac:dyDescent="0.2">
      <c r="A146" t="s">
        <v>104</v>
      </c>
      <c r="B146" t="s">
        <v>68</v>
      </c>
      <c r="C146" t="s">
        <v>105</v>
      </c>
      <c r="D146">
        <v>1.7491698284277E-3</v>
      </c>
      <c r="E146">
        <v>0.869122791055569</v>
      </c>
      <c r="F146" t="s">
        <v>33</v>
      </c>
      <c r="G146">
        <v>16</v>
      </c>
      <c r="H146" s="1">
        <v>5.91233109005654E-5</v>
      </c>
      <c r="I146" t="s">
        <v>37</v>
      </c>
      <c r="J146" t="b">
        <v>0</v>
      </c>
      <c r="K146">
        <v>-30.4849083796679</v>
      </c>
      <c r="L146">
        <v>-29.684908379667899</v>
      </c>
      <c r="M146">
        <v>10.4328291863769</v>
      </c>
      <c r="N146" t="s">
        <v>25</v>
      </c>
      <c r="O146" t="s">
        <v>25</v>
      </c>
      <c r="P146" t="s">
        <v>137</v>
      </c>
      <c r="Q146">
        <f>-0.000632960479873685 - 0.000751207101674816</f>
        <v>-1.3841675815485009E-3</v>
      </c>
      <c r="R146" t="s">
        <v>31</v>
      </c>
      <c r="S146" t="s">
        <v>38</v>
      </c>
      <c r="T146" t="s">
        <v>39</v>
      </c>
      <c r="U146" t="s">
        <v>297</v>
      </c>
      <c r="V146">
        <v>0.123903149728331</v>
      </c>
      <c r="W146">
        <v>3.5310397488480001E-4</v>
      </c>
      <c r="X146" t="s">
        <v>108</v>
      </c>
      <c r="Y146" t="s">
        <v>29</v>
      </c>
    </row>
    <row r="147" spans="1:25" x14ac:dyDescent="0.2">
      <c r="A147" t="s">
        <v>104</v>
      </c>
      <c r="B147" t="s">
        <v>77</v>
      </c>
      <c r="C147" t="s">
        <v>105</v>
      </c>
      <c r="D147">
        <v>0.18185934270422099</v>
      </c>
      <c r="E147">
        <v>8.78217969113817E-2</v>
      </c>
      <c r="F147" t="s">
        <v>33</v>
      </c>
      <c r="G147">
        <v>18</v>
      </c>
      <c r="H147">
        <v>-7.5737663455674002E-3</v>
      </c>
      <c r="I147" t="s">
        <v>40</v>
      </c>
      <c r="J147" t="b">
        <v>0</v>
      </c>
      <c r="K147">
        <v>-30.120042006502299</v>
      </c>
      <c r="L147">
        <v>-29.262899149359502</v>
      </c>
      <c r="M147">
        <v>10.167750642209899</v>
      </c>
      <c r="N147" t="s">
        <v>25</v>
      </c>
      <c r="O147" t="s">
        <v>25</v>
      </c>
      <c r="P147" t="s">
        <v>187</v>
      </c>
      <c r="Q147">
        <f>-0.0157033541068714 - 0.000555821415736483</f>
        <v>-1.6259175522607881E-2</v>
      </c>
      <c r="R147" t="s">
        <v>30</v>
      </c>
      <c r="S147" t="s">
        <v>41</v>
      </c>
      <c r="T147" t="s">
        <v>25</v>
      </c>
      <c r="U147" t="s">
        <v>42</v>
      </c>
      <c r="V147">
        <v>0.156005353564069</v>
      </c>
      <c r="W147">
        <v>4.1477488578081003E-3</v>
      </c>
      <c r="X147" t="s">
        <v>108</v>
      </c>
      <c r="Y147" t="s">
        <v>29</v>
      </c>
    </row>
    <row r="148" spans="1:25" x14ac:dyDescent="0.2">
      <c r="A148" t="s">
        <v>104</v>
      </c>
      <c r="B148" t="s">
        <v>65</v>
      </c>
      <c r="C148" t="s">
        <v>105</v>
      </c>
      <c r="D148">
        <v>6.8776770017809005E-2</v>
      </c>
      <c r="E148">
        <v>0.29311543217137798</v>
      </c>
      <c r="F148" t="s">
        <v>33</v>
      </c>
      <c r="G148">
        <v>18</v>
      </c>
      <c r="H148">
        <v>5.9868981632599997E-4</v>
      </c>
      <c r="I148" t="s">
        <v>34</v>
      </c>
      <c r="J148" t="b">
        <v>0</v>
      </c>
      <c r="K148">
        <v>-36.043173921297097</v>
      </c>
      <c r="L148">
        <v>-35.2431739212971</v>
      </c>
      <c r="M148">
        <v>5.1277537544426002</v>
      </c>
      <c r="N148" t="s">
        <v>25</v>
      </c>
      <c r="O148" t="s">
        <v>25</v>
      </c>
      <c r="P148" t="s">
        <v>199</v>
      </c>
      <c r="Q148">
        <f>-0.000480763744981588 - 0.00167814337763376</f>
        <v>-2.1589071226153478E-3</v>
      </c>
      <c r="R148" t="s">
        <v>32</v>
      </c>
      <c r="S148" t="s">
        <v>35</v>
      </c>
      <c r="T148" t="s">
        <v>36</v>
      </c>
      <c r="U148" t="s">
        <v>298</v>
      </c>
      <c r="V148">
        <v>0.11149918985248899</v>
      </c>
      <c r="W148">
        <v>5.5074161291200001E-4</v>
      </c>
      <c r="X148" t="s">
        <v>108</v>
      </c>
      <c r="Y148" t="s">
        <v>29</v>
      </c>
    </row>
    <row r="149" spans="1:25" x14ac:dyDescent="0.2">
      <c r="A149" t="s">
        <v>104</v>
      </c>
      <c r="B149" t="s">
        <v>49</v>
      </c>
      <c r="C149" t="s">
        <v>105</v>
      </c>
      <c r="D149">
        <v>0.43999125951733598</v>
      </c>
      <c r="E149">
        <v>2.6916495654993001E-3</v>
      </c>
      <c r="F149" t="s">
        <v>33</v>
      </c>
      <c r="G149">
        <v>6</v>
      </c>
      <c r="H149">
        <v>7.2910922733519996E-4</v>
      </c>
      <c r="I149" t="s">
        <v>24</v>
      </c>
      <c r="J149" t="b">
        <v>0</v>
      </c>
      <c r="K149">
        <v>-41.772291126400702</v>
      </c>
      <c r="L149">
        <v>-40.972291126400698</v>
      </c>
      <c r="M149">
        <v>5.7412027853018799E-3</v>
      </c>
      <c r="N149" t="s">
        <v>25</v>
      </c>
      <c r="O149" t="s">
        <v>25</v>
      </c>
      <c r="P149" t="s">
        <v>174</v>
      </c>
      <c r="Q149" t="s">
        <v>299</v>
      </c>
      <c r="R149" t="s">
        <v>26</v>
      </c>
      <c r="S149" t="s">
        <v>27</v>
      </c>
      <c r="T149" t="s">
        <v>28</v>
      </c>
      <c r="U149" t="s">
        <v>300</v>
      </c>
      <c r="V149">
        <v>0.123181022936256</v>
      </c>
      <c r="W149">
        <v>2.056401828199E-4</v>
      </c>
      <c r="X149" t="s">
        <v>108</v>
      </c>
      <c r="Y149" t="s">
        <v>29</v>
      </c>
    </row>
    <row r="150" spans="1:25" x14ac:dyDescent="0.2">
      <c r="A150" t="s">
        <v>104</v>
      </c>
      <c r="B150" t="s">
        <v>52</v>
      </c>
      <c r="C150" t="s">
        <v>105</v>
      </c>
      <c r="D150">
        <v>0.236825799926559</v>
      </c>
      <c r="E150">
        <v>4.05582613360915E-2</v>
      </c>
      <c r="F150" t="s">
        <v>33</v>
      </c>
      <c r="G150">
        <v>5</v>
      </c>
      <c r="H150">
        <v>-6.1875358137228002E-3</v>
      </c>
      <c r="I150" t="s">
        <v>37</v>
      </c>
      <c r="J150" t="b">
        <v>0</v>
      </c>
      <c r="K150">
        <v>-35.318237112631898</v>
      </c>
      <c r="L150">
        <v>-34.518237112632001</v>
      </c>
      <c r="M150">
        <v>4.2919542961356996</v>
      </c>
      <c r="N150" t="s">
        <v>25</v>
      </c>
      <c r="O150" t="s">
        <v>25</v>
      </c>
      <c r="P150" t="s">
        <v>197</v>
      </c>
      <c r="Q150">
        <f>-0.0116301949902922 - -0.000744876637153421</f>
        <v>-1.088531835313878E-2</v>
      </c>
      <c r="R150" t="s">
        <v>26</v>
      </c>
      <c r="S150" t="s">
        <v>38</v>
      </c>
      <c r="T150" t="s">
        <v>39</v>
      </c>
      <c r="U150" t="s">
        <v>301</v>
      </c>
      <c r="V150">
        <v>0.142455742751914</v>
      </c>
      <c r="W150">
        <v>2.7768669268211001E-3</v>
      </c>
      <c r="X150" t="s">
        <v>108</v>
      </c>
      <c r="Y150" t="s">
        <v>29</v>
      </c>
    </row>
    <row r="151" spans="1:25" x14ac:dyDescent="0.2">
      <c r="A151" t="s">
        <v>104</v>
      </c>
      <c r="B151" t="s">
        <v>85</v>
      </c>
      <c r="C151" t="s">
        <v>105</v>
      </c>
      <c r="D151">
        <v>0.25006148203071399</v>
      </c>
      <c r="E151">
        <v>4.0940164952588003E-2</v>
      </c>
      <c r="F151" t="s">
        <v>33</v>
      </c>
      <c r="G151">
        <v>19</v>
      </c>
      <c r="H151">
        <v>8.2516071983989995E-4</v>
      </c>
      <c r="I151" t="s">
        <v>34</v>
      </c>
      <c r="J151" t="b">
        <v>0</v>
      </c>
      <c r="K151">
        <v>-36.555083536828199</v>
      </c>
      <c r="L151">
        <v>-35.697940679685402</v>
      </c>
      <c r="M151">
        <v>3.4120556944890899</v>
      </c>
      <c r="N151" t="s">
        <v>25</v>
      </c>
      <c r="O151" t="s">
        <v>25</v>
      </c>
      <c r="P151" t="s">
        <v>115</v>
      </c>
      <c r="Q151" t="s">
        <v>302</v>
      </c>
      <c r="R151" t="s">
        <v>30</v>
      </c>
      <c r="S151" t="s">
        <v>35</v>
      </c>
      <c r="T151" t="s">
        <v>36</v>
      </c>
      <c r="U151" t="s">
        <v>303</v>
      </c>
      <c r="V151">
        <v>3.6359859710908701E-2</v>
      </c>
      <c r="W151">
        <v>3.6896260019810001E-4</v>
      </c>
      <c r="X151" t="s">
        <v>108</v>
      </c>
      <c r="Y151" t="s">
        <v>29</v>
      </c>
    </row>
    <row r="152" spans="1:25" x14ac:dyDescent="0.2">
      <c r="A152" t="s">
        <v>104</v>
      </c>
      <c r="B152" t="s">
        <v>98</v>
      </c>
      <c r="C152" t="s">
        <v>105</v>
      </c>
      <c r="D152">
        <v>0.121364271197531</v>
      </c>
      <c r="E152">
        <v>0.15655376694930301</v>
      </c>
      <c r="F152" t="s">
        <v>33</v>
      </c>
      <c r="G152">
        <v>11</v>
      </c>
      <c r="H152">
        <v>-3.3590636531439802E-2</v>
      </c>
      <c r="I152" t="s">
        <v>37</v>
      </c>
      <c r="J152" t="b">
        <v>0</v>
      </c>
      <c r="K152">
        <v>-32.782323642129498</v>
      </c>
      <c r="L152">
        <v>-31.982323642129501</v>
      </c>
      <c r="M152">
        <v>9.8571120676678898</v>
      </c>
      <c r="N152" t="s">
        <v>25</v>
      </c>
      <c r="O152" t="s">
        <v>25</v>
      </c>
      <c r="P152" t="s">
        <v>127</v>
      </c>
      <c r="Q152">
        <f>-0.0778773362251445 - 0.0106960631622649</f>
        <v>-8.8573399387409407E-2</v>
      </c>
      <c r="R152" t="s">
        <v>26</v>
      </c>
      <c r="S152" t="s">
        <v>38</v>
      </c>
      <c r="T152" t="s">
        <v>39</v>
      </c>
      <c r="U152" t="s">
        <v>304</v>
      </c>
      <c r="V152">
        <v>0.13364034846322201</v>
      </c>
      <c r="W152">
        <v>2.2595254945767699E-2</v>
      </c>
      <c r="X152" t="s">
        <v>108</v>
      </c>
      <c r="Y152" t="s">
        <v>29</v>
      </c>
    </row>
    <row r="153" spans="1:25" x14ac:dyDescent="0.2">
      <c r="A153" t="s">
        <v>104</v>
      </c>
      <c r="B153" t="s">
        <v>50</v>
      </c>
      <c r="C153" t="s">
        <v>105</v>
      </c>
      <c r="D153">
        <v>7.5188049380308195E-2</v>
      </c>
      <c r="E153">
        <v>0.270849772472598</v>
      </c>
      <c r="F153" t="s">
        <v>33</v>
      </c>
      <c r="G153">
        <v>16</v>
      </c>
      <c r="H153">
        <v>5.1234351646390003E-4</v>
      </c>
      <c r="I153" t="s">
        <v>37</v>
      </c>
      <c r="J153" t="b">
        <v>0</v>
      </c>
      <c r="K153">
        <v>-31.860363212011102</v>
      </c>
      <c r="L153">
        <v>-31.060363212011101</v>
      </c>
      <c r="M153">
        <v>12.1496873927758</v>
      </c>
      <c r="N153" t="s">
        <v>25</v>
      </c>
      <c r="O153" t="s">
        <v>25</v>
      </c>
      <c r="P153" t="s">
        <v>117</v>
      </c>
      <c r="Q153">
        <f>-0.000368116487466826 - 0.00139280352039466</f>
        <v>-1.760920007861486E-3</v>
      </c>
      <c r="R153" t="s">
        <v>26</v>
      </c>
      <c r="S153" t="s">
        <v>38</v>
      </c>
      <c r="T153" t="s">
        <v>39</v>
      </c>
      <c r="U153" t="s">
        <v>305</v>
      </c>
      <c r="V153">
        <v>9.7477521579506704E-2</v>
      </c>
      <c r="W153">
        <v>4.4921428771969998E-4</v>
      </c>
      <c r="X153" t="s">
        <v>108</v>
      </c>
      <c r="Y153" t="s">
        <v>29</v>
      </c>
    </row>
    <row r="154" spans="1:25" x14ac:dyDescent="0.2">
      <c r="A154" t="s">
        <v>104</v>
      </c>
      <c r="B154" t="s">
        <v>58</v>
      </c>
      <c r="C154" t="s">
        <v>105</v>
      </c>
      <c r="D154">
        <v>0.170520521721023</v>
      </c>
      <c r="E154">
        <v>8.8536227336343698E-2</v>
      </c>
      <c r="F154" t="s">
        <v>33</v>
      </c>
      <c r="G154">
        <v>15</v>
      </c>
      <c r="H154">
        <v>-1.7564545246434001E-3</v>
      </c>
      <c r="I154" t="s">
        <v>40</v>
      </c>
      <c r="J154" t="b">
        <v>0</v>
      </c>
      <c r="K154">
        <v>-33.818620125721097</v>
      </c>
      <c r="L154">
        <v>-33.0186201257211</v>
      </c>
      <c r="M154">
        <v>9.0497291927042909</v>
      </c>
      <c r="N154" t="s">
        <v>25</v>
      </c>
      <c r="O154" t="s">
        <v>25</v>
      </c>
      <c r="P154" t="s">
        <v>203</v>
      </c>
      <c r="Q154">
        <f>-0.00365467864148147 - 0.00014176959219453</f>
        <v>-3.796448233676E-3</v>
      </c>
      <c r="R154" t="s">
        <v>32</v>
      </c>
      <c r="S154" t="s">
        <v>41</v>
      </c>
      <c r="T154" t="s">
        <v>25</v>
      </c>
      <c r="U154" t="s">
        <v>42</v>
      </c>
      <c r="V154">
        <v>0.15609701686744401</v>
      </c>
      <c r="W154">
        <v>9.6848169226420005E-4</v>
      </c>
      <c r="X154" t="s">
        <v>108</v>
      </c>
      <c r="Y154" t="s">
        <v>29</v>
      </c>
    </row>
    <row r="155" spans="1:25" x14ac:dyDescent="0.2">
      <c r="A155" t="s">
        <v>104</v>
      </c>
      <c r="B155" t="s">
        <v>92</v>
      </c>
      <c r="C155" t="s">
        <v>105</v>
      </c>
      <c r="D155">
        <v>0.410264543765259</v>
      </c>
      <c r="E155">
        <v>4.1865990330589003E-3</v>
      </c>
      <c r="F155" t="s">
        <v>33</v>
      </c>
      <c r="G155">
        <v>9</v>
      </c>
      <c r="H155">
        <v>-3.6323652139321999E-3</v>
      </c>
      <c r="I155" t="s">
        <v>37</v>
      </c>
      <c r="J155" t="b">
        <v>0</v>
      </c>
      <c r="K155">
        <v>-39.958857748403901</v>
      </c>
      <c r="L155">
        <v>-39.158857748403904</v>
      </c>
      <c r="M155">
        <v>13.100302031938901</v>
      </c>
      <c r="N155" t="s">
        <v>25</v>
      </c>
      <c r="O155" t="s">
        <v>25</v>
      </c>
      <c r="P155" t="s">
        <v>144</v>
      </c>
      <c r="Q155">
        <f>-0.00576630526602805 - -0.00149842516183642</f>
        <v>-4.2678801041916292E-3</v>
      </c>
      <c r="R155" t="s">
        <v>26</v>
      </c>
      <c r="S155" t="s">
        <v>38</v>
      </c>
      <c r="T155" t="s">
        <v>39</v>
      </c>
      <c r="U155" t="s">
        <v>306</v>
      </c>
      <c r="V155">
        <v>0.1740153149825</v>
      </c>
      <c r="W155">
        <v>1.0887449245386E-3</v>
      </c>
      <c r="X155" t="s">
        <v>108</v>
      </c>
      <c r="Y155" t="s">
        <v>29</v>
      </c>
    </row>
    <row r="156" spans="1:25" x14ac:dyDescent="0.2">
      <c r="A156" t="s">
        <v>104</v>
      </c>
      <c r="B156" t="s">
        <v>82</v>
      </c>
      <c r="C156" t="s">
        <v>105</v>
      </c>
      <c r="D156">
        <v>0.360861105069815</v>
      </c>
      <c r="E156">
        <v>8.3808601660972006E-3</v>
      </c>
      <c r="F156" t="s">
        <v>33</v>
      </c>
      <c r="G156">
        <v>19</v>
      </c>
      <c r="H156">
        <v>2.1777418627125102E-2</v>
      </c>
      <c r="I156" t="s">
        <v>34</v>
      </c>
      <c r="J156" t="b">
        <v>0</v>
      </c>
      <c r="K156">
        <v>-38.510798489044198</v>
      </c>
      <c r="L156">
        <v>-37.710798489044201</v>
      </c>
      <c r="M156" s="1">
        <v>9.9475983006414001E-14</v>
      </c>
      <c r="N156" t="s">
        <v>25</v>
      </c>
      <c r="O156" t="s">
        <v>25</v>
      </c>
      <c r="P156" t="s">
        <v>185</v>
      </c>
      <c r="Q156" t="s">
        <v>307</v>
      </c>
      <c r="R156" t="s">
        <v>32</v>
      </c>
      <c r="S156" t="s">
        <v>35</v>
      </c>
      <c r="T156" t="s">
        <v>36</v>
      </c>
      <c r="U156" t="s">
        <v>308</v>
      </c>
      <c r="V156">
        <v>0.10427455315288001</v>
      </c>
      <c r="W156">
        <v>7.2455939927254997E-3</v>
      </c>
      <c r="X156" t="s">
        <v>108</v>
      </c>
      <c r="Y156" t="s">
        <v>29</v>
      </c>
    </row>
    <row r="157" spans="1:25" x14ac:dyDescent="0.2">
      <c r="A157" t="s">
        <v>104</v>
      </c>
      <c r="B157" t="s">
        <v>46</v>
      </c>
      <c r="C157" t="s">
        <v>105</v>
      </c>
      <c r="D157">
        <v>7.8411717646384396E-2</v>
      </c>
      <c r="E157">
        <v>0.26040301839642299</v>
      </c>
      <c r="F157" t="s">
        <v>33</v>
      </c>
      <c r="G157">
        <v>19</v>
      </c>
      <c r="H157">
        <v>-9.0098509105524902E-2</v>
      </c>
      <c r="I157" t="s">
        <v>34</v>
      </c>
      <c r="J157" t="b">
        <v>0</v>
      </c>
      <c r="K157">
        <v>-36.079341176189097</v>
      </c>
      <c r="L157">
        <v>-35.279341176189099</v>
      </c>
      <c r="M157">
        <v>3.3970232692962901</v>
      </c>
      <c r="N157" t="s">
        <v>25</v>
      </c>
      <c r="O157" t="s">
        <v>25</v>
      </c>
      <c r="P157" t="s">
        <v>123</v>
      </c>
      <c r="Q157">
        <f>-0.241451731947726 - 0.0612547137366761</f>
        <v>-0.30270644568440208</v>
      </c>
      <c r="R157" t="s">
        <v>31</v>
      </c>
      <c r="S157" t="s">
        <v>35</v>
      </c>
      <c r="T157" t="s">
        <v>36</v>
      </c>
      <c r="U157" t="s">
        <v>309</v>
      </c>
      <c r="V157">
        <v>0.13175447448299199</v>
      </c>
      <c r="W157">
        <v>7.7221032062347497E-2</v>
      </c>
      <c r="X157" t="s">
        <v>108</v>
      </c>
      <c r="Y157" t="s">
        <v>29</v>
      </c>
    </row>
    <row r="158" spans="1:25" x14ac:dyDescent="0.2">
      <c r="A158" t="s">
        <v>104</v>
      </c>
      <c r="B158" t="s">
        <v>95</v>
      </c>
      <c r="C158" t="s">
        <v>105</v>
      </c>
      <c r="D158">
        <v>5.1138557911759995E-4</v>
      </c>
      <c r="E158">
        <v>0.92903000236563205</v>
      </c>
      <c r="F158" t="s">
        <v>33</v>
      </c>
      <c r="G158">
        <v>19</v>
      </c>
      <c r="H158">
        <v>-2.9152545860140002E-4</v>
      </c>
      <c r="I158" t="s">
        <v>40</v>
      </c>
      <c r="J158" t="b">
        <v>0</v>
      </c>
      <c r="K158">
        <v>-30.4626030491115</v>
      </c>
      <c r="L158">
        <v>-29.6626030491115</v>
      </c>
      <c r="M158">
        <v>8.8648451995720894</v>
      </c>
      <c r="N158" t="s">
        <v>25</v>
      </c>
      <c r="O158" t="s">
        <v>25</v>
      </c>
      <c r="P158" t="s">
        <v>125</v>
      </c>
      <c r="Q158">
        <f>-0.00660672757235218 - 0.00602367665514921</f>
        <v>-1.2630404227501391E-2</v>
      </c>
      <c r="R158" t="s">
        <v>32</v>
      </c>
      <c r="S158" t="s">
        <v>41</v>
      </c>
      <c r="T158" t="s">
        <v>25</v>
      </c>
      <c r="U158" t="s">
        <v>42</v>
      </c>
      <c r="V158">
        <v>0.12931699842548799</v>
      </c>
      <c r="W158">
        <v>3.2220418947706999E-3</v>
      </c>
      <c r="X158" t="s">
        <v>108</v>
      </c>
      <c r="Y158" t="s">
        <v>29</v>
      </c>
    </row>
    <row r="159" spans="1:25" x14ac:dyDescent="0.2">
      <c r="A159" t="s">
        <v>104</v>
      </c>
      <c r="B159" t="s">
        <v>87</v>
      </c>
      <c r="C159" t="s">
        <v>105</v>
      </c>
      <c r="D159">
        <v>0.31106659269799097</v>
      </c>
      <c r="E159">
        <v>2.0000896440195402E-2</v>
      </c>
      <c r="F159" t="s">
        <v>33</v>
      </c>
      <c r="G159">
        <v>16</v>
      </c>
      <c r="H159">
        <v>5.2655104865030004E-4</v>
      </c>
      <c r="I159" t="s">
        <v>40</v>
      </c>
      <c r="J159" t="b">
        <v>0</v>
      </c>
      <c r="K159">
        <v>-33.042166216183901</v>
      </c>
      <c r="L159">
        <v>-32.185023359040997</v>
      </c>
      <c r="M159">
        <v>3.6575776544946002</v>
      </c>
      <c r="N159" t="s">
        <v>25</v>
      </c>
      <c r="O159" t="s">
        <v>25</v>
      </c>
      <c r="P159" t="s">
        <v>214</v>
      </c>
      <c r="Q159" t="s">
        <v>270</v>
      </c>
      <c r="R159" t="s">
        <v>30</v>
      </c>
      <c r="S159" t="s">
        <v>41</v>
      </c>
      <c r="T159" t="s">
        <v>25</v>
      </c>
      <c r="U159" t="s">
        <v>42</v>
      </c>
      <c r="V159">
        <v>9.4110584812558004E-2</v>
      </c>
      <c r="W159">
        <v>2.023283728167E-4</v>
      </c>
      <c r="X159" t="s">
        <v>108</v>
      </c>
      <c r="Y159" t="s">
        <v>29</v>
      </c>
    </row>
    <row r="160" spans="1:25" x14ac:dyDescent="0.2">
      <c r="A160" t="s">
        <v>104</v>
      </c>
      <c r="B160" t="s">
        <v>59</v>
      </c>
      <c r="C160" t="s">
        <v>105</v>
      </c>
      <c r="D160">
        <v>7.9113869058989594E-2</v>
      </c>
      <c r="E160">
        <v>0.25818961031396098</v>
      </c>
      <c r="F160" t="s">
        <v>33</v>
      </c>
      <c r="G160">
        <v>12</v>
      </c>
      <c r="H160">
        <v>-1.4954666921941E-3</v>
      </c>
      <c r="I160" t="s">
        <v>37</v>
      </c>
      <c r="J160" t="b">
        <v>0</v>
      </c>
      <c r="K160">
        <v>-31.936935714837102</v>
      </c>
      <c r="L160">
        <v>-31.136935714837101</v>
      </c>
      <c r="M160">
        <v>8.0785811289250997</v>
      </c>
      <c r="N160" t="s">
        <v>25</v>
      </c>
      <c r="O160" t="s">
        <v>25</v>
      </c>
      <c r="P160" t="s">
        <v>212</v>
      </c>
      <c r="Q160">
        <f>-0.00399552120685167 - 0.00100458782246329</f>
        <v>-5.0001090293149593E-3</v>
      </c>
      <c r="R160" t="s">
        <v>26</v>
      </c>
      <c r="S160" t="s">
        <v>38</v>
      </c>
      <c r="T160" t="s">
        <v>39</v>
      </c>
      <c r="U160" t="s">
        <v>310</v>
      </c>
      <c r="V160">
        <v>0.13517509045409401</v>
      </c>
      <c r="W160">
        <v>1.2755380176823E-3</v>
      </c>
      <c r="X160" t="s">
        <v>108</v>
      </c>
      <c r="Y160" t="s">
        <v>29</v>
      </c>
    </row>
    <row r="161" spans="1:25" x14ac:dyDescent="0.2">
      <c r="A161" t="s">
        <v>104</v>
      </c>
      <c r="B161" t="s">
        <v>75</v>
      </c>
      <c r="C161" t="s">
        <v>105</v>
      </c>
      <c r="D161">
        <v>4.1028682664082999E-3</v>
      </c>
      <c r="E161">
        <v>0.80065031729835301</v>
      </c>
      <c r="F161" t="s">
        <v>33</v>
      </c>
      <c r="G161">
        <v>17</v>
      </c>
      <c r="H161" s="1">
        <v>8.3921227635124805E-5</v>
      </c>
      <c r="I161" t="s">
        <v>40</v>
      </c>
      <c r="J161" t="b">
        <v>0</v>
      </c>
      <c r="K161">
        <v>-30.527399300469</v>
      </c>
      <c r="L161">
        <v>-29.727399300468999</v>
      </c>
      <c r="M161">
        <v>9.2139488318602005</v>
      </c>
      <c r="N161" t="s">
        <v>25</v>
      </c>
      <c r="O161" t="s">
        <v>25</v>
      </c>
      <c r="P161" t="s">
        <v>224</v>
      </c>
      <c r="Q161">
        <f>-0.000556744308999185 - 0.000724586764269435</f>
        <v>-1.28133107326862E-3</v>
      </c>
      <c r="R161" t="s">
        <v>32</v>
      </c>
      <c r="S161" t="s">
        <v>41</v>
      </c>
      <c r="T161" t="s">
        <v>25</v>
      </c>
      <c r="U161" t="s">
        <v>42</v>
      </c>
      <c r="V161">
        <v>0.12502373606802999</v>
      </c>
      <c r="W161">
        <v>3.268701717521E-4</v>
      </c>
      <c r="X161" t="s">
        <v>108</v>
      </c>
      <c r="Y161" t="s">
        <v>29</v>
      </c>
    </row>
    <row r="162" spans="1:25" x14ac:dyDescent="0.2">
      <c r="A162" t="s">
        <v>104</v>
      </c>
      <c r="B162" t="s">
        <v>69</v>
      </c>
      <c r="C162" t="s">
        <v>105</v>
      </c>
      <c r="D162">
        <v>0.12921862401439499</v>
      </c>
      <c r="E162">
        <v>0.14289008163089401</v>
      </c>
      <c r="F162" t="s">
        <v>33</v>
      </c>
      <c r="G162">
        <v>7</v>
      </c>
      <c r="H162">
        <v>4.8109672893840001E-4</v>
      </c>
      <c r="I162" t="s">
        <v>40</v>
      </c>
      <c r="J162" t="b">
        <v>0</v>
      </c>
      <c r="K162">
        <v>-32.943953821995898</v>
      </c>
      <c r="L162">
        <v>-32.1439538219959</v>
      </c>
      <c r="M162">
        <v>12.3778724721238</v>
      </c>
      <c r="N162" t="s">
        <v>25</v>
      </c>
      <c r="O162" t="s">
        <v>25</v>
      </c>
      <c r="P162" t="s">
        <v>120</v>
      </c>
      <c r="Q162">
        <f>-0.000130859689195968 - 0.00109305314707283</f>
        <v>-1.2239128362687979E-3</v>
      </c>
      <c r="R162" t="s">
        <v>26</v>
      </c>
      <c r="S162" t="s">
        <v>41</v>
      </c>
      <c r="T162" t="s">
        <v>25</v>
      </c>
      <c r="U162" t="s">
        <v>42</v>
      </c>
      <c r="V162">
        <v>9.1486487360558602E-2</v>
      </c>
      <c r="W162">
        <v>3.122226623134E-4</v>
      </c>
      <c r="X162" t="s">
        <v>108</v>
      </c>
      <c r="Y162" t="s">
        <v>29</v>
      </c>
    </row>
    <row r="163" spans="1:25" x14ac:dyDescent="0.2">
      <c r="A163" t="s">
        <v>104</v>
      </c>
      <c r="B163" t="s">
        <v>87</v>
      </c>
      <c r="C163" t="s">
        <v>105</v>
      </c>
      <c r="D163">
        <v>0.21789764643263601</v>
      </c>
      <c r="E163">
        <v>5.8893245239343403E-2</v>
      </c>
      <c r="F163" t="s">
        <v>33</v>
      </c>
      <c r="G163">
        <v>16</v>
      </c>
      <c r="H163">
        <v>4.4160629889409999E-4</v>
      </c>
      <c r="I163" t="s">
        <v>34</v>
      </c>
      <c r="J163" t="b">
        <v>0</v>
      </c>
      <c r="K163">
        <v>-33.126839693194903</v>
      </c>
      <c r="L163">
        <v>-32.269696836051999</v>
      </c>
      <c r="M163">
        <v>3.5729041774836001</v>
      </c>
      <c r="N163" t="s">
        <v>25</v>
      </c>
      <c r="O163" t="s">
        <v>25</v>
      </c>
      <c r="P163" t="s">
        <v>214</v>
      </c>
      <c r="Q163" t="s">
        <v>311</v>
      </c>
      <c r="R163" t="s">
        <v>30</v>
      </c>
      <c r="S163" t="s">
        <v>35</v>
      </c>
      <c r="T163" t="s">
        <v>36</v>
      </c>
      <c r="U163" t="s">
        <v>312</v>
      </c>
      <c r="V163">
        <v>9.8152156351281106E-2</v>
      </c>
      <c r="W163">
        <v>2.1602059431260001E-4</v>
      </c>
      <c r="X163" t="s">
        <v>108</v>
      </c>
      <c r="Y163" t="s">
        <v>29</v>
      </c>
    </row>
    <row r="164" spans="1:25" x14ac:dyDescent="0.2">
      <c r="A164" t="s">
        <v>104</v>
      </c>
      <c r="B164" t="s">
        <v>46</v>
      </c>
      <c r="C164" t="s">
        <v>105</v>
      </c>
      <c r="D164">
        <v>1.1045528078019E-3</v>
      </c>
      <c r="E164">
        <v>0.89584183467493494</v>
      </c>
      <c r="F164" t="s">
        <v>33</v>
      </c>
      <c r="G164">
        <v>19</v>
      </c>
      <c r="H164">
        <v>-8.7900777208114993E-3</v>
      </c>
      <c r="I164" t="s">
        <v>40</v>
      </c>
      <c r="J164" t="b">
        <v>0</v>
      </c>
      <c r="K164">
        <v>-30.473288693212599</v>
      </c>
      <c r="L164">
        <v>-29.673288693212601</v>
      </c>
      <c r="M164">
        <v>9.0030757522727907</v>
      </c>
      <c r="N164" t="s">
        <v>25</v>
      </c>
      <c r="O164" t="s">
        <v>25</v>
      </c>
      <c r="P164" t="s">
        <v>123</v>
      </c>
      <c r="Q164">
        <f>-0.138315664959114 - 0.120735509517491</f>
        <v>-0.25905117447660497</v>
      </c>
      <c r="R164" t="s">
        <v>31</v>
      </c>
      <c r="S164" t="s">
        <v>41</v>
      </c>
      <c r="T164" t="s">
        <v>25</v>
      </c>
      <c r="U164" t="s">
        <v>42</v>
      </c>
      <c r="V164">
        <v>0.12740384327301699</v>
      </c>
      <c r="W164">
        <v>6.60844832848482E-2</v>
      </c>
      <c r="X164" t="s">
        <v>108</v>
      </c>
      <c r="Y164" t="s">
        <v>29</v>
      </c>
    </row>
    <row r="165" spans="1:25" x14ac:dyDescent="0.2">
      <c r="A165" t="s">
        <v>104</v>
      </c>
      <c r="B165" t="s">
        <v>72</v>
      </c>
      <c r="C165" t="s">
        <v>105</v>
      </c>
      <c r="D165">
        <v>5.9675209241671801E-2</v>
      </c>
      <c r="E165">
        <v>0.32861030952894199</v>
      </c>
      <c r="F165" t="s">
        <v>33</v>
      </c>
      <c r="G165">
        <v>13</v>
      </c>
      <c r="H165">
        <v>-0.165070096869598</v>
      </c>
      <c r="I165" t="s">
        <v>34</v>
      </c>
      <c r="J165" t="b">
        <v>0</v>
      </c>
      <c r="K165">
        <v>-35.8586085591919</v>
      </c>
      <c r="L165">
        <v>-35.058608559191903</v>
      </c>
      <c r="M165">
        <v>2.4221784596498899</v>
      </c>
      <c r="N165" t="s">
        <v>25</v>
      </c>
      <c r="O165" t="s">
        <v>25</v>
      </c>
      <c r="P165" t="s">
        <v>109</v>
      </c>
      <c r="Q165">
        <f>-0.486145069311745 - 0.156004875572549</f>
        <v>-0.642149944884294</v>
      </c>
      <c r="R165" t="s">
        <v>26</v>
      </c>
      <c r="S165" t="s">
        <v>35</v>
      </c>
      <c r="T165" t="s">
        <v>36</v>
      </c>
      <c r="U165" t="s">
        <v>313</v>
      </c>
      <c r="V165">
        <v>0.12890817878626601</v>
      </c>
      <c r="W165">
        <v>0.16381376145007501</v>
      </c>
      <c r="X165" t="s">
        <v>108</v>
      </c>
      <c r="Y165" t="s">
        <v>29</v>
      </c>
    </row>
    <row r="166" spans="1:25" x14ac:dyDescent="0.2">
      <c r="A166" t="s">
        <v>104</v>
      </c>
      <c r="B166" t="s">
        <v>52</v>
      </c>
      <c r="C166" t="s">
        <v>105</v>
      </c>
      <c r="D166">
        <v>0.14139864127066001</v>
      </c>
      <c r="E166">
        <v>0.124069930166838</v>
      </c>
      <c r="F166" t="s">
        <v>33</v>
      </c>
      <c r="G166">
        <v>5</v>
      </c>
      <c r="H166">
        <v>-5.2517228094242996E-3</v>
      </c>
      <c r="I166" t="s">
        <v>34</v>
      </c>
      <c r="J166" t="b">
        <v>0</v>
      </c>
      <c r="K166">
        <v>-37.034117815345098</v>
      </c>
      <c r="L166">
        <v>-36.234117815345101</v>
      </c>
      <c r="M166">
        <v>2.5760735934225898</v>
      </c>
      <c r="N166" t="s">
        <v>25</v>
      </c>
      <c r="O166" t="s">
        <v>25</v>
      </c>
      <c r="P166" t="s">
        <v>197</v>
      </c>
      <c r="Q166">
        <f>-0.0115929168555288 - 0.00108947123668015</f>
        <v>-1.268238809220895E-2</v>
      </c>
      <c r="R166" t="s">
        <v>26</v>
      </c>
      <c r="S166" t="s">
        <v>35</v>
      </c>
      <c r="T166" t="s">
        <v>36</v>
      </c>
      <c r="U166" t="s">
        <v>314</v>
      </c>
      <c r="V166">
        <v>0.139220535269585</v>
      </c>
      <c r="W166">
        <v>3.2353030847471001E-3</v>
      </c>
      <c r="X166" t="s">
        <v>108</v>
      </c>
      <c r="Y166" t="s">
        <v>29</v>
      </c>
    </row>
    <row r="167" spans="1:25" x14ac:dyDescent="0.2">
      <c r="A167" t="s">
        <v>104</v>
      </c>
      <c r="B167" t="s">
        <v>58</v>
      </c>
      <c r="C167" t="s">
        <v>105</v>
      </c>
      <c r="D167">
        <v>0.120458937750015</v>
      </c>
      <c r="E167">
        <v>0.15821332921168599</v>
      </c>
      <c r="F167" t="s">
        <v>33</v>
      </c>
      <c r="G167">
        <v>15</v>
      </c>
      <c r="H167">
        <v>-1.7745873957787999E-3</v>
      </c>
      <c r="I167" t="s">
        <v>34</v>
      </c>
      <c r="J167" t="b">
        <v>0</v>
      </c>
      <c r="K167">
        <v>-37.042277808498703</v>
      </c>
      <c r="L167">
        <v>-36.242277808498699</v>
      </c>
      <c r="M167">
        <v>5.82607150992669</v>
      </c>
      <c r="N167" t="s">
        <v>25</v>
      </c>
      <c r="O167" t="s">
        <v>25</v>
      </c>
      <c r="P167" t="s">
        <v>203</v>
      </c>
      <c r="Q167">
        <f>-0.00412423113405298 - 0.000575056342495364</f>
        <v>-4.6992874765483441E-3</v>
      </c>
      <c r="R167" t="s">
        <v>32</v>
      </c>
      <c r="S167" t="s">
        <v>35</v>
      </c>
      <c r="T167" t="s">
        <v>36</v>
      </c>
      <c r="U167" t="s">
        <v>315</v>
      </c>
      <c r="V167">
        <v>0.156114276425808</v>
      </c>
      <c r="W167">
        <v>1.1987978256499999E-3</v>
      </c>
      <c r="X167" t="s">
        <v>108</v>
      </c>
      <c r="Y167" t="s">
        <v>29</v>
      </c>
    </row>
    <row r="168" spans="1:25" x14ac:dyDescent="0.2">
      <c r="A168" t="s">
        <v>104</v>
      </c>
      <c r="B168" t="s">
        <v>67</v>
      </c>
      <c r="C168" t="s">
        <v>105</v>
      </c>
      <c r="D168">
        <v>1.0258534934733599E-2</v>
      </c>
      <c r="E168">
        <v>0.68923396653528701</v>
      </c>
      <c r="F168" t="s">
        <v>33</v>
      </c>
      <c r="G168">
        <v>19</v>
      </c>
      <c r="H168">
        <v>-3.2978821901271998E-3</v>
      </c>
      <c r="I168" t="s">
        <v>37</v>
      </c>
      <c r="J168" t="b">
        <v>0</v>
      </c>
      <c r="K168">
        <v>-30.639003048671601</v>
      </c>
      <c r="L168">
        <v>-29.8390030486716</v>
      </c>
      <c r="M168">
        <v>14.5465906009804</v>
      </c>
      <c r="N168" t="s">
        <v>25</v>
      </c>
      <c r="O168" t="s">
        <v>25</v>
      </c>
      <c r="P168" t="s">
        <v>222</v>
      </c>
      <c r="Q168">
        <f>-0.0191705317959811 - 0.0125747674157266</f>
        <v>-3.1745299211707698E-2</v>
      </c>
      <c r="R168" t="s">
        <v>31</v>
      </c>
      <c r="S168" t="s">
        <v>38</v>
      </c>
      <c r="T168" t="s">
        <v>39</v>
      </c>
      <c r="U168" t="s">
        <v>316</v>
      </c>
      <c r="V168">
        <v>0.13852330795887499</v>
      </c>
      <c r="W168">
        <v>8.0982906152315005E-3</v>
      </c>
      <c r="X168" t="s">
        <v>108</v>
      </c>
      <c r="Y168" t="s">
        <v>29</v>
      </c>
    </row>
    <row r="169" spans="1:25" x14ac:dyDescent="0.2">
      <c r="A169" t="s">
        <v>104</v>
      </c>
      <c r="B169" t="s">
        <v>77</v>
      </c>
      <c r="C169" t="s">
        <v>105</v>
      </c>
      <c r="D169">
        <v>0.18185934270422099</v>
      </c>
      <c r="E169">
        <v>8.78217969113817E-2</v>
      </c>
      <c r="F169" t="s">
        <v>33</v>
      </c>
      <c r="G169">
        <v>18</v>
      </c>
      <c r="H169">
        <v>-7.5737663455674002E-3</v>
      </c>
      <c r="I169" t="s">
        <v>37</v>
      </c>
      <c r="J169" t="b">
        <v>0</v>
      </c>
      <c r="K169">
        <v>-30.120042006502299</v>
      </c>
      <c r="L169">
        <v>-29.262899149359502</v>
      </c>
      <c r="M169">
        <v>10.167750642209899</v>
      </c>
      <c r="N169" t="s">
        <v>25</v>
      </c>
      <c r="O169" t="s">
        <v>25</v>
      </c>
      <c r="P169" t="s">
        <v>187</v>
      </c>
      <c r="Q169">
        <f>-0.0157033541068714 - 0.000555821415736483</f>
        <v>-1.6259175522607881E-2</v>
      </c>
      <c r="R169" t="s">
        <v>30</v>
      </c>
      <c r="S169" t="s">
        <v>38</v>
      </c>
      <c r="T169" t="s">
        <v>39</v>
      </c>
      <c r="U169" t="s">
        <v>317</v>
      </c>
      <c r="V169">
        <v>0.156005353564069</v>
      </c>
      <c r="W169">
        <v>4.1477488578081003E-3</v>
      </c>
      <c r="X169" t="s">
        <v>108</v>
      </c>
      <c r="Y169" t="s">
        <v>29</v>
      </c>
    </row>
    <row r="170" spans="1:25" x14ac:dyDescent="0.2">
      <c r="A170" t="s">
        <v>104</v>
      </c>
      <c r="B170" t="s">
        <v>55</v>
      </c>
      <c r="C170" t="s">
        <v>105</v>
      </c>
      <c r="D170">
        <v>0.240156881328843</v>
      </c>
      <c r="E170">
        <v>3.8966835536767198E-2</v>
      </c>
      <c r="F170" t="s">
        <v>33</v>
      </c>
      <c r="G170">
        <v>18</v>
      </c>
      <c r="H170">
        <v>-3.7029321511046001E-3</v>
      </c>
      <c r="I170" t="s">
        <v>37</v>
      </c>
      <c r="J170" t="b">
        <v>0</v>
      </c>
      <c r="K170">
        <v>-35.396974970845498</v>
      </c>
      <c r="L170">
        <v>-34.596974970845501</v>
      </c>
      <c r="M170">
        <v>10.194866470879401</v>
      </c>
      <c r="N170" t="s">
        <v>25</v>
      </c>
      <c r="O170" t="s">
        <v>25</v>
      </c>
      <c r="P170" t="s">
        <v>133</v>
      </c>
      <c r="Q170">
        <f>-0.00693035808422667 - -0.000475506217982612</f>
        <v>-6.4548518662440584E-3</v>
      </c>
      <c r="R170" t="s">
        <v>32</v>
      </c>
      <c r="S170" t="s">
        <v>38</v>
      </c>
      <c r="T170" t="s">
        <v>39</v>
      </c>
      <c r="U170" t="s">
        <v>318</v>
      </c>
      <c r="V170">
        <v>0.147612691958069</v>
      </c>
      <c r="W170">
        <v>1.6466458842459E-3</v>
      </c>
      <c r="X170" t="s">
        <v>108</v>
      </c>
      <c r="Y170" t="s">
        <v>29</v>
      </c>
    </row>
    <row r="171" spans="1:25" x14ac:dyDescent="0.2">
      <c r="A171" t="s">
        <v>104</v>
      </c>
      <c r="B171" t="s">
        <v>48</v>
      </c>
      <c r="C171" t="s">
        <v>105</v>
      </c>
      <c r="D171">
        <v>5.3304954389128703E-2</v>
      </c>
      <c r="E171">
        <v>0.35665744729580401</v>
      </c>
      <c r="F171" t="s">
        <v>33</v>
      </c>
      <c r="G171">
        <v>4</v>
      </c>
      <c r="H171">
        <v>-2.5207323620194001E-3</v>
      </c>
      <c r="I171" t="s">
        <v>34</v>
      </c>
      <c r="J171" t="b">
        <v>0</v>
      </c>
      <c r="K171">
        <v>-35.699558037693599</v>
      </c>
      <c r="L171">
        <v>-34.899558037693602</v>
      </c>
      <c r="M171">
        <v>4.3644328839740902</v>
      </c>
      <c r="N171" t="s">
        <v>25</v>
      </c>
      <c r="O171" t="s">
        <v>25</v>
      </c>
      <c r="P171" t="s">
        <v>129</v>
      </c>
      <c r="Q171">
        <f>-0.00772601218634471 - 0.00268454746230574</f>
        <v>-1.0410559648650449E-2</v>
      </c>
      <c r="R171" t="s">
        <v>32</v>
      </c>
      <c r="S171" t="s">
        <v>35</v>
      </c>
      <c r="T171" t="s">
        <v>36</v>
      </c>
      <c r="U171" t="s">
        <v>319</v>
      </c>
      <c r="V171">
        <v>0.13063369400741701</v>
      </c>
      <c r="W171">
        <v>2.6557550124107999E-3</v>
      </c>
      <c r="X171" t="s">
        <v>108</v>
      </c>
      <c r="Y171" t="s">
        <v>29</v>
      </c>
    </row>
    <row r="172" spans="1:25" x14ac:dyDescent="0.2">
      <c r="A172" t="s">
        <v>104</v>
      </c>
      <c r="B172" t="s">
        <v>52</v>
      </c>
      <c r="C172" t="s">
        <v>105</v>
      </c>
      <c r="D172">
        <v>0.236825799926559</v>
      </c>
      <c r="E172">
        <v>4.05582613360915E-2</v>
      </c>
      <c r="F172" t="s">
        <v>33</v>
      </c>
      <c r="G172">
        <v>5</v>
      </c>
      <c r="H172">
        <v>-6.1875358137228002E-3</v>
      </c>
      <c r="I172" t="s">
        <v>40</v>
      </c>
      <c r="J172" t="b">
        <v>0</v>
      </c>
      <c r="K172">
        <v>-35.318237112631898</v>
      </c>
      <c r="L172">
        <v>-34.518237112632001</v>
      </c>
      <c r="M172">
        <v>4.2919542961356996</v>
      </c>
      <c r="N172" t="s">
        <v>25</v>
      </c>
      <c r="O172" t="s">
        <v>25</v>
      </c>
      <c r="P172" t="s">
        <v>197</v>
      </c>
      <c r="Q172">
        <f>-0.0116301949902922 - -0.000744876637153421</f>
        <v>-1.088531835313878E-2</v>
      </c>
      <c r="R172" t="s">
        <v>26</v>
      </c>
      <c r="S172" t="s">
        <v>41</v>
      </c>
      <c r="T172" t="s">
        <v>25</v>
      </c>
      <c r="U172" t="s">
        <v>42</v>
      </c>
      <c r="V172">
        <v>0.142455742751914</v>
      </c>
      <c r="W172">
        <v>2.7768669268211001E-3</v>
      </c>
      <c r="X172" t="s">
        <v>108</v>
      </c>
      <c r="Y172" t="s">
        <v>29</v>
      </c>
    </row>
    <row r="173" spans="1:25" x14ac:dyDescent="0.2">
      <c r="A173" t="s">
        <v>104</v>
      </c>
      <c r="B173" t="s">
        <v>55</v>
      </c>
      <c r="C173" t="s">
        <v>105</v>
      </c>
      <c r="D173">
        <v>0.240156881328843</v>
      </c>
      <c r="E173">
        <v>3.8966835536767198E-2</v>
      </c>
      <c r="F173" t="s">
        <v>33</v>
      </c>
      <c r="G173">
        <v>18</v>
      </c>
      <c r="H173">
        <v>-3.7029321511046001E-3</v>
      </c>
      <c r="I173" t="s">
        <v>40</v>
      </c>
      <c r="J173" t="b">
        <v>0</v>
      </c>
      <c r="K173">
        <v>-35.396974970845498</v>
      </c>
      <c r="L173">
        <v>-34.596974970845501</v>
      </c>
      <c r="M173">
        <v>10.194866470879401</v>
      </c>
      <c r="N173" t="s">
        <v>25</v>
      </c>
      <c r="O173" t="s">
        <v>25</v>
      </c>
      <c r="P173" t="s">
        <v>133</v>
      </c>
      <c r="Q173">
        <f>-0.00693035808422667 - -0.000475506217982612</f>
        <v>-6.4548518662440584E-3</v>
      </c>
      <c r="R173" t="s">
        <v>32</v>
      </c>
      <c r="S173" t="s">
        <v>41</v>
      </c>
      <c r="T173" t="s">
        <v>25</v>
      </c>
      <c r="U173" t="s">
        <v>42</v>
      </c>
      <c r="V173">
        <v>0.147612691958069</v>
      </c>
      <c r="W173">
        <v>1.6466458842459E-3</v>
      </c>
      <c r="X173" t="s">
        <v>108</v>
      </c>
      <c r="Y173" t="s">
        <v>29</v>
      </c>
    </row>
    <row r="174" spans="1:25" x14ac:dyDescent="0.2">
      <c r="A174" t="s">
        <v>104</v>
      </c>
      <c r="B174" t="s">
        <v>51</v>
      </c>
      <c r="C174" t="s">
        <v>105</v>
      </c>
      <c r="D174">
        <v>2.0231144861376999E-3</v>
      </c>
      <c r="E174">
        <v>0.85933652992683696</v>
      </c>
      <c r="F174" t="s">
        <v>33</v>
      </c>
      <c r="G174">
        <v>16</v>
      </c>
      <c r="H174" s="1">
        <v>-6.7470407632790305E-5</v>
      </c>
      <c r="I174" t="s">
        <v>37</v>
      </c>
      <c r="J174" t="b">
        <v>0</v>
      </c>
      <c r="K174">
        <v>-30.489848701687301</v>
      </c>
      <c r="L174">
        <v>-29.6898487016873</v>
      </c>
      <c r="M174">
        <v>7.7512615661256001</v>
      </c>
      <c r="N174" t="s">
        <v>25</v>
      </c>
      <c r="O174" t="s">
        <v>25</v>
      </c>
      <c r="P174" t="s">
        <v>113</v>
      </c>
      <c r="Q174">
        <f>-0.000801746563222435 - 0.000666805747956854</f>
        <v>-1.4685523111792891E-3</v>
      </c>
      <c r="R174" t="s">
        <v>31</v>
      </c>
      <c r="S174" t="s">
        <v>38</v>
      </c>
      <c r="T174" t="s">
        <v>39</v>
      </c>
      <c r="U174" t="s">
        <v>320</v>
      </c>
      <c r="V174">
        <v>0.12727998309514901</v>
      </c>
      <c r="W174">
        <v>3.7463069162730001E-4</v>
      </c>
      <c r="X174" t="s">
        <v>108</v>
      </c>
      <c r="Y174" t="s">
        <v>29</v>
      </c>
    </row>
    <row r="175" spans="1:25" x14ac:dyDescent="0.2">
      <c r="A175" t="s">
        <v>104</v>
      </c>
      <c r="B175" t="s">
        <v>74</v>
      </c>
      <c r="C175" t="s">
        <v>105</v>
      </c>
      <c r="D175">
        <v>6.7394514843870004E-4</v>
      </c>
      <c r="E175">
        <v>0.91855803918602197</v>
      </c>
      <c r="F175" t="s">
        <v>33</v>
      </c>
      <c r="G175">
        <v>19</v>
      </c>
      <c r="H175" s="1">
        <v>2.82580405313483E-5</v>
      </c>
      <c r="I175" t="s">
        <v>34</v>
      </c>
      <c r="J175" t="b">
        <v>0</v>
      </c>
      <c r="K175">
        <v>-34.785071378162002</v>
      </c>
      <c r="L175">
        <v>-33.985071378161997</v>
      </c>
      <c r="M175">
        <v>3.9089746464916</v>
      </c>
      <c r="N175" t="s">
        <v>25</v>
      </c>
      <c r="O175" t="s">
        <v>25</v>
      </c>
      <c r="P175" t="s">
        <v>170</v>
      </c>
      <c r="Q175">
        <f>-0.00050492883841394 - 0.000561444919476637</f>
        <v>-1.0663737578905769E-3</v>
      </c>
      <c r="R175" t="s">
        <v>32</v>
      </c>
      <c r="S175" t="s">
        <v>35</v>
      </c>
      <c r="T175" t="s">
        <v>36</v>
      </c>
      <c r="U175" t="s">
        <v>321</v>
      </c>
      <c r="V175">
        <v>0.125284580942331</v>
      </c>
      <c r="W175">
        <v>2.7203412191080002E-4</v>
      </c>
      <c r="X175" t="s">
        <v>108</v>
      </c>
      <c r="Y175" t="s">
        <v>29</v>
      </c>
    </row>
    <row r="176" spans="1:25" x14ac:dyDescent="0.2">
      <c r="A176" t="s">
        <v>104</v>
      </c>
      <c r="B176" t="s">
        <v>47</v>
      </c>
      <c r="C176" t="s">
        <v>105</v>
      </c>
      <c r="D176">
        <v>0.336243189856332</v>
      </c>
      <c r="E176">
        <v>1.1653915965970501E-2</v>
      </c>
      <c r="F176" t="s">
        <v>33</v>
      </c>
      <c r="G176">
        <v>18</v>
      </c>
      <c r="H176">
        <v>-2.363956469035E-3</v>
      </c>
      <c r="I176" t="s">
        <v>40</v>
      </c>
      <c r="J176" t="b">
        <v>0</v>
      </c>
      <c r="K176">
        <v>-37.830505789000703</v>
      </c>
      <c r="L176">
        <v>-37.030505789000699</v>
      </c>
      <c r="M176">
        <v>12.2158845329109</v>
      </c>
      <c r="N176" t="s">
        <v>25</v>
      </c>
      <c r="O176" t="s">
        <v>25</v>
      </c>
      <c r="P176" t="s">
        <v>191</v>
      </c>
      <c r="Q176">
        <f>-0.00399142762972728 - -0.000736485308342898</f>
        <v>-3.2549423213843825E-3</v>
      </c>
      <c r="R176" t="s">
        <v>31</v>
      </c>
      <c r="S176" t="s">
        <v>41</v>
      </c>
      <c r="T176" t="s">
        <v>25</v>
      </c>
      <c r="U176" t="s">
        <v>42</v>
      </c>
      <c r="V176">
        <v>0.162125350962597</v>
      </c>
      <c r="W176">
        <v>8.3034242892449995E-4</v>
      </c>
      <c r="X176" t="s">
        <v>108</v>
      </c>
      <c r="Y176" t="s">
        <v>29</v>
      </c>
    </row>
    <row r="177" spans="1:25" x14ac:dyDescent="0.2">
      <c r="A177" t="s">
        <v>104</v>
      </c>
      <c r="B177" t="s">
        <v>64</v>
      </c>
      <c r="C177" t="s">
        <v>105</v>
      </c>
      <c r="D177">
        <v>1.2558915076074E-3</v>
      </c>
      <c r="E177">
        <v>0.89258920563196398</v>
      </c>
      <c r="F177" t="s">
        <v>33</v>
      </c>
      <c r="G177">
        <v>17</v>
      </c>
      <c r="H177">
        <v>8.5646025345260002E-4</v>
      </c>
      <c r="I177" t="s">
        <v>34</v>
      </c>
      <c r="J177" t="b">
        <v>0</v>
      </c>
      <c r="K177">
        <v>-31.842193711469999</v>
      </c>
      <c r="L177">
        <v>-30.985050854327199</v>
      </c>
      <c r="M177">
        <v>5.0830205449964003</v>
      </c>
      <c r="N177" t="s">
        <v>25</v>
      </c>
      <c r="O177" t="s">
        <v>25</v>
      </c>
      <c r="P177" t="s">
        <v>111</v>
      </c>
      <c r="Q177">
        <f>-0.0113662835356605 - 0.0130792040425658</f>
        <v>-2.4445487578226302E-2</v>
      </c>
      <c r="R177" t="s">
        <v>30</v>
      </c>
      <c r="S177" t="s">
        <v>35</v>
      </c>
      <c r="T177" t="s">
        <v>36</v>
      </c>
      <c r="U177" t="s">
        <v>322</v>
      </c>
      <c r="V177">
        <v>0.12525471391184001</v>
      </c>
      <c r="W177">
        <v>6.2360937699556997E-3</v>
      </c>
      <c r="X177" t="s">
        <v>108</v>
      </c>
      <c r="Y177" t="s">
        <v>29</v>
      </c>
    </row>
    <row r="178" spans="1:25" x14ac:dyDescent="0.2">
      <c r="A178" t="s">
        <v>104</v>
      </c>
      <c r="B178" t="s">
        <v>70</v>
      </c>
      <c r="C178" t="s">
        <v>105</v>
      </c>
      <c r="D178">
        <v>4.2539686888261E-2</v>
      </c>
      <c r="E178">
        <v>0.42706864400933497</v>
      </c>
      <c r="F178" t="s">
        <v>33</v>
      </c>
      <c r="G178">
        <v>12</v>
      </c>
      <c r="H178">
        <v>5.0469000698228003E-3</v>
      </c>
      <c r="I178" t="s">
        <v>34</v>
      </c>
      <c r="J178" t="b">
        <v>0</v>
      </c>
      <c r="K178">
        <v>-32.5599364572738</v>
      </c>
      <c r="L178">
        <v>-31.702793600130999</v>
      </c>
      <c r="M178">
        <v>4.5167689543891996</v>
      </c>
      <c r="N178" t="s">
        <v>25</v>
      </c>
      <c r="O178" t="s">
        <v>25</v>
      </c>
      <c r="P178" t="s">
        <v>135</v>
      </c>
      <c r="Q178">
        <f>-0.00707019160645401 - 0.0171639917460997</f>
        <v>-2.4234183352553708E-2</v>
      </c>
      <c r="R178" t="s">
        <v>30</v>
      </c>
      <c r="S178" t="s">
        <v>35</v>
      </c>
      <c r="T178" t="s">
        <v>36</v>
      </c>
      <c r="U178" t="s">
        <v>323</v>
      </c>
      <c r="V178">
        <v>0.122517548740704</v>
      </c>
      <c r="W178">
        <v>6.1821896307535E-3</v>
      </c>
      <c r="X178" t="s">
        <v>108</v>
      </c>
      <c r="Y178" t="s">
        <v>29</v>
      </c>
    </row>
    <row r="179" spans="1:25" x14ac:dyDescent="0.2">
      <c r="A179" t="s">
        <v>104</v>
      </c>
      <c r="B179" t="s">
        <v>99</v>
      </c>
      <c r="C179" t="s">
        <v>105</v>
      </c>
      <c r="D179">
        <v>0.111474015683933</v>
      </c>
      <c r="E179">
        <v>0.19028988612845299</v>
      </c>
      <c r="F179" t="s">
        <v>33</v>
      </c>
      <c r="G179">
        <v>19</v>
      </c>
      <c r="H179">
        <v>3.5459733479020002E-4</v>
      </c>
      <c r="I179" t="s">
        <v>37</v>
      </c>
      <c r="J179" t="b">
        <v>0</v>
      </c>
      <c r="K179">
        <v>-28.7170385036898</v>
      </c>
      <c r="L179">
        <v>-27.859895646546999</v>
      </c>
      <c r="M179">
        <v>17.9326838733591</v>
      </c>
      <c r="N179" t="s">
        <v>25</v>
      </c>
      <c r="O179" t="s">
        <v>25</v>
      </c>
      <c r="P179" t="s">
        <v>146</v>
      </c>
      <c r="Q179">
        <f>-0.000152036455806026 - 0.000861231125386456</f>
        <v>-1.0132675811924819E-3</v>
      </c>
      <c r="R179" t="s">
        <v>30</v>
      </c>
      <c r="S179" t="s">
        <v>38</v>
      </c>
      <c r="T179" t="s">
        <v>39</v>
      </c>
      <c r="U179" t="s">
        <v>324</v>
      </c>
      <c r="V179">
        <v>8.4761133506364106E-2</v>
      </c>
      <c r="W179">
        <v>2.5848662785520001E-4</v>
      </c>
      <c r="X179" t="s">
        <v>108</v>
      </c>
      <c r="Y179" t="s">
        <v>29</v>
      </c>
    </row>
    <row r="180" spans="1:25" x14ac:dyDescent="0.2">
      <c r="A180" t="s">
        <v>104</v>
      </c>
      <c r="B180" t="s">
        <v>59</v>
      </c>
      <c r="C180" t="s">
        <v>105</v>
      </c>
      <c r="D180">
        <v>7.9113869058989594E-2</v>
      </c>
      <c r="E180">
        <v>0.25818961031396098</v>
      </c>
      <c r="F180" t="s">
        <v>33</v>
      </c>
      <c r="G180">
        <v>12</v>
      </c>
      <c r="H180">
        <v>-1.4954666921941E-3</v>
      </c>
      <c r="I180" t="s">
        <v>40</v>
      </c>
      <c r="J180" t="b">
        <v>0</v>
      </c>
      <c r="K180">
        <v>-31.936935714837102</v>
      </c>
      <c r="L180">
        <v>-31.136935714837101</v>
      </c>
      <c r="M180">
        <v>8.0785811289250997</v>
      </c>
      <c r="N180" t="s">
        <v>25</v>
      </c>
      <c r="O180" t="s">
        <v>25</v>
      </c>
      <c r="P180" t="s">
        <v>212</v>
      </c>
      <c r="Q180">
        <f>-0.00399552120685167 - 0.00100458782246329</f>
        <v>-5.0001090293149593E-3</v>
      </c>
      <c r="R180" t="s">
        <v>26</v>
      </c>
      <c r="S180" t="s">
        <v>41</v>
      </c>
      <c r="T180" t="s">
        <v>25</v>
      </c>
      <c r="U180" t="s">
        <v>42</v>
      </c>
      <c r="V180">
        <v>0.13517509045409401</v>
      </c>
      <c r="W180">
        <v>1.2755380176823E-3</v>
      </c>
      <c r="X180" t="s">
        <v>108</v>
      </c>
      <c r="Y180" t="s">
        <v>29</v>
      </c>
    </row>
    <row r="181" spans="1:25" x14ac:dyDescent="0.2">
      <c r="A181" t="s">
        <v>104</v>
      </c>
      <c r="B181" t="s">
        <v>79</v>
      </c>
      <c r="C181" t="s">
        <v>105</v>
      </c>
      <c r="D181">
        <v>2.4679014932040201E-2</v>
      </c>
      <c r="E181">
        <v>0.53358949284242096</v>
      </c>
      <c r="F181" t="s">
        <v>33</v>
      </c>
      <c r="G181">
        <v>13</v>
      </c>
      <c r="H181">
        <v>2.206206139725E-4</v>
      </c>
      <c r="I181" t="s">
        <v>37</v>
      </c>
      <c r="J181" t="b">
        <v>0</v>
      </c>
      <c r="K181">
        <v>-30.903191395018499</v>
      </c>
      <c r="L181">
        <v>-30.103191395018499</v>
      </c>
      <c r="M181">
        <v>11.6593168196744</v>
      </c>
      <c r="N181" t="s">
        <v>25</v>
      </c>
      <c r="O181" t="s">
        <v>25</v>
      </c>
      <c r="P181" t="s">
        <v>151</v>
      </c>
      <c r="Q181">
        <f>-0.000458977308918776 - 0.000900218536863845</f>
        <v>-1.3591958457826209E-3</v>
      </c>
      <c r="R181" t="s">
        <v>31</v>
      </c>
      <c r="S181" t="s">
        <v>38</v>
      </c>
      <c r="T181" t="s">
        <v>39</v>
      </c>
      <c r="U181" t="s">
        <v>325</v>
      </c>
      <c r="V181">
        <v>0.11415062646740699</v>
      </c>
      <c r="W181">
        <v>3.4673363412819998E-4</v>
      </c>
      <c r="X181" t="s">
        <v>108</v>
      </c>
      <c r="Y181" t="s">
        <v>29</v>
      </c>
    </row>
    <row r="182" spans="1:25" x14ac:dyDescent="0.2">
      <c r="A182" t="s">
        <v>104</v>
      </c>
      <c r="B182" t="s">
        <v>63</v>
      </c>
      <c r="C182" t="s">
        <v>105</v>
      </c>
      <c r="D182">
        <v>0.29435093860754202</v>
      </c>
      <c r="E182">
        <v>2.00019284750859E-2</v>
      </c>
      <c r="F182" t="s">
        <v>33</v>
      </c>
      <c r="G182">
        <v>7</v>
      </c>
      <c r="H182">
        <v>3.835116704199E-4</v>
      </c>
      <c r="I182" t="s">
        <v>40</v>
      </c>
      <c r="J182" t="b">
        <v>0</v>
      </c>
      <c r="K182">
        <v>-36.728866168835197</v>
      </c>
      <c r="L182">
        <v>-35.928866168835199</v>
      </c>
      <c r="M182">
        <v>3.5323113038201002</v>
      </c>
      <c r="N182" t="s">
        <v>25</v>
      </c>
      <c r="O182" t="s">
        <v>25</v>
      </c>
      <c r="P182" t="s">
        <v>205</v>
      </c>
      <c r="Q182" t="s">
        <v>236</v>
      </c>
      <c r="R182" t="s">
        <v>26</v>
      </c>
      <c r="S182" t="s">
        <v>41</v>
      </c>
      <c r="T182" t="s">
        <v>25</v>
      </c>
      <c r="U182" t="s">
        <v>42</v>
      </c>
      <c r="V182">
        <v>0.101051158554099</v>
      </c>
      <c r="W182">
        <v>1.484500213936E-4</v>
      </c>
      <c r="X182" t="s">
        <v>108</v>
      </c>
      <c r="Y182" t="s">
        <v>29</v>
      </c>
    </row>
    <row r="183" spans="1:25" x14ac:dyDescent="0.2">
      <c r="A183" t="s">
        <v>104</v>
      </c>
      <c r="B183" t="s">
        <v>74</v>
      </c>
      <c r="C183" t="s">
        <v>105</v>
      </c>
      <c r="D183">
        <v>1.2143008400274999E-2</v>
      </c>
      <c r="E183">
        <v>0.66335540531049397</v>
      </c>
      <c r="F183" t="s">
        <v>33</v>
      </c>
      <c r="G183">
        <v>19</v>
      </c>
      <c r="H183" s="1">
        <v>-9.5226066565489394E-5</v>
      </c>
      <c r="I183" t="s">
        <v>40</v>
      </c>
      <c r="J183" t="b">
        <v>0</v>
      </c>
      <c r="K183">
        <v>-30.6733078212431</v>
      </c>
      <c r="L183">
        <v>-29.873307821243099</v>
      </c>
      <c r="M183">
        <v>8.0207382034104899</v>
      </c>
      <c r="N183" t="s">
        <v>25</v>
      </c>
      <c r="O183" t="s">
        <v>25</v>
      </c>
      <c r="P183" t="s">
        <v>170</v>
      </c>
      <c r="Q183">
        <f>-0.000516084289332088 - 0.000325632156201109</f>
        <v>-8.4171644553319698E-4</v>
      </c>
      <c r="R183" t="s">
        <v>32</v>
      </c>
      <c r="S183" t="s">
        <v>41</v>
      </c>
      <c r="T183" t="s">
        <v>25</v>
      </c>
      <c r="U183" t="s">
        <v>42</v>
      </c>
      <c r="V183">
        <v>0.130280110554363</v>
      </c>
      <c r="W183">
        <v>2.147235830441E-4</v>
      </c>
      <c r="X183" t="s">
        <v>108</v>
      </c>
      <c r="Y183" t="s">
        <v>29</v>
      </c>
    </row>
    <row r="184" spans="1:25" x14ac:dyDescent="0.2">
      <c r="A184" t="s">
        <v>104</v>
      </c>
      <c r="B184" t="s">
        <v>66</v>
      </c>
      <c r="C184" t="s">
        <v>105</v>
      </c>
      <c r="D184">
        <v>9.9631639725989901E-2</v>
      </c>
      <c r="E184">
        <v>0.21714280326278601</v>
      </c>
      <c r="F184" t="s">
        <v>33</v>
      </c>
      <c r="G184">
        <v>17</v>
      </c>
      <c r="H184">
        <v>-1.5210583810390001E-4</v>
      </c>
      <c r="I184" t="s">
        <v>34</v>
      </c>
      <c r="J184" t="b">
        <v>0</v>
      </c>
      <c r="K184">
        <v>-33.297478917560397</v>
      </c>
      <c r="L184">
        <v>-32.4403360604176</v>
      </c>
      <c r="M184">
        <v>4.5897503553316001</v>
      </c>
      <c r="N184" t="s">
        <v>25</v>
      </c>
      <c r="O184" t="s">
        <v>25</v>
      </c>
      <c r="P184" t="s">
        <v>177</v>
      </c>
      <c r="Q184">
        <f>-0.000383508206064565 - 0.0000792965298566388</f>
        <v>-4.6280473592120379E-4</v>
      </c>
      <c r="R184" t="s">
        <v>30</v>
      </c>
      <c r="S184" t="s">
        <v>35</v>
      </c>
      <c r="T184" t="s">
        <v>36</v>
      </c>
      <c r="U184" t="s">
        <v>326</v>
      </c>
      <c r="V184">
        <v>0.12840449975950899</v>
      </c>
      <c r="W184">
        <v>1.180624326329E-4</v>
      </c>
      <c r="X184" t="s">
        <v>108</v>
      </c>
      <c r="Y184" t="s">
        <v>29</v>
      </c>
    </row>
    <row r="185" spans="1:25" x14ac:dyDescent="0.2">
      <c r="A185" t="s">
        <v>104</v>
      </c>
      <c r="B185" t="s">
        <v>83</v>
      </c>
      <c r="C185" t="s">
        <v>105</v>
      </c>
      <c r="D185">
        <v>1.9488821320434901E-2</v>
      </c>
      <c r="E185">
        <v>0.580619897536653</v>
      </c>
      <c r="F185" t="s">
        <v>33</v>
      </c>
      <c r="G185">
        <v>8</v>
      </c>
      <c r="H185">
        <v>-1.5462891080069999E-4</v>
      </c>
      <c r="I185" t="s">
        <v>37</v>
      </c>
      <c r="J185" t="b">
        <v>0</v>
      </c>
      <c r="K185">
        <v>-30.807657937658</v>
      </c>
      <c r="L185">
        <v>-30.007657937657999</v>
      </c>
      <c r="M185">
        <v>7.7544807141921996</v>
      </c>
      <c r="N185" t="s">
        <v>25</v>
      </c>
      <c r="O185" t="s">
        <v>25</v>
      </c>
      <c r="P185" t="s">
        <v>195</v>
      </c>
      <c r="Q185">
        <f>-0.000692056879972401 - 0.00038279905837091</f>
        <v>-1.074855938343311E-3</v>
      </c>
      <c r="R185" t="s">
        <v>32</v>
      </c>
      <c r="S185" t="s">
        <v>38</v>
      </c>
      <c r="T185" t="s">
        <v>39</v>
      </c>
      <c r="U185" t="s">
        <v>327</v>
      </c>
      <c r="V185">
        <v>0.12885152155160301</v>
      </c>
      <c r="W185">
        <v>2.7419794345489998E-4</v>
      </c>
      <c r="X185" t="s">
        <v>108</v>
      </c>
      <c r="Y185" t="s">
        <v>29</v>
      </c>
    </row>
    <row r="186" spans="1:25" x14ac:dyDescent="0.2">
      <c r="A186" t="s">
        <v>104</v>
      </c>
      <c r="B186" t="s">
        <v>70</v>
      </c>
      <c r="C186" t="s">
        <v>105</v>
      </c>
      <c r="D186">
        <v>5.0591945483403698E-2</v>
      </c>
      <c r="E186">
        <v>0.385417996530176</v>
      </c>
      <c r="F186" t="s">
        <v>33</v>
      </c>
      <c r="G186">
        <v>12</v>
      </c>
      <c r="H186">
        <v>6.1818180939226999E-3</v>
      </c>
      <c r="I186" t="s">
        <v>40</v>
      </c>
      <c r="J186" t="b">
        <v>0</v>
      </c>
      <c r="K186">
        <v>-27.590366945160699</v>
      </c>
      <c r="L186">
        <v>-26.733224088017799</v>
      </c>
      <c r="M186">
        <v>9.4863384665023993</v>
      </c>
      <c r="N186" t="s">
        <v>25</v>
      </c>
      <c r="O186" t="s">
        <v>25</v>
      </c>
      <c r="P186" t="s">
        <v>135</v>
      </c>
      <c r="Q186">
        <f>-0.00737046387400191 - 0.0197341000618473</f>
        <v>-2.7104563935849209E-2</v>
      </c>
      <c r="R186" t="s">
        <v>30</v>
      </c>
      <c r="S186" t="s">
        <v>41</v>
      </c>
      <c r="T186" t="s">
        <v>25</v>
      </c>
      <c r="U186" t="s">
        <v>42</v>
      </c>
      <c r="V186">
        <v>0.123503765093679</v>
      </c>
      <c r="W186">
        <v>6.9144295754717004E-3</v>
      </c>
      <c r="X186" t="s">
        <v>108</v>
      </c>
      <c r="Y186" t="s">
        <v>29</v>
      </c>
    </row>
    <row r="187" spans="1:25" x14ac:dyDescent="0.2">
      <c r="A187" t="s">
        <v>104</v>
      </c>
      <c r="B187" t="s">
        <v>49</v>
      </c>
      <c r="C187" t="s">
        <v>105</v>
      </c>
      <c r="D187">
        <v>0.46383375329475401</v>
      </c>
      <c r="E187">
        <v>1.8604087112430001E-3</v>
      </c>
      <c r="F187" t="s">
        <v>33</v>
      </c>
      <c r="G187">
        <v>6</v>
      </c>
      <c r="H187">
        <v>7.3635806918420004E-4</v>
      </c>
      <c r="I187" t="s">
        <v>40</v>
      </c>
      <c r="J187" t="b">
        <v>0</v>
      </c>
      <c r="K187">
        <v>-41.672993830532299</v>
      </c>
      <c r="L187">
        <v>-40.872993830532302</v>
      </c>
      <c r="M187">
        <v>0.10503849865369801</v>
      </c>
      <c r="N187" t="s">
        <v>25</v>
      </c>
      <c r="O187" t="s">
        <v>25</v>
      </c>
      <c r="P187" t="s">
        <v>174</v>
      </c>
      <c r="Q187" t="s">
        <v>328</v>
      </c>
      <c r="R187" t="s">
        <v>26</v>
      </c>
      <c r="S187" t="s">
        <v>41</v>
      </c>
      <c r="T187" t="s">
        <v>25</v>
      </c>
      <c r="U187" t="s">
        <v>42</v>
      </c>
      <c r="V187">
        <v>0.123195539701506</v>
      </c>
      <c r="W187">
        <v>1.9792361726220001E-4</v>
      </c>
      <c r="X187" t="s">
        <v>108</v>
      </c>
      <c r="Y187" t="s">
        <v>29</v>
      </c>
    </row>
    <row r="188" spans="1:25" x14ac:dyDescent="0.2">
      <c r="A188" t="s">
        <v>104</v>
      </c>
      <c r="B188" t="s">
        <v>54</v>
      </c>
      <c r="C188" t="s">
        <v>105</v>
      </c>
      <c r="D188">
        <v>6.4746580711671003E-3</v>
      </c>
      <c r="E188">
        <v>0.75094637396995301</v>
      </c>
      <c r="F188" t="s">
        <v>33</v>
      </c>
      <c r="G188">
        <v>10</v>
      </c>
      <c r="H188">
        <v>4.7121277726344998E-3</v>
      </c>
      <c r="I188" t="s">
        <v>40</v>
      </c>
      <c r="J188" t="b">
        <v>0</v>
      </c>
      <c r="K188">
        <v>-30.5703185268049</v>
      </c>
      <c r="L188">
        <v>-29.7703185268049</v>
      </c>
      <c r="M188">
        <v>7.7132882569491903</v>
      </c>
      <c r="N188" t="s">
        <v>25</v>
      </c>
      <c r="O188" t="s">
        <v>25</v>
      </c>
      <c r="P188" t="s">
        <v>168</v>
      </c>
      <c r="Q188">
        <f>-0.0238897267711194 - 0.0333139823163885</f>
        <v>-5.7203709087507895E-2</v>
      </c>
      <c r="R188" t="s">
        <v>32</v>
      </c>
      <c r="S188" t="s">
        <v>41</v>
      </c>
      <c r="T188" t="s">
        <v>25</v>
      </c>
      <c r="U188" t="s">
        <v>42</v>
      </c>
      <c r="V188">
        <v>0.124271867079271</v>
      </c>
      <c r="W188">
        <v>1.45927829304867E-2</v>
      </c>
      <c r="X188" t="s">
        <v>108</v>
      </c>
      <c r="Y188" t="s">
        <v>29</v>
      </c>
    </row>
    <row r="189" spans="1:25" x14ac:dyDescent="0.2">
      <c r="A189" t="s">
        <v>104</v>
      </c>
      <c r="B189" t="s">
        <v>77</v>
      </c>
      <c r="C189" t="s">
        <v>105</v>
      </c>
      <c r="D189">
        <v>0.16534757505765599</v>
      </c>
      <c r="E189">
        <v>0.105282712657221</v>
      </c>
      <c r="F189" t="s">
        <v>33</v>
      </c>
      <c r="G189">
        <v>18</v>
      </c>
      <c r="H189">
        <v>-4.7944490308063003E-3</v>
      </c>
      <c r="I189" t="s">
        <v>34</v>
      </c>
      <c r="J189" t="b">
        <v>0</v>
      </c>
      <c r="K189">
        <v>-34.887596627154402</v>
      </c>
      <c r="L189">
        <v>-34.030453770011498</v>
      </c>
      <c r="M189">
        <v>5.400196021558</v>
      </c>
      <c r="N189" t="s">
        <v>25</v>
      </c>
      <c r="O189" t="s">
        <v>25</v>
      </c>
      <c r="P189" t="s">
        <v>187</v>
      </c>
      <c r="Q189">
        <f>-0.0102457864298878 - 0.000656888368275142</f>
        <v>-1.0902674798162943E-2</v>
      </c>
      <c r="R189" t="s">
        <v>30</v>
      </c>
      <c r="S189" t="s">
        <v>35</v>
      </c>
      <c r="T189" t="s">
        <v>36</v>
      </c>
      <c r="U189" t="s">
        <v>329</v>
      </c>
      <c r="V189">
        <v>0.14837138261012001</v>
      </c>
      <c r="W189">
        <v>2.7812945913679998E-3</v>
      </c>
      <c r="X189" t="s">
        <v>108</v>
      </c>
      <c r="Y189" t="s">
        <v>29</v>
      </c>
    </row>
    <row r="190" spans="1:25" x14ac:dyDescent="0.2">
      <c r="A190" t="s">
        <v>104</v>
      </c>
      <c r="B190" t="s">
        <v>45</v>
      </c>
      <c r="C190" t="s">
        <v>105</v>
      </c>
      <c r="D190">
        <v>0.13880185214176799</v>
      </c>
      <c r="E190">
        <v>0.12785923280429101</v>
      </c>
      <c r="F190" t="s">
        <v>33</v>
      </c>
      <c r="G190">
        <v>7</v>
      </c>
      <c r="H190">
        <v>-1.0203655585262201E-2</v>
      </c>
      <c r="I190" t="s">
        <v>34</v>
      </c>
      <c r="J190" t="b">
        <v>0</v>
      </c>
      <c r="K190">
        <v>-37.339155308916098</v>
      </c>
      <c r="L190">
        <v>-36.539155308916101</v>
      </c>
      <c r="M190">
        <v>4.0226952126718896</v>
      </c>
      <c r="N190" t="s">
        <v>25</v>
      </c>
      <c r="O190" t="s">
        <v>25</v>
      </c>
      <c r="P190" t="s">
        <v>181</v>
      </c>
      <c r="Q190">
        <f>-0.0226575673354523 - 0.00225025616492786</f>
        <v>-2.490782350038016E-2</v>
      </c>
      <c r="R190" t="s">
        <v>26</v>
      </c>
      <c r="S190" t="s">
        <v>35</v>
      </c>
      <c r="T190" t="s">
        <v>36</v>
      </c>
      <c r="U190" t="s">
        <v>330</v>
      </c>
      <c r="V190">
        <v>0.14693856246772399</v>
      </c>
      <c r="W190">
        <v>6.3540366072397996E-3</v>
      </c>
      <c r="X190" t="s">
        <v>108</v>
      </c>
      <c r="Y190" t="s">
        <v>29</v>
      </c>
    </row>
    <row r="191" spans="1:25" x14ac:dyDescent="0.2">
      <c r="A191" t="s">
        <v>104</v>
      </c>
      <c r="B191" t="s">
        <v>97</v>
      </c>
      <c r="C191" t="s">
        <v>105</v>
      </c>
      <c r="D191">
        <v>0.23609201602977101</v>
      </c>
      <c r="E191">
        <v>4.0916941247530501E-2</v>
      </c>
      <c r="F191" t="s">
        <v>33</v>
      </c>
      <c r="G191">
        <v>17</v>
      </c>
      <c r="H191">
        <v>9.1668885781199996E-4</v>
      </c>
      <c r="I191" t="s">
        <v>37</v>
      </c>
      <c r="J191" t="b">
        <v>0</v>
      </c>
      <c r="K191">
        <v>-35.300938618422798</v>
      </c>
      <c r="L191">
        <v>-34.500938618422801</v>
      </c>
      <c r="M191">
        <v>14.016648853222099</v>
      </c>
      <c r="N191" t="s">
        <v>25</v>
      </c>
      <c r="O191" t="s">
        <v>25</v>
      </c>
      <c r="P191" t="s">
        <v>217</v>
      </c>
      <c r="Q191" t="s">
        <v>250</v>
      </c>
      <c r="R191" t="s">
        <v>32</v>
      </c>
      <c r="S191" t="s">
        <v>38</v>
      </c>
      <c r="T191" t="s">
        <v>39</v>
      </c>
      <c r="U191" t="s">
        <v>331</v>
      </c>
      <c r="V191">
        <v>0.11216012326531</v>
      </c>
      <c r="W191">
        <v>4.1223212727660002E-4</v>
      </c>
      <c r="X191" t="s">
        <v>108</v>
      </c>
      <c r="Y191" t="s">
        <v>29</v>
      </c>
    </row>
    <row r="192" spans="1:25" x14ac:dyDescent="0.2">
      <c r="A192" t="s">
        <v>104</v>
      </c>
      <c r="B192" t="s">
        <v>80</v>
      </c>
      <c r="C192" t="s">
        <v>105</v>
      </c>
      <c r="D192">
        <v>3.4615787583107999E-3</v>
      </c>
      <c r="E192">
        <v>0.81661846488205403</v>
      </c>
      <c r="F192" t="s">
        <v>33</v>
      </c>
      <c r="G192">
        <v>4</v>
      </c>
      <c r="H192">
        <v>1.1430461510469199E-2</v>
      </c>
      <c r="I192" t="s">
        <v>37</v>
      </c>
      <c r="J192" t="b">
        <v>0</v>
      </c>
      <c r="K192">
        <v>-30.5158122641635</v>
      </c>
      <c r="L192">
        <v>-29.7158122641635</v>
      </c>
      <c r="M192">
        <v>7.7262059544074999</v>
      </c>
      <c r="N192" t="s">
        <v>25</v>
      </c>
      <c r="O192" t="s">
        <v>25</v>
      </c>
      <c r="P192" t="s">
        <v>139</v>
      </c>
      <c r="Q192">
        <f>-0.08360151473432 - 0.106462437755258</f>
        <v>-0.190063952489578</v>
      </c>
      <c r="R192" t="s">
        <v>26</v>
      </c>
      <c r="S192" t="s">
        <v>38</v>
      </c>
      <c r="T192" t="s">
        <v>39</v>
      </c>
      <c r="U192" t="s">
        <v>332</v>
      </c>
      <c r="V192">
        <v>0.124417942926753</v>
      </c>
      <c r="W192">
        <v>4.8485702165708702E-2</v>
      </c>
      <c r="X192" t="s">
        <v>108</v>
      </c>
      <c r="Y192" t="s">
        <v>29</v>
      </c>
    </row>
    <row r="193" spans="1:25" x14ac:dyDescent="0.2">
      <c r="A193" t="s">
        <v>104</v>
      </c>
      <c r="B193" t="s">
        <v>68</v>
      </c>
      <c r="C193" t="s">
        <v>105</v>
      </c>
      <c r="D193">
        <v>1.7491698284277E-3</v>
      </c>
      <c r="E193">
        <v>0.869122791055569</v>
      </c>
      <c r="F193" t="s">
        <v>33</v>
      </c>
      <c r="G193">
        <v>16</v>
      </c>
      <c r="H193" s="1">
        <v>5.91233109005654E-5</v>
      </c>
      <c r="I193" t="s">
        <v>40</v>
      </c>
      <c r="J193" t="b">
        <v>0</v>
      </c>
      <c r="K193">
        <v>-30.4849083796679</v>
      </c>
      <c r="L193">
        <v>-29.684908379667899</v>
      </c>
      <c r="M193">
        <v>10.4328291863769</v>
      </c>
      <c r="N193" t="s">
        <v>25</v>
      </c>
      <c r="O193" t="s">
        <v>25</v>
      </c>
      <c r="P193" t="s">
        <v>137</v>
      </c>
      <c r="Q193">
        <f>-0.000632960479873685 - 0.000751207101674816</f>
        <v>-1.3841675815485009E-3</v>
      </c>
      <c r="R193" t="s">
        <v>31</v>
      </c>
      <c r="S193" t="s">
        <v>41</v>
      </c>
      <c r="T193" t="s">
        <v>25</v>
      </c>
      <c r="U193" t="s">
        <v>42</v>
      </c>
      <c r="V193">
        <v>0.123903149728331</v>
      </c>
      <c r="W193">
        <v>3.5310397488480001E-4</v>
      </c>
      <c r="X193" t="s">
        <v>108</v>
      </c>
      <c r="Y193" t="s">
        <v>29</v>
      </c>
    </row>
    <row r="194" spans="1:25" x14ac:dyDescent="0.2">
      <c r="A194" t="s">
        <v>104</v>
      </c>
      <c r="B194" t="s">
        <v>86</v>
      </c>
      <c r="C194" t="s">
        <v>105</v>
      </c>
      <c r="D194">
        <v>9.5911963277551096E-2</v>
      </c>
      <c r="E194">
        <v>0.21106937995424599</v>
      </c>
      <c r="F194" t="s">
        <v>33</v>
      </c>
      <c r="G194">
        <v>15</v>
      </c>
      <c r="H194">
        <v>-6.1959470467157999E-3</v>
      </c>
      <c r="I194" t="s">
        <v>37</v>
      </c>
      <c r="J194" t="b">
        <v>0</v>
      </c>
      <c r="K194">
        <v>-32.268309430628797</v>
      </c>
      <c r="L194">
        <v>-31.4683094306288</v>
      </c>
      <c r="M194">
        <v>8.9375812450143997</v>
      </c>
      <c r="N194" t="s">
        <v>25</v>
      </c>
      <c r="O194" t="s">
        <v>25</v>
      </c>
      <c r="P194" t="s">
        <v>179</v>
      </c>
      <c r="Q194">
        <f>-0.0155171668304137 - 0.00312527273698197</f>
        <v>-1.8642439567395669E-2</v>
      </c>
      <c r="R194" t="s">
        <v>26</v>
      </c>
      <c r="S194" t="s">
        <v>38</v>
      </c>
      <c r="T194" t="s">
        <v>39</v>
      </c>
      <c r="U194" t="s">
        <v>333</v>
      </c>
      <c r="V194">
        <v>0.171982579618636</v>
      </c>
      <c r="W194">
        <v>4.7557243794375996E-3</v>
      </c>
      <c r="X194" t="s">
        <v>108</v>
      </c>
      <c r="Y194" t="s">
        <v>29</v>
      </c>
    </row>
    <row r="195" spans="1:25" x14ac:dyDescent="0.2">
      <c r="A195" t="s">
        <v>104</v>
      </c>
      <c r="B195" t="s">
        <v>81</v>
      </c>
      <c r="C195" t="s">
        <v>105</v>
      </c>
      <c r="D195">
        <v>0.118134154305511</v>
      </c>
      <c r="E195">
        <v>0.16255925229458401</v>
      </c>
      <c r="F195" t="s">
        <v>33</v>
      </c>
      <c r="G195">
        <v>8</v>
      </c>
      <c r="H195">
        <v>-3.90079281520695E-2</v>
      </c>
      <c r="I195" t="s">
        <v>40</v>
      </c>
      <c r="J195" t="b">
        <v>0</v>
      </c>
      <c r="K195">
        <v>-32.716271819010899</v>
      </c>
      <c r="L195">
        <v>-31.916271819010898</v>
      </c>
      <c r="M195">
        <v>9.2477610092002998</v>
      </c>
      <c r="N195" t="s">
        <v>25</v>
      </c>
      <c r="O195" t="s">
        <v>25</v>
      </c>
      <c r="P195" t="s">
        <v>149</v>
      </c>
      <c r="Q195">
        <f>-0.0912310087795144 - 0.0132151524753755</f>
        <v>-0.1044461612548899</v>
      </c>
      <c r="R195" t="s">
        <v>31</v>
      </c>
      <c r="S195" t="s">
        <v>41</v>
      </c>
      <c r="T195" t="s">
        <v>25</v>
      </c>
      <c r="U195" t="s">
        <v>42</v>
      </c>
      <c r="V195">
        <v>0.13902596972355399</v>
      </c>
      <c r="W195">
        <v>2.6644428891553499E-2</v>
      </c>
      <c r="X195" t="s">
        <v>108</v>
      </c>
      <c r="Y195" t="s">
        <v>29</v>
      </c>
    </row>
    <row r="196" spans="1:25" x14ac:dyDescent="0.2">
      <c r="A196" t="s">
        <v>104</v>
      </c>
      <c r="B196" t="s">
        <v>57</v>
      </c>
      <c r="C196" t="s">
        <v>105</v>
      </c>
      <c r="D196">
        <v>3.3154179381631302E-2</v>
      </c>
      <c r="E196">
        <v>0.46959864874632401</v>
      </c>
      <c r="F196" t="s">
        <v>33</v>
      </c>
      <c r="G196">
        <v>14</v>
      </c>
      <c r="H196">
        <v>-3.3678980461750001E-4</v>
      </c>
      <c r="I196" t="s">
        <v>37</v>
      </c>
      <c r="J196" t="b">
        <v>0</v>
      </c>
      <c r="K196">
        <v>-31.0602880233671</v>
      </c>
      <c r="L196">
        <v>-30.260288023367099</v>
      </c>
      <c r="M196">
        <v>7.1796688633798897</v>
      </c>
      <c r="N196" t="s">
        <v>25</v>
      </c>
      <c r="O196" t="s">
        <v>25</v>
      </c>
      <c r="P196" t="s">
        <v>131</v>
      </c>
      <c r="Q196">
        <f>-0.00122796786591907 - 0.000554388256683959</f>
        <v>-1.782356122603029E-3</v>
      </c>
      <c r="R196" t="s">
        <v>26</v>
      </c>
      <c r="S196" t="s">
        <v>38</v>
      </c>
      <c r="T196" t="s">
        <v>39</v>
      </c>
      <c r="U196" t="s">
        <v>334</v>
      </c>
      <c r="V196">
        <v>0.129260356746038</v>
      </c>
      <c r="W196">
        <v>4.5468268433750001E-4</v>
      </c>
      <c r="X196" t="s">
        <v>108</v>
      </c>
      <c r="Y196" t="s">
        <v>29</v>
      </c>
    </row>
    <row r="197" spans="1:25" x14ac:dyDescent="0.2">
      <c r="A197" t="s">
        <v>104</v>
      </c>
      <c r="B197" t="s">
        <v>90</v>
      </c>
      <c r="C197" t="s">
        <v>105</v>
      </c>
      <c r="D197">
        <v>0.20184952557456901</v>
      </c>
      <c r="E197">
        <v>6.1423454545880898E-2</v>
      </c>
      <c r="F197" t="s">
        <v>33</v>
      </c>
      <c r="G197">
        <v>14</v>
      </c>
      <c r="H197">
        <v>-1.1666732068422001E-3</v>
      </c>
      <c r="I197" t="s">
        <v>40</v>
      </c>
      <c r="J197" t="b">
        <v>0</v>
      </c>
      <c r="K197">
        <v>-34.511642181826197</v>
      </c>
      <c r="L197">
        <v>-33.7116421818262</v>
      </c>
      <c r="M197">
        <v>4.9281311474212899</v>
      </c>
      <c r="N197" t="s">
        <v>25</v>
      </c>
      <c r="O197" t="s">
        <v>25</v>
      </c>
      <c r="P197" t="s">
        <v>157</v>
      </c>
      <c r="Q197">
        <f>-0.00230344640550827 - -0.0000299000081762464</f>
        <v>-2.2735463973320236E-3</v>
      </c>
      <c r="R197" t="s">
        <v>26</v>
      </c>
      <c r="S197" t="s">
        <v>41</v>
      </c>
      <c r="T197" t="s">
        <v>25</v>
      </c>
      <c r="U197" t="s">
        <v>42</v>
      </c>
      <c r="V197">
        <v>0.12982177442171</v>
      </c>
      <c r="W197">
        <v>5.7998632584999998E-4</v>
      </c>
      <c r="X197" t="s">
        <v>108</v>
      </c>
      <c r="Y197" t="s">
        <v>29</v>
      </c>
    </row>
    <row r="198" spans="1:25" x14ac:dyDescent="0.2">
      <c r="A198" t="s">
        <v>104</v>
      </c>
      <c r="B198" t="s">
        <v>44</v>
      </c>
      <c r="C198" t="s">
        <v>105</v>
      </c>
      <c r="D198">
        <v>6.0324625099406198E-2</v>
      </c>
      <c r="E198">
        <v>0.34200593600754797</v>
      </c>
      <c r="F198" t="s">
        <v>33</v>
      </c>
      <c r="G198">
        <v>18</v>
      </c>
      <c r="H198">
        <v>-4.8452000933859999E-4</v>
      </c>
      <c r="I198" t="s">
        <v>34</v>
      </c>
      <c r="J198" t="b">
        <v>0</v>
      </c>
      <c r="K198">
        <v>-32.877413861669297</v>
      </c>
      <c r="L198">
        <v>-32.020271004526499</v>
      </c>
      <c r="M198">
        <v>5.3709655505025999</v>
      </c>
      <c r="N198" t="s">
        <v>25</v>
      </c>
      <c r="O198" t="s">
        <v>25</v>
      </c>
      <c r="P198" t="s">
        <v>183</v>
      </c>
      <c r="Q198">
        <f>-0.00145227131496429 - 0.000483231296287085</f>
        <v>-1.935502611251375E-3</v>
      </c>
      <c r="R198" t="s">
        <v>30</v>
      </c>
      <c r="S198" t="s">
        <v>35</v>
      </c>
      <c r="T198" t="s">
        <v>36</v>
      </c>
      <c r="U198" t="s">
        <v>335</v>
      </c>
      <c r="V198">
        <v>0.13392073312233899</v>
      </c>
      <c r="W198">
        <v>4.937506661355E-4</v>
      </c>
      <c r="X198" t="s">
        <v>108</v>
      </c>
      <c r="Y198" t="s">
        <v>29</v>
      </c>
    </row>
    <row r="199" spans="1:25" x14ac:dyDescent="0.2">
      <c r="A199" t="s">
        <v>104</v>
      </c>
      <c r="B199" t="s">
        <v>47</v>
      </c>
      <c r="C199" t="s">
        <v>105</v>
      </c>
      <c r="D199">
        <v>0.38627114260743201</v>
      </c>
      <c r="E199">
        <v>5.8988824845624998E-3</v>
      </c>
      <c r="F199" t="s">
        <v>33</v>
      </c>
      <c r="G199">
        <v>18</v>
      </c>
      <c r="H199">
        <v>-3.2147097241886002E-3</v>
      </c>
      <c r="I199" t="s">
        <v>34</v>
      </c>
      <c r="J199" t="b">
        <v>0</v>
      </c>
      <c r="K199">
        <v>-43.228221304584501</v>
      </c>
      <c r="L199">
        <v>-42.428221304584497</v>
      </c>
      <c r="M199">
        <v>6.8181690173272003</v>
      </c>
      <c r="N199" t="s">
        <v>25</v>
      </c>
      <c r="O199" t="s">
        <v>25</v>
      </c>
      <c r="P199" t="s">
        <v>191</v>
      </c>
      <c r="Q199">
        <f>-0.00520025586554101 - -0.00122916358283628</f>
        <v>-3.9710922827047301E-3</v>
      </c>
      <c r="R199" t="s">
        <v>31</v>
      </c>
      <c r="S199" t="s">
        <v>35</v>
      </c>
      <c r="T199" t="s">
        <v>36</v>
      </c>
      <c r="U199" t="s">
        <v>336</v>
      </c>
      <c r="V199">
        <v>0.179939255609145</v>
      </c>
      <c r="W199">
        <v>1.0130337455879E-3</v>
      </c>
      <c r="X199" t="s">
        <v>108</v>
      </c>
      <c r="Y199" t="s">
        <v>29</v>
      </c>
    </row>
    <row r="200" spans="1:25" x14ac:dyDescent="0.2">
      <c r="A200" t="s">
        <v>104</v>
      </c>
      <c r="B200" t="s">
        <v>83</v>
      </c>
      <c r="C200" t="s">
        <v>105</v>
      </c>
      <c r="D200">
        <v>0.10089695282313101</v>
      </c>
      <c r="E200">
        <v>0.19897673472548499</v>
      </c>
      <c r="F200" t="s">
        <v>33</v>
      </c>
      <c r="G200">
        <v>8</v>
      </c>
      <c r="H200">
        <v>5.6903892170520002E-4</v>
      </c>
      <c r="I200" t="s">
        <v>34</v>
      </c>
      <c r="J200" t="b">
        <v>0</v>
      </c>
      <c r="K200">
        <v>-36.214481729678297</v>
      </c>
      <c r="L200">
        <v>-35.4144817296783</v>
      </c>
      <c r="M200">
        <v>2.3476569221718999</v>
      </c>
      <c r="N200" t="s">
        <v>25</v>
      </c>
      <c r="O200" t="s">
        <v>25</v>
      </c>
      <c r="P200" t="s">
        <v>195</v>
      </c>
      <c r="Q200">
        <f>-0.000263306820639931 - 0.00140138466405052</f>
        <v>-1.664691484690451E-3</v>
      </c>
      <c r="R200" t="s">
        <v>32</v>
      </c>
      <c r="S200" t="s">
        <v>35</v>
      </c>
      <c r="T200" t="s">
        <v>36</v>
      </c>
      <c r="U200" t="s">
        <v>337</v>
      </c>
      <c r="V200">
        <v>0.122080012830887</v>
      </c>
      <c r="W200">
        <v>4.2466619507400001E-4</v>
      </c>
      <c r="X200" t="s">
        <v>108</v>
      </c>
      <c r="Y200" t="s">
        <v>29</v>
      </c>
    </row>
    <row r="201" spans="1:25" x14ac:dyDescent="0.2">
      <c r="A201" t="s">
        <v>104</v>
      </c>
      <c r="B201" t="s">
        <v>96</v>
      </c>
      <c r="C201" t="s">
        <v>105</v>
      </c>
      <c r="D201">
        <v>2.5454566728033201E-2</v>
      </c>
      <c r="E201">
        <v>0.52714645499938595</v>
      </c>
      <c r="F201" t="s">
        <v>33</v>
      </c>
      <c r="G201">
        <v>4</v>
      </c>
      <c r="H201">
        <v>-2.5736948172719998E-4</v>
      </c>
      <c r="I201" t="s">
        <v>40</v>
      </c>
      <c r="J201" t="b">
        <v>0</v>
      </c>
      <c r="K201">
        <v>-30.917510255975099</v>
      </c>
      <c r="L201">
        <v>-30.117510255975098</v>
      </c>
      <c r="M201">
        <v>7.3280473405061004</v>
      </c>
      <c r="N201" t="s">
        <v>25</v>
      </c>
      <c r="O201" t="s">
        <v>25</v>
      </c>
      <c r="P201" t="s">
        <v>161</v>
      </c>
      <c r="Q201">
        <f>-0.00103768693135454 - 0.000522947967899951</f>
        <v>-1.5606348992544912E-3</v>
      </c>
      <c r="R201" t="s">
        <v>32</v>
      </c>
      <c r="S201" t="s">
        <v>41</v>
      </c>
      <c r="T201" t="s">
        <v>25</v>
      </c>
      <c r="U201" t="s">
        <v>42</v>
      </c>
      <c r="V201">
        <v>0.13269908406677899</v>
      </c>
      <c r="W201">
        <v>3.9812114776899998E-4</v>
      </c>
      <c r="X201" t="s">
        <v>108</v>
      </c>
      <c r="Y201" t="s">
        <v>29</v>
      </c>
    </row>
    <row r="202" spans="1:25" x14ac:dyDescent="0.2">
      <c r="A202" t="s">
        <v>104</v>
      </c>
      <c r="B202" t="s">
        <v>81</v>
      </c>
      <c r="C202" t="s">
        <v>105</v>
      </c>
      <c r="D202">
        <v>0.118134154305511</v>
      </c>
      <c r="E202">
        <v>0.16255925229458401</v>
      </c>
      <c r="F202" t="s">
        <v>33</v>
      </c>
      <c r="G202">
        <v>8</v>
      </c>
      <c r="H202">
        <v>-3.90079281520695E-2</v>
      </c>
      <c r="I202" t="s">
        <v>37</v>
      </c>
      <c r="J202" t="b">
        <v>0</v>
      </c>
      <c r="K202">
        <v>-32.716271819010899</v>
      </c>
      <c r="L202">
        <v>-31.916271819010898</v>
      </c>
      <c r="M202">
        <v>9.2477610092002998</v>
      </c>
      <c r="N202" t="s">
        <v>25</v>
      </c>
      <c r="O202" t="s">
        <v>25</v>
      </c>
      <c r="P202" t="s">
        <v>149</v>
      </c>
      <c r="Q202">
        <f>-0.0912310087795144 - 0.0132151524753755</f>
        <v>-0.1044461612548899</v>
      </c>
      <c r="R202" t="s">
        <v>31</v>
      </c>
      <c r="S202" t="s">
        <v>38</v>
      </c>
      <c r="T202" t="s">
        <v>39</v>
      </c>
      <c r="U202" t="s">
        <v>338</v>
      </c>
      <c r="V202">
        <v>0.13902596972355399</v>
      </c>
      <c r="W202">
        <v>2.6644428891553499E-2</v>
      </c>
      <c r="X202" t="s">
        <v>108</v>
      </c>
      <c r="Y202" t="s">
        <v>29</v>
      </c>
    </row>
    <row r="203" spans="1:25" x14ac:dyDescent="0.2">
      <c r="A203" t="s">
        <v>104</v>
      </c>
      <c r="B203" t="s">
        <v>98</v>
      </c>
      <c r="C203" t="s">
        <v>105</v>
      </c>
      <c r="D203">
        <v>0.121364271197531</v>
      </c>
      <c r="E203">
        <v>0.15655376694930301</v>
      </c>
      <c r="F203" t="s">
        <v>33</v>
      </c>
      <c r="G203">
        <v>11</v>
      </c>
      <c r="H203">
        <v>-3.3590636531439802E-2</v>
      </c>
      <c r="I203" t="s">
        <v>40</v>
      </c>
      <c r="J203" t="b">
        <v>0</v>
      </c>
      <c r="K203">
        <v>-32.782323642129498</v>
      </c>
      <c r="L203">
        <v>-31.982323642129501</v>
      </c>
      <c r="M203">
        <v>9.8571120676678898</v>
      </c>
      <c r="N203" t="s">
        <v>25</v>
      </c>
      <c r="O203" t="s">
        <v>25</v>
      </c>
      <c r="P203" t="s">
        <v>127</v>
      </c>
      <c r="Q203">
        <f>-0.0778773362251445 - 0.0106960631622649</f>
        <v>-8.8573399387409407E-2</v>
      </c>
      <c r="R203" t="s">
        <v>26</v>
      </c>
      <c r="S203" t="s">
        <v>41</v>
      </c>
      <c r="T203" t="s">
        <v>25</v>
      </c>
      <c r="U203" t="s">
        <v>42</v>
      </c>
      <c r="V203">
        <v>0.13364034846322201</v>
      </c>
      <c r="W203">
        <v>2.2595254945767699E-2</v>
      </c>
      <c r="X203" t="s">
        <v>108</v>
      </c>
      <c r="Y203" t="s">
        <v>29</v>
      </c>
    </row>
    <row r="204" spans="1:25" x14ac:dyDescent="0.2">
      <c r="A204" t="s">
        <v>104</v>
      </c>
      <c r="B204" t="s">
        <v>92</v>
      </c>
      <c r="C204" t="s">
        <v>105</v>
      </c>
      <c r="D204">
        <v>0.410264543765259</v>
      </c>
      <c r="E204">
        <v>4.1865990330589003E-3</v>
      </c>
      <c r="F204" t="s">
        <v>33</v>
      </c>
      <c r="G204">
        <v>9</v>
      </c>
      <c r="H204">
        <v>-3.6323652139321999E-3</v>
      </c>
      <c r="I204" t="s">
        <v>40</v>
      </c>
      <c r="J204" t="b">
        <v>0</v>
      </c>
      <c r="K204">
        <v>-39.958857748403901</v>
      </c>
      <c r="L204">
        <v>-39.158857748403904</v>
      </c>
      <c r="M204">
        <v>13.100302031938901</v>
      </c>
      <c r="N204" t="s">
        <v>25</v>
      </c>
      <c r="O204" t="s">
        <v>25</v>
      </c>
      <c r="P204" t="s">
        <v>144</v>
      </c>
      <c r="Q204">
        <f>-0.00576630526602805 - -0.00149842516183642</f>
        <v>-4.2678801041916292E-3</v>
      </c>
      <c r="R204" t="s">
        <v>26</v>
      </c>
      <c r="S204" t="s">
        <v>41</v>
      </c>
      <c r="T204" t="s">
        <v>25</v>
      </c>
      <c r="U204" t="s">
        <v>42</v>
      </c>
      <c r="V204">
        <v>0.1740153149825</v>
      </c>
      <c r="W204">
        <v>1.0887449245386E-3</v>
      </c>
      <c r="X204" t="s">
        <v>108</v>
      </c>
      <c r="Y204" t="s">
        <v>29</v>
      </c>
    </row>
    <row r="205" spans="1:25" x14ac:dyDescent="0.2">
      <c r="A205" t="s">
        <v>104</v>
      </c>
      <c r="B205" t="s">
        <v>89</v>
      </c>
      <c r="C205" t="s">
        <v>105</v>
      </c>
      <c r="D205">
        <v>0.113245857070027</v>
      </c>
      <c r="E205">
        <v>0.18658827011728801</v>
      </c>
      <c r="F205" t="s">
        <v>33</v>
      </c>
      <c r="G205">
        <v>13</v>
      </c>
      <c r="H205">
        <v>9.3952151336150003E-4</v>
      </c>
      <c r="I205" t="s">
        <v>37</v>
      </c>
      <c r="J205" t="b">
        <v>0</v>
      </c>
      <c r="K205">
        <v>-28.750972656506502</v>
      </c>
      <c r="L205">
        <v>-27.893829799363601</v>
      </c>
      <c r="M205">
        <v>8.67934505678069</v>
      </c>
      <c r="N205" t="s">
        <v>25</v>
      </c>
      <c r="O205" t="s">
        <v>25</v>
      </c>
      <c r="P205" t="s">
        <v>210</v>
      </c>
      <c r="Q205">
        <f>-0.00039095625639783 - 0.00226999928312087</f>
        <v>-2.6609555395187001E-3</v>
      </c>
      <c r="R205" t="s">
        <v>30</v>
      </c>
      <c r="S205" t="s">
        <v>38</v>
      </c>
      <c r="T205" t="s">
        <v>39</v>
      </c>
      <c r="U205" t="s">
        <v>339</v>
      </c>
      <c r="V205">
        <v>0.107464104526778</v>
      </c>
      <c r="W205">
        <v>6.7881518865269995E-4</v>
      </c>
      <c r="X205" t="s">
        <v>108</v>
      </c>
      <c r="Y205" t="s">
        <v>29</v>
      </c>
    </row>
    <row r="206" spans="1:25" x14ac:dyDescent="0.2">
      <c r="A206" t="s">
        <v>104</v>
      </c>
      <c r="B206" t="s">
        <v>65</v>
      </c>
      <c r="C206" t="s">
        <v>105</v>
      </c>
      <c r="D206">
        <v>9.2640445130464599E-2</v>
      </c>
      <c r="E206">
        <v>0.21943984287992699</v>
      </c>
      <c r="F206" t="s">
        <v>33</v>
      </c>
      <c r="G206">
        <v>18</v>
      </c>
      <c r="H206">
        <v>6.3924934540599996E-4</v>
      </c>
      <c r="I206" t="s">
        <v>40</v>
      </c>
      <c r="J206" t="b">
        <v>0</v>
      </c>
      <c r="K206">
        <v>-32.203292489541703</v>
      </c>
      <c r="L206">
        <v>-31.403292489541698</v>
      </c>
      <c r="M206">
        <v>8.9676351861980006</v>
      </c>
      <c r="N206" t="s">
        <v>25</v>
      </c>
      <c r="O206" t="s">
        <v>25</v>
      </c>
      <c r="P206" t="s">
        <v>199</v>
      </c>
      <c r="Q206">
        <f>-0.000341043344019797 - 0.00161954203483181</f>
        <v>-1.9605853788516071E-3</v>
      </c>
      <c r="R206" t="s">
        <v>32</v>
      </c>
      <c r="S206" t="s">
        <v>41</v>
      </c>
      <c r="T206" t="s">
        <v>25</v>
      </c>
      <c r="U206" t="s">
        <v>42</v>
      </c>
      <c r="V206">
        <v>0.112951055055421</v>
      </c>
      <c r="W206">
        <v>5.0014933133960004E-4</v>
      </c>
      <c r="X206" t="s">
        <v>108</v>
      </c>
      <c r="Y206" t="s">
        <v>29</v>
      </c>
    </row>
    <row r="207" spans="1:25" x14ac:dyDescent="0.2">
      <c r="A207" t="s">
        <v>104</v>
      </c>
      <c r="B207" t="s">
        <v>95</v>
      </c>
      <c r="C207" t="s">
        <v>105</v>
      </c>
      <c r="D207">
        <v>5.1138557911759995E-4</v>
      </c>
      <c r="E207">
        <v>0.92903000236563205</v>
      </c>
      <c r="F207" t="s">
        <v>33</v>
      </c>
      <c r="G207">
        <v>19</v>
      </c>
      <c r="H207">
        <v>-2.9152545860140002E-4</v>
      </c>
      <c r="I207" t="s">
        <v>37</v>
      </c>
      <c r="J207" t="b">
        <v>0</v>
      </c>
      <c r="K207">
        <v>-30.4626030491115</v>
      </c>
      <c r="L207">
        <v>-29.6626030491115</v>
      </c>
      <c r="M207">
        <v>8.8648451995720894</v>
      </c>
      <c r="N207" t="s">
        <v>25</v>
      </c>
      <c r="O207" t="s">
        <v>25</v>
      </c>
      <c r="P207" t="s">
        <v>125</v>
      </c>
      <c r="Q207">
        <f>-0.00660672757235218 - 0.00602367665514921</f>
        <v>-1.2630404227501391E-2</v>
      </c>
      <c r="R207" t="s">
        <v>32</v>
      </c>
      <c r="S207" t="s">
        <v>38</v>
      </c>
      <c r="T207" t="s">
        <v>39</v>
      </c>
      <c r="U207" t="s">
        <v>340</v>
      </c>
      <c r="V207">
        <v>0.12931699842548799</v>
      </c>
      <c r="W207">
        <v>3.2220418947706999E-3</v>
      </c>
      <c r="X207" t="s">
        <v>108</v>
      </c>
      <c r="Y207" t="s">
        <v>29</v>
      </c>
    </row>
    <row r="208" spans="1:25" x14ac:dyDescent="0.2">
      <c r="A208" t="s">
        <v>104</v>
      </c>
      <c r="B208" t="s">
        <v>91</v>
      </c>
      <c r="C208" t="s">
        <v>105</v>
      </c>
      <c r="D208">
        <v>2.3511524297763101E-2</v>
      </c>
      <c r="E208">
        <v>0.54355199379136498</v>
      </c>
      <c r="F208" t="s">
        <v>33</v>
      </c>
      <c r="G208">
        <v>16</v>
      </c>
      <c r="H208">
        <v>4.2124701975280001E-4</v>
      </c>
      <c r="I208" t="s">
        <v>34</v>
      </c>
      <c r="J208" t="b">
        <v>0</v>
      </c>
      <c r="K208">
        <v>-35.146257271237701</v>
      </c>
      <c r="L208">
        <v>-34.346257271237697</v>
      </c>
      <c r="M208">
        <v>3.6973044928105998</v>
      </c>
      <c r="N208" t="s">
        <v>25</v>
      </c>
      <c r="O208" t="s">
        <v>25</v>
      </c>
      <c r="P208" t="s">
        <v>226</v>
      </c>
      <c r="Q208">
        <f>-0.000908980993424901 - 0.00175147503293067</f>
        <v>-2.6604560263555712E-3</v>
      </c>
      <c r="R208" t="s">
        <v>31</v>
      </c>
      <c r="S208" t="s">
        <v>35</v>
      </c>
      <c r="T208" t="s">
        <v>36</v>
      </c>
      <c r="U208" t="s">
        <v>341</v>
      </c>
      <c r="V208">
        <v>0.11816259435139401</v>
      </c>
      <c r="W208">
        <v>6.7868776182540005E-4</v>
      </c>
      <c r="X208" t="s">
        <v>108</v>
      </c>
      <c r="Y208" t="s">
        <v>29</v>
      </c>
    </row>
    <row r="209" spans="1:25" x14ac:dyDescent="0.2">
      <c r="A209" t="s">
        <v>104</v>
      </c>
      <c r="B209" t="s">
        <v>69</v>
      </c>
      <c r="C209" t="s">
        <v>105</v>
      </c>
      <c r="D209">
        <v>0.24410971025397099</v>
      </c>
      <c r="E209">
        <v>3.7154434781609999E-2</v>
      </c>
      <c r="F209" t="s">
        <v>33</v>
      </c>
      <c r="G209">
        <v>7</v>
      </c>
      <c r="H209">
        <v>6.4543918240749995E-4</v>
      </c>
      <c r="I209" t="s">
        <v>34</v>
      </c>
      <c r="J209" t="b">
        <v>0</v>
      </c>
      <c r="K209">
        <v>-39.337507035177502</v>
      </c>
      <c r="L209">
        <v>-38.537507035177498</v>
      </c>
      <c r="M209">
        <v>5.9843192589422998</v>
      </c>
      <c r="N209" t="s">
        <v>25</v>
      </c>
      <c r="O209" t="s">
        <v>25</v>
      </c>
      <c r="P209" t="s">
        <v>120</v>
      </c>
      <c r="Q209" t="s">
        <v>342</v>
      </c>
      <c r="R209" t="s">
        <v>26</v>
      </c>
      <c r="S209" t="s">
        <v>35</v>
      </c>
      <c r="T209" t="s">
        <v>36</v>
      </c>
      <c r="U209" t="s">
        <v>343</v>
      </c>
      <c r="V209">
        <v>8.1690147608276101E-2</v>
      </c>
      <c r="W209">
        <v>2.8394366955280002E-4</v>
      </c>
      <c r="X209" t="s">
        <v>108</v>
      </c>
      <c r="Y209" t="s">
        <v>29</v>
      </c>
    </row>
    <row r="210" spans="1:25" x14ac:dyDescent="0.2">
      <c r="A210" t="s">
        <v>104</v>
      </c>
      <c r="B210" t="s">
        <v>75</v>
      </c>
      <c r="C210" t="s">
        <v>105</v>
      </c>
      <c r="D210">
        <v>2.1673109345669999E-2</v>
      </c>
      <c r="E210">
        <v>0.55993124369530101</v>
      </c>
      <c r="F210" t="s">
        <v>33</v>
      </c>
      <c r="G210">
        <v>17</v>
      </c>
      <c r="H210">
        <v>-2.6654748359120002E-4</v>
      </c>
      <c r="I210" t="s">
        <v>34</v>
      </c>
      <c r="J210" t="b">
        <v>0</v>
      </c>
      <c r="K210">
        <v>-35.124899436900897</v>
      </c>
      <c r="L210">
        <v>-34.3248994369009</v>
      </c>
      <c r="M210">
        <v>4.6164486954282999</v>
      </c>
      <c r="N210" t="s">
        <v>25</v>
      </c>
      <c r="O210" t="s">
        <v>25</v>
      </c>
      <c r="P210" t="s">
        <v>224</v>
      </c>
      <c r="Q210">
        <f>-0.00114405743689151 - 0.000610962469708974</f>
        <v>-1.7550199066004839E-3</v>
      </c>
      <c r="R210" t="s">
        <v>32</v>
      </c>
      <c r="S210" t="s">
        <v>35</v>
      </c>
      <c r="T210" t="s">
        <v>36</v>
      </c>
      <c r="U210" t="s">
        <v>344</v>
      </c>
      <c r="V210">
        <v>0.13144080808438599</v>
      </c>
      <c r="W210">
        <v>4.4770915984700002E-4</v>
      </c>
      <c r="X210" t="s">
        <v>108</v>
      </c>
      <c r="Y210" t="s">
        <v>29</v>
      </c>
    </row>
    <row r="211" spans="1:25" x14ac:dyDescent="0.2">
      <c r="A211" t="s">
        <v>104</v>
      </c>
      <c r="B211" t="s">
        <v>82</v>
      </c>
      <c r="C211" t="s">
        <v>105</v>
      </c>
      <c r="D211">
        <v>7.9886981090710005E-4</v>
      </c>
      <c r="E211">
        <v>0.91135638155865695</v>
      </c>
      <c r="F211" t="s">
        <v>33</v>
      </c>
      <c r="G211">
        <v>19</v>
      </c>
      <c r="H211">
        <v>1.3098481615996E-3</v>
      </c>
      <c r="I211" t="s">
        <v>24</v>
      </c>
      <c r="J211" t="b">
        <v>0</v>
      </c>
      <c r="K211">
        <v>-38.246690996676598</v>
      </c>
      <c r="L211">
        <v>-37.446690996676601</v>
      </c>
      <c r="M211">
        <v>0.26410749236769898</v>
      </c>
      <c r="N211" t="s">
        <v>25</v>
      </c>
      <c r="O211" t="s">
        <v>25</v>
      </c>
      <c r="P211" t="s">
        <v>185</v>
      </c>
      <c r="Q211">
        <f>-0.0213890872146046 - 0.0240087835378039</f>
        <v>-4.5397870752408503E-2</v>
      </c>
      <c r="R211" t="s">
        <v>32</v>
      </c>
      <c r="S211" t="s">
        <v>27</v>
      </c>
      <c r="T211" t="s">
        <v>28</v>
      </c>
      <c r="U211" t="s">
        <v>206</v>
      </c>
      <c r="V211">
        <v>0.13694474080428001</v>
      </c>
      <c r="W211">
        <v>1.1581089477655199E-2</v>
      </c>
      <c r="X211" t="s">
        <v>108</v>
      </c>
      <c r="Y211" t="s">
        <v>29</v>
      </c>
    </row>
    <row r="212" spans="1:25" x14ac:dyDescent="0.2">
      <c r="A212" t="s">
        <v>104</v>
      </c>
      <c r="B212" t="s">
        <v>49</v>
      </c>
      <c r="C212" t="s">
        <v>105</v>
      </c>
      <c r="D212">
        <v>0.46383375329475401</v>
      </c>
      <c r="E212">
        <v>1.8604087112430001E-3</v>
      </c>
      <c r="F212" t="s">
        <v>33</v>
      </c>
      <c r="G212">
        <v>6</v>
      </c>
      <c r="H212">
        <v>7.3635806918420004E-4</v>
      </c>
      <c r="I212" t="s">
        <v>37</v>
      </c>
      <c r="J212" t="b">
        <v>0</v>
      </c>
      <c r="K212">
        <v>-41.672993830532299</v>
      </c>
      <c r="L212">
        <v>-40.872993830532302</v>
      </c>
      <c r="M212">
        <v>0.10503849865369801</v>
      </c>
      <c r="N212" t="s">
        <v>25</v>
      </c>
      <c r="O212" t="s">
        <v>25</v>
      </c>
      <c r="P212" t="s">
        <v>174</v>
      </c>
      <c r="Q212" t="s">
        <v>328</v>
      </c>
      <c r="R212" t="s">
        <v>26</v>
      </c>
      <c r="S212" t="s">
        <v>38</v>
      </c>
      <c r="T212" t="s">
        <v>39</v>
      </c>
      <c r="U212" t="s">
        <v>345</v>
      </c>
      <c r="V212">
        <v>0.123195539701506</v>
      </c>
      <c r="W212">
        <v>1.9792361726220001E-4</v>
      </c>
      <c r="X212" t="s">
        <v>108</v>
      </c>
      <c r="Y212" t="s">
        <v>29</v>
      </c>
    </row>
    <row r="213" spans="1:25" x14ac:dyDescent="0.2">
      <c r="A213" t="s">
        <v>104</v>
      </c>
      <c r="B213" t="s">
        <v>58</v>
      </c>
      <c r="C213" t="s">
        <v>105</v>
      </c>
      <c r="D213">
        <v>0.170520521721023</v>
      </c>
      <c r="E213">
        <v>8.8536227336343698E-2</v>
      </c>
      <c r="F213" t="s">
        <v>33</v>
      </c>
      <c r="G213">
        <v>15</v>
      </c>
      <c r="H213">
        <v>-1.7564545246434001E-3</v>
      </c>
      <c r="I213" t="s">
        <v>37</v>
      </c>
      <c r="J213" t="b">
        <v>0</v>
      </c>
      <c r="K213">
        <v>-33.818620125721097</v>
      </c>
      <c r="L213">
        <v>-33.0186201257211</v>
      </c>
      <c r="M213">
        <v>9.0497291927042909</v>
      </c>
      <c r="N213" t="s">
        <v>25</v>
      </c>
      <c r="O213" t="s">
        <v>25</v>
      </c>
      <c r="P213" t="s">
        <v>203</v>
      </c>
      <c r="Q213">
        <f>-0.00365467864148147 - 0.00014176959219453</f>
        <v>-3.796448233676E-3</v>
      </c>
      <c r="R213" t="s">
        <v>32</v>
      </c>
      <c r="S213" t="s">
        <v>38</v>
      </c>
      <c r="T213" t="s">
        <v>39</v>
      </c>
      <c r="U213" t="s">
        <v>346</v>
      </c>
      <c r="V213">
        <v>0.15609701686744401</v>
      </c>
      <c r="W213">
        <v>9.6848169226420005E-4</v>
      </c>
      <c r="X213" t="s">
        <v>108</v>
      </c>
      <c r="Y213" t="s">
        <v>29</v>
      </c>
    </row>
    <row r="214" spans="1:25" x14ac:dyDescent="0.2">
      <c r="A214" t="s">
        <v>104</v>
      </c>
      <c r="B214" t="s">
        <v>62</v>
      </c>
      <c r="C214" t="s">
        <v>105</v>
      </c>
      <c r="D214">
        <v>2.2448448171281901E-2</v>
      </c>
      <c r="E214">
        <v>0.55291550283319402</v>
      </c>
      <c r="F214" t="s">
        <v>33</v>
      </c>
      <c r="G214">
        <v>10</v>
      </c>
      <c r="H214">
        <v>-2.4063590785520001E-4</v>
      </c>
      <c r="I214" t="s">
        <v>37</v>
      </c>
      <c r="J214" t="b">
        <v>0</v>
      </c>
      <c r="K214">
        <v>-30.862072255499399</v>
      </c>
      <c r="L214">
        <v>-30.062072255499402</v>
      </c>
      <c r="M214">
        <v>9.0910392658838006</v>
      </c>
      <c r="N214" t="s">
        <v>25</v>
      </c>
      <c r="O214" t="s">
        <v>25</v>
      </c>
      <c r="P214" t="s">
        <v>220</v>
      </c>
      <c r="Q214">
        <f>-0.00101873191411497 - 0.000537460098404483</f>
        <v>-1.556192012519453E-3</v>
      </c>
      <c r="R214" t="s">
        <v>31</v>
      </c>
      <c r="S214" t="s">
        <v>38</v>
      </c>
      <c r="T214" t="s">
        <v>39</v>
      </c>
      <c r="U214" t="s">
        <v>347</v>
      </c>
      <c r="V214">
        <v>0.13766508802763999</v>
      </c>
      <c r="W214">
        <v>3.9698775829570001E-4</v>
      </c>
      <c r="X214" t="s">
        <v>108</v>
      </c>
      <c r="Y214" t="s">
        <v>29</v>
      </c>
    </row>
    <row r="215" spans="1:25" x14ac:dyDescent="0.2">
      <c r="A215" t="s">
        <v>104</v>
      </c>
      <c r="B215" t="s">
        <v>94</v>
      </c>
      <c r="C215" t="s">
        <v>105</v>
      </c>
      <c r="D215">
        <v>0.16770949153738399</v>
      </c>
      <c r="E215">
        <v>0.10259089624673</v>
      </c>
      <c r="F215" t="s">
        <v>33</v>
      </c>
      <c r="G215">
        <v>19</v>
      </c>
      <c r="H215">
        <v>6.6041786754900004E-4</v>
      </c>
      <c r="I215" t="s">
        <v>37</v>
      </c>
      <c r="J215" t="b">
        <v>0</v>
      </c>
      <c r="K215">
        <v>-29.828538345164901</v>
      </c>
      <c r="L215">
        <v>-28.9713954880221</v>
      </c>
      <c r="M215">
        <v>13.017498641724201</v>
      </c>
      <c r="N215" t="s">
        <v>25</v>
      </c>
      <c r="O215" t="s">
        <v>25</v>
      </c>
      <c r="P215" t="s">
        <v>154</v>
      </c>
      <c r="Q215">
        <f>-0.0000841219117565475 - 0.00140495764685473</f>
        <v>-1.4890795586112776E-3</v>
      </c>
      <c r="R215" t="s">
        <v>30</v>
      </c>
      <c r="S215" t="s">
        <v>38</v>
      </c>
      <c r="T215" t="s">
        <v>39</v>
      </c>
      <c r="U215" t="s">
        <v>348</v>
      </c>
      <c r="V215">
        <v>6.5984827783361094E-2</v>
      </c>
      <c r="W215">
        <v>3.7986723433960001E-4</v>
      </c>
      <c r="X215" t="s">
        <v>108</v>
      </c>
      <c r="Y215" t="s">
        <v>29</v>
      </c>
    </row>
    <row r="216" spans="1:25" x14ac:dyDescent="0.2">
      <c r="A216" t="s">
        <v>104</v>
      </c>
      <c r="B216" t="s">
        <v>84</v>
      </c>
      <c r="C216" t="s">
        <v>105</v>
      </c>
      <c r="D216">
        <v>1.1085137478160799E-2</v>
      </c>
      <c r="E216">
        <v>0.67757020656872702</v>
      </c>
      <c r="F216" t="s">
        <v>33</v>
      </c>
      <c r="G216">
        <v>18</v>
      </c>
      <c r="H216">
        <v>-2.4819135494417999E-3</v>
      </c>
      <c r="I216" t="s">
        <v>37</v>
      </c>
      <c r="J216" t="b">
        <v>0</v>
      </c>
      <c r="K216">
        <v>-30.654042392735299</v>
      </c>
      <c r="L216">
        <v>-29.854042392735298</v>
      </c>
      <c r="M216">
        <v>8.2988559705580993</v>
      </c>
      <c r="N216" t="s">
        <v>25</v>
      </c>
      <c r="O216" t="s">
        <v>25</v>
      </c>
      <c r="P216" t="s">
        <v>106</v>
      </c>
      <c r="Q216">
        <f>-0.0139685173156385 - 0.00900469021675475</f>
        <v>-2.297320753239325E-2</v>
      </c>
      <c r="R216" t="s">
        <v>26</v>
      </c>
      <c r="S216" t="s">
        <v>38</v>
      </c>
      <c r="T216" t="s">
        <v>39</v>
      </c>
      <c r="U216" t="s">
        <v>349</v>
      </c>
      <c r="V216">
        <v>0.13912666816768701</v>
      </c>
      <c r="W216">
        <v>5.8605121256105003E-3</v>
      </c>
      <c r="X216" t="s">
        <v>108</v>
      </c>
      <c r="Y216" t="s">
        <v>29</v>
      </c>
    </row>
    <row r="217" spans="1:25" x14ac:dyDescent="0.2">
      <c r="A217" t="s">
        <v>104</v>
      </c>
      <c r="B217" t="s">
        <v>90</v>
      </c>
      <c r="C217" t="s">
        <v>105</v>
      </c>
      <c r="D217">
        <v>0.20184952557456901</v>
      </c>
      <c r="E217">
        <v>6.1423454545880898E-2</v>
      </c>
      <c r="F217" t="s">
        <v>33</v>
      </c>
      <c r="G217">
        <v>14</v>
      </c>
      <c r="H217">
        <v>-1.1666732068422001E-3</v>
      </c>
      <c r="I217" t="s">
        <v>37</v>
      </c>
      <c r="J217" t="b">
        <v>0</v>
      </c>
      <c r="K217">
        <v>-34.511642181826197</v>
      </c>
      <c r="L217">
        <v>-33.7116421818262</v>
      </c>
      <c r="M217">
        <v>4.9281311474212899</v>
      </c>
      <c r="N217" t="s">
        <v>25</v>
      </c>
      <c r="O217" t="s">
        <v>25</v>
      </c>
      <c r="P217" t="s">
        <v>157</v>
      </c>
      <c r="Q217">
        <f>-0.00230344640550827 - -0.0000299000081762464</f>
        <v>-2.2735463973320236E-3</v>
      </c>
      <c r="R217" t="s">
        <v>26</v>
      </c>
      <c r="S217" t="s">
        <v>38</v>
      </c>
      <c r="T217" t="s">
        <v>39</v>
      </c>
      <c r="U217" t="s">
        <v>350</v>
      </c>
      <c r="V217">
        <v>0.12982177442171</v>
      </c>
      <c r="W217">
        <v>5.7998632584999998E-4</v>
      </c>
      <c r="X217" t="s">
        <v>108</v>
      </c>
      <c r="Y217" t="s">
        <v>29</v>
      </c>
    </row>
    <row r="218" spans="1:25" x14ac:dyDescent="0.2">
      <c r="A218" t="s">
        <v>104</v>
      </c>
      <c r="B218" t="s">
        <v>78</v>
      </c>
      <c r="C218" t="s">
        <v>105</v>
      </c>
      <c r="D218">
        <v>9.3209698796251406E-2</v>
      </c>
      <c r="E218">
        <v>0.23340703267246601</v>
      </c>
      <c r="F218" t="s">
        <v>33</v>
      </c>
      <c r="G218">
        <v>14</v>
      </c>
      <c r="H218">
        <v>-1.3451436464950999E-3</v>
      </c>
      <c r="I218" t="s">
        <v>34</v>
      </c>
      <c r="J218" t="b">
        <v>0</v>
      </c>
      <c r="K218">
        <v>-33.4820804712623</v>
      </c>
      <c r="L218">
        <v>-32.624937614119403</v>
      </c>
      <c r="M218">
        <v>5.5723988311305899</v>
      </c>
      <c r="N218" t="s">
        <v>25</v>
      </c>
      <c r="O218" t="s">
        <v>25</v>
      </c>
      <c r="P218" t="s">
        <v>172</v>
      </c>
      <c r="Q218">
        <f>-0.00346839782484036 - 0.000778110531850154</f>
        <v>-4.2465083566905135E-3</v>
      </c>
      <c r="R218" t="s">
        <v>30</v>
      </c>
      <c r="S218" t="s">
        <v>35</v>
      </c>
      <c r="T218" t="s">
        <v>36</v>
      </c>
      <c r="U218" t="s">
        <v>351</v>
      </c>
      <c r="V218">
        <v>0.132069538195797</v>
      </c>
      <c r="W218">
        <v>1.0832929481352999E-3</v>
      </c>
      <c r="X218" t="s">
        <v>108</v>
      </c>
      <c r="Y218" t="s">
        <v>29</v>
      </c>
    </row>
    <row r="219" spans="1:25" x14ac:dyDescent="0.2">
      <c r="A219" t="s">
        <v>104</v>
      </c>
      <c r="B219" t="s">
        <v>45</v>
      </c>
      <c r="C219" t="s">
        <v>105</v>
      </c>
      <c r="D219">
        <v>9.6867602020311694E-2</v>
      </c>
      <c r="E219">
        <v>0.20869068750507999</v>
      </c>
      <c r="F219" t="s">
        <v>33</v>
      </c>
      <c r="G219">
        <v>7</v>
      </c>
      <c r="H219">
        <v>-1.4588762445914999E-2</v>
      </c>
      <c r="I219" t="s">
        <v>40</v>
      </c>
      <c r="J219" t="b">
        <v>0</v>
      </c>
      <c r="K219">
        <v>-32.287345845492901</v>
      </c>
      <c r="L219">
        <v>-31.4873458454929</v>
      </c>
      <c r="M219">
        <v>9.0745046760950991</v>
      </c>
      <c r="N219" t="s">
        <v>25</v>
      </c>
      <c r="O219" t="s">
        <v>25</v>
      </c>
      <c r="P219" t="s">
        <v>181</v>
      </c>
      <c r="Q219">
        <f>-0.0364161102743754 - 0.00723858538254545</f>
        <v>-4.3654695656920851E-2</v>
      </c>
      <c r="R219" t="s">
        <v>26</v>
      </c>
      <c r="S219" t="s">
        <v>41</v>
      </c>
      <c r="T219" t="s">
        <v>25</v>
      </c>
      <c r="U219" t="s">
        <v>42</v>
      </c>
      <c r="V219">
        <v>0.14945847629385101</v>
      </c>
      <c r="W219">
        <v>1.1136401953296101E-2</v>
      </c>
      <c r="X219" t="s">
        <v>108</v>
      </c>
      <c r="Y219" t="s">
        <v>29</v>
      </c>
    </row>
    <row r="220" spans="1:25" x14ac:dyDescent="0.2">
      <c r="A220" t="s">
        <v>104</v>
      </c>
      <c r="B220" t="s">
        <v>96</v>
      </c>
      <c r="C220" t="s">
        <v>105</v>
      </c>
      <c r="D220">
        <v>2.5454566728033201E-2</v>
      </c>
      <c r="E220">
        <v>0.52714645499938595</v>
      </c>
      <c r="F220" t="s">
        <v>33</v>
      </c>
      <c r="G220">
        <v>4</v>
      </c>
      <c r="H220">
        <v>-2.5736948172719998E-4</v>
      </c>
      <c r="I220" t="s">
        <v>37</v>
      </c>
      <c r="J220" t="b">
        <v>0</v>
      </c>
      <c r="K220">
        <v>-30.917510255975099</v>
      </c>
      <c r="L220">
        <v>-30.117510255975098</v>
      </c>
      <c r="M220">
        <v>7.3280473405061004</v>
      </c>
      <c r="N220" t="s">
        <v>25</v>
      </c>
      <c r="O220" t="s">
        <v>25</v>
      </c>
      <c r="P220" t="s">
        <v>161</v>
      </c>
      <c r="Q220">
        <f>-0.00103768693135454 - 0.000522947967899951</f>
        <v>-1.5606348992544912E-3</v>
      </c>
      <c r="R220" t="s">
        <v>32</v>
      </c>
      <c r="S220" t="s">
        <v>38</v>
      </c>
      <c r="T220" t="s">
        <v>39</v>
      </c>
      <c r="U220" t="s">
        <v>352</v>
      </c>
      <c r="V220">
        <v>0.13269908406677899</v>
      </c>
      <c r="W220">
        <v>3.9812114776899998E-4</v>
      </c>
      <c r="X220" t="s">
        <v>108</v>
      </c>
      <c r="Y220" t="s">
        <v>29</v>
      </c>
    </row>
    <row r="221" spans="1:25" x14ac:dyDescent="0.2">
      <c r="A221" t="s">
        <v>104</v>
      </c>
      <c r="B221" t="s">
        <v>89</v>
      </c>
      <c r="C221" t="s">
        <v>105</v>
      </c>
      <c r="D221">
        <v>0.10553487406954901</v>
      </c>
      <c r="E221">
        <v>0.203279901632615</v>
      </c>
      <c r="F221" t="s">
        <v>33</v>
      </c>
      <c r="G221">
        <v>13</v>
      </c>
      <c r="H221">
        <v>1.1087022828470999E-3</v>
      </c>
      <c r="I221" t="s">
        <v>34</v>
      </c>
      <c r="J221" t="b">
        <v>0</v>
      </c>
      <c r="K221">
        <v>-33.699896758255903</v>
      </c>
      <c r="L221">
        <v>-32.842753901112999</v>
      </c>
      <c r="M221">
        <v>3.7304209550312901</v>
      </c>
      <c r="N221" t="s">
        <v>25</v>
      </c>
      <c r="O221" t="s">
        <v>25</v>
      </c>
      <c r="P221" t="s">
        <v>210</v>
      </c>
      <c r="Q221">
        <f>-0.000524759927945336 - 0.0027421644936397</f>
        <v>-3.266924421585036E-3</v>
      </c>
      <c r="R221" t="s">
        <v>30</v>
      </c>
      <c r="S221" t="s">
        <v>35</v>
      </c>
      <c r="T221" t="s">
        <v>36</v>
      </c>
      <c r="U221" t="s">
        <v>353</v>
      </c>
      <c r="V221">
        <v>0.10549194150909801</v>
      </c>
      <c r="W221">
        <v>8.3339908713899998E-4</v>
      </c>
      <c r="X221" t="s">
        <v>108</v>
      </c>
      <c r="Y221" t="s">
        <v>29</v>
      </c>
    </row>
    <row r="222" spans="1:25" x14ac:dyDescent="0.2">
      <c r="A222" t="s">
        <v>104</v>
      </c>
      <c r="B222" t="s">
        <v>88</v>
      </c>
      <c r="C222" t="s">
        <v>105</v>
      </c>
      <c r="D222">
        <v>0.14695651943736099</v>
      </c>
      <c r="E222">
        <v>0.11633567831051</v>
      </c>
      <c r="F222" t="s">
        <v>33</v>
      </c>
      <c r="G222">
        <v>18</v>
      </c>
      <c r="H222">
        <v>-2.0353091438257E-3</v>
      </c>
      <c r="I222" t="s">
        <v>37</v>
      </c>
      <c r="J222" t="b">
        <v>0</v>
      </c>
      <c r="K222">
        <v>-33.314401417933098</v>
      </c>
      <c r="L222">
        <v>-32.514401417933101</v>
      </c>
      <c r="M222">
        <v>5.5468070406538903</v>
      </c>
      <c r="N222" t="s">
        <v>25</v>
      </c>
      <c r="O222" t="s">
        <v>25</v>
      </c>
      <c r="P222" t="s">
        <v>159</v>
      </c>
      <c r="Q222">
        <f>-0.0044381091207954 - 0.000367490833143881</f>
        <v>-4.8055999539392807E-3</v>
      </c>
      <c r="R222" t="s">
        <v>32</v>
      </c>
      <c r="S222" t="s">
        <v>38</v>
      </c>
      <c r="T222" t="s">
        <v>39</v>
      </c>
      <c r="U222" t="s">
        <v>354</v>
      </c>
      <c r="V222">
        <v>0.13666574437288101</v>
      </c>
      <c r="W222">
        <v>1.2259183555967E-3</v>
      </c>
      <c r="X222" t="s">
        <v>108</v>
      </c>
      <c r="Y222" t="s">
        <v>29</v>
      </c>
    </row>
    <row r="223" spans="1:25" x14ac:dyDescent="0.2">
      <c r="A223" t="s">
        <v>104</v>
      </c>
      <c r="B223" t="s">
        <v>93</v>
      </c>
      <c r="C223" t="s">
        <v>105</v>
      </c>
      <c r="D223">
        <v>0.41569788108393402</v>
      </c>
      <c r="E223">
        <v>3.8674915329344E-3</v>
      </c>
      <c r="F223" t="s">
        <v>33</v>
      </c>
      <c r="G223">
        <v>15</v>
      </c>
      <c r="H223">
        <v>4.2947252427780002E-4</v>
      </c>
      <c r="I223" t="s">
        <v>37</v>
      </c>
      <c r="J223" t="b">
        <v>0</v>
      </c>
      <c r="K223">
        <v>-40.125463608432597</v>
      </c>
      <c r="L223">
        <v>-39.325463608432599</v>
      </c>
      <c r="M223">
        <v>0.21295838031050299</v>
      </c>
      <c r="N223" t="s">
        <v>25</v>
      </c>
      <c r="O223" t="s">
        <v>25</v>
      </c>
      <c r="P223" t="s">
        <v>141</v>
      </c>
      <c r="Q223" t="s">
        <v>272</v>
      </c>
      <c r="R223" t="s">
        <v>32</v>
      </c>
      <c r="S223" t="s">
        <v>38</v>
      </c>
      <c r="T223" t="s">
        <v>39</v>
      </c>
      <c r="U223" t="s">
        <v>355</v>
      </c>
      <c r="V223">
        <v>0.12268435930716901</v>
      </c>
      <c r="W223">
        <v>1.2729320423979999E-4</v>
      </c>
      <c r="X223" t="s">
        <v>108</v>
      </c>
      <c r="Y223" t="s">
        <v>29</v>
      </c>
    </row>
    <row r="224" spans="1:25" x14ac:dyDescent="0.2">
      <c r="A224" t="s">
        <v>104</v>
      </c>
      <c r="B224" t="s">
        <v>56</v>
      </c>
      <c r="C224" t="s">
        <v>105</v>
      </c>
      <c r="D224">
        <v>0.18189577357367501</v>
      </c>
      <c r="E224">
        <v>7.7567064642134503E-2</v>
      </c>
      <c r="F224" t="s">
        <v>33</v>
      </c>
      <c r="G224">
        <v>19</v>
      </c>
      <c r="H224">
        <v>7.2636755656639996E-4</v>
      </c>
      <c r="I224" t="s">
        <v>34</v>
      </c>
      <c r="J224" t="b">
        <v>0</v>
      </c>
      <c r="K224">
        <v>-37.990573446882998</v>
      </c>
      <c r="L224">
        <v>-37.190573446883</v>
      </c>
      <c r="M224">
        <v>5.4547430575022897</v>
      </c>
      <c r="N224" t="s">
        <v>25</v>
      </c>
      <c r="O224" t="s">
        <v>25</v>
      </c>
      <c r="P224" t="s">
        <v>207</v>
      </c>
      <c r="Q224">
        <f>-0.0000284561511271167 - 0.00148119126426008</f>
        <v>-1.5096474153871967E-3</v>
      </c>
      <c r="R224" t="s">
        <v>26</v>
      </c>
      <c r="S224" t="s">
        <v>35</v>
      </c>
      <c r="T224" t="s">
        <v>36</v>
      </c>
      <c r="U224" t="s">
        <v>356</v>
      </c>
      <c r="V224">
        <v>8.2423267166094105E-2</v>
      </c>
      <c r="W224">
        <v>3.8511413657829998E-4</v>
      </c>
      <c r="X224" t="s">
        <v>108</v>
      </c>
      <c r="Y224" t="s">
        <v>29</v>
      </c>
    </row>
    <row r="225" spans="1:25" x14ac:dyDescent="0.2">
      <c r="A225" t="s">
        <v>104</v>
      </c>
      <c r="B225" t="s">
        <v>91</v>
      </c>
      <c r="C225" t="s">
        <v>105</v>
      </c>
      <c r="D225">
        <v>3.5060171942907E-3</v>
      </c>
      <c r="E225">
        <v>0.81546417811120597</v>
      </c>
      <c r="F225" t="s">
        <v>33</v>
      </c>
      <c r="G225">
        <v>16</v>
      </c>
      <c r="H225">
        <v>-1.4979177697430001E-4</v>
      </c>
      <c r="I225" t="s">
        <v>40</v>
      </c>
      <c r="J225" t="b">
        <v>0</v>
      </c>
      <c r="K225">
        <v>-30.516614952415001</v>
      </c>
      <c r="L225">
        <v>-29.716614952415</v>
      </c>
      <c r="M225">
        <v>8.3269468116332899</v>
      </c>
      <c r="N225" t="s">
        <v>25</v>
      </c>
      <c r="O225" t="s">
        <v>25</v>
      </c>
      <c r="P225" t="s">
        <v>226</v>
      </c>
      <c r="Q225">
        <f>-0.00138720391657837 - 0.00108762036262972</f>
        <v>-2.4748242792080903E-3</v>
      </c>
      <c r="R225" t="s">
        <v>31</v>
      </c>
      <c r="S225" t="s">
        <v>41</v>
      </c>
      <c r="T225" t="s">
        <v>25</v>
      </c>
      <c r="U225" t="s">
        <v>42</v>
      </c>
      <c r="V225">
        <v>0.129473699032159</v>
      </c>
      <c r="W225">
        <v>6.3133272428769999E-4</v>
      </c>
      <c r="X225" t="s">
        <v>108</v>
      </c>
      <c r="Y225" t="s">
        <v>29</v>
      </c>
    </row>
    <row r="226" spans="1:25" x14ac:dyDescent="0.2">
      <c r="A226" t="s">
        <v>104</v>
      </c>
      <c r="B226" t="s">
        <v>73</v>
      </c>
      <c r="C226" t="s">
        <v>105</v>
      </c>
      <c r="D226">
        <v>5.2899142261030402E-2</v>
      </c>
      <c r="E226">
        <v>0.35854579330768099</v>
      </c>
      <c r="F226" t="s">
        <v>33</v>
      </c>
      <c r="G226">
        <v>9</v>
      </c>
      <c r="H226">
        <v>2.0928464046987001E-3</v>
      </c>
      <c r="I226" t="s">
        <v>34</v>
      </c>
      <c r="J226" t="b">
        <v>0</v>
      </c>
      <c r="K226">
        <v>-35.608812704869997</v>
      </c>
      <c r="L226">
        <v>-34.80881270487</v>
      </c>
      <c r="M226">
        <v>2.62400617562519</v>
      </c>
      <c r="N226" t="s">
        <v>25</v>
      </c>
      <c r="O226" t="s">
        <v>25</v>
      </c>
      <c r="P226" t="s">
        <v>166</v>
      </c>
      <c r="Q226">
        <f>-0.00224632930053341 - 0.00643202210993086</f>
        <v>-8.678351410464271E-3</v>
      </c>
      <c r="R226" t="s">
        <v>26</v>
      </c>
      <c r="S226" t="s">
        <v>35</v>
      </c>
      <c r="T226" t="s">
        <v>36</v>
      </c>
      <c r="U226" t="s">
        <v>357</v>
      </c>
      <c r="V226">
        <v>0.108737592165769</v>
      </c>
      <c r="W226">
        <v>2.2138651557306E-3</v>
      </c>
      <c r="X226" t="s">
        <v>108</v>
      </c>
      <c r="Y226" t="s">
        <v>29</v>
      </c>
    </row>
    <row r="227" spans="1:25" x14ac:dyDescent="0.2">
      <c r="A227" t="s">
        <v>104</v>
      </c>
      <c r="B227" t="s">
        <v>43</v>
      </c>
      <c r="C227" t="s">
        <v>105</v>
      </c>
      <c r="D227">
        <v>0.45062490570115299</v>
      </c>
      <c r="E227">
        <v>2.2868422673515999E-3</v>
      </c>
      <c r="F227" t="s">
        <v>33</v>
      </c>
      <c r="G227">
        <v>15</v>
      </c>
      <c r="H227">
        <v>5.6801547244969997E-4</v>
      </c>
      <c r="I227" t="s">
        <v>37</v>
      </c>
      <c r="J227" t="b">
        <v>0</v>
      </c>
      <c r="K227">
        <v>-41.234924854361502</v>
      </c>
      <c r="L227">
        <v>-40.434924854361498</v>
      </c>
      <c r="M227">
        <v>0.14631100027150201</v>
      </c>
      <c r="N227" t="s">
        <v>25</v>
      </c>
      <c r="O227" t="s">
        <v>25</v>
      </c>
      <c r="P227" t="s">
        <v>163</v>
      </c>
      <c r="Q227" t="s">
        <v>276</v>
      </c>
      <c r="R227" t="s">
        <v>31</v>
      </c>
      <c r="S227" t="s">
        <v>38</v>
      </c>
      <c r="T227" t="s">
        <v>39</v>
      </c>
      <c r="U227" t="s">
        <v>358</v>
      </c>
      <c r="V227">
        <v>0.123379262821116</v>
      </c>
      <c r="W227">
        <v>1.5679314174890001E-4</v>
      </c>
      <c r="X227" t="s">
        <v>108</v>
      </c>
      <c r="Y227" t="s">
        <v>29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D0C9-1230-5144-BD4A-EED3D182423C}">
  <dimension ref="A1:Y241"/>
  <sheetViews>
    <sheetView tabSelected="1" workbookViewId="0">
      <selection activeCell="A7" sqref="A7"/>
    </sheetView>
  </sheetViews>
  <sheetFormatPr baseColWidth="10" defaultRowHeight="16" x14ac:dyDescent="0.2"/>
  <sheetData>
    <row r="1" spans="1:25" ht="21" x14ac:dyDescent="0.2">
      <c r="A1" s="3" t="s">
        <v>103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101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359</v>
      </c>
      <c r="B4" t="s">
        <v>58</v>
      </c>
      <c r="C4" t="s">
        <v>105</v>
      </c>
      <c r="D4">
        <v>0.149927922732184</v>
      </c>
      <c r="E4">
        <v>0.13841823753992899</v>
      </c>
      <c r="F4">
        <v>0.28708967786059297</v>
      </c>
      <c r="G4">
        <v>17</v>
      </c>
      <c r="H4">
        <v>-1.3413143074846E-3</v>
      </c>
      <c r="I4" t="s">
        <v>24</v>
      </c>
      <c r="J4" t="b">
        <v>1</v>
      </c>
      <c r="K4">
        <v>-43.3983146798085</v>
      </c>
      <c r="L4">
        <v>-42.475237756731602</v>
      </c>
      <c r="M4">
        <v>0</v>
      </c>
      <c r="N4" t="s">
        <v>25</v>
      </c>
      <c r="O4" t="s">
        <v>25</v>
      </c>
      <c r="P4" t="s">
        <v>360</v>
      </c>
      <c r="Q4">
        <f>-0.00301436547825868 - 0.000331736863289363</f>
        <v>-3.346102341548043E-3</v>
      </c>
      <c r="R4" t="s">
        <v>32</v>
      </c>
      <c r="S4" t="s">
        <v>27</v>
      </c>
      <c r="T4" t="s">
        <v>28</v>
      </c>
      <c r="U4" t="s">
        <v>361</v>
      </c>
      <c r="V4">
        <v>0.14221178734940701</v>
      </c>
      <c r="W4">
        <v>8.5359753610910003E-4</v>
      </c>
      <c r="X4" t="s">
        <v>362</v>
      </c>
      <c r="Y4" t="s">
        <v>29</v>
      </c>
    </row>
    <row r="5" spans="1:25" x14ac:dyDescent="0.2">
      <c r="A5" t="s">
        <v>359</v>
      </c>
      <c r="B5" t="s">
        <v>56</v>
      </c>
      <c r="C5" t="s">
        <v>105</v>
      </c>
      <c r="D5">
        <v>0.22015285008237401</v>
      </c>
      <c r="E5">
        <v>6.6727708339026498E-2</v>
      </c>
      <c r="F5">
        <v>0.21914030032043699</v>
      </c>
      <c r="G5">
        <v>16</v>
      </c>
      <c r="H5">
        <v>7.4740354584759998E-4</v>
      </c>
      <c r="I5" t="s">
        <v>24</v>
      </c>
      <c r="J5" t="b">
        <v>1</v>
      </c>
      <c r="K5">
        <v>-44.783155554217998</v>
      </c>
      <c r="L5">
        <v>-43.8600786311411</v>
      </c>
      <c r="M5">
        <v>0</v>
      </c>
      <c r="N5" t="s">
        <v>25</v>
      </c>
      <c r="O5" t="s">
        <v>25</v>
      </c>
      <c r="P5" t="s">
        <v>363</v>
      </c>
      <c r="Q5" t="s">
        <v>364</v>
      </c>
      <c r="R5" t="s">
        <v>26</v>
      </c>
      <c r="S5" t="s">
        <v>27</v>
      </c>
      <c r="T5" t="s">
        <v>28</v>
      </c>
      <c r="U5" t="s">
        <v>365</v>
      </c>
      <c r="V5">
        <v>7.6485100206344303E-2</v>
      </c>
      <c r="W5">
        <v>3.7595314707740001E-4</v>
      </c>
      <c r="X5" t="s">
        <v>362</v>
      </c>
      <c r="Y5" t="s">
        <v>29</v>
      </c>
    </row>
    <row r="6" spans="1:25" x14ac:dyDescent="0.2">
      <c r="A6" t="s">
        <v>359</v>
      </c>
      <c r="B6" t="s">
        <v>87</v>
      </c>
      <c r="C6" t="s">
        <v>105</v>
      </c>
      <c r="D6">
        <v>0.13626964268038499</v>
      </c>
      <c r="E6">
        <v>0.17571072261107601</v>
      </c>
      <c r="F6">
        <v>0.30749376456938299</v>
      </c>
      <c r="G6">
        <v>16</v>
      </c>
      <c r="H6">
        <v>2.759433329347E-4</v>
      </c>
      <c r="I6" t="s">
        <v>24</v>
      </c>
      <c r="J6" t="b">
        <v>1</v>
      </c>
      <c r="K6">
        <v>-39.615720390508002</v>
      </c>
      <c r="L6">
        <v>-38.615720390508002</v>
      </c>
      <c r="M6">
        <v>0</v>
      </c>
      <c r="N6" t="s">
        <v>25</v>
      </c>
      <c r="O6" t="s">
        <v>25</v>
      </c>
      <c r="P6" t="s">
        <v>366</v>
      </c>
      <c r="Q6">
        <f>-0.000101710445456586 - 0.000653597111326031</f>
        <v>-7.5530755678261696E-4</v>
      </c>
      <c r="R6" t="s">
        <v>30</v>
      </c>
      <c r="S6" t="s">
        <v>27</v>
      </c>
      <c r="T6" t="s">
        <v>28</v>
      </c>
      <c r="U6" t="s">
        <v>367</v>
      </c>
      <c r="V6">
        <v>0.10228445933057501</v>
      </c>
      <c r="W6">
        <v>1.9268049917919999E-4</v>
      </c>
      <c r="X6" t="s">
        <v>362</v>
      </c>
      <c r="Y6" t="s">
        <v>29</v>
      </c>
    </row>
    <row r="7" spans="1:25" x14ac:dyDescent="0.2">
      <c r="A7" t="s">
        <v>359</v>
      </c>
      <c r="B7" t="s">
        <v>54</v>
      </c>
      <c r="C7" t="s">
        <v>105</v>
      </c>
      <c r="D7">
        <v>0.20151751798476</v>
      </c>
      <c r="E7">
        <v>8.1123403142523004E-2</v>
      </c>
      <c r="F7">
        <v>0.23910055663059401</v>
      </c>
      <c r="G7">
        <v>16</v>
      </c>
      <c r="H7">
        <v>1.46688046924559E-2</v>
      </c>
      <c r="I7" t="s">
        <v>34</v>
      </c>
      <c r="J7" t="b">
        <v>1</v>
      </c>
      <c r="K7">
        <v>-43.822998981408098</v>
      </c>
      <c r="L7">
        <v>-42.8999220583311</v>
      </c>
      <c r="M7">
        <v>0</v>
      </c>
      <c r="N7" t="s">
        <v>25</v>
      </c>
      <c r="O7" t="s">
        <v>25</v>
      </c>
      <c r="P7" t="s">
        <v>368</v>
      </c>
      <c r="Q7">
        <f>-0.000626673996442709 - 0.0299642833813545</f>
        <v>-3.0590957377797209E-2</v>
      </c>
      <c r="R7" t="s">
        <v>32</v>
      </c>
      <c r="S7" t="s">
        <v>35</v>
      </c>
      <c r="T7" t="s">
        <v>36</v>
      </c>
      <c r="U7" t="s">
        <v>369</v>
      </c>
      <c r="V7">
        <v>0.111962050555932</v>
      </c>
      <c r="W7">
        <v>7.8038156576013002E-3</v>
      </c>
      <c r="X7" t="s">
        <v>362</v>
      </c>
      <c r="Y7" t="s">
        <v>29</v>
      </c>
    </row>
    <row r="8" spans="1:25" x14ac:dyDescent="0.2">
      <c r="A8" t="s">
        <v>359</v>
      </c>
      <c r="B8" t="s">
        <v>83</v>
      </c>
      <c r="C8" t="s">
        <v>105</v>
      </c>
      <c r="D8">
        <v>8.8536109833398394E-2</v>
      </c>
      <c r="E8">
        <v>0.263036011867953</v>
      </c>
      <c r="F8">
        <v>0.366060384870175</v>
      </c>
      <c r="G8">
        <v>10</v>
      </c>
      <c r="H8">
        <v>-5.184053106671E-4</v>
      </c>
      <c r="I8" t="s">
        <v>24</v>
      </c>
      <c r="J8" t="b">
        <v>1</v>
      </c>
      <c r="K8">
        <v>-42.289904229824998</v>
      </c>
      <c r="L8">
        <v>-41.3668273067481</v>
      </c>
      <c r="M8">
        <v>0</v>
      </c>
      <c r="N8" t="s">
        <v>25</v>
      </c>
      <c r="O8" t="s">
        <v>25</v>
      </c>
      <c r="P8" t="s">
        <v>370</v>
      </c>
      <c r="Q8">
        <f>-0.0013897119260542 - 0.000352901304719823</f>
        <v>-1.742613230774023E-3</v>
      </c>
      <c r="R8" t="s">
        <v>32</v>
      </c>
      <c r="S8" t="s">
        <v>27</v>
      </c>
      <c r="T8" t="s">
        <v>28</v>
      </c>
      <c r="U8" t="s">
        <v>371</v>
      </c>
      <c r="V8">
        <v>0.124500744440186</v>
      </c>
      <c r="W8">
        <v>4.4454419152389999E-4</v>
      </c>
      <c r="X8" t="s">
        <v>362</v>
      </c>
      <c r="Y8" t="s">
        <v>29</v>
      </c>
    </row>
    <row r="9" spans="1:25" x14ac:dyDescent="0.2">
      <c r="A9" t="s">
        <v>359</v>
      </c>
      <c r="B9" t="s">
        <v>84</v>
      </c>
      <c r="C9" t="s">
        <v>105</v>
      </c>
      <c r="D9">
        <v>2.9483493918889998E-3</v>
      </c>
      <c r="E9">
        <v>0.84169751721546104</v>
      </c>
      <c r="F9">
        <v>0.89155234070266498</v>
      </c>
      <c r="G9">
        <v>5</v>
      </c>
      <c r="H9">
        <v>-4.7055227446670002E-4</v>
      </c>
      <c r="I9" t="s">
        <v>24</v>
      </c>
      <c r="J9" t="b">
        <v>1</v>
      </c>
      <c r="K9">
        <v>-40.881484875680499</v>
      </c>
      <c r="L9">
        <v>-39.958407952603601</v>
      </c>
      <c r="M9">
        <v>0</v>
      </c>
      <c r="N9" t="s">
        <v>25</v>
      </c>
      <c r="O9" t="s">
        <v>25</v>
      </c>
      <c r="P9" t="s">
        <v>372</v>
      </c>
      <c r="Q9">
        <f>-0.00500338074424408 - 0.00406227619531065</f>
        <v>-9.065656939554731E-3</v>
      </c>
      <c r="R9" t="s">
        <v>26</v>
      </c>
      <c r="S9" t="s">
        <v>27</v>
      </c>
      <c r="T9" t="s">
        <v>28</v>
      </c>
      <c r="U9" t="s">
        <v>373</v>
      </c>
      <c r="V9">
        <v>0.119466713839087</v>
      </c>
      <c r="W9">
        <v>2.3126675866210998E-3</v>
      </c>
      <c r="X9" t="s">
        <v>362</v>
      </c>
      <c r="Y9" t="s">
        <v>29</v>
      </c>
    </row>
    <row r="10" spans="1:25" x14ac:dyDescent="0.2">
      <c r="A10" t="s">
        <v>359</v>
      </c>
      <c r="B10" t="s">
        <v>72</v>
      </c>
      <c r="C10" t="s">
        <v>105</v>
      </c>
      <c r="D10">
        <v>2.8700011479501999E-3</v>
      </c>
      <c r="E10">
        <v>0.84379060816502305</v>
      </c>
      <c r="F10">
        <v>0.89155234070266498</v>
      </c>
      <c r="G10">
        <v>7</v>
      </c>
      <c r="H10">
        <v>2.9503172821745999E-2</v>
      </c>
      <c r="I10" t="s">
        <v>24</v>
      </c>
      <c r="J10" t="b">
        <v>1</v>
      </c>
      <c r="K10">
        <v>-40.880524980090698</v>
      </c>
      <c r="L10">
        <v>-39.957448057013799</v>
      </c>
      <c r="M10">
        <v>0</v>
      </c>
      <c r="N10" t="s">
        <v>25</v>
      </c>
      <c r="O10" t="s">
        <v>25</v>
      </c>
      <c r="P10" t="s">
        <v>374</v>
      </c>
      <c r="Q10">
        <f>-0.258565235303025 - 0.317571580946517</f>
        <v>-0.57613681624954194</v>
      </c>
      <c r="R10" t="s">
        <v>26</v>
      </c>
      <c r="S10" t="s">
        <v>27</v>
      </c>
      <c r="T10" t="s">
        <v>28</v>
      </c>
      <c r="U10" t="s">
        <v>375</v>
      </c>
      <c r="V10">
        <v>0.116420868368022</v>
      </c>
      <c r="W10">
        <v>0.146973677614679</v>
      </c>
      <c r="X10" t="s">
        <v>362</v>
      </c>
      <c r="Y10" t="s">
        <v>29</v>
      </c>
    </row>
    <row r="11" spans="1:25" x14ac:dyDescent="0.2">
      <c r="A11" t="s">
        <v>359</v>
      </c>
      <c r="B11" t="s">
        <v>98</v>
      </c>
      <c r="C11" t="s">
        <v>105</v>
      </c>
      <c r="D11">
        <v>0.143489325546556</v>
      </c>
      <c r="E11">
        <v>0.14793449012780099</v>
      </c>
      <c r="F11">
        <v>0.29525654844360499</v>
      </c>
      <c r="G11">
        <v>17</v>
      </c>
      <c r="H11">
        <v>-5.4082531562661497E-2</v>
      </c>
      <c r="I11" t="s">
        <v>24</v>
      </c>
      <c r="J11" t="b">
        <v>1</v>
      </c>
      <c r="K11">
        <v>-42.900748674314698</v>
      </c>
      <c r="L11">
        <v>-41.9776717512377</v>
      </c>
      <c r="M11">
        <v>0</v>
      </c>
      <c r="N11" t="s">
        <v>25</v>
      </c>
      <c r="O11" t="s">
        <v>25</v>
      </c>
      <c r="P11" t="s">
        <v>376</v>
      </c>
      <c r="Q11">
        <f>-0.123298397839241 - 0.0151333347139183</f>
        <v>-0.1384317325531593</v>
      </c>
      <c r="R11" t="s">
        <v>26</v>
      </c>
      <c r="S11" t="s">
        <v>27</v>
      </c>
      <c r="T11" t="s">
        <v>28</v>
      </c>
      <c r="U11" t="s">
        <v>377</v>
      </c>
      <c r="V11">
        <v>0.13403318486763899</v>
      </c>
      <c r="W11">
        <v>3.53142174880509E-2</v>
      </c>
      <c r="X11" t="s">
        <v>362</v>
      </c>
      <c r="Y11" t="s">
        <v>29</v>
      </c>
    </row>
    <row r="12" spans="1:25" x14ac:dyDescent="0.2">
      <c r="A12" t="s">
        <v>359</v>
      </c>
      <c r="B12" t="s">
        <v>78</v>
      </c>
      <c r="C12" t="s">
        <v>105</v>
      </c>
      <c r="D12">
        <v>0.12375314185382</v>
      </c>
      <c r="E12">
        <v>0.19849899726627401</v>
      </c>
      <c r="F12">
        <v>0.32693952490915701</v>
      </c>
      <c r="G12">
        <v>17</v>
      </c>
      <c r="H12">
        <v>-1.3070393166849999E-3</v>
      </c>
      <c r="I12" t="s">
        <v>24</v>
      </c>
      <c r="J12" t="b">
        <v>1</v>
      </c>
      <c r="K12">
        <v>-39.852887287930997</v>
      </c>
      <c r="L12">
        <v>-38.852887287930997</v>
      </c>
      <c r="M12">
        <v>0</v>
      </c>
      <c r="N12" t="s">
        <v>25</v>
      </c>
      <c r="O12" t="s">
        <v>25</v>
      </c>
      <c r="P12" t="s">
        <v>378</v>
      </c>
      <c r="Q12">
        <f>-0.00319767637807017 - 0.000583597744700095</f>
        <v>-3.7812741227702651E-3</v>
      </c>
      <c r="R12" t="s">
        <v>30</v>
      </c>
      <c r="S12" t="s">
        <v>27</v>
      </c>
      <c r="T12" t="s">
        <v>28</v>
      </c>
      <c r="U12" t="s">
        <v>379</v>
      </c>
      <c r="V12">
        <v>0.13152719648304401</v>
      </c>
      <c r="W12">
        <v>9.6461074560459995E-4</v>
      </c>
      <c r="X12" t="s">
        <v>362</v>
      </c>
      <c r="Y12" t="s">
        <v>29</v>
      </c>
    </row>
    <row r="13" spans="1:25" x14ac:dyDescent="0.2">
      <c r="A13" t="s">
        <v>359</v>
      </c>
      <c r="B13" t="s">
        <v>93</v>
      </c>
      <c r="C13" t="s">
        <v>105</v>
      </c>
      <c r="D13">
        <v>0.460162181130573</v>
      </c>
      <c r="E13">
        <v>3.8697021846543001E-3</v>
      </c>
      <c r="F13">
        <v>3.0957617477234401E-2</v>
      </c>
      <c r="G13">
        <v>16</v>
      </c>
      <c r="H13">
        <v>4.0577795659870001E-4</v>
      </c>
      <c r="I13" t="s">
        <v>24</v>
      </c>
      <c r="J13" t="b">
        <v>1</v>
      </c>
      <c r="K13">
        <v>-46.882972368765898</v>
      </c>
      <c r="L13">
        <v>-45.959895445689</v>
      </c>
      <c r="M13">
        <v>0</v>
      </c>
      <c r="N13" t="s">
        <v>25</v>
      </c>
      <c r="O13" t="s">
        <v>25</v>
      </c>
      <c r="P13" t="s">
        <v>380</v>
      </c>
      <c r="Q13" t="s">
        <v>381</v>
      </c>
      <c r="R13" t="s">
        <v>32</v>
      </c>
      <c r="S13" t="s">
        <v>27</v>
      </c>
      <c r="T13" t="s">
        <v>28</v>
      </c>
      <c r="U13" t="s">
        <v>382</v>
      </c>
      <c r="V13">
        <v>0.108028720234856</v>
      </c>
      <c r="W13">
        <v>1.174628745355E-4</v>
      </c>
      <c r="X13" t="s">
        <v>362</v>
      </c>
      <c r="Y13" t="s">
        <v>29</v>
      </c>
    </row>
    <row r="14" spans="1:25" x14ac:dyDescent="0.2">
      <c r="A14" t="s">
        <v>359</v>
      </c>
      <c r="B14" t="s">
        <v>94</v>
      </c>
      <c r="C14" t="s">
        <v>105</v>
      </c>
      <c r="D14">
        <v>0.27001855168319799</v>
      </c>
      <c r="E14">
        <v>4.7110296252775199E-2</v>
      </c>
      <c r="F14">
        <v>0.16488603688471301</v>
      </c>
      <c r="G14">
        <v>4</v>
      </c>
      <c r="H14">
        <v>7.7032474509750005E-4</v>
      </c>
      <c r="I14" t="s">
        <v>24</v>
      </c>
      <c r="J14" t="b">
        <v>1</v>
      </c>
      <c r="K14">
        <v>-42.224710333408801</v>
      </c>
      <c r="L14">
        <v>-41.224710333408801</v>
      </c>
      <c r="M14">
        <v>0</v>
      </c>
      <c r="N14" t="s">
        <v>25</v>
      </c>
      <c r="O14" t="s">
        <v>25</v>
      </c>
      <c r="P14" t="s">
        <v>383</v>
      </c>
      <c r="Q14" t="s">
        <v>384</v>
      </c>
      <c r="R14" t="s">
        <v>30</v>
      </c>
      <c r="S14" t="s">
        <v>27</v>
      </c>
      <c r="T14" t="s">
        <v>28</v>
      </c>
      <c r="U14" t="s">
        <v>385</v>
      </c>
      <c r="V14">
        <v>5.5328635423440603E-2</v>
      </c>
      <c r="W14">
        <v>3.5128635640679998E-4</v>
      </c>
      <c r="X14" t="s">
        <v>362</v>
      </c>
      <c r="Y14" t="s">
        <v>29</v>
      </c>
    </row>
    <row r="15" spans="1:25" x14ac:dyDescent="0.2">
      <c r="A15" t="s">
        <v>359</v>
      </c>
      <c r="B15" t="s">
        <v>89</v>
      </c>
      <c r="C15" t="s">
        <v>105</v>
      </c>
      <c r="D15">
        <v>6.5645724111853695E-2</v>
      </c>
      <c r="E15">
        <v>0.35666180895331401</v>
      </c>
      <c r="F15">
        <v>0.42495875109330999</v>
      </c>
      <c r="G15">
        <v>10</v>
      </c>
      <c r="H15">
        <v>7.2945444645199998E-4</v>
      </c>
      <c r="I15" t="s">
        <v>24</v>
      </c>
      <c r="J15" t="b">
        <v>1</v>
      </c>
      <c r="K15">
        <v>-38.859108528223203</v>
      </c>
      <c r="L15">
        <v>-37.859108528223203</v>
      </c>
      <c r="M15">
        <v>0</v>
      </c>
      <c r="N15" t="s">
        <v>25</v>
      </c>
      <c r="O15" t="s">
        <v>25</v>
      </c>
      <c r="P15" t="s">
        <v>386</v>
      </c>
      <c r="Q15">
        <f>-0.000766557763823689 - 0.00222546665672778</f>
        <v>-2.9920244205514689E-3</v>
      </c>
      <c r="R15" t="s">
        <v>30</v>
      </c>
      <c r="S15" t="s">
        <v>27</v>
      </c>
      <c r="T15" t="s">
        <v>28</v>
      </c>
      <c r="U15" t="s">
        <v>387</v>
      </c>
      <c r="V15">
        <v>0.103606449877888</v>
      </c>
      <c r="W15">
        <v>7.6327153585489999E-4</v>
      </c>
      <c r="X15" t="s">
        <v>362</v>
      </c>
      <c r="Y15" t="s">
        <v>29</v>
      </c>
    </row>
    <row r="16" spans="1:25" x14ac:dyDescent="0.2">
      <c r="A16" t="s">
        <v>359</v>
      </c>
      <c r="B16" t="s">
        <v>95</v>
      </c>
      <c r="C16" t="s">
        <v>105</v>
      </c>
      <c r="D16">
        <v>5.0408319539413998E-3</v>
      </c>
      <c r="E16">
        <v>0.79387098113002796</v>
      </c>
      <c r="F16">
        <v>0.88913549886563104</v>
      </c>
      <c r="G16">
        <v>6</v>
      </c>
      <c r="H16">
        <v>-5.659893372301E-4</v>
      </c>
      <c r="I16" t="s">
        <v>24</v>
      </c>
      <c r="J16" t="b">
        <v>1</v>
      </c>
      <c r="K16">
        <v>-40.9163972180325</v>
      </c>
      <c r="L16">
        <v>-39.993320294955602</v>
      </c>
      <c r="M16">
        <v>0</v>
      </c>
      <c r="N16" t="s">
        <v>25</v>
      </c>
      <c r="O16" t="s">
        <v>25</v>
      </c>
      <c r="P16" t="s">
        <v>388</v>
      </c>
      <c r="Q16">
        <f>-0.00473134243294332 - 0.00359936375848292</f>
        <v>-8.3307061914262397E-3</v>
      </c>
      <c r="R16" t="s">
        <v>32</v>
      </c>
      <c r="S16" t="s">
        <v>27</v>
      </c>
      <c r="T16" t="s">
        <v>28</v>
      </c>
      <c r="U16" t="s">
        <v>389</v>
      </c>
      <c r="V16">
        <v>0.122001741999249</v>
      </c>
      <c r="W16">
        <v>2.1251801508739999E-3</v>
      </c>
      <c r="X16" t="s">
        <v>362</v>
      </c>
      <c r="Y16" t="s">
        <v>29</v>
      </c>
    </row>
    <row r="17" spans="1:25" x14ac:dyDescent="0.2">
      <c r="A17" t="s">
        <v>359</v>
      </c>
      <c r="B17" t="s">
        <v>85</v>
      </c>
      <c r="C17" t="s">
        <v>105</v>
      </c>
      <c r="D17">
        <v>6.8428377806897603E-2</v>
      </c>
      <c r="E17">
        <v>0.34630720022621297</v>
      </c>
      <c r="F17">
        <v>0.42449901999741602</v>
      </c>
      <c r="G17">
        <v>15</v>
      </c>
      <c r="H17">
        <v>3.596296178068E-4</v>
      </c>
      <c r="I17" t="s">
        <v>24</v>
      </c>
      <c r="J17" t="b">
        <v>1</v>
      </c>
      <c r="K17">
        <v>-38.924505925476701</v>
      </c>
      <c r="L17">
        <v>-37.924505925476701</v>
      </c>
      <c r="M17">
        <v>0</v>
      </c>
      <c r="N17" t="s">
        <v>25</v>
      </c>
      <c r="O17" t="s">
        <v>25</v>
      </c>
      <c r="P17" t="s">
        <v>390</v>
      </c>
      <c r="Q17">
        <f>-0.000361693497412276 - 0.00108095273302604</f>
        <v>-1.4426462304383161E-3</v>
      </c>
      <c r="R17" t="s">
        <v>30</v>
      </c>
      <c r="S17" t="s">
        <v>27</v>
      </c>
      <c r="T17" t="s">
        <v>28</v>
      </c>
      <c r="U17" t="s">
        <v>391</v>
      </c>
      <c r="V17">
        <v>8.7562932639847296E-2</v>
      </c>
      <c r="W17">
        <v>3.6802199756070001E-4</v>
      </c>
      <c r="X17" t="s">
        <v>362</v>
      </c>
      <c r="Y17" t="s">
        <v>29</v>
      </c>
    </row>
    <row r="18" spans="1:25" x14ac:dyDescent="0.2">
      <c r="A18" t="s">
        <v>359</v>
      </c>
      <c r="B18" t="s">
        <v>62</v>
      </c>
      <c r="C18" t="s">
        <v>105</v>
      </c>
      <c r="D18">
        <v>9.2934395764811994E-2</v>
      </c>
      <c r="E18">
        <v>0.25093468494799098</v>
      </c>
      <c r="F18">
        <v>0.36292974906134501</v>
      </c>
      <c r="G18">
        <v>15</v>
      </c>
      <c r="H18">
        <v>3.7110036007540002E-4</v>
      </c>
      <c r="I18" t="s">
        <v>24</v>
      </c>
      <c r="J18" t="b">
        <v>1</v>
      </c>
      <c r="K18">
        <v>-42.335364224653802</v>
      </c>
      <c r="L18">
        <v>-41.412287301576903</v>
      </c>
      <c r="M18">
        <v>0</v>
      </c>
      <c r="N18" t="s">
        <v>25</v>
      </c>
      <c r="O18" t="s">
        <v>25</v>
      </c>
      <c r="P18" t="s">
        <v>392</v>
      </c>
      <c r="Q18">
        <f>-0.000236215382545871 - 0.000978416102696736</f>
        <v>-1.214631485242607E-3</v>
      </c>
      <c r="R18" t="s">
        <v>31</v>
      </c>
      <c r="S18" t="s">
        <v>27</v>
      </c>
      <c r="T18" t="s">
        <v>28</v>
      </c>
      <c r="U18" t="s">
        <v>393</v>
      </c>
      <c r="V18">
        <v>0.10049056650713201</v>
      </c>
      <c r="W18">
        <v>3.098549707251E-4</v>
      </c>
      <c r="X18" t="s">
        <v>362</v>
      </c>
      <c r="Y18" t="s">
        <v>29</v>
      </c>
    </row>
    <row r="19" spans="1:25" x14ac:dyDescent="0.2">
      <c r="A19" t="s">
        <v>359</v>
      </c>
      <c r="B19" t="s">
        <v>61</v>
      </c>
      <c r="C19" t="s">
        <v>105</v>
      </c>
      <c r="D19">
        <v>0.18068177671003499</v>
      </c>
      <c r="E19">
        <v>0.10073898174185</v>
      </c>
      <c r="F19">
        <v>0.24527752076276499</v>
      </c>
      <c r="G19">
        <v>17</v>
      </c>
      <c r="H19">
        <v>5.4301892267539999E-4</v>
      </c>
      <c r="I19" t="s">
        <v>24</v>
      </c>
      <c r="J19" t="b">
        <v>1</v>
      </c>
      <c r="K19">
        <v>-44.013420619794402</v>
      </c>
      <c r="L19">
        <v>-43.090343696717497</v>
      </c>
      <c r="M19">
        <v>0</v>
      </c>
      <c r="N19" t="s">
        <v>25</v>
      </c>
      <c r="O19" t="s">
        <v>25</v>
      </c>
      <c r="P19" t="s">
        <v>394</v>
      </c>
      <c r="Q19">
        <f>-0.0000627069835281306 - 0.00114874482887907</f>
        <v>-1.2114518124072004E-3</v>
      </c>
      <c r="R19" t="s">
        <v>32</v>
      </c>
      <c r="S19" t="s">
        <v>27</v>
      </c>
      <c r="T19" t="s">
        <v>28</v>
      </c>
      <c r="U19" t="s">
        <v>395</v>
      </c>
      <c r="V19">
        <v>9.5548160150097497E-2</v>
      </c>
      <c r="W19">
        <v>3.090438296957E-4</v>
      </c>
      <c r="X19" t="s">
        <v>362</v>
      </c>
      <c r="Y19" t="s">
        <v>29</v>
      </c>
    </row>
    <row r="20" spans="1:25" x14ac:dyDescent="0.2">
      <c r="A20" t="s">
        <v>359</v>
      </c>
      <c r="B20" t="s">
        <v>80</v>
      </c>
      <c r="C20" t="s">
        <v>105</v>
      </c>
      <c r="D20">
        <v>0.17303222367431201</v>
      </c>
      <c r="E20">
        <v>0.10903783274145901</v>
      </c>
      <c r="F20">
        <v>0.254421609730071</v>
      </c>
      <c r="G20">
        <v>15</v>
      </c>
      <c r="H20">
        <v>4.3056139635160903E-2</v>
      </c>
      <c r="I20" t="s">
        <v>34</v>
      </c>
      <c r="J20" t="b">
        <v>1</v>
      </c>
      <c r="K20">
        <v>-43.262155766586901</v>
      </c>
      <c r="L20">
        <v>-42.339078843510002</v>
      </c>
      <c r="M20">
        <v>0</v>
      </c>
      <c r="N20" t="s">
        <v>25</v>
      </c>
      <c r="O20" t="s">
        <v>25</v>
      </c>
      <c r="P20" t="s">
        <v>396</v>
      </c>
      <c r="Q20">
        <f>-0.00625078793292171 - 0.0923630672032436</f>
        <v>-9.8613855136165302E-2</v>
      </c>
      <c r="R20" t="s">
        <v>26</v>
      </c>
      <c r="S20" t="s">
        <v>35</v>
      </c>
      <c r="T20" t="s">
        <v>36</v>
      </c>
      <c r="U20" t="s">
        <v>397</v>
      </c>
      <c r="V20">
        <v>0.110598375828327</v>
      </c>
      <c r="W20">
        <v>2.51565956980014E-2</v>
      </c>
      <c r="X20" t="s">
        <v>362</v>
      </c>
      <c r="Y20" t="s">
        <v>29</v>
      </c>
    </row>
    <row r="21" spans="1:25" x14ac:dyDescent="0.2">
      <c r="A21" t="s">
        <v>359</v>
      </c>
      <c r="B21" t="s">
        <v>51</v>
      </c>
      <c r="C21" t="s">
        <v>105</v>
      </c>
      <c r="D21">
        <v>1.5351864979537E-3</v>
      </c>
      <c r="E21">
        <v>0.885447776122393</v>
      </c>
      <c r="F21">
        <v>0.91824213820099998</v>
      </c>
      <c r="G21">
        <v>8</v>
      </c>
      <c r="H21" s="1">
        <v>5.5827959122455502E-5</v>
      </c>
      <c r="I21" t="s">
        <v>24</v>
      </c>
      <c r="J21" t="b">
        <v>1</v>
      </c>
      <c r="K21">
        <v>-40.860163092396803</v>
      </c>
      <c r="L21">
        <v>-39.937086169319798</v>
      </c>
      <c r="M21">
        <v>0</v>
      </c>
      <c r="N21" t="s">
        <v>25</v>
      </c>
      <c r="O21" t="s">
        <v>25</v>
      </c>
      <c r="P21" t="s">
        <v>398</v>
      </c>
      <c r="Q21">
        <f>-0.000689984469903265 - 0.000801640388148176</f>
        <v>-1.4916248580514411E-3</v>
      </c>
      <c r="R21" t="s">
        <v>31</v>
      </c>
      <c r="S21" t="s">
        <v>27</v>
      </c>
      <c r="T21" t="s">
        <v>28</v>
      </c>
      <c r="U21" t="s">
        <v>399</v>
      </c>
      <c r="V21">
        <v>0.116793968260513</v>
      </c>
      <c r="W21">
        <v>3.8051654542120003E-4</v>
      </c>
      <c r="X21" t="s">
        <v>362</v>
      </c>
      <c r="Y21" t="s">
        <v>29</v>
      </c>
    </row>
    <row r="22" spans="1:25" x14ac:dyDescent="0.2">
      <c r="A22" t="s">
        <v>359</v>
      </c>
      <c r="B22" t="s">
        <v>99</v>
      </c>
      <c r="C22" t="s">
        <v>105</v>
      </c>
      <c r="D22">
        <v>0.38201813706608501</v>
      </c>
      <c r="E22">
        <v>1.4060082211691E-2</v>
      </c>
      <c r="F22">
        <v>8.2773720095068198E-2</v>
      </c>
      <c r="G22">
        <v>17</v>
      </c>
      <c r="H22">
        <v>5.7639617685059999E-4</v>
      </c>
      <c r="I22" t="s">
        <v>24</v>
      </c>
      <c r="J22" t="b">
        <v>1</v>
      </c>
      <c r="K22">
        <v>-44.142651711158699</v>
      </c>
      <c r="L22">
        <v>-43.142651711158699</v>
      </c>
      <c r="M22">
        <v>0</v>
      </c>
      <c r="N22" t="s">
        <v>25</v>
      </c>
      <c r="O22" t="s">
        <v>25</v>
      </c>
      <c r="P22" t="s">
        <v>400</v>
      </c>
      <c r="Q22" t="s">
        <v>401</v>
      </c>
      <c r="R22" t="s">
        <v>30</v>
      </c>
      <c r="S22" t="s">
        <v>27</v>
      </c>
      <c r="T22" t="s">
        <v>28</v>
      </c>
      <c r="U22" t="s">
        <v>402</v>
      </c>
      <c r="V22">
        <v>5.8254801171628103E-2</v>
      </c>
      <c r="W22">
        <v>2.0332711045740001E-4</v>
      </c>
      <c r="X22" t="s">
        <v>362</v>
      </c>
      <c r="Y22" t="s">
        <v>29</v>
      </c>
    </row>
    <row r="23" spans="1:25" x14ac:dyDescent="0.2">
      <c r="A23" t="s">
        <v>359</v>
      </c>
      <c r="B23" t="s">
        <v>69</v>
      </c>
      <c r="C23" t="s">
        <v>105</v>
      </c>
      <c r="D23">
        <v>0.28957807217820802</v>
      </c>
      <c r="E23">
        <v>3.1534944597854803E-2</v>
      </c>
      <c r="F23">
        <v>0.117730459831991</v>
      </c>
      <c r="G23">
        <v>16</v>
      </c>
      <c r="H23">
        <v>6.7251101060830003E-4</v>
      </c>
      <c r="I23" t="s">
        <v>24</v>
      </c>
      <c r="J23" t="b">
        <v>1</v>
      </c>
      <c r="K23">
        <v>-46.169778618657702</v>
      </c>
      <c r="L23">
        <v>-45.246701695580803</v>
      </c>
      <c r="M23">
        <v>0</v>
      </c>
      <c r="N23" t="s">
        <v>25</v>
      </c>
      <c r="O23" t="s">
        <v>25</v>
      </c>
      <c r="P23" t="s">
        <v>403</v>
      </c>
      <c r="Q23" t="s">
        <v>404</v>
      </c>
      <c r="R23" t="s">
        <v>26</v>
      </c>
      <c r="S23" t="s">
        <v>27</v>
      </c>
      <c r="T23" t="s">
        <v>28</v>
      </c>
      <c r="U23" t="s">
        <v>405</v>
      </c>
      <c r="V23">
        <v>7.4443345078103004E-2</v>
      </c>
      <c r="W23">
        <v>2.81520953001E-4</v>
      </c>
      <c r="X23" t="s">
        <v>362</v>
      </c>
      <c r="Y23" t="s">
        <v>29</v>
      </c>
    </row>
    <row r="24" spans="1:25" x14ac:dyDescent="0.2">
      <c r="A24" t="s">
        <v>359</v>
      </c>
      <c r="B24" t="s">
        <v>79</v>
      </c>
      <c r="C24" t="s">
        <v>105</v>
      </c>
      <c r="D24">
        <v>0.15821508688098199</v>
      </c>
      <c r="E24">
        <v>0.12707020229018101</v>
      </c>
      <c r="F24">
        <v>0.28447149741650102</v>
      </c>
      <c r="G24">
        <v>12</v>
      </c>
      <c r="H24">
        <v>4.6048984483739998E-4</v>
      </c>
      <c r="I24" t="s">
        <v>24</v>
      </c>
      <c r="J24" t="b">
        <v>1</v>
      </c>
      <c r="K24">
        <v>-43.5509088126744</v>
      </c>
      <c r="L24">
        <v>-42.627831889597502</v>
      </c>
      <c r="M24">
        <v>0</v>
      </c>
      <c r="N24" t="s">
        <v>25</v>
      </c>
      <c r="O24" t="s">
        <v>25</v>
      </c>
      <c r="P24" t="s">
        <v>406</v>
      </c>
      <c r="Q24">
        <f>-0.0000959122194337908 - 0.00101689190910879</f>
        <v>-1.1128041285425809E-3</v>
      </c>
      <c r="R24" t="s">
        <v>31</v>
      </c>
      <c r="S24" t="s">
        <v>27</v>
      </c>
      <c r="T24" t="s">
        <v>28</v>
      </c>
      <c r="U24" t="s">
        <v>407</v>
      </c>
      <c r="V24">
        <v>9.4022851948938696E-2</v>
      </c>
      <c r="W24">
        <v>2.8387860421999998E-4</v>
      </c>
      <c r="X24" t="s">
        <v>362</v>
      </c>
      <c r="Y24" t="s">
        <v>29</v>
      </c>
    </row>
    <row r="25" spans="1:25" x14ac:dyDescent="0.2">
      <c r="A25" t="s">
        <v>359</v>
      </c>
      <c r="B25" t="s">
        <v>57</v>
      </c>
      <c r="C25" t="s">
        <v>105</v>
      </c>
      <c r="D25">
        <v>8.3793681528308697E-2</v>
      </c>
      <c r="E25">
        <v>0.27683523874971599</v>
      </c>
      <c r="F25">
        <v>0.36911365166628801</v>
      </c>
      <c r="G25">
        <v>17</v>
      </c>
      <c r="H25">
        <v>-8.4316665829290002E-4</v>
      </c>
      <c r="I25" t="s">
        <v>24</v>
      </c>
      <c r="J25" t="b">
        <v>1</v>
      </c>
      <c r="K25">
        <v>-42.1815550471431</v>
      </c>
      <c r="L25">
        <v>-41.258478124066102</v>
      </c>
      <c r="M25">
        <v>0</v>
      </c>
      <c r="N25" t="s">
        <v>25</v>
      </c>
      <c r="O25" t="s">
        <v>25</v>
      </c>
      <c r="P25" t="s">
        <v>408</v>
      </c>
      <c r="Q25">
        <f>-0.0023036495822817 - 0.000617316265695873</f>
        <v>-2.9209658479775729E-3</v>
      </c>
      <c r="R25" t="s">
        <v>26</v>
      </c>
      <c r="S25" t="s">
        <v>27</v>
      </c>
      <c r="T25" t="s">
        <v>28</v>
      </c>
      <c r="U25" t="s">
        <v>409</v>
      </c>
      <c r="V25">
        <v>0.12457714313837701</v>
      </c>
      <c r="W25">
        <v>7.4514434897380005E-4</v>
      </c>
      <c r="X25" t="s">
        <v>362</v>
      </c>
      <c r="Y25" t="s">
        <v>29</v>
      </c>
    </row>
    <row r="26" spans="1:25" x14ac:dyDescent="0.2">
      <c r="A26" t="s">
        <v>359</v>
      </c>
      <c r="B26" t="s">
        <v>92</v>
      </c>
      <c r="C26" t="s">
        <v>105</v>
      </c>
      <c r="D26">
        <v>0.53493110756074003</v>
      </c>
      <c r="E26">
        <v>1.2832774107338E-3</v>
      </c>
      <c r="F26">
        <v>2.9753621990183401E-2</v>
      </c>
      <c r="G26">
        <v>13</v>
      </c>
      <c r="H26">
        <v>-4.2447565911422997E-3</v>
      </c>
      <c r="I26" t="s">
        <v>24</v>
      </c>
      <c r="J26" t="b">
        <v>1</v>
      </c>
      <c r="K26">
        <v>-52.571921092420098</v>
      </c>
      <c r="L26">
        <v>-51.648844169343199</v>
      </c>
      <c r="M26">
        <v>0</v>
      </c>
      <c r="N26" t="s">
        <v>25</v>
      </c>
      <c r="O26" t="s">
        <v>25</v>
      </c>
      <c r="P26" t="s">
        <v>410</v>
      </c>
      <c r="Q26">
        <f>-0.00631802038540584 - -0.00217149279687892</f>
        <v>-4.1465275885269196E-3</v>
      </c>
      <c r="R26" t="s">
        <v>26</v>
      </c>
      <c r="S26" t="s">
        <v>27</v>
      </c>
      <c r="T26" t="s">
        <v>28</v>
      </c>
      <c r="U26" t="s">
        <v>411</v>
      </c>
      <c r="V26">
        <v>0.174294018730006</v>
      </c>
      <c r="W26">
        <v>1.0577876501344E-3</v>
      </c>
      <c r="X26" t="s">
        <v>362</v>
      </c>
      <c r="Y26" t="s">
        <v>29</v>
      </c>
    </row>
    <row r="27" spans="1:25" x14ac:dyDescent="0.2">
      <c r="A27" t="s">
        <v>359</v>
      </c>
      <c r="B27" t="s">
        <v>70</v>
      </c>
      <c r="C27" t="s">
        <v>105</v>
      </c>
      <c r="D27">
        <v>0.50471283229556096</v>
      </c>
      <c r="E27">
        <v>2.9957004470516999E-3</v>
      </c>
      <c r="F27">
        <v>2.9753621990183401E-2</v>
      </c>
      <c r="G27">
        <v>16</v>
      </c>
      <c r="H27">
        <v>0.15071453128439499</v>
      </c>
      <c r="I27" t="s">
        <v>34</v>
      </c>
      <c r="J27" t="b">
        <v>1</v>
      </c>
      <c r="K27">
        <v>-44.979907531754101</v>
      </c>
      <c r="L27">
        <v>-43.979907531754101</v>
      </c>
      <c r="M27">
        <v>0</v>
      </c>
      <c r="N27" t="s">
        <v>25</v>
      </c>
      <c r="O27" t="s">
        <v>25</v>
      </c>
      <c r="P27" t="s">
        <v>412</v>
      </c>
      <c r="Q27" t="s">
        <v>413</v>
      </c>
      <c r="R27" t="s">
        <v>30</v>
      </c>
      <c r="S27" t="s">
        <v>35</v>
      </c>
      <c r="T27" t="s">
        <v>36</v>
      </c>
      <c r="U27" t="s">
        <v>414</v>
      </c>
      <c r="V27">
        <v>0.107552437080379</v>
      </c>
      <c r="W27">
        <v>4.1408530227791299E-2</v>
      </c>
      <c r="X27" t="s">
        <v>362</v>
      </c>
      <c r="Y27" t="s">
        <v>29</v>
      </c>
    </row>
    <row r="28" spans="1:25" x14ac:dyDescent="0.2">
      <c r="A28" t="s">
        <v>359</v>
      </c>
      <c r="B28" t="s">
        <v>91</v>
      </c>
      <c r="C28" t="s">
        <v>105</v>
      </c>
      <c r="D28" s="1">
        <v>1.1408722041271E-6</v>
      </c>
      <c r="E28">
        <v>0.99686763123826305</v>
      </c>
      <c r="F28">
        <v>0.99686763123826305</v>
      </c>
      <c r="G28">
        <v>4</v>
      </c>
      <c r="H28" s="1">
        <v>-3.6410679852909799E-6</v>
      </c>
      <c r="I28" t="s">
        <v>24</v>
      </c>
      <c r="J28" t="b">
        <v>1</v>
      </c>
      <c r="K28">
        <v>-40.835651702209297</v>
      </c>
      <c r="L28">
        <v>-39.912574779132399</v>
      </c>
      <c r="M28">
        <v>0</v>
      </c>
      <c r="N28" t="s">
        <v>25</v>
      </c>
      <c r="O28" t="s">
        <v>25</v>
      </c>
      <c r="P28" t="s">
        <v>415</v>
      </c>
      <c r="Q28">
        <f>-0.00178931473512116 - 0.00178203259915058</f>
        <v>-3.5713473342717404E-3</v>
      </c>
      <c r="R28" t="s">
        <v>31</v>
      </c>
      <c r="S28" t="s">
        <v>27</v>
      </c>
      <c r="T28" t="s">
        <v>28</v>
      </c>
      <c r="U28" t="s">
        <v>416</v>
      </c>
      <c r="V28">
        <v>0.117526188096333</v>
      </c>
      <c r="W28">
        <v>9.1105799343659997E-4</v>
      </c>
      <c r="X28" t="s">
        <v>362</v>
      </c>
      <c r="Y28" t="s">
        <v>29</v>
      </c>
    </row>
    <row r="29" spans="1:25" x14ac:dyDescent="0.2">
      <c r="A29" t="s">
        <v>359</v>
      </c>
      <c r="B29" t="s">
        <v>82</v>
      </c>
      <c r="C29" t="s">
        <v>105</v>
      </c>
      <c r="D29">
        <v>0.331647161265478</v>
      </c>
      <c r="E29">
        <v>1.9566926525378801E-2</v>
      </c>
      <c r="F29">
        <v>9.0707646136231307E-2</v>
      </c>
      <c r="G29">
        <v>15</v>
      </c>
      <c r="H29">
        <v>1.8228500027002499E-2</v>
      </c>
      <c r="I29" t="s">
        <v>34</v>
      </c>
      <c r="J29" t="b">
        <v>1</v>
      </c>
      <c r="K29">
        <v>-43.816189595535803</v>
      </c>
      <c r="L29">
        <v>-42.893112672458798</v>
      </c>
      <c r="M29">
        <v>0</v>
      </c>
      <c r="N29" t="s">
        <v>25</v>
      </c>
      <c r="O29" t="s">
        <v>25</v>
      </c>
      <c r="P29" t="s">
        <v>417</v>
      </c>
      <c r="Q29" t="s">
        <v>418</v>
      </c>
      <c r="R29" t="s">
        <v>32</v>
      </c>
      <c r="S29" t="s">
        <v>35</v>
      </c>
      <c r="T29" t="s">
        <v>36</v>
      </c>
      <c r="U29" t="s">
        <v>419</v>
      </c>
      <c r="V29">
        <v>9.5806310074598805E-2</v>
      </c>
      <c r="W29">
        <v>6.9159472438793997E-3</v>
      </c>
      <c r="X29" t="s">
        <v>362</v>
      </c>
      <c r="Y29" t="s">
        <v>29</v>
      </c>
    </row>
    <row r="30" spans="1:25" x14ac:dyDescent="0.2">
      <c r="A30" t="s">
        <v>359</v>
      </c>
      <c r="B30" t="s">
        <v>88</v>
      </c>
      <c r="C30" t="s">
        <v>105</v>
      </c>
      <c r="D30">
        <v>6.6627552868756906E-2</v>
      </c>
      <c r="E30">
        <v>0.33442881572155397</v>
      </c>
      <c r="F30">
        <v>0.42449901999741602</v>
      </c>
      <c r="G30">
        <v>8</v>
      </c>
      <c r="H30">
        <v>-1.2965301279385E-3</v>
      </c>
      <c r="I30" t="s">
        <v>24</v>
      </c>
      <c r="J30" t="b">
        <v>1</v>
      </c>
      <c r="K30">
        <v>-41.866410102909001</v>
      </c>
      <c r="L30">
        <v>-40.943333179832102</v>
      </c>
      <c r="M30">
        <v>0</v>
      </c>
      <c r="N30" t="s">
        <v>25</v>
      </c>
      <c r="O30" t="s">
        <v>25</v>
      </c>
      <c r="P30" t="s">
        <v>420</v>
      </c>
      <c r="Q30">
        <f>-0.00383852823938129 - 0.00124546798350412</f>
        <v>-5.0839962228854101E-3</v>
      </c>
      <c r="R30" t="s">
        <v>32</v>
      </c>
      <c r="S30" t="s">
        <v>27</v>
      </c>
      <c r="T30" t="s">
        <v>28</v>
      </c>
      <c r="U30" t="s">
        <v>421</v>
      </c>
      <c r="V30">
        <v>0.126031351030329</v>
      </c>
      <c r="W30">
        <v>1.2969378119605001E-3</v>
      </c>
      <c r="X30" t="s">
        <v>362</v>
      </c>
      <c r="Y30" t="s">
        <v>29</v>
      </c>
    </row>
    <row r="31" spans="1:25" x14ac:dyDescent="0.2">
      <c r="A31" t="s">
        <v>359</v>
      </c>
      <c r="B31" t="s">
        <v>43</v>
      </c>
      <c r="C31" t="s">
        <v>105</v>
      </c>
      <c r="D31">
        <v>0.50643143032438398</v>
      </c>
      <c r="E31">
        <v>1.9893265277080002E-3</v>
      </c>
      <c r="F31">
        <v>2.9753621990183401E-2</v>
      </c>
      <c r="G31">
        <v>16</v>
      </c>
      <c r="H31">
        <v>5.629111170341E-4</v>
      </c>
      <c r="I31" t="s">
        <v>34</v>
      </c>
      <c r="J31" t="b">
        <v>1</v>
      </c>
      <c r="K31">
        <v>-48.271535789574401</v>
      </c>
      <c r="L31">
        <v>-47.348458866497403</v>
      </c>
      <c r="M31">
        <v>0</v>
      </c>
      <c r="N31" t="s">
        <v>25</v>
      </c>
      <c r="O31" t="s">
        <v>25</v>
      </c>
      <c r="P31" t="s">
        <v>422</v>
      </c>
      <c r="Q31" t="s">
        <v>423</v>
      </c>
      <c r="R31" t="s">
        <v>31</v>
      </c>
      <c r="S31" t="s">
        <v>35</v>
      </c>
      <c r="T31" t="s">
        <v>36</v>
      </c>
      <c r="U31" t="s">
        <v>424</v>
      </c>
      <c r="V31">
        <v>0.113052949733877</v>
      </c>
      <c r="W31">
        <v>1.4852146703E-4</v>
      </c>
      <c r="X31" t="s">
        <v>362</v>
      </c>
      <c r="Y31" t="s">
        <v>29</v>
      </c>
    </row>
    <row r="32" spans="1:25" x14ac:dyDescent="0.2">
      <c r="A32" t="s">
        <v>359</v>
      </c>
      <c r="B32" t="s">
        <v>97</v>
      </c>
      <c r="C32" t="s">
        <v>105</v>
      </c>
      <c r="D32">
        <v>9.5414755810276794E-2</v>
      </c>
      <c r="E32">
        <v>0.244387394265066</v>
      </c>
      <c r="F32">
        <v>0.36292974906134501</v>
      </c>
      <c r="G32">
        <v>15</v>
      </c>
      <c r="H32">
        <v>1.3804651242048001E-3</v>
      </c>
      <c r="I32" t="s">
        <v>24</v>
      </c>
      <c r="J32" t="b">
        <v>1</v>
      </c>
      <c r="K32">
        <v>-42.284310056388001</v>
      </c>
      <c r="L32">
        <v>-41.361233133311103</v>
      </c>
      <c r="M32">
        <v>0</v>
      </c>
      <c r="N32" t="s">
        <v>25</v>
      </c>
      <c r="O32" t="s">
        <v>25</v>
      </c>
      <c r="P32" t="s">
        <v>425</v>
      </c>
      <c r="Q32">
        <f>-0.0008460952242314 - 0.00360702547264106</f>
        <v>-4.4531206968724596E-3</v>
      </c>
      <c r="R32" t="s">
        <v>32</v>
      </c>
      <c r="S32" t="s">
        <v>27</v>
      </c>
      <c r="T32" t="s">
        <v>28</v>
      </c>
      <c r="U32" t="s">
        <v>426</v>
      </c>
      <c r="V32">
        <v>0.112720841374714</v>
      </c>
      <c r="W32">
        <v>1.1360001777735E-3</v>
      </c>
      <c r="X32" t="s">
        <v>362</v>
      </c>
      <c r="Y32" t="s">
        <v>29</v>
      </c>
    </row>
    <row r="33" spans="1:25" x14ac:dyDescent="0.2">
      <c r="A33" t="s">
        <v>359</v>
      </c>
      <c r="B33" t="s">
        <v>67</v>
      </c>
      <c r="C33" t="s">
        <v>105</v>
      </c>
      <c r="D33">
        <v>0.32529661252731001</v>
      </c>
      <c r="E33">
        <v>2.1057132138768E-2</v>
      </c>
      <c r="F33">
        <v>9.0707646136231307E-2</v>
      </c>
      <c r="G33">
        <v>14</v>
      </c>
      <c r="H33">
        <v>-1.0169648146457299E-2</v>
      </c>
      <c r="I33" t="s">
        <v>24</v>
      </c>
      <c r="J33" t="b">
        <v>1</v>
      </c>
      <c r="K33">
        <v>-45.126536553080697</v>
      </c>
      <c r="L33">
        <v>-44.203459630003699</v>
      </c>
      <c r="M33">
        <v>0</v>
      </c>
      <c r="N33" t="s">
        <v>25</v>
      </c>
      <c r="O33" t="s">
        <v>25</v>
      </c>
      <c r="P33" t="s">
        <v>427</v>
      </c>
      <c r="Q33">
        <f>-0.0178417552272777 - -0.00249754106563699</f>
        <v>-1.5344214161640711E-2</v>
      </c>
      <c r="R33" t="s">
        <v>31</v>
      </c>
      <c r="S33" t="s">
        <v>27</v>
      </c>
      <c r="T33" t="s">
        <v>28</v>
      </c>
      <c r="U33" t="s">
        <v>428</v>
      </c>
      <c r="V33">
        <v>0.150215595642261</v>
      </c>
      <c r="W33">
        <v>3.9143403473572997E-3</v>
      </c>
      <c r="X33" t="s">
        <v>362</v>
      </c>
      <c r="Y33" t="s">
        <v>29</v>
      </c>
    </row>
    <row r="34" spans="1:25" x14ac:dyDescent="0.2">
      <c r="A34" t="s">
        <v>359</v>
      </c>
      <c r="B34" t="s">
        <v>81</v>
      </c>
      <c r="C34" t="s">
        <v>105</v>
      </c>
      <c r="D34">
        <v>0.188026649377941</v>
      </c>
      <c r="E34">
        <v>9.3351486392359906E-2</v>
      </c>
      <c r="F34">
        <v>0.24527752076276499</v>
      </c>
      <c r="G34">
        <v>7</v>
      </c>
      <c r="H34">
        <v>-4.7148445816007301E-2</v>
      </c>
      <c r="I34" t="s">
        <v>24</v>
      </c>
      <c r="J34" t="b">
        <v>1</v>
      </c>
      <c r="K34">
        <v>-44.166600489148102</v>
      </c>
      <c r="L34">
        <v>-43.243523566071197</v>
      </c>
      <c r="M34">
        <v>0</v>
      </c>
      <c r="N34" t="s">
        <v>25</v>
      </c>
      <c r="O34" t="s">
        <v>25</v>
      </c>
      <c r="P34" t="s">
        <v>429</v>
      </c>
      <c r="Q34">
        <f>-0.0984724603454319 - 0.00417556871341729</f>
        <v>-0.10264802905884919</v>
      </c>
      <c r="R34" t="s">
        <v>31</v>
      </c>
      <c r="S34" t="s">
        <v>27</v>
      </c>
      <c r="T34" t="s">
        <v>28</v>
      </c>
      <c r="U34" t="s">
        <v>430</v>
      </c>
      <c r="V34">
        <v>0.132926435280625</v>
      </c>
      <c r="W34">
        <v>2.6185721698686E-2</v>
      </c>
      <c r="X34" t="s">
        <v>362</v>
      </c>
      <c r="Y34" t="s">
        <v>29</v>
      </c>
    </row>
    <row r="35" spans="1:25" x14ac:dyDescent="0.2">
      <c r="A35" t="s">
        <v>359</v>
      </c>
      <c r="B35" t="s">
        <v>66</v>
      </c>
      <c r="C35" t="s">
        <v>105</v>
      </c>
      <c r="D35">
        <v>0.15060170151933</v>
      </c>
      <c r="E35">
        <v>0.15290071258686699</v>
      </c>
      <c r="F35">
        <v>0.29525654844360499</v>
      </c>
      <c r="G35">
        <v>16</v>
      </c>
      <c r="H35">
        <v>-1.658981600806E-4</v>
      </c>
      <c r="I35" t="s">
        <v>24</v>
      </c>
      <c r="J35" t="b">
        <v>1</v>
      </c>
      <c r="K35">
        <v>-40.2017339423019</v>
      </c>
      <c r="L35">
        <v>-39.2017339423019</v>
      </c>
      <c r="M35">
        <v>0</v>
      </c>
      <c r="N35" t="s">
        <v>25</v>
      </c>
      <c r="O35" t="s">
        <v>25</v>
      </c>
      <c r="P35" t="s">
        <v>431</v>
      </c>
      <c r="Q35">
        <f>-0.000380072145710894 - 0.0000482758255495875</f>
        <v>-4.2834797126048148E-4</v>
      </c>
      <c r="R35" t="s">
        <v>30</v>
      </c>
      <c r="S35" t="s">
        <v>27</v>
      </c>
      <c r="T35" t="s">
        <v>28</v>
      </c>
      <c r="U35" t="s">
        <v>432</v>
      </c>
      <c r="V35">
        <v>0.124840556796612</v>
      </c>
      <c r="W35">
        <v>1.09272441648E-4</v>
      </c>
      <c r="X35" t="s">
        <v>362</v>
      </c>
      <c r="Y35" t="s">
        <v>29</v>
      </c>
    </row>
    <row r="36" spans="1:25" x14ac:dyDescent="0.2">
      <c r="A36" t="s">
        <v>359</v>
      </c>
      <c r="B36" t="s">
        <v>73</v>
      </c>
      <c r="C36" t="s">
        <v>105</v>
      </c>
      <c r="D36">
        <v>2.7733258206467701E-2</v>
      </c>
      <c r="E36">
        <v>0.53761331564870196</v>
      </c>
      <c r="F36">
        <v>0.62721553492348503</v>
      </c>
      <c r="G36">
        <v>14</v>
      </c>
      <c r="H36">
        <v>1.4927277622531999E-3</v>
      </c>
      <c r="I36" t="s">
        <v>24</v>
      </c>
      <c r="J36" t="b">
        <v>1</v>
      </c>
      <c r="K36">
        <v>-41.233539792827003</v>
      </c>
      <c r="L36">
        <v>-40.310462869750097</v>
      </c>
      <c r="M36">
        <v>0</v>
      </c>
      <c r="N36" t="s">
        <v>25</v>
      </c>
      <c r="O36" t="s">
        <v>25</v>
      </c>
      <c r="P36" t="s">
        <v>433</v>
      </c>
      <c r="Q36">
        <f>-0.00313710102647213 - 0.00612255655097864</f>
        <v>-9.2596575774507688E-3</v>
      </c>
      <c r="R36" t="s">
        <v>26</v>
      </c>
      <c r="S36" t="s">
        <v>27</v>
      </c>
      <c r="T36" t="s">
        <v>28</v>
      </c>
      <c r="U36" t="s">
        <v>434</v>
      </c>
      <c r="V36">
        <v>0.103031384186667</v>
      </c>
      <c r="W36">
        <v>2.3621575452680002E-3</v>
      </c>
      <c r="X36" t="s">
        <v>362</v>
      </c>
      <c r="Y36" t="s">
        <v>29</v>
      </c>
    </row>
    <row r="37" spans="1:25" x14ac:dyDescent="0.2">
      <c r="A37" t="s">
        <v>359</v>
      </c>
      <c r="B37" t="s">
        <v>64</v>
      </c>
      <c r="C37" t="s">
        <v>105</v>
      </c>
      <c r="D37" s="1">
        <v>6.5197744572549203E-6</v>
      </c>
      <c r="E37">
        <v>0.99279424992847398</v>
      </c>
      <c r="F37">
        <v>0.99686763123826305</v>
      </c>
      <c r="G37">
        <v>6</v>
      </c>
      <c r="H37" s="1">
        <v>4.7414026468071601E-5</v>
      </c>
      <c r="I37" t="s">
        <v>24</v>
      </c>
      <c r="J37" t="b">
        <v>1</v>
      </c>
      <c r="K37">
        <v>-37.872788547341102</v>
      </c>
      <c r="L37">
        <v>-36.872788547341102</v>
      </c>
      <c r="M37">
        <v>0</v>
      </c>
      <c r="N37" t="s">
        <v>25</v>
      </c>
      <c r="O37" t="s">
        <v>25</v>
      </c>
      <c r="P37" t="s">
        <v>435</v>
      </c>
      <c r="Q37">
        <f>-0.0100468237630409 - 0.010141651815977</f>
        <v>-2.01884755790179E-2</v>
      </c>
      <c r="R37" t="s">
        <v>30</v>
      </c>
      <c r="S37" t="s">
        <v>27</v>
      </c>
      <c r="T37" t="s">
        <v>28</v>
      </c>
      <c r="U37" t="s">
        <v>436</v>
      </c>
      <c r="V37">
        <v>0.121938000263544</v>
      </c>
      <c r="W37">
        <v>5.1501213211779997E-3</v>
      </c>
      <c r="X37" t="s">
        <v>362</v>
      </c>
      <c r="Y37" t="s">
        <v>29</v>
      </c>
    </row>
    <row r="38" spans="1:25" x14ac:dyDescent="0.2">
      <c r="A38" t="s">
        <v>359</v>
      </c>
      <c r="B38" t="s">
        <v>86</v>
      </c>
      <c r="C38" t="s">
        <v>105</v>
      </c>
      <c r="D38">
        <v>8.6794998100062096E-2</v>
      </c>
      <c r="E38">
        <v>0.26800849606566401</v>
      </c>
      <c r="F38">
        <v>0.366060384870175</v>
      </c>
      <c r="G38">
        <v>17</v>
      </c>
      <c r="H38">
        <v>-3.1354315355530999E-3</v>
      </c>
      <c r="I38" t="s">
        <v>24</v>
      </c>
      <c r="J38" t="b">
        <v>1</v>
      </c>
      <c r="K38">
        <v>-42.257425595230501</v>
      </c>
      <c r="L38">
        <v>-41.334348672153503</v>
      </c>
      <c r="M38">
        <v>0</v>
      </c>
      <c r="N38" t="s">
        <v>25</v>
      </c>
      <c r="O38" t="s">
        <v>25</v>
      </c>
      <c r="P38" t="s">
        <v>437</v>
      </c>
      <c r="Q38">
        <f>-0.00846296476711769 - 0.00219210169601132</f>
        <v>-1.065506646312901E-2</v>
      </c>
      <c r="R38" t="s">
        <v>26</v>
      </c>
      <c r="S38" t="s">
        <v>27</v>
      </c>
      <c r="T38" t="s">
        <v>28</v>
      </c>
      <c r="U38" t="s">
        <v>438</v>
      </c>
      <c r="V38">
        <v>0.138249839727872</v>
      </c>
      <c r="W38">
        <v>2.7181291997777999E-3</v>
      </c>
      <c r="X38" t="s">
        <v>362</v>
      </c>
      <c r="Y38" t="s">
        <v>29</v>
      </c>
    </row>
    <row r="39" spans="1:25" x14ac:dyDescent="0.2">
      <c r="A39" t="s">
        <v>359</v>
      </c>
      <c r="B39" t="s">
        <v>60</v>
      </c>
      <c r="C39" t="s">
        <v>105</v>
      </c>
      <c r="D39">
        <v>0.31265095048082597</v>
      </c>
      <c r="E39">
        <v>2.4334769048046899E-2</v>
      </c>
      <c r="F39">
        <v>9.7339076192187596E-2</v>
      </c>
      <c r="G39">
        <v>17</v>
      </c>
      <c r="H39">
        <v>1.7949008436179999E-4</v>
      </c>
      <c r="I39" t="s">
        <v>24</v>
      </c>
      <c r="J39" t="b">
        <v>1</v>
      </c>
      <c r="K39">
        <v>-46.663098760801702</v>
      </c>
      <c r="L39">
        <v>-45.740021837724797</v>
      </c>
      <c r="M39">
        <v>0</v>
      </c>
      <c r="N39" t="s">
        <v>25</v>
      </c>
      <c r="O39" t="s">
        <v>25</v>
      </c>
      <c r="P39" t="s">
        <v>439</v>
      </c>
      <c r="Q39" t="s">
        <v>440</v>
      </c>
      <c r="R39" t="s">
        <v>31</v>
      </c>
      <c r="S39" t="s">
        <v>27</v>
      </c>
      <c r="T39" t="s">
        <v>28</v>
      </c>
      <c r="U39" t="s">
        <v>441</v>
      </c>
      <c r="V39">
        <v>9.3724759829573803E-2</v>
      </c>
      <c r="W39" s="1">
        <v>7.11271218560548E-5</v>
      </c>
      <c r="X39" t="s">
        <v>362</v>
      </c>
      <c r="Y39" t="s">
        <v>29</v>
      </c>
    </row>
    <row r="40" spans="1:25" x14ac:dyDescent="0.2">
      <c r="A40" t="s">
        <v>359</v>
      </c>
      <c r="B40" t="s">
        <v>50</v>
      </c>
      <c r="C40" t="s">
        <v>105</v>
      </c>
      <c r="D40">
        <v>0.21500882851553699</v>
      </c>
      <c r="E40">
        <v>7.0437953674426207E-2</v>
      </c>
      <c r="F40">
        <v>0.21914030032043699</v>
      </c>
      <c r="G40">
        <v>12</v>
      </c>
      <c r="H40">
        <v>7.186214056771E-4</v>
      </c>
      <c r="I40" t="s">
        <v>24</v>
      </c>
      <c r="J40" t="b">
        <v>1</v>
      </c>
      <c r="K40">
        <v>-44.614935528333397</v>
      </c>
      <c r="L40">
        <v>-43.691858605256499</v>
      </c>
      <c r="M40">
        <v>0</v>
      </c>
      <c r="N40" t="s">
        <v>25</v>
      </c>
      <c r="O40" t="s">
        <v>25</v>
      </c>
      <c r="P40" t="s">
        <v>442</v>
      </c>
      <c r="Q40">
        <f>-6.56040559603773E-07 - 0.0014378988519139</f>
        <v>-1.4385548924735038E-3</v>
      </c>
      <c r="R40" t="s">
        <v>26</v>
      </c>
      <c r="S40" t="s">
        <v>27</v>
      </c>
      <c r="T40" t="s">
        <v>28</v>
      </c>
      <c r="U40" t="s">
        <v>443</v>
      </c>
      <c r="V40">
        <v>7.9899422704773404E-2</v>
      </c>
      <c r="W40">
        <v>3.6697828889630001E-4</v>
      </c>
      <c r="X40" t="s">
        <v>362</v>
      </c>
      <c r="Y40" t="s">
        <v>29</v>
      </c>
    </row>
    <row r="41" spans="1:25" x14ac:dyDescent="0.2">
      <c r="A41" t="s">
        <v>359</v>
      </c>
      <c r="B41" t="s">
        <v>52</v>
      </c>
      <c r="C41" t="s">
        <v>105</v>
      </c>
      <c r="D41">
        <v>0.12104543051293799</v>
      </c>
      <c r="E41">
        <v>0.18667317054165999</v>
      </c>
      <c r="F41">
        <v>0.31677871364645299</v>
      </c>
      <c r="G41">
        <v>16</v>
      </c>
      <c r="H41">
        <v>-4.0541867659701003E-3</v>
      </c>
      <c r="I41" t="s">
        <v>24</v>
      </c>
      <c r="J41" t="b">
        <v>1</v>
      </c>
      <c r="K41">
        <v>-42.766177879107502</v>
      </c>
      <c r="L41">
        <v>-41.843100956030597</v>
      </c>
      <c r="M41">
        <v>0</v>
      </c>
      <c r="N41" t="s">
        <v>25</v>
      </c>
      <c r="O41" t="s">
        <v>25</v>
      </c>
      <c r="P41" t="s">
        <v>444</v>
      </c>
      <c r="Q41">
        <f>-0.00977693736644168 - 0.0016685638345013</f>
        <v>-1.144550120094298E-2</v>
      </c>
      <c r="R41" t="s">
        <v>26</v>
      </c>
      <c r="S41" t="s">
        <v>27</v>
      </c>
      <c r="T41" t="s">
        <v>28</v>
      </c>
      <c r="U41" t="s">
        <v>445</v>
      </c>
      <c r="V41">
        <v>0.13070639358314401</v>
      </c>
      <c r="W41">
        <v>2.9197707145261998E-3</v>
      </c>
      <c r="X41" t="s">
        <v>362</v>
      </c>
      <c r="Y41" t="s">
        <v>29</v>
      </c>
    </row>
    <row r="42" spans="1:25" x14ac:dyDescent="0.2">
      <c r="A42" t="s">
        <v>359</v>
      </c>
      <c r="B42" t="s">
        <v>68</v>
      </c>
      <c r="C42" t="s">
        <v>105</v>
      </c>
      <c r="D42">
        <v>0.13296021278456799</v>
      </c>
      <c r="E42">
        <v>0.164954082823737</v>
      </c>
      <c r="F42">
        <v>0.30749376456938299</v>
      </c>
      <c r="G42">
        <v>17</v>
      </c>
      <c r="H42">
        <v>4.4793993297050002E-4</v>
      </c>
      <c r="I42" t="s">
        <v>24</v>
      </c>
      <c r="J42" t="b">
        <v>1</v>
      </c>
      <c r="K42">
        <v>-43.0739639681059</v>
      </c>
      <c r="L42">
        <v>-42.150887045029002</v>
      </c>
      <c r="M42">
        <v>0</v>
      </c>
      <c r="N42" t="s">
        <v>25</v>
      </c>
      <c r="O42" t="s">
        <v>25</v>
      </c>
      <c r="P42" t="s">
        <v>446</v>
      </c>
      <c r="Q42">
        <f>-0.00015125826280058 - 0.00104713812874167</f>
        <v>-1.19839639154225E-3</v>
      </c>
      <c r="R42" t="s">
        <v>31</v>
      </c>
      <c r="S42" t="s">
        <v>27</v>
      </c>
      <c r="T42" t="s">
        <v>28</v>
      </c>
      <c r="U42" t="s">
        <v>447</v>
      </c>
      <c r="V42">
        <v>9.8218059991671602E-2</v>
      </c>
      <c r="W42">
        <v>3.0571336518930002E-4</v>
      </c>
      <c r="X42" t="s">
        <v>362</v>
      </c>
      <c r="Y42" t="s">
        <v>29</v>
      </c>
    </row>
    <row r="43" spans="1:25" x14ac:dyDescent="0.2">
      <c r="A43" t="s">
        <v>359</v>
      </c>
      <c r="B43" t="s">
        <v>65</v>
      </c>
      <c r="C43" t="s">
        <v>105</v>
      </c>
      <c r="D43">
        <v>0.40528690045341498</v>
      </c>
      <c r="E43">
        <v>8.0083687696038998E-3</v>
      </c>
      <c r="F43">
        <v>5.6058581387227302E-2</v>
      </c>
      <c r="G43">
        <v>17</v>
      </c>
      <c r="H43">
        <v>1.1741962764928E-3</v>
      </c>
      <c r="I43" t="s">
        <v>24</v>
      </c>
      <c r="J43" t="b">
        <v>1</v>
      </c>
      <c r="K43">
        <v>-48.855914080893498</v>
      </c>
      <c r="L43">
        <v>-47.9328371578166</v>
      </c>
      <c r="M43">
        <v>0</v>
      </c>
      <c r="N43" t="s">
        <v>25</v>
      </c>
      <c r="O43" t="s">
        <v>25</v>
      </c>
      <c r="P43" t="s">
        <v>448</v>
      </c>
      <c r="Q43" t="s">
        <v>449</v>
      </c>
      <c r="R43" t="s">
        <v>32</v>
      </c>
      <c r="S43" t="s">
        <v>27</v>
      </c>
      <c r="T43" t="s">
        <v>28</v>
      </c>
      <c r="U43" t="s">
        <v>450</v>
      </c>
      <c r="V43">
        <v>9.2963558482461101E-2</v>
      </c>
      <c r="W43">
        <v>3.8014488382560001E-4</v>
      </c>
      <c r="X43" t="s">
        <v>362</v>
      </c>
      <c r="Y43" t="s">
        <v>29</v>
      </c>
    </row>
    <row r="44" spans="1:25" x14ac:dyDescent="0.2">
      <c r="A44" t="s">
        <v>359</v>
      </c>
      <c r="B44" t="s">
        <v>75</v>
      </c>
      <c r="C44" t="s">
        <v>105</v>
      </c>
      <c r="D44">
        <v>6.2927178415155702E-2</v>
      </c>
      <c r="E44">
        <v>0.348695623569306</v>
      </c>
      <c r="F44">
        <v>0.42449901999741602</v>
      </c>
      <c r="G44">
        <v>8</v>
      </c>
      <c r="H44">
        <v>-3.8443595752389999E-4</v>
      </c>
      <c r="I44" t="s">
        <v>24</v>
      </c>
      <c r="J44" t="b">
        <v>1</v>
      </c>
      <c r="K44">
        <v>-41.855396032913099</v>
      </c>
      <c r="L44">
        <v>-40.932319109836101</v>
      </c>
      <c r="M44">
        <v>0</v>
      </c>
      <c r="N44" t="s">
        <v>25</v>
      </c>
      <c r="O44" t="s">
        <v>25</v>
      </c>
      <c r="P44" t="s">
        <v>451</v>
      </c>
      <c r="Q44">
        <f>-0.00116154792462391 - 0.000392676009575939</f>
        <v>-1.554223934199849E-3</v>
      </c>
      <c r="R44" t="s">
        <v>32</v>
      </c>
      <c r="S44" t="s">
        <v>27</v>
      </c>
      <c r="T44" t="s">
        <v>28</v>
      </c>
      <c r="U44" t="s">
        <v>452</v>
      </c>
      <c r="V44">
        <v>0.126211165281367</v>
      </c>
      <c r="W44">
        <v>3.9648569749989998E-4</v>
      </c>
      <c r="X44" t="s">
        <v>362</v>
      </c>
      <c r="Y44" t="s">
        <v>29</v>
      </c>
    </row>
    <row r="45" spans="1:25" x14ac:dyDescent="0.2">
      <c r="A45" t="s">
        <v>359</v>
      </c>
      <c r="B45" t="s">
        <v>77</v>
      </c>
      <c r="C45" t="s">
        <v>105</v>
      </c>
      <c r="D45">
        <v>0.20034535493108799</v>
      </c>
      <c r="E45">
        <v>9.4323498022759605E-2</v>
      </c>
      <c r="F45">
        <v>0.24527752076276499</v>
      </c>
      <c r="G45">
        <v>14</v>
      </c>
      <c r="H45">
        <v>-3.9433304124638999E-3</v>
      </c>
      <c r="I45" t="s">
        <v>24</v>
      </c>
      <c r="J45" t="b">
        <v>1</v>
      </c>
      <c r="K45">
        <v>-41.2056982519466</v>
      </c>
      <c r="L45">
        <v>-40.2056982519466</v>
      </c>
      <c r="M45">
        <v>0</v>
      </c>
      <c r="N45" t="s">
        <v>25</v>
      </c>
      <c r="O45" t="s">
        <v>25</v>
      </c>
      <c r="P45" t="s">
        <v>453</v>
      </c>
      <c r="Q45">
        <f>-0.00822594662517842 - 0.000339285800250608</f>
        <v>-8.5652324254290296E-3</v>
      </c>
      <c r="R45" t="s">
        <v>30</v>
      </c>
      <c r="S45" t="s">
        <v>27</v>
      </c>
      <c r="T45" t="s">
        <v>28</v>
      </c>
      <c r="U45" t="s">
        <v>454</v>
      </c>
      <c r="V45">
        <v>0.13527957811076999</v>
      </c>
      <c r="W45">
        <v>2.1850082717931002E-3</v>
      </c>
      <c r="X45" t="s">
        <v>362</v>
      </c>
      <c r="Y45" t="s">
        <v>29</v>
      </c>
    </row>
    <row r="46" spans="1:25" x14ac:dyDescent="0.2">
      <c r="A46" t="s">
        <v>359</v>
      </c>
      <c r="B46" t="s">
        <v>71</v>
      </c>
      <c r="C46" t="s">
        <v>105</v>
      </c>
      <c r="D46">
        <v>9.2257802377157194E-2</v>
      </c>
      <c r="E46">
        <v>0.25275464666772302</v>
      </c>
      <c r="F46">
        <v>0.36292974906134501</v>
      </c>
      <c r="G46">
        <v>9</v>
      </c>
      <c r="H46">
        <v>-1.3512015550866899E-2</v>
      </c>
      <c r="I46" t="s">
        <v>24</v>
      </c>
      <c r="J46" t="b">
        <v>1</v>
      </c>
      <c r="K46">
        <v>-42.345530921834801</v>
      </c>
      <c r="L46">
        <v>-41.422453998757902</v>
      </c>
      <c r="M46">
        <v>0</v>
      </c>
      <c r="N46" t="s">
        <v>25</v>
      </c>
      <c r="O46" t="s">
        <v>25</v>
      </c>
      <c r="P46" t="s">
        <v>455</v>
      </c>
      <c r="Q46">
        <f>-0.0357140053917978 - 0.00868997429006406</f>
        <v>-4.4403979681861862E-2</v>
      </c>
      <c r="R46" t="s">
        <v>26</v>
      </c>
      <c r="S46" t="s">
        <v>27</v>
      </c>
      <c r="T46" t="s">
        <v>28</v>
      </c>
      <c r="U46" t="s">
        <v>456</v>
      </c>
      <c r="V46">
        <v>0.12071591242572501</v>
      </c>
      <c r="W46">
        <v>1.13275458372097E-2</v>
      </c>
      <c r="X46" t="s">
        <v>362</v>
      </c>
      <c r="Y46" t="s">
        <v>29</v>
      </c>
    </row>
    <row r="47" spans="1:25" x14ac:dyDescent="0.2">
      <c r="A47" t="s">
        <v>359</v>
      </c>
      <c r="B47" t="s">
        <v>59</v>
      </c>
      <c r="C47" t="s">
        <v>105</v>
      </c>
      <c r="D47">
        <v>9.8560572527046794E-2</v>
      </c>
      <c r="E47">
        <v>0.236355910583391</v>
      </c>
      <c r="F47">
        <v>0.36292974906134501</v>
      </c>
      <c r="G47">
        <v>12</v>
      </c>
      <c r="H47">
        <v>-1.8920887233846999E-3</v>
      </c>
      <c r="I47" t="s">
        <v>24</v>
      </c>
      <c r="J47" t="b">
        <v>1</v>
      </c>
      <c r="K47">
        <v>-42.4897620138333</v>
      </c>
      <c r="L47">
        <v>-41.566685090756401</v>
      </c>
      <c r="M47">
        <v>0</v>
      </c>
      <c r="N47" t="s">
        <v>25</v>
      </c>
      <c r="O47" t="s">
        <v>25</v>
      </c>
      <c r="P47" t="s">
        <v>457</v>
      </c>
      <c r="Q47">
        <f>-0.00488952677903806 - 0.00110534933226866</f>
        <v>-5.9948761113067196E-3</v>
      </c>
      <c r="R47" t="s">
        <v>26</v>
      </c>
      <c r="S47" t="s">
        <v>27</v>
      </c>
      <c r="T47" t="s">
        <v>28</v>
      </c>
      <c r="U47" t="s">
        <v>458</v>
      </c>
      <c r="V47">
        <v>0.12958478953269201</v>
      </c>
      <c r="W47">
        <v>1.5293051304353E-3</v>
      </c>
      <c r="X47" t="s">
        <v>362</v>
      </c>
      <c r="Y47" t="s">
        <v>29</v>
      </c>
    </row>
    <row r="48" spans="1:25" x14ac:dyDescent="0.2">
      <c r="A48" t="s">
        <v>359</v>
      </c>
      <c r="B48" t="s">
        <v>55</v>
      </c>
      <c r="C48" t="s">
        <v>105</v>
      </c>
      <c r="D48">
        <v>0.355502293260128</v>
      </c>
      <c r="E48">
        <v>1.4781021445547901E-2</v>
      </c>
      <c r="F48">
        <v>8.2773720095068198E-2</v>
      </c>
      <c r="G48">
        <v>12</v>
      </c>
      <c r="H48">
        <v>-4.4853503214380003E-3</v>
      </c>
      <c r="I48" t="s">
        <v>24</v>
      </c>
      <c r="J48" t="b">
        <v>1</v>
      </c>
      <c r="K48">
        <v>-47.843352724667199</v>
      </c>
      <c r="L48">
        <v>-46.9202758015903</v>
      </c>
      <c r="M48">
        <v>0</v>
      </c>
      <c r="N48" t="s">
        <v>25</v>
      </c>
      <c r="O48" t="s">
        <v>25</v>
      </c>
      <c r="P48" t="s">
        <v>459</v>
      </c>
      <c r="Q48">
        <f>-0.00764892366151278 - -0.00132177698136335</f>
        <v>-6.3271466801494295E-3</v>
      </c>
      <c r="R48" t="s">
        <v>32</v>
      </c>
      <c r="S48" t="s">
        <v>27</v>
      </c>
      <c r="T48" t="s">
        <v>28</v>
      </c>
      <c r="U48" t="s">
        <v>460</v>
      </c>
      <c r="V48">
        <v>0.147405114521243</v>
      </c>
      <c r="W48">
        <v>1.6140680306503E-3</v>
      </c>
      <c r="X48" t="s">
        <v>362</v>
      </c>
      <c r="Y48" t="s">
        <v>29</v>
      </c>
    </row>
    <row r="49" spans="1:25" x14ac:dyDescent="0.2">
      <c r="A49" t="s">
        <v>359</v>
      </c>
      <c r="B49" t="s">
        <v>46</v>
      </c>
      <c r="C49" t="s">
        <v>105</v>
      </c>
      <c r="D49">
        <v>2.2320505844627098E-2</v>
      </c>
      <c r="E49">
        <v>0.58078322358232404</v>
      </c>
      <c r="F49">
        <v>0.66375225552265604</v>
      </c>
      <c r="G49">
        <v>7</v>
      </c>
      <c r="H49">
        <v>-4.06809355788771E-2</v>
      </c>
      <c r="I49" t="s">
        <v>24</v>
      </c>
      <c r="J49" t="b">
        <v>1</v>
      </c>
      <c r="K49">
        <v>-41.193986397848001</v>
      </c>
      <c r="L49">
        <v>-40.270909474771102</v>
      </c>
      <c r="M49">
        <v>0</v>
      </c>
      <c r="N49" t="s">
        <v>25</v>
      </c>
      <c r="O49" t="s">
        <v>25</v>
      </c>
      <c r="P49" t="s">
        <v>461</v>
      </c>
      <c r="Q49">
        <f>-0.181716688907807 - 0.100354817750053</f>
        <v>-0.28207150665786002</v>
      </c>
      <c r="R49" t="s">
        <v>31</v>
      </c>
      <c r="S49" t="s">
        <v>27</v>
      </c>
      <c r="T49" t="s">
        <v>28</v>
      </c>
      <c r="U49" t="s">
        <v>462</v>
      </c>
      <c r="V49">
        <v>0.122449443911692</v>
      </c>
      <c r="W49">
        <v>7.1957017004556201E-2</v>
      </c>
      <c r="X49" t="s">
        <v>362</v>
      </c>
      <c r="Y49" t="s">
        <v>29</v>
      </c>
    </row>
    <row r="50" spans="1:25" x14ac:dyDescent="0.2">
      <c r="A50" t="s">
        <v>359</v>
      </c>
      <c r="B50" t="s">
        <v>44</v>
      </c>
      <c r="C50" t="s">
        <v>105</v>
      </c>
      <c r="D50">
        <v>0.10343584684439699</v>
      </c>
      <c r="E50">
        <v>0.24243122308800499</v>
      </c>
      <c r="F50">
        <v>0.36292974906134501</v>
      </c>
      <c r="G50">
        <v>17</v>
      </c>
      <c r="H50">
        <v>-5.4356461203269998E-4</v>
      </c>
      <c r="I50" t="s">
        <v>24</v>
      </c>
      <c r="J50" t="b">
        <v>1</v>
      </c>
      <c r="K50">
        <v>-39.495559575276197</v>
      </c>
      <c r="L50">
        <v>-38.495559575276197</v>
      </c>
      <c r="M50">
        <v>0</v>
      </c>
      <c r="N50" t="s">
        <v>25</v>
      </c>
      <c r="O50" t="s">
        <v>25</v>
      </c>
      <c r="P50" t="s">
        <v>463</v>
      </c>
      <c r="Q50">
        <f>-0.00141350745241735 - 0.000326378228351805</f>
        <v>-1.7398856807691551E-3</v>
      </c>
      <c r="R50" t="s">
        <v>30</v>
      </c>
      <c r="S50" t="s">
        <v>27</v>
      </c>
      <c r="T50" t="s">
        <v>28</v>
      </c>
      <c r="U50" t="s">
        <v>464</v>
      </c>
      <c r="V50">
        <v>0.130660714592439</v>
      </c>
      <c r="W50">
        <v>4.4384838795129999E-4</v>
      </c>
      <c r="X50" t="s">
        <v>362</v>
      </c>
      <c r="Y50" t="s">
        <v>29</v>
      </c>
    </row>
    <row r="51" spans="1:25" x14ac:dyDescent="0.2">
      <c r="A51" t="s">
        <v>359</v>
      </c>
      <c r="B51" t="s">
        <v>45</v>
      </c>
      <c r="C51" t="s">
        <v>105</v>
      </c>
      <c r="D51">
        <v>0.18474049951854099</v>
      </c>
      <c r="E51">
        <v>9.6589271186137998E-2</v>
      </c>
      <c r="F51">
        <v>0.24527752076276499</v>
      </c>
      <c r="G51">
        <v>12</v>
      </c>
      <c r="H51">
        <v>-7.7152089482980003E-3</v>
      </c>
      <c r="I51" t="s">
        <v>34</v>
      </c>
      <c r="J51" t="b">
        <v>1</v>
      </c>
      <c r="K51">
        <v>-43.490303953236001</v>
      </c>
      <c r="L51">
        <v>-42.567227030159103</v>
      </c>
      <c r="M51">
        <v>0</v>
      </c>
      <c r="N51" t="s">
        <v>25</v>
      </c>
      <c r="O51" t="s">
        <v>25</v>
      </c>
      <c r="P51" t="s">
        <v>465</v>
      </c>
      <c r="Q51">
        <f>-0.0162051880921443 - 0.000774770195548341</f>
        <v>-1.6979958287692644E-2</v>
      </c>
      <c r="R51" t="s">
        <v>26</v>
      </c>
      <c r="S51" t="s">
        <v>35</v>
      </c>
      <c r="T51" t="s">
        <v>36</v>
      </c>
      <c r="U51" t="s">
        <v>466</v>
      </c>
      <c r="V51">
        <v>0.13469475360770999</v>
      </c>
      <c r="W51">
        <v>4.3316220121664998E-3</v>
      </c>
      <c r="X51" t="s">
        <v>362</v>
      </c>
      <c r="Y51" t="s">
        <v>29</v>
      </c>
    </row>
    <row r="52" spans="1:25" x14ac:dyDescent="0.2">
      <c r="A52" t="s">
        <v>359</v>
      </c>
      <c r="B52" t="s">
        <v>74</v>
      </c>
      <c r="C52" t="s">
        <v>105</v>
      </c>
      <c r="D52">
        <v>7.9849117792112997E-2</v>
      </c>
      <c r="E52">
        <v>0.28895287645170098</v>
      </c>
      <c r="F52">
        <v>0.37631072282081901</v>
      </c>
      <c r="G52">
        <v>11</v>
      </c>
      <c r="H52">
        <v>2.6496295055730002E-4</v>
      </c>
      <c r="I52" t="s">
        <v>24</v>
      </c>
      <c r="J52" t="b">
        <v>1</v>
      </c>
      <c r="K52">
        <v>-41.738998071209203</v>
      </c>
      <c r="L52">
        <v>-40.815921148132297</v>
      </c>
      <c r="M52">
        <v>0</v>
      </c>
      <c r="N52" t="s">
        <v>25</v>
      </c>
      <c r="O52" t="s">
        <v>25</v>
      </c>
      <c r="P52" t="s">
        <v>467</v>
      </c>
      <c r="Q52">
        <f>-0.000206200579713466 - 0.000736126480828135</f>
        <v>-9.4232706054160099E-4</v>
      </c>
      <c r="R52" t="s">
        <v>32</v>
      </c>
      <c r="S52" t="s">
        <v>27</v>
      </c>
      <c r="T52" t="s">
        <v>28</v>
      </c>
      <c r="U52" t="s">
        <v>468</v>
      </c>
      <c r="V52">
        <v>0.10623255010642101</v>
      </c>
      <c r="W52">
        <v>2.4038955626060001E-4</v>
      </c>
      <c r="X52" t="s">
        <v>362</v>
      </c>
      <c r="Y52" t="s">
        <v>29</v>
      </c>
    </row>
    <row r="53" spans="1:25" x14ac:dyDescent="0.2">
      <c r="A53" t="s">
        <v>359</v>
      </c>
      <c r="B53" t="s">
        <v>49</v>
      </c>
      <c r="C53" t="s">
        <v>105</v>
      </c>
      <c r="D53">
        <v>0.54027151398493201</v>
      </c>
      <c r="E53">
        <v>1.1788642367405E-3</v>
      </c>
      <c r="F53">
        <v>2.9753621990183401E-2</v>
      </c>
      <c r="G53">
        <v>15</v>
      </c>
      <c r="H53">
        <v>7.4054687347350004E-4</v>
      </c>
      <c r="I53" t="s">
        <v>34</v>
      </c>
      <c r="J53" t="b">
        <v>1</v>
      </c>
      <c r="K53">
        <v>-48.933503921706702</v>
      </c>
      <c r="L53">
        <v>-48.010426998629796</v>
      </c>
      <c r="M53">
        <v>0</v>
      </c>
      <c r="N53" t="s">
        <v>25</v>
      </c>
      <c r="O53" t="s">
        <v>25</v>
      </c>
      <c r="P53" t="s">
        <v>469</v>
      </c>
      <c r="Q53" t="s">
        <v>470</v>
      </c>
      <c r="R53" t="s">
        <v>26</v>
      </c>
      <c r="S53" t="s">
        <v>35</v>
      </c>
      <c r="T53" t="s">
        <v>36</v>
      </c>
      <c r="U53" t="s">
        <v>471</v>
      </c>
      <c r="V53">
        <v>0.112482097867765</v>
      </c>
      <c r="W53">
        <v>1.825715939909E-4</v>
      </c>
      <c r="X53" t="s">
        <v>362</v>
      </c>
      <c r="Y53" t="s">
        <v>29</v>
      </c>
    </row>
    <row r="54" spans="1:25" x14ac:dyDescent="0.2">
      <c r="A54" t="s">
        <v>359</v>
      </c>
      <c r="B54" t="s">
        <v>48</v>
      </c>
      <c r="C54" t="s">
        <v>105</v>
      </c>
      <c r="D54">
        <v>0.12978961601370601</v>
      </c>
      <c r="E54">
        <v>0.17046379709822401</v>
      </c>
      <c r="F54">
        <v>0.30749376456938299</v>
      </c>
      <c r="G54">
        <v>10</v>
      </c>
      <c r="H54">
        <v>-3.8160395092642998E-3</v>
      </c>
      <c r="I54" t="s">
        <v>24</v>
      </c>
      <c r="J54" t="b">
        <v>1</v>
      </c>
      <c r="K54">
        <v>-43.0392458604653</v>
      </c>
      <c r="L54">
        <v>-42.116168937388402</v>
      </c>
      <c r="M54">
        <v>0</v>
      </c>
      <c r="N54" t="s">
        <v>25</v>
      </c>
      <c r="O54" t="s">
        <v>25</v>
      </c>
      <c r="P54" t="s">
        <v>472</v>
      </c>
      <c r="Q54">
        <f>-0.00899207294274051 - 0.00135999392421175</f>
        <v>-1.035206686695226E-2</v>
      </c>
      <c r="R54" t="s">
        <v>32</v>
      </c>
      <c r="S54" t="s">
        <v>27</v>
      </c>
      <c r="T54" t="s">
        <v>28</v>
      </c>
      <c r="U54" t="s">
        <v>473</v>
      </c>
      <c r="V54">
        <v>0.12634961276225201</v>
      </c>
      <c r="W54">
        <v>2.6408333844265999E-3</v>
      </c>
      <c r="X54" t="s">
        <v>362</v>
      </c>
      <c r="Y54" t="s">
        <v>29</v>
      </c>
    </row>
    <row r="55" spans="1:25" x14ac:dyDescent="0.2">
      <c r="A55" t="s">
        <v>359</v>
      </c>
      <c r="B55" t="s">
        <v>63</v>
      </c>
      <c r="C55" t="s">
        <v>105</v>
      </c>
      <c r="D55">
        <v>0.34331060050760398</v>
      </c>
      <c r="E55">
        <v>1.70759045714153E-2</v>
      </c>
      <c r="F55">
        <v>8.6931877818114206E-2</v>
      </c>
      <c r="G55">
        <v>17</v>
      </c>
      <c r="H55">
        <v>4.0582785139149999E-4</v>
      </c>
      <c r="I55" t="s">
        <v>24</v>
      </c>
      <c r="J55" t="b">
        <v>1</v>
      </c>
      <c r="K55">
        <v>-47.564253011356499</v>
      </c>
      <c r="L55">
        <v>-46.6411760882796</v>
      </c>
      <c r="M55">
        <v>0</v>
      </c>
      <c r="N55" t="s">
        <v>25</v>
      </c>
      <c r="O55" t="s">
        <v>25</v>
      </c>
      <c r="P55" t="s">
        <v>474</v>
      </c>
      <c r="Q55" t="s">
        <v>475</v>
      </c>
      <c r="R55" t="s">
        <v>26</v>
      </c>
      <c r="S55" t="s">
        <v>27</v>
      </c>
      <c r="T55" t="s">
        <v>28</v>
      </c>
      <c r="U55" t="s">
        <v>476</v>
      </c>
      <c r="V55">
        <v>8.9427339137129094E-2</v>
      </c>
      <c r="W55">
        <v>1.500079330789E-4</v>
      </c>
      <c r="X55" t="s">
        <v>362</v>
      </c>
      <c r="Y55" t="s">
        <v>29</v>
      </c>
    </row>
    <row r="56" spans="1:25" x14ac:dyDescent="0.2">
      <c r="A56" t="s">
        <v>359</v>
      </c>
      <c r="B56" t="s">
        <v>76</v>
      </c>
      <c r="C56" t="s">
        <v>105</v>
      </c>
      <c r="D56">
        <v>0.50244016425021798</v>
      </c>
      <c r="E56">
        <v>3.0916937505736002E-3</v>
      </c>
      <c r="F56">
        <v>2.9753621990183401E-2</v>
      </c>
      <c r="G56">
        <v>17</v>
      </c>
      <c r="H56">
        <v>8.6967971920688999E-3</v>
      </c>
      <c r="I56" t="s">
        <v>34</v>
      </c>
      <c r="J56" t="b">
        <v>1</v>
      </c>
      <c r="K56">
        <v>-43.566059792211902</v>
      </c>
      <c r="L56">
        <v>-42.566059792211902</v>
      </c>
      <c r="M56">
        <v>0</v>
      </c>
      <c r="N56" t="s">
        <v>25</v>
      </c>
      <c r="O56" t="s">
        <v>25</v>
      </c>
      <c r="P56" t="s">
        <v>477</v>
      </c>
      <c r="Q56" t="s">
        <v>478</v>
      </c>
      <c r="R56" t="s">
        <v>30</v>
      </c>
      <c r="S56" t="s">
        <v>35</v>
      </c>
      <c r="T56" t="s">
        <v>36</v>
      </c>
      <c r="U56" t="s">
        <v>479</v>
      </c>
      <c r="V56">
        <v>0.11173573053124999</v>
      </c>
      <c r="W56">
        <v>2.4003145063011002E-3</v>
      </c>
      <c r="X56" t="s">
        <v>362</v>
      </c>
      <c r="Y56" t="s">
        <v>29</v>
      </c>
    </row>
    <row r="57" spans="1:25" x14ac:dyDescent="0.2">
      <c r="A57" t="s">
        <v>359</v>
      </c>
      <c r="B57" t="s">
        <v>90</v>
      </c>
      <c r="C57" t="s">
        <v>105</v>
      </c>
      <c r="D57">
        <v>0.15447167262334</v>
      </c>
      <c r="E57">
        <v>0.132076052371947</v>
      </c>
      <c r="F57">
        <v>0.28447149741650102</v>
      </c>
      <c r="G57">
        <v>8</v>
      </c>
      <c r="H57">
        <v>-1.1268839917868E-3</v>
      </c>
      <c r="I57" t="s">
        <v>24</v>
      </c>
      <c r="J57" t="b">
        <v>1</v>
      </c>
      <c r="K57">
        <v>-43.391625253596402</v>
      </c>
      <c r="L57">
        <v>-42.468548330519504</v>
      </c>
      <c r="M57">
        <v>0</v>
      </c>
      <c r="N57" t="s">
        <v>25</v>
      </c>
      <c r="O57" t="s">
        <v>25</v>
      </c>
      <c r="P57" t="s">
        <v>480</v>
      </c>
      <c r="Q57">
        <f>-0.00250793881675747 - 0.000254170833183732</f>
        <v>-2.762109649941202E-3</v>
      </c>
      <c r="R57" t="s">
        <v>26</v>
      </c>
      <c r="S57" t="s">
        <v>27</v>
      </c>
      <c r="T57" t="s">
        <v>28</v>
      </c>
      <c r="U57" t="s">
        <v>481</v>
      </c>
      <c r="V57">
        <v>0.12171348918561101</v>
      </c>
      <c r="W57">
        <v>7.0461980865839998E-4</v>
      </c>
      <c r="X57" t="s">
        <v>362</v>
      </c>
      <c r="Y57" t="s">
        <v>29</v>
      </c>
    </row>
    <row r="58" spans="1:25" x14ac:dyDescent="0.2">
      <c r="A58" t="s">
        <v>359</v>
      </c>
      <c r="B58" t="s">
        <v>47</v>
      </c>
      <c r="C58" t="s">
        <v>105</v>
      </c>
      <c r="D58">
        <v>0.47402229687830899</v>
      </c>
      <c r="E58">
        <v>3.1878880703768001E-3</v>
      </c>
      <c r="F58">
        <v>2.9753621990183401E-2</v>
      </c>
      <c r="G58">
        <v>17</v>
      </c>
      <c r="H58">
        <v>-2.9592447769011998E-3</v>
      </c>
      <c r="I58" t="s">
        <v>24</v>
      </c>
      <c r="J58" t="b">
        <v>1</v>
      </c>
      <c r="K58">
        <v>-50.8932592812058</v>
      </c>
      <c r="L58">
        <v>-49.970182358128902</v>
      </c>
      <c r="M58">
        <v>0</v>
      </c>
      <c r="N58" t="s">
        <v>25</v>
      </c>
      <c r="O58" t="s">
        <v>25</v>
      </c>
      <c r="P58" t="s">
        <v>482</v>
      </c>
      <c r="Q58">
        <f>-0.00459213588923287 - -0.00132635366456959</f>
        <v>-3.2657822246632802E-3</v>
      </c>
      <c r="R58" t="s">
        <v>31</v>
      </c>
      <c r="S58" t="s">
        <v>27</v>
      </c>
      <c r="T58" t="s">
        <v>28</v>
      </c>
      <c r="U58" t="s">
        <v>483</v>
      </c>
      <c r="V58">
        <v>0.159190142749218</v>
      </c>
      <c r="W58">
        <v>8.3310771037319997E-4</v>
      </c>
      <c r="X58" t="s">
        <v>362</v>
      </c>
      <c r="Y58" t="s">
        <v>29</v>
      </c>
    </row>
    <row r="59" spans="1:25" x14ac:dyDescent="0.2">
      <c r="A59" t="s">
        <v>359</v>
      </c>
      <c r="B59" t="s">
        <v>96</v>
      </c>
      <c r="C59" t="s">
        <v>105</v>
      </c>
      <c r="D59">
        <v>3.7406110518145002E-3</v>
      </c>
      <c r="E59">
        <v>0.82197389671342203</v>
      </c>
      <c r="F59">
        <v>0.89155234070266498</v>
      </c>
      <c r="G59">
        <v>16</v>
      </c>
      <c r="H59">
        <v>1.000629346445E-4</v>
      </c>
      <c r="I59" t="s">
        <v>24</v>
      </c>
      <c r="J59" t="b">
        <v>1</v>
      </c>
      <c r="K59">
        <v>-40.889984518046198</v>
      </c>
      <c r="L59">
        <v>-39.9669075949693</v>
      </c>
      <c r="M59">
        <v>0</v>
      </c>
      <c r="N59" t="s">
        <v>25</v>
      </c>
      <c r="O59" t="s">
        <v>25</v>
      </c>
      <c r="P59" t="s">
        <v>484</v>
      </c>
      <c r="Q59">
        <f>-0.00075535869342122 - 0.000955484562710225</f>
        <v>-1.7108432561314451E-3</v>
      </c>
      <c r="R59" t="s">
        <v>32</v>
      </c>
      <c r="S59" t="s">
        <v>27</v>
      </c>
      <c r="T59" t="s">
        <v>28</v>
      </c>
      <c r="U59" t="s">
        <v>485</v>
      </c>
      <c r="V59">
        <v>0.11469647590019599</v>
      </c>
      <c r="W59">
        <v>4.364396061559E-4</v>
      </c>
      <c r="X59" t="s">
        <v>362</v>
      </c>
      <c r="Y59" t="s">
        <v>29</v>
      </c>
    </row>
    <row r="60" spans="1:25" x14ac:dyDescent="0.2">
      <c r="A60" t="s">
        <v>359</v>
      </c>
      <c r="B60" t="s">
        <v>84</v>
      </c>
      <c r="C60" t="s">
        <v>105</v>
      </c>
      <c r="D60">
        <v>2.569502741012E-4</v>
      </c>
      <c r="E60">
        <v>0.95301526705607897</v>
      </c>
      <c r="F60" t="s">
        <v>33</v>
      </c>
      <c r="G60">
        <v>5</v>
      </c>
      <c r="H60">
        <v>-1.429386764895E-4</v>
      </c>
      <c r="I60" t="s">
        <v>34</v>
      </c>
      <c r="J60" t="b">
        <v>0</v>
      </c>
      <c r="K60">
        <v>-40.226434711134502</v>
      </c>
      <c r="L60">
        <v>-39.303357788057497</v>
      </c>
      <c r="M60">
        <v>0.65505016454610399</v>
      </c>
      <c r="N60" t="s">
        <v>25</v>
      </c>
      <c r="O60" t="s">
        <v>25</v>
      </c>
      <c r="P60" t="s">
        <v>372</v>
      </c>
      <c r="Q60">
        <f>-0.00481341811190773 - 0.00452754075892862</f>
        <v>-9.3409588708363508E-3</v>
      </c>
      <c r="R60" t="s">
        <v>26</v>
      </c>
      <c r="S60" t="s">
        <v>35</v>
      </c>
      <c r="T60" t="s">
        <v>36</v>
      </c>
      <c r="U60" t="s">
        <v>486</v>
      </c>
      <c r="V60">
        <v>0.119518471680399</v>
      </c>
      <c r="W60">
        <v>2.3828976711316998E-3</v>
      </c>
      <c r="X60" t="s">
        <v>362</v>
      </c>
      <c r="Y60" t="s">
        <v>29</v>
      </c>
    </row>
    <row r="61" spans="1:25" x14ac:dyDescent="0.2">
      <c r="A61" t="s">
        <v>359</v>
      </c>
      <c r="B61" t="s">
        <v>66</v>
      </c>
      <c r="C61" t="s">
        <v>105</v>
      </c>
      <c r="D61">
        <v>0.27490968156277701</v>
      </c>
      <c r="E61">
        <v>4.4811351312345399E-2</v>
      </c>
      <c r="F61" t="s">
        <v>33</v>
      </c>
      <c r="G61">
        <v>16</v>
      </c>
      <c r="H61">
        <v>-1.652666949146E-4</v>
      </c>
      <c r="I61" t="s">
        <v>40</v>
      </c>
      <c r="J61" t="b">
        <v>0</v>
      </c>
      <c r="K61">
        <v>-30.470585813961701</v>
      </c>
      <c r="L61">
        <v>-29.470585813961701</v>
      </c>
      <c r="M61">
        <v>9.7311481283401893</v>
      </c>
      <c r="N61" t="s">
        <v>25</v>
      </c>
      <c r="O61" t="s">
        <v>25</v>
      </c>
      <c r="P61" t="s">
        <v>431</v>
      </c>
      <c r="Q61">
        <f>-0.000311171895823649 - -0.0000193614940057142</f>
        <v>-2.9181040181793481E-4</v>
      </c>
      <c r="R61" t="s">
        <v>30</v>
      </c>
      <c r="S61" t="s">
        <v>41</v>
      </c>
      <c r="T61" t="s">
        <v>25</v>
      </c>
      <c r="U61" t="s">
        <v>42</v>
      </c>
      <c r="V61">
        <v>0.117436118661118</v>
      </c>
      <c r="W61" s="1">
        <v>7.4441429035187302E-5</v>
      </c>
      <c r="X61" t="s">
        <v>362</v>
      </c>
      <c r="Y61" t="s">
        <v>29</v>
      </c>
    </row>
    <row r="62" spans="1:25" x14ac:dyDescent="0.2">
      <c r="A62" t="s">
        <v>359</v>
      </c>
      <c r="B62" t="s">
        <v>60</v>
      </c>
      <c r="C62" t="s">
        <v>105</v>
      </c>
      <c r="D62">
        <v>0.40195300838940501</v>
      </c>
      <c r="E62">
        <v>8.3545887502285004E-3</v>
      </c>
      <c r="F62" t="s">
        <v>33</v>
      </c>
      <c r="G62">
        <v>17</v>
      </c>
      <c r="H62">
        <v>1.6836464730170001E-4</v>
      </c>
      <c r="I62" t="s">
        <v>37</v>
      </c>
      <c r="J62" t="b">
        <v>0</v>
      </c>
      <c r="K62">
        <v>-37.672139343332603</v>
      </c>
      <c r="L62">
        <v>-36.749062420255697</v>
      </c>
      <c r="M62">
        <v>8.9909594174690994</v>
      </c>
      <c r="N62" t="s">
        <v>25</v>
      </c>
      <c r="O62" t="s">
        <v>25</v>
      </c>
      <c r="P62" t="s">
        <v>439</v>
      </c>
      <c r="Q62" t="s">
        <v>487</v>
      </c>
      <c r="R62" t="s">
        <v>31</v>
      </c>
      <c r="S62" t="s">
        <v>38</v>
      </c>
      <c r="T62" t="s">
        <v>39</v>
      </c>
      <c r="U62" t="s">
        <v>488</v>
      </c>
      <c r="V62">
        <v>8.9288692052775703E-2</v>
      </c>
      <c r="W62" s="1">
        <v>5.4886672228423902E-5</v>
      </c>
      <c r="X62" t="s">
        <v>362</v>
      </c>
      <c r="Y62" t="s">
        <v>29</v>
      </c>
    </row>
    <row r="63" spans="1:25" x14ac:dyDescent="0.2">
      <c r="A63" t="s">
        <v>359</v>
      </c>
      <c r="B63" t="s">
        <v>97</v>
      </c>
      <c r="C63" t="s">
        <v>105</v>
      </c>
      <c r="D63">
        <v>6.3593285586086004E-3</v>
      </c>
      <c r="E63">
        <v>0.76908349222144501</v>
      </c>
      <c r="F63" t="s">
        <v>33</v>
      </c>
      <c r="G63">
        <v>15</v>
      </c>
      <c r="H63">
        <v>4.224310281154E-4</v>
      </c>
      <c r="I63" t="s">
        <v>37</v>
      </c>
      <c r="J63" t="b">
        <v>0</v>
      </c>
      <c r="K63">
        <v>-29.548838357655701</v>
      </c>
      <c r="L63">
        <v>-28.625761434578699</v>
      </c>
      <c r="M63">
        <v>12.7354716987324</v>
      </c>
      <c r="N63" t="s">
        <v>25</v>
      </c>
      <c r="O63" t="s">
        <v>25</v>
      </c>
      <c r="P63" t="s">
        <v>425</v>
      </c>
      <c r="Q63">
        <f>-0.00234359913494397 - 0.00318846119117486</f>
        <v>-5.53206032611883E-3</v>
      </c>
      <c r="R63" t="s">
        <v>32</v>
      </c>
      <c r="S63" t="s">
        <v>38</v>
      </c>
      <c r="T63" t="s">
        <v>39</v>
      </c>
      <c r="U63" t="s">
        <v>489</v>
      </c>
      <c r="V63">
        <v>0.111073602730866</v>
      </c>
      <c r="W63">
        <v>1.4112398791118999E-3</v>
      </c>
      <c r="X63" t="s">
        <v>362</v>
      </c>
      <c r="Y63" t="s">
        <v>29</v>
      </c>
    </row>
    <row r="64" spans="1:25" x14ac:dyDescent="0.2">
      <c r="A64" t="s">
        <v>359</v>
      </c>
      <c r="B64" t="s">
        <v>76</v>
      </c>
      <c r="C64" t="s">
        <v>105</v>
      </c>
      <c r="D64">
        <v>0.66560293504069501</v>
      </c>
      <c r="E64">
        <v>2.0850146013219999E-4</v>
      </c>
      <c r="F64" t="s">
        <v>33</v>
      </c>
      <c r="G64">
        <v>17</v>
      </c>
      <c r="H64">
        <v>9.1608507515338992E-3</v>
      </c>
      <c r="I64" t="s">
        <v>40</v>
      </c>
      <c r="J64" t="b">
        <v>0</v>
      </c>
      <c r="K64">
        <v>-42.080092615670502</v>
      </c>
      <c r="L64">
        <v>-41.080092615670502</v>
      </c>
      <c r="M64">
        <v>1.4859671765414</v>
      </c>
      <c r="N64" t="s">
        <v>25</v>
      </c>
      <c r="O64" t="s">
        <v>25</v>
      </c>
      <c r="P64" t="s">
        <v>477</v>
      </c>
      <c r="Q64" t="s">
        <v>490</v>
      </c>
      <c r="R64" t="s">
        <v>30</v>
      </c>
      <c r="S64" t="s">
        <v>41</v>
      </c>
      <c r="T64" t="s">
        <v>25</v>
      </c>
      <c r="U64" t="s">
        <v>42</v>
      </c>
      <c r="V64">
        <v>0.107894895588032</v>
      </c>
      <c r="W64">
        <v>1.800892319205E-3</v>
      </c>
      <c r="X64" t="s">
        <v>362</v>
      </c>
      <c r="Y64" t="s">
        <v>29</v>
      </c>
    </row>
    <row r="65" spans="1:25" x14ac:dyDescent="0.2">
      <c r="A65" t="s">
        <v>359</v>
      </c>
      <c r="B65" t="s">
        <v>59</v>
      </c>
      <c r="C65" t="s">
        <v>105</v>
      </c>
      <c r="D65">
        <v>7.5697537787267399E-2</v>
      </c>
      <c r="E65">
        <v>0.302384400693545</v>
      </c>
      <c r="F65" t="s">
        <v>33</v>
      </c>
      <c r="G65">
        <v>12</v>
      </c>
      <c r="H65">
        <v>-1.2673077222699E-3</v>
      </c>
      <c r="I65" t="s">
        <v>40</v>
      </c>
      <c r="J65" t="b">
        <v>0</v>
      </c>
      <c r="K65">
        <v>-30.706218927608099</v>
      </c>
      <c r="L65">
        <v>-29.7831420045312</v>
      </c>
      <c r="M65">
        <v>11.783543086225199</v>
      </c>
      <c r="N65" t="s">
        <v>25</v>
      </c>
      <c r="O65" t="s">
        <v>25</v>
      </c>
      <c r="P65" t="s">
        <v>457</v>
      </c>
      <c r="Q65">
        <f>-0.00358705307309451 - 0.0010524376285547</f>
        <v>-4.6394907016492097E-3</v>
      </c>
      <c r="R65" t="s">
        <v>26</v>
      </c>
      <c r="S65" t="s">
        <v>41</v>
      </c>
      <c r="T65" t="s">
        <v>25</v>
      </c>
      <c r="U65" t="s">
        <v>42</v>
      </c>
      <c r="V65">
        <v>0.121198925539097</v>
      </c>
      <c r="W65">
        <v>1.1835435463390001E-3</v>
      </c>
      <c r="X65" t="s">
        <v>362</v>
      </c>
      <c r="Y65" t="s">
        <v>29</v>
      </c>
    </row>
    <row r="66" spans="1:25" x14ac:dyDescent="0.2">
      <c r="A66" t="s">
        <v>359</v>
      </c>
      <c r="B66" t="s">
        <v>48</v>
      </c>
      <c r="C66" t="s">
        <v>105</v>
      </c>
      <c r="D66">
        <v>0.17389011324915499</v>
      </c>
      <c r="E66">
        <v>0.10807480969141101</v>
      </c>
      <c r="F66" t="s">
        <v>33</v>
      </c>
      <c r="G66">
        <v>10</v>
      </c>
      <c r="H66">
        <v>-2.7461375433731998E-3</v>
      </c>
      <c r="I66" t="s">
        <v>37</v>
      </c>
      <c r="J66" t="b">
        <v>0</v>
      </c>
      <c r="K66">
        <v>-32.503203866083901</v>
      </c>
      <c r="L66">
        <v>-31.580126943006899</v>
      </c>
      <c r="M66">
        <v>10.536041994381501</v>
      </c>
      <c r="N66" t="s">
        <v>25</v>
      </c>
      <c r="O66" t="s">
        <v>25</v>
      </c>
      <c r="P66" t="s">
        <v>472</v>
      </c>
      <c r="Q66">
        <f>-0.00588155811765579 - 0.00038928303090935</f>
        <v>-6.2708411485651403E-3</v>
      </c>
      <c r="R66" t="s">
        <v>32</v>
      </c>
      <c r="S66" t="s">
        <v>38</v>
      </c>
      <c r="T66" t="s">
        <v>39</v>
      </c>
      <c r="U66" t="s">
        <v>491</v>
      </c>
      <c r="V66">
        <v>0.117443076684468</v>
      </c>
      <c r="W66">
        <v>1.5997043746339E-3</v>
      </c>
      <c r="X66" t="s">
        <v>362</v>
      </c>
      <c r="Y66" t="s">
        <v>29</v>
      </c>
    </row>
    <row r="67" spans="1:25" x14ac:dyDescent="0.2">
      <c r="A67" t="s">
        <v>359</v>
      </c>
      <c r="B67" t="s">
        <v>89</v>
      </c>
      <c r="C67" t="s">
        <v>105</v>
      </c>
      <c r="D67">
        <v>0.106109310521713</v>
      </c>
      <c r="E67">
        <v>0.23609044489299999</v>
      </c>
      <c r="F67" t="s">
        <v>33</v>
      </c>
      <c r="G67">
        <v>10</v>
      </c>
      <c r="H67">
        <v>8.2140239990569997E-4</v>
      </c>
      <c r="I67" t="s">
        <v>34</v>
      </c>
      <c r="J67" t="b">
        <v>0</v>
      </c>
      <c r="K67">
        <v>-38.823951183846503</v>
      </c>
      <c r="L67">
        <v>-37.823951183846503</v>
      </c>
      <c r="M67">
        <v>3.5157344376699401E-2</v>
      </c>
      <c r="N67" t="s">
        <v>25</v>
      </c>
      <c r="O67" t="s">
        <v>25</v>
      </c>
      <c r="P67" t="s">
        <v>386</v>
      </c>
      <c r="Q67">
        <f>-0.000474600052136815 - 0.00211740485194824</f>
        <v>-2.5920049040850553E-3</v>
      </c>
      <c r="R67" t="s">
        <v>30</v>
      </c>
      <c r="S67" t="s">
        <v>35</v>
      </c>
      <c r="T67" t="s">
        <v>36</v>
      </c>
      <c r="U67" t="s">
        <v>492</v>
      </c>
      <c r="V67">
        <v>0.10382148250175501</v>
      </c>
      <c r="W67">
        <v>6.6122574083799998E-4</v>
      </c>
      <c r="X67" t="s">
        <v>362</v>
      </c>
      <c r="Y67" t="s">
        <v>29</v>
      </c>
    </row>
    <row r="68" spans="1:25" x14ac:dyDescent="0.2">
      <c r="A68" t="s">
        <v>359</v>
      </c>
      <c r="B68" t="s">
        <v>90</v>
      </c>
      <c r="C68" t="s">
        <v>105</v>
      </c>
      <c r="D68">
        <v>0.26205475767541497</v>
      </c>
      <c r="E68">
        <v>4.2653249548265201E-2</v>
      </c>
      <c r="F68" t="s">
        <v>33</v>
      </c>
      <c r="G68">
        <v>8</v>
      </c>
      <c r="H68">
        <v>-1.1461167023707E-3</v>
      </c>
      <c r="I68" t="s">
        <v>40</v>
      </c>
      <c r="J68" t="b">
        <v>0</v>
      </c>
      <c r="K68">
        <v>-34.3089346664743</v>
      </c>
      <c r="L68">
        <v>-33.385857743397402</v>
      </c>
      <c r="M68">
        <v>9.0826905871220998</v>
      </c>
      <c r="N68" t="s">
        <v>25</v>
      </c>
      <c r="O68" t="s">
        <v>25</v>
      </c>
      <c r="P68" t="s">
        <v>480</v>
      </c>
      <c r="Q68">
        <f>-0.00215359787551357 - -0.000138635529227877</f>
        <v>-2.0149623462856932E-3</v>
      </c>
      <c r="R68" t="s">
        <v>26</v>
      </c>
      <c r="S68" t="s">
        <v>41</v>
      </c>
      <c r="T68" t="s">
        <v>25</v>
      </c>
      <c r="U68" t="s">
        <v>42</v>
      </c>
      <c r="V68">
        <v>0.11685015114529899</v>
      </c>
      <c r="W68">
        <v>5.1402100670550001E-4</v>
      </c>
      <c r="X68" t="s">
        <v>362</v>
      </c>
      <c r="Y68" t="s">
        <v>29</v>
      </c>
    </row>
    <row r="69" spans="1:25" x14ac:dyDescent="0.2">
      <c r="A69" t="s">
        <v>359</v>
      </c>
      <c r="B69" t="s">
        <v>57</v>
      </c>
      <c r="C69" t="s">
        <v>105</v>
      </c>
      <c r="D69">
        <v>0.101451178743946</v>
      </c>
      <c r="E69">
        <v>0.22923285032668</v>
      </c>
      <c r="F69" t="s">
        <v>33</v>
      </c>
      <c r="G69">
        <v>17</v>
      </c>
      <c r="H69">
        <v>-5.158390845911E-4</v>
      </c>
      <c r="I69" t="s">
        <v>40</v>
      </c>
      <c r="J69" t="b">
        <v>0</v>
      </c>
      <c r="K69">
        <v>-31.158351999392298</v>
      </c>
      <c r="L69">
        <v>-30.2352750763154</v>
      </c>
      <c r="M69">
        <v>11.0232030477507</v>
      </c>
      <c r="N69" t="s">
        <v>25</v>
      </c>
      <c r="O69" t="s">
        <v>25</v>
      </c>
      <c r="P69" t="s">
        <v>408</v>
      </c>
      <c r="Q69">
        <f>-0.00132001042119409 - 0.00028833225201172</f>
        <v>-1.6083426732058099E-3</v>
      </c>
      <c r="R69" t="s">
        <v>26</v>
      </c>
      <c r="S69" t="s">
        <v>41</v>
      </c>
      <c r="T69" t="s">
        <v>25</v>
      </c>
      <c r="U69" t="s">
        <v>42</v>
      </c>
      <c r="V69">
        <v>0.116145894329189</v>
      </c>
      <c r="W69">
        <v>4.102914982667E-4</v>
      </c>
      <c r="X69" t="s">
        <v>362</v>
      </c>
      <c r="Y69" t="s">
        <v>29</v>
      </c>
    </row>
    <row r="70" spans="1:25" x14ac:dyDescent="0.2">
      <c r="A70" t="s">
        <v>359</v>
      </c>
      <c r="B70" t="s">
        <v>47</v>
      </c>
      <c r="C70" t="s">
        <v>105</v>
      </c>
      <c r="D70">
        <v>0.36527607589594102</v>
      </c>
      <c r="E70">
        <v>1.31457920197449E-2</v>
      </c>
      <c r="F70" t="s">
        <v>33</v>
      </c>
      <c r="G70">
        <v>17</v>
      </c>
      <c r="H70">
        <v>-2.1434729243196E-3</v>
      </c>
      <c r="I70" t="s">
        <v>40</v>
      </c>
      <c r="J70" t="b">
        <v>0</v>
      </c>
      <c r="K70">
        <v>-36.7198064311319</v>
      </c>
      <c r="L70">
        <v>-35.796729508055002</v>
      </c>
      <c r="M70">
        <v>14.1734528500739</v>
      </c>
      <c r="N70" t="s">
        <v>25</v>
      </c>
      <c r="O70" t="s">
        <v>25</v>
      </c>
      <c r="P70" t="s">
        <v>482</v>
      </c>
      <c r="Q70">
        <f>-0.00362357570751227 - -0.00066337014112706</f>
        <v>-2.96020556638521E-3</v>
      </c>
      <c r="R70" t="s">
        <v>31</v>
      </c>
      <c r="S70" t="s">
        <v>41</v>
      </c>
      <c r="T70" t="s">
        <v>25</v>
      </c>
      <c r="U70" t="s">
        <v>42</v>
      </c>
      <c r="V70">
        <v>0.14763028594647101</v>
      </c>
      <c r="W70">
        <v>7.5515448122069997E-4</v>
      </c>
      <c r="X70" t="s">
        <v>362</v>
      </c>
      <c r="Y70" t="s">
        <v>29</v>
      </c>
    </row>
    <row r="71" spans="1:25" x14ac:dyDescent="0.2">
      <c r="A71" t="s">
        <v>359</v>
      </c>
      <c r="B71" t="s">
        <v>66</v>
      </c>
      <c r="C71" t="s">
        <v>105</v>
      </c>
      <c r="D71">
        <v>0.27490968156277701</v>
      </c>
      <c r="E71">
        <v>4.4811351312345399E-2</v>
      </c>
      <c r="F71" t="s">
        <v>33</v>
      </c>
      <c r="G71">
        <v>16</v>
      </c>
      <c r="H71">
        <v>-1.652666949146E-4</v>
      </c>
      <c r="I71" t="s">
        <v>37</v>
      </c>
      <c r="J71" t="b">
        <v>0</v>
      </c>
      <c r="K71">
        <v>-30.470585813961701</v>
      </c>
      <c r="L71">
        <v>-29.470585813961701</v>
      </c>
      <c r="M71">
        <v>9.7311481283401893</v>
      </c>
      <c r="N71" t="s">
        <v>25</v>
      </c>
      <c r="O71" t="s">
        <v>25</v>
      </c>
      <c r="P71" t="s">
        <v>431</v>
      </c>
      <c r="Q71">
        <f>-0.000311171895823649 - -0.0000193614940057142</f>
        <v>-2.9181040181793481E-4</v>
      </c>
      <c r="R71" t="s">
        <v>30</v>
      </c>
      <c r="S71" t="s">
        <v>38</v>
      </c>
      <c r="T71" t="s">
        <v>39</v>
      </c>
      <c r="U71" t="s">
        <v>493</v>
      </c>
      <c r="V71">
        <v>0.117436118661118</v>
      </c>
      <c r="W71" s="1">
        <v>7.4441429035187302E-5</v>
      </c>
      <c r="X71" t="s">
        <v>362</v>
      </c>
      <c r="Y71" t="s">
        <v>29</v>
      </c>
    </row>
    <row r="72" spans="1:25" x14ac:dyDescent="0.2">
      <c r="A72" t="s">
        <v>359</v>
      </c>
      <c r="B72" t="s">
        <v>94</v>
      </c>
      <c r="C72" t="s">
        <v>105</v>
      </c>
      <c r="D72">
        <v>0.147902125731985</v>
      </c>
      <c r="E72">
        <v>0.15695387243008299</v>
      </c>
      <c r="F72" t="s">
        <v>33</v>
      </c>
      <c r="G72">
        <v>4</v>
      </c>
      <c r="H72">
        <v>5.5754962852689997E-4</v>
      </c>
      <c r="I72" t="s">
        <v>40</v>
      </c>
      <c r="J72" t="b">
        <v>0</v>
      </c>
      <c r="K72">
        <v>-28.0495082357223</v>
      </c>
      <c r="L72">
        <v>-27.0495082357223</v>
      </c>
      <c r="M72">
        <v>14.175202097686499</v>
      </c>
      <c r="N72" t="s">
        <v>25</v>
      </c>
      <c r="O72" t="s">
        <v>25</v>
      </c>
      <c r="P72" t="s">
        <v>383</v>
      </c>
      <c r="Q72">
        <f>-0.000169937743270021 - 0.00128503700032388</f>
        <v>-1.454974743593901E-3</v>
      </c>
      <c r="R72" t="s">
        <v>30</v>
      </c>
      <c r="S72" t="s">
        <v>41</v>
      </c>
      <c r="T72" t="s">
        <v>25</v>
      </c>
      <c r="U72" t="s">
        <v>42</v>
      </c>
      <c r="V72">
        <v>6.51089434052841E-2</v>
      </c>
      <c r="W72">
        <v>3.7116702642700001E-4</v>
      </c>
      <c r="X72" t="s">
        <v>362</v>
      </c>
      <c r="Y72" t="s">
        <v>29</v>
      </c>
    </row>
    <row r="73" spans="1:25" x14ac:dyDescent="0.2">
      <c r="A73" t="s">
        <v>359</v>
      </c>
      <c r="B73" t="s">
        <v>56</v>
      </c>
      <c r="C73" t="s">
        <v>105</v>
      </c>
      <c r="D73">
        <v>5.0878855305818697E-2</v>
      </c>
      <c r="E73">
        <v>0.400925206513704</v>
      </c>
      <c r="F73" t="s">
        <v>33</v>
      </c>
      <c r="G73">
        <v>16</v>
      </c>
      <c r="H73">
        <v>4.4772452282350003E-4</v>
      </c>
      <c r="I73" t="s">
        <v>37</v>
      </c>
      <c r="J73" t="b">
        <v>0</v>
      </c>
      <c r="K73">
        <v>-30.282265528687599</v>
      </c>
      <c r="L73">
        <v>-29.359188605610701</v>
      </c>
      <c r="M73">
        <v>14.500890025530399</v>
      </c>
      <c r="N73" t="s">
        <v>25</v>
      </c>
      <c r="O73" t="s">
        <v>25</v>
      </c>
      <c r="P73" t="s">
        <v>363</v>
      </c>
      <c r="Q73">
        <f>-0.000565242003562349 - 0.00146069104920947</f>
        <v>-2.0259330527718188E-3</v>
      </c>
      <c r="R73" t="s">
        <v>26</v>
      </c>
      <c r="S73" t="s">
        <v>38</v>
      </c>
      <c r="T73" t="s">
        <v>39</v>
      </c>
      <c r="U73" t="s">
        <v>494</v>
      </c>
      <c r="V73">
        <v>8.8694234787018003E-2</v>
      </c>
      <c r="W73">
        <v>5.1681965631929997E-4</v>
      </c>
      <c r="X73" t="s">
        <v>362</v>
      </c>
      <c r="Y73" t="s">
        <v>29</v>
      </c>
    </row>
    <row r="74" spans="1:25" x14ac:dyDescent="0.2">
      <c r="A74" t="s">
        <v>359</v>
      </c>
      <c r="B74" t="s">
        <v>87</v>
      </c>
      <c r="C74" t="s">
        <v>105</v>
      </c>
      <c r="D74">
        <v>0.53703975686129102</v>
      </c>
      <c r="E74">
        <v>1.8847355513207E-3</v>
      </c>
      <c r="F74" t="s">
        <v>33</v>
      </c>
      <c r="G74">
        <v>16</v>
      </c>
      <c r="H74">
        <v>5.9778941492380001E-4</v>
      </c>
      <c r="I74" t="s">
        <v>40</v>
      </c>
      <c r="J74" t="b">
        <v>0</v>
      </c>
      <c r="K74">
        <v>-37.200411440991203</v>
      </c>
      <c r="L74">
        <v>-36.200411440991203</v>
      </c>
      <c r="M74">
        <v>2.4153089495167901</v>
      </c>
      <c r="N74" t="s">
        <v>25</v>
      </c>
      <c r="O74" t="s">
        <v>25</v>
      </c>
      <c r="P74" t="s">
        <v>366</v>
      </c>
      <c r="Q74" t="s">
        <v>495</v>
      </c>
      <c r="R74" t="s">
        <v>30</v>
      </c>
      <c r="S74" t="s">
        <v>41</v>
      </c>
      <c r="T74" t="s">
        <v>25</v>
      </c>
      <c r="U74" t="s">
        <v>42</v>
      </c>
      <c r="V74">
        <v>7.3251778901422496E-2</v>
      </c>
      <c r="W74">
        <v>1.5393776417869999E-4</v>
      </c>
      <c r="X74" t="s">
        <v>362</v>
      </c>
      <c r="Y74" t="s">
        <v>29</v>
      </c>
    </row>
    <row r="75" spans="1:25" x14ac:dyDescent="0.2">
      <c r="A75" t="s">
        <v>359</v>
      </c>
      <c r="B75" t="s">
        <v>46</v>
      </c>
      <c r="C75" t="s">
        <v>105</v>
      </c>
      <c r="D75">
        <v>5.1200219057644996E-3</v>
      </c>
      <c r="E75">
        <v>0.79229090999801299</v>
      </c>
      <c r="F75" t="s">
        <v>33</v>
      </c>
      <c r="G75">
        <v>7</v>
      </c>
      <c r="H75">
        <v>1.65781180685526E-2</v>
      </c>
      <c r="I75" t="s">
        <v>37</v>
      </c>
      <c r="J75" t="b">
        <v>0</v>
      </c>
      <c r="K75">
        <v>-29.528894980132801</v>
      </c>
      <c r="L75">
        <v>-28.605818057055899</v>
      </c>
      <c r="M75">
        <v>11.6650914177152</v>
      </c>
      <c r="N75" t="s">
        <v>25</v>
      </c>
      <c r="O75" t="s">
        <v>25</v>
      </c>
      <c r="P75" t="s">
        <v>461</v>
      </c>
      <c r="Q75">
        <f>-0.104475205509765 - 0.13763144164687</f>
        <v>-0.24210664715663499</v>
      </c>
      <c r="R75" t="s">
        <v>31</v>
      </c>
      <c r="S75" t="s">
        <v>38</v>
      </c>
      <c r="T75" t="s">
        <v>39</v>
      </c>
      <c r="U75" t="s">
        <v>496</v>
      </c>
      <c r="V75">
        <v>0.111470983390005</v>
      </c>
      <c r="W75">
        <v>6.1761899784855898E-2</v>
      </c>
      <c r="X75" t="s">
        <v>362</v>
      </c>
      <c r="Y75" t="s">
        <v>29</v>
      </c>
    </row>
    <row r="76" spans="1:25" x14ac:dyDescent="0.2">
      <c r="A76" t="s">
        <v>359</v>
      </c>
      <c r="B76" t="s">
        <v>65</v>
      </c>
      <c r="C76" t="s">
        <v>105</v>
      </c>
      <c r="D76">
        <v>0.186621214063664</v>
      </c>
      <c r="E76">
        <v>9.4723151940464295E-2</v>
      </c>
      <c r="F76" t="s">
        <v>33</v>
      </c>
      <c r="G76">
        <v>17</v>
      </c>
      <c r="H76">
        <v>7.8765676518100002E-4</v>
      </c>
      <c r="I76" t="s">
        <v>37</v>
      </c>
      <c r="J76" t="b">
        <v>0</v>
      </c>
      <c r="K76">
        <v>-32.751698059273203</v>
      </c>
      <c r="L76">
        <v>-31.828621136196301</v>
      </c>
      <c r="M76">
        <v>16.104216021620299</v>
      </c>
      <c r="N76" t="s">
        <v>25</v>
      </c>
      <c r="O76" t="s">
        <v>25</v>
      </c>
      <c r="P76" t="s">
        <v>448</v>
      </c>
      <c r="Q76">
        <f>-0.0000737236167787912 - 0.00164903714714096</f>
        <v>-1.7227607639197511E-3</v>
      </c>
      <c r="R76" t="s">
        <v>32</v>
      </c>
      <c r="S76" t="s">
        <v>38</v>
      </c>
      <c r="T76" t="s">
        <v>39</v>
      </c>
      <c r="U76" t="s">
        <v>497</v>
      </c>
      <c r="V76">
        <v>9.4844124531055701E-2</v>
      </c>
      <c r="W76">
        <v>4.3947978671420002E-4</v>
      </c>
      <c r="X76" t="s">
        <v>362</v>
      </c>
      <c r="Y76" t="s">
        <v>29</v>
      </c>
    </row>
    <row r="77" spans="1:25" x14ac:dyDescent="0.2">
      <c r="A77" t="s">
        <v>359</v>
      </c>
      <c r="B77" t="s">
        <v>52</v>
      </c>
      <c r="C77" t="s">
        <v>105</v>
      </c>
      <c r="D77">
        <v>0.26951981364516098</v>
      </c>
      <c r="E77">
        <v>3.93264963669437E-2</v>
      </c>
      <c r="F77" t="s">
        <v>33</v>
      </c>
      <c r="G77">
        <v>16</v>
      </c>
      <c r="H77">
        <v>-5.9198826808284999E-3</v>
      </c>
      <c r="I77" t="s">
        <v>40</v>
      </c>
      <c r="J77" t="b">
        <v>0</v>
      </c>
      <c r="K77">
        <v>-34.471614939028598</v>
      </c>
      <c r="L77">
        <v>-33.548538015951699</v>
      </c>
      <c r="M77">
        <v>8.2945629400788903</v>
      </c>
      <c r="N77" t="s">
        <v>25</v>
      </c>
      <c r="O77" t="s">
        <v>25</v>
      </c>
      <c r="P77" t="s">
        <v>444</v>
      </c>
      <c r="Q77">
        <f>-0.0110250975444251 - -0.000814667817231943</f>
        <v>-1.0210429727193156E-2</v>
      </c>
      <c r="R77" t="s">
        <v>26</v>
      </c>
      <c r="S77" t="s">
        <v>41</v>
      </c>
      <c r="T77" t="s">
        <v>25</v>
      </c>
      <c r="U77" t="s">
        <v>42</v>
      </c>
      <c r="V77">
        <v>0.13135661360636999</v>
      </c>
      <c r="W77">
        <v>2.6047014610186001E-3</v>
      </c>
      <c r="X77" t="s">
        <v>362</v>
      </c>
      <c r="Y77" t="s">
        <v>29</v>
      </c>
    </row>
    <row r="78" spans="1:25" x14ac:dyDescent="0.2">
      <c r="A78" t="s">
        <v>359</v>
      </c>
      <c r="B78" t="s">
        <v>69</v>
      </c>
      <c r="C78" t="s">
        <v>105</v>
      </c>
      <c r="D78">
        <v>0.22417217278559601</v>
      </c>
      <c r="E78">
        <v>6.3958184048662506E-2</v>
      </c>
      <c r="F78" t="s">
        <v>33</v>
      </c>
      <c r="G78">
        <v>16</v>
      </c>
      <c r="H78">
        <v>5.6820053916410002E-4</v>
      </c>
      <c r="I78" t="s">
        <v>34</v>
      </c>
      <c r="J78" t="b">
        <v>0</v>
      </c>
      <c r="K78">
        <v>-44.283517467471903</v>
      </c>
      <c r="L78">
        <v>-43.360440544394997</v>
      </c>
      <c r="M78">
        <v>1.8862611511858001</v>
      </c>
      <c r="N78" t="s">
        <v>25</v>
      </c>
      <c r="O78" t="s">
        <v>25</v>
      </c>
      <c r="P78" t="s">
        <v>403</v>
      </c>
      <c r="Q78" t="s">
        <v>498</v>
      </c>
      <c r="R78" t="s">
        <v>26</v>
      </c>
      <c r="S78" t="s">
        <v>35</v>
      </c>
      <c r="T78" t="s">
        <v>36</v>
      </c>
      <c r="U78" t="s">
        <v>499</v>
      </c>
      <c r="V78">
        <v>8.3975226699395306E-2</v>
      </c>
      <c r="W78">
        <v>2.8250715357659999E-4</v>
      </c>
      <c r="X78" t="s">
        <v>362</v>
      </c>
      <c r="Y78" t="s">
        <v>29</v>
      </c>
    </row>
    <row r="79" spans="1:25" x14ac:dyDescent="0.2">
      <c r="A79" t="s">
        <v>359</v>
      </c>
      <c r="B79" t="s">
        <v>63</v>
      </c>
      <c r="C79" t="s">
        <v>105</v>
      </c>
      <c r="D79">
        <v>0.334747703187316</v>
      </c>
      <c r="E79">
        <v>1.88745961975165E-2</v>
      </c>
      <c r="F79" t="s">
        <v>33</v>
      </c>
      <c r="G79">
        <v>17</v>
      </c>
      <c r="H79">
        <v>3.4431740115109999E-4</v>
      </c>
      <c r="I79" t="s">
        <v>34</v>
      </c>
      <c r="J79" t="b">
        <v>0</v>
      </c>
      <c r="K79">
        <v>-46.045788303343699</v>
      </c>
      <c r="L79">
        <v>-45.1227113802668</v>
      </c>
      <c r="M79">
        <v>1.5184647080128</v>
      </c>
      <c r="N79" t="s">
        <v>25</v>
      </c>
      <c r="O79" t="s">
        <v>25</v>
      </c>
      <c r="P79" t="s">
        <v>474</v>
      </c>
      <c r="Q79" t="s">
        <v>500</v>
      </c>
      <c r="R79" t="s">
        <v>26</v>
      </c>
      <c r="S79" t="s">
        <v>35</v>
      </c>
      <c r="T79" t="s">
        <v>36</v>
      </c>
      <c r="U79" t="s">
        <v>501</v>
      </c>
      <c r="V79">
        <v>9.1143621725300897E-2</v>
      </c>
      <c r="W79">
        <v>1.2972669152640001E-4</v>
      </c>
      <c r="X79" t="s">
        <v>362</v>
      </c>
      <c r="Y79" t="s">
        <v>29</v>
      </c>
    </row>
    <row r="80" spans="1:25" x14ac:dyDescent="0.2">
      <c r="A80" t="s">
        <v>359</v>
      </c>
      <c r="B80" t="s">
        <v>99</v>
      </c>
      <c r="C80" t="s">
        <v>105</v>
      </c>
      <c r="D80">
        <v>6.0105243015530302E-2</v>
      </c>
      <c r="E80">
        <v>0.37848423592913999</v>
      </c>
      <c r="F80" t="s">
        <v>33</v>
      </c>
      <c r="G80">
        <v>17</v>
      </c>
      <c r="H80">
        <v>2.3025359212690001E-4</v>
      </c>
      <c r="I80" t="s">
        <v>40</v>
      </c>
      <c r="J80" t="b">
        <v>0</v>
      </c>
      <c r="K80">
        <v>-26.578510552599901</v>
      </c>
      <c r="L80">
        <v>-25.578510552599901</v>
      </c>
      <c r="M80">
        <v>17.564141158558702</v>
      </c>
      <c r="N80" t="s">
        <v>25</v>
      </c>
      <c r="O80" t="s">
        <v>25</v>
      </c>
      <c r="P80" t="s">
        <v>400</v>
      </c>
      <c r="Q80">
        <f>-0.000264711127583331 - 0.000725218311837306</f>
        <v>-9.899294394206371E-4</v>
      </c>
      <c r="R80" t="s">
        <v>30</v>
      </c>
      <c r="S80" t="s">
        <v>41</v>
      </c>
      <c r="T80" t="s">
        <v>25</v>
      </c>
      <c r="U80" t="s">
        <v>42</v>
      </c>
      <c r="V80">
        <v>8.8238935903806298E-2</v>
      </c>
      <c r="W80">
        <v>2.5253302026029999E-4</v>
      </c>
      <c r="X80" t="s">
        <v>362</v>
      </c>
      <c r="Y80" t="s">
        <v>29</v>
      </c>
    </row>
    <row r="81" spans="1:25" x14ac:dyDescent="0.2">
      <c r="A81" t="s">
        <v>359</v>
      </c>
      <c r="B81" t="s">
        <v>89</v>
      </c>
      <c r="C81" t="s">
        <v>105</v>
      </c>
      <c r="D81">
        <v>0.126764010029945</v>
      </c>
      <c r="E81">
        <v>0.192748759447924</v>
      </c>
      <c r="F81" t="s">
        <v>33</v>
      </c>
      <c r="G81">
        <v>10</v>
      </c>
      <c r="H81">
        <v>8.5988312891250001E-4</v>
      </c>
      <c r="I81" t="s">
        <v>40</v>
      </c>
      <c r="J81" t="b">
        <v>0</v>
      </c>
      <c r="K81">
        <v>-27.681941577592202</v>
      </c>
      <c r="L81">
        <v>-26.681941577592202</v>
      </c>
      <c r="M81">
        <v>11.177166950630999</v>
      </c>
      <c r="N81" t="s">
        <v>25</v>
      </c>
      <c r="O81" t="s">
        <v>25</v>
      </c>
      <c r="P81" t="s">
        <v>386</v>
      </c>
      <c r="Q81">
        <f>-0.000366967393105348 - 0.00208673365093045</f>
        <v>-2.453701044035798E-3</v>
      </c>
      <c r="R81" t="s">
        <v>30</v>
      </c>
      <c r="S81" t="s">
        <v>41</v>
      </c>
      <c r="T81" t="s">
        <v>25</v>
      </c>
      <c r="U81" t="s">
        <v>42</v>
      </c>
      <c r="V81">
        <v>9.5748727612916099E-2</v>
      </c>
      <c r="W81">
        <v>6.2594414388660003E-4</v>
      </c>
      <c r="X81" t="s">
        <v>362</v>
      </c>
      <c r="Y81" t="s">
        <v>29</v>
      </c>
    </row>
    <row r="82" spans="1:25" x14ac:dyDescent="0.2">
      <c r="A82" t="s">
        <v>359</v>
      </c>
      <c r="B82" t="s">
        <v>73</v>
      </c>
      <c r="C82" t="s">
        <v>105</v>
      </c>
      <c r="D82">
        <v>0.18701210682445599</v>
      </c>
      <c r="E82">
        <v>9.4339704067626207E-2</v>
      </c>
      <c r="F82" t="s">
        <v>33</v>
      </c>
      <c r="G82">
        <v>14</v>
      </c>
      <c r="H82">
        <v>2.6223093479680998E-3</v>
      </c>
      <c r="I82" t="s">
        <v>40</v>
      </c>
      <c r="J82" t="b">
        <v>0</v>
      </c>
      <c r="K82">
        <v>-32.7593891714601</v>
      </c>
      <c r="L82">
        <v>-31.836312248383202</v>
      </c>
      <c r="M82">
        <v>8.4741506213668902</v>
      </c>
      <c r="N82" t="s">
        <v>25</v>
      </c>
      <c r="O82" t="s">
        <v>25</v>
      </c>
      <c r="P82" t="s">
        <v>433</v>
      </c>
      <c r="Q82">
        <f>-0.000241757526579566 - 0.0054863762225158</f>
        <v>-5.7281337490953663E-3</v>
      </c>
      <c r="R82" t="s">
        <v>26</v>
      </c>
      <c r="S82" t="s">
        <v>41</v>
      </c>
      <c r="T82" t="s">
        <v>25</v>
      </c>
      <c r="U82" t="s">
        <v>42</v>
      </c>
      <c r="V82">
        <v>8.9028920334270498E-2</v>
      </c>
      <c r="W82">
        <v>1.4612586094631E-3</v>
      </c>
      <c r="X82" t="s">
        <v>362</v>
      </c>
      <c r="Y82" t="s">
        <v>29</v>
      </c>
    </row>
    <row r="83" spans="1:25" x14ac:dyDescent="0.2">
      <c r="A83" t="s">
        <v>359</v>
      </c>
      <c r="B83" t="s">
        <v>47</v>
      </c>
      <c r="C83" t="s">
        <v>105</v>
      </c>
      <c r="D83">
        <v>0.36527607589594102</v>
      </c>
      <c r="E83">
        <v>1.31457920197449E-2</v>
      </c>
      <c r="F83" t="s">
        <v>33</v>
      </c>
      <c r="G83">
        <v>17</v>
      </c>
      <c r="H83">
        <v>-2.1434729243196E-3</v>
      </c>
      <c r="I83" t="s">
        <v>37</v>
      </c>
      <c r="J83" t="b">
        <v>0</v>
      </c>
      <c r="K83">
        <v>-36.7198064311319</v>
      </c>
      <c r="L83">
        <v>-35.796729508055002</v>
      </c>
      <c r="M83">
        <v>14.1734528500739</v>
      </c>
      <c r="N83" t="s">
        <v>25</v>
      </c>
      <c r="O83" t="s">
        <v>25</v>
      </c>
      <c r="P83" t="s">
        <v>482</v>
      </c>
      <c r="Q83">
        <f>-0.00362357570751227 - -0.00066337014112706</f>
        <v>-2.96020556638521E-3</v>
      </c>
      <c r="R83" t="s">
        <v>31</v>
      </c>
      <c r="S83" t="s">
        <v>38</v>
      </c>
      <c r="T83" t="s">
        <v>39</v>
      </c>
      <c r="U83" t="s">
        <v>502</v>
      </c>
      <c r="V83">
        <v>0.14763028594647101</v>
      </c>
      <c r="W83">
        <v>7.5515448122069997E-4</v>
      </c>
      <c r="X83" t="s">
        <v>362</v>
      </c>
      <c r="Y83" t="s">
        <v>29</v>
      </c>
    </row>
    <row r="84" spans="1:25" x14ac:dyDescent="0.2">
      <c r="A84" t="s">
        <v>359</v>
      </c>
      <c r="B84" t="s">
        <v>52</v>
      </c>
      <c r="C84" t="s">
        <v>105</v>
      </c>
      <c r="D84">
        <v>0.26951981364516098</v>
      </c>
      <c r="E84">
        <v>3.93264963669437E-2</v>
      </c>
      <c r="F84" t="s">
        <v>33</v>
      </c>
      <c r="G84">
        <v>16</v>
      </c>
      <c r="H84">
        <v>-5.9198826808284999E-3</v>
      </c>
      <c r="I84" t="s">
        <v>37</v>
      </c>
      <c r="J84" t="b">
        <v>0</v>
      </c>
      <c r="K84">
        <v>-34.471614939028598</v>
      </c>
      <c r="L84">
        <v>-33.548538015951699</v>
      </c>
      <c r="M84">
        <v>8.2945629400788903</v>
      </c>
      <c r="N84" t="s">
        <v>25</v>
      </c>
      <c r="O84" t="s">
        <v>25</v>
      </c>
      <c r="P84" t="s">
        <v>444</v>
      </c>
      <c r="Q84">
        <f>-0.0110250975444251 - -0.000814667817231943</f>
        <v>-1.0210429727193156E-2</v>
      </c>
      <c r="R84" t="s">
        <v>26</v>
      </c>
      <c r="S84" t="s">
        <v>38</v>
      </c>
      <c r="T84" t="s">
        <v>39</v>
      </c>
      <c r="U84" t="s">
        <v>503</v>
      </c>
      <c r="V84">
        <v>0.13135661360636999</v>
      </c>
      <c r="W84">
        <v>2.6047014610186001E-3</v>
      </c>
      <c r="X84" t="s">
        <v>362</v>
      </c>
      <c r="Y84" t="s">
        <v>29</v>
      </c>
    </row>
    <row r="85" spans="1:25" x14ac:dyDescent="0.2">
      <c r="A85" t="s">
        <v>359</v>
      </c>
      <c r="B85" t="s">
        <v>65</v>
      </c>
      <c r="C85" t="s">
        <v>105</v>
      </c>
      <c r="D85">
        <v>0.29926470337009198</v>
      </c>
      <c r="E85">
        <v>2.8303833053109601E-2</v>
      </c>
      <c r="F85" t="s">
        <v>33</v>
      </c>
      <c r="G85">
        <v>17</v>
      </c>
      <c r="H85">
        <v>9.2419547234780003E-4</v>
      </c>
      <c r="I85" t="s">
        <v>34</v>
      </c>
      <c r="J85" t="b">
        <v>0</v>
      </c>
      <c r="K85">
        <v>-45.912324122322303</v>
      </c>
      <c r="L85">
        <v>-44.989247199245398</v>
      </c>
      <c r="M85">
        <v>2.9435899585712</v>
      </c>
      <c r="N85" t="s">
        <v>25</v>
      </c>
      <c r="O85" t="s">
        <v>25</v>
      </c>
      <c r="P85" t="s">
        <v>448</v>
      </c>
      <c r="Q85" t="s">
        <v>504</v>
      </c>
      <c r="R85" t="s">
        <v>32</v>
      </c>
      <c r="S85" t="s">
        <v>35</v>
      </c>
      <c r="T85" t="s">
        <v>36</v>
      </c>
      <c r="U85" t="s">
        <v>505</v>
      </c>
      <c r="V85">
        <v>9.3112996338006404E-2</v>
      </c>
      <c r="W85">
        <v>3.7796280817830002E-4</v>
      </c>
      <c r="X85" t="s">
        <v>362</v>
      </c>
      <c r="Y85" t="s">
        <v>29</v>
      </c>
    </row>
    <row r="86" spans="1:25" x14ac:dyDescent="0.2">
      <c r="A86" t="s">
        <v>359</v>
      </c>
      <c r="B86" t="s">
        <v>76</v>
      </c>
      <c r="C86" t="s">
        <v>105</v>
      </c>
      <c r="D86">
        <v>0.66560293504069501</v>
      </c>
      <c r="E86">
        <v>2.0850146013219999E-4</v>
      </c>
      <c r="F86" t="s">
        <v>33</v>
      </c>
      <c r="G86">
        <v>17</v>
      </c>
      <c r="H86">
        <v>9.1608507515338992E-3</v>
      </c>
      <c r="I86" t="s">
        <v>37</v>
      </c>
      <c r="J86" t="b">
        <v>0</v>
      </c>
      <c r="K86">
        <v>-42.080092615670502</v>
      </c>
      <c r="L86">
        <v>-41.080092615670502</v>
      </c>
      <c r="M86">
        <v>1.4859671765414</v>
      </c>
      <c r="N86" t="s">
        <v>25</v>
      </c>
      <c r="O86" t="s">
        <v>25</v>
      </c>
      <c r="P86" t="s">
        <v>477</v>
      </c>
      <c r="Q86" t="s">
        <v>490</v>
      </c>
      <c r="R86" t="s">
        <v>30</v>
      </c>
      <c r="S86" t="s">
        <v>38</v>
      </c>
      <c r="T86" t="s">
        <v>39</v>
      </c>
      <c r="U86" t="s">
        <v>506</v>
      </c>
      <c r="V86">
        <v>0.107894895588032</v>
      </c>
      <c r="W86">
        <v>1.800892319205E-3</v>
      </c>
      <c r="X86" t="s">
        <v>362</v>
      </c>
      <c r="Y86" t="s">
        <v>29</v>
      </c>
    </row>
    <row r="87" spans="1:25" x14ac:dyDescent="0.2">
      <c r="A87" t="s">
        <v>359</v>
      </c>
      <c r="B87" t="s">
        <v>87</v>
      </c>
      <c r="C87" t="s">
        <v>105</v>
      </c>
      <c r="D87">
        <v>0.53703975686129102</v>
      </c>
      <c r="E87">
        <v>1.8847355513207E-3</v>
      </c>
      <c r="F87" t="s">
        <v>33</v>
      </c>
      <c r="G87">
        <v>16</v>
      </c>
      <c r="H87">
        <v>5.9778941492380001E-4</v>
      </c>
      <c r="I87" t="s">
        <v>37</v>
      </c>
      <c r="J87" t="b">
        <v>0</v>
      </c>
      <c r="K87">
        <v>-37.200411440991203</v>
      </c>
      <c r="L87">
        <v>-36.200411440991203</v>
      </c>
      <c r="M87">
        <v>2.4153089495167901</v>
      </c>
      <c r="N87" t="s">
        <v>25</v>
      </c>
      <c r="O87" t="s">
        <v>25</v>
      </c>
      <c r="P87" t="s">
        <v>366</v>
      </c>
      <c r="Q87" t="s">
        <v>495</v>
      </c>
      <c r="R87" t="s">
        <v>30</v>
      </c>
      <c r="S87" t="s">
        <v>38</v>
      </c>
      <c r="T87" t="s">
        <v>39</v>
      </c>
      <c r="U87" t="s">
        <v>507</v>
      </c>
      <c r="V87">
        <v>7.3251778901422496E-2</v>
      </c>
      <c r="W87">
        <v>1.5393776417869999E-4</v>
      </c>
      <c r="X87" t="s">
        <v>362</v>
      </c>
      <c r="Y87" t="s">
        <v>29</v>
      </c>
    </row>
    <row r="88" spans="1:25" x14ac:dyDescent="0.2">
      <c r="A88" t="s">
        <v>359</v>
      </c>
      <c r="B88" t="s">
        <v>93</v>
      </c>
      <c r="C88" t="s">
        <v>105</v>
      </c>
      <c r="D88">
        <v>0.44925519155826199</v>
      </c>
      <c r="E88">
        <v>4.4935981391822002E-3</v>
      </c>
      <c r="F88" t="s">
        <v>33</v>
      </c>
      <c r="G88">
        <v>16</v>
      </c>
      <c r="H88">
        <v>4.2343622818580002E-4</v>
      </c>
      <c r="I88" t="s">
        <v>34</v>
      </c>
      <c r="J88" t="b">
        <v>0</v>
      </c>
      <c r="K88">
        <v>-46.863731405052</v>
      </c>
      <c r="L88">
        <v>-45.940654481975102</v>
      </c>
      <c r="M88">
        <v>1.9240963713897899E-2</v>
      </c>
      <c r="N88" t="s">
        <v>25</v>
      </c>
      <c r="O88" t="s">
        <v>25</v>
      </c>
      <c r="P88" t="s">
        <v>380</v>
      </c>
      <c r="Q88" t="s">
        <v>508</v>
      </c>
      <c r="R88" t="s">
        <v>32</v>
      </c>
      <c r="S88" t="s">
        <v>35</v>
      </c>
      <c r="T88" t="s">
        <v>36</v>
      </c>
      <c r="U88" t="s">
        <v>509</v>
      </c>
      <c r="V88">
        <v>0.11247435019624</v>
      </c>
      <c r="W88">
        <v>1.25300455099E-4</v>
      </c>
      <c r="X88" t="s">
        <v>362</v>
      </c>
      <c r="Y88" t="s">
        <v>29</v>
      </c>
    </row>
    <row r="89" spans="1:25" x14ac:dyDescent="0.2">
      <c r="A89" t="s">
        <v>359</v>
      </c>
      <c r="B89" t="s">
        <v>79</v>
      </c>
      <c r="C89" t="s">
        <v>105</v>
      </c>
      <c r="D89">
        <v>5.0536270804649001E-3</v>
      </c>
      <c r="E89">
        <v>0.79361479340193897</v>
      </c>
      <c r="F89" t="s">
        <v>33</v>
      </c>
      <c r="G89">
        <v>12</v>
      </c>
      <c r="H89">
        <v>1.007431586159E-4</v>
      </c>
      <c r="I89" t="s">
        <v>40</v>
      </c>
      <c r="J89" t="b">
        <v>0</v>
      </c>
      <c r="K89">
        <v>-29.527827231477701</v>
      </c>
      <c r="L89">
        <v>-28.6047503084007</v>
      </c>
      <c r="M89">
        <v>14.0230815811968</v>
      </c>
      <c r="N89" t="s">
        <v>25</v>
      </c>
      <c r="O89" t="s">
        <v>25</v>
      </c>
      <c r="P89" t="s">
        <v>406</v>
      </c>
      <c r="Q89">
        <f>-0.000639724096195025 - 0.000841210413427002</f>
        <v>-1.480934509622027E-3</v>
      </c>
      <c r="R89" t="s">
        <v>31</v>
      </c>
      <c r="S89" t="s">
        <v>41</v>
      </c>
      <c r="T89" t="s">
        <v>25</v>
      </c>
      <c r="U89" t="s">
        <v>42</v>
      </c>
      <c r="V89">
        <v>0.108340195905944</v>
      </c>
      <c r="W89">
        <v>3.7778941571989998E-4</v>
      </c>
      <c r="X89" t="s">
        <v>362</v>
      </c>
      <c r="Y89" t="s">
        <v>29</v>
      </c>
    </row>
    <row r="90" spans="1:25" x14ac:dyDescent="0.2">
      <c r="A90" t="s">
        <v>359</v>
      </c>
      <c r="B90" t="s">
        <v>94</v>
      </c>
      <c r="C90" t="s">
        <v>105</v>
      </c>
      <c r="D90">
        <v>0.147902125731985</v>
      </c>
      <c r="E90">
        <v>0.15695387243008299</v>
      </c>
      <c r="F90" t="s">
        <v>33</v>
      </c>
      <c r="G90">
        <v>4</v>
      </c>
      <c r="H90">
        <v>5.5754962852689997E-4</v>
      </c>
      <c r="I90" t="s">
        <v>37</v>
      </c>
      <c r="J90" t="b">
        <v>0</v>
      </c>
      <c r="K90">
        <v>-28.0495082357223</v>
      </c>
      <c r="L90">
        <v>-27.0495082357223</v>
      </c>
      <c r="M90">
        <v>14.175202097686499</v>
      </c>
      <c r="N90" t="s">
        <v>25</v>
      </c>
      <c r="O90" t="s">
        <v>25</v>
      </c>
      <c r="P90" t="s">
        <v>383</v>
      </c>
      <c r="Q90">
        <f>-0.000169937743270021 - 0.00128503700032388</f>
        <v>-1.454974743593901E-3</v>
      </c>
      <c r="R90" t="s">
        <v>30</v>
      </c>
      <c r="S90" t="s">
        <v>38</v>
      </c>
      <c r="T90" t="s">
        <v>39</v>
      </c>
      <c r="U90" t="s">
        <v>510</v>
      </c>
      <c r="V90">
        <v>6.51089434052841E-2</v>
      </c>
      <c r="W90">
        <v>3.7116702642700001E-4</v>
      </c>
      <c r="X90" t="s">
        <v>362</v>
      </c>
      <c r="Y90" t="s">
        <v>29</v>
      </c>
    </row>
    <row r="91" spans="1:25" x14ac:dyDescent="0.2">
      <c r="A91" t="s">
        <v>359</v>
      </c>
      <c r="B91" t="s">
        <v>63</v>
      </c>
      <c r="C91" t="s">
        <v>105</v>
      </c>
      <c r="D91">
        <v>0.48058793866134503</v>
      </c>
      <c r="E91">
        <v>2.9036377384125999E-3</v>
      </c>
      <c r="F91" t="s">
        <v>33</v>
      </c>
      <c r="G91">
        <v>17</v>
      </c>
      <c r="H91">
        <v>4.2554833711190001E-4</v>
      </c>
      <c r="I91" t="s">
        <v>40</v>
      </c>
      <c r="J91" t="b">
        <v>0</v>
      </c>
      <c r="K91">
        <v>-39.927688327598297</v>
      </c>
      <c r="L91">
        <v>-39.004611404521398</v>
      </c>
      <c r="M91">
        <v>7.6365646837582002</v>
      </c>
      <c r="N91" t="s">
        <v>25</v>
      </c>
      <c r="O91" t="s">
        <v>25</v>
      </c>
      <c r="P91" t="s">
        <v>474</v>
      </c>
      <c r="Q91" t="s">
        <v>511</v>
      </c>
      <c r="R91" t="s">
        <v>26</v>
      </c>
      <c r="S91" t="s">
        <v>41</v>
      </c>
      <c r="T91" t="s">
        <v>25</v>
      </c>
      <c r="U91" t="s">
        <v>42</v>
      </c>
      <c r="V91">
        <v>8.2457768450618404E-2</v>
      </c>
      <c r="W91">
        <v>1.18237288471E-4</v>
      </c>
      <c r="X91" t="s">
        <v>362</v>
      </c>
      <c r="Y91" t="s">
        <v>29</v>
      </c>
    </row>
    <row r="92" spans="1:25" x14ac:dyDescent="0.2">
      <c r="A92" t="s">
        <v>359</v>
      </c>
      <c r="B92" t="s">
        <v>95</v>
      </c>
      <c r="C92" t="s">
        <v>105</v>
      </c>
      <c r="D92">
        <v>9.7233783648900001E-4</v>
      </c>
      <c r="E92">
        <v>0.90873173025300003</v>
      </c>
      <c r="F92" t="s">
        <v>33</v>
      </c>
      <c r="G92">
        <v>6</v>
      </c>
      <c r="H92">
        <v>-2.3849663119960001E-4</v>
      </c>
      <c r="I92" t="s">
        <v>34</v>
      </c>
      <c r="J92" t="b">
        <v>0</v>
      </c>
      <c r="K92">
        <v>-40.237887952287998</v>
      </c>
      <c r="L92">
        <v>-39.3148110292111</v>
      </c>
      <c r="M92">
        <v>0.67850926574450199</v>
      </c>
      <c r="N92" t="s">
        <v>25</v>
      </c>
      <c r="O92" t="s">
        <v>25</v>
      </c>
      <c r="P92" t="s">
        <v>388</v>
      </c>
      <c r="Q92">
        <f>-0.00424305350856928 - 0.0037660602461699</f>
        <v>-8.0091137547391791E-3</v>
      </c>
      <c r="R92" t="s">
        <v>32</v>
      </c>
      <c r="S92" t="s">
        <v>35</v>
      </c>
      <c r="T92" t="s">
        <v>36</v>
      </c>
      <c r="U92" t="s">
        <v>512</v>
      </c>
      <c r="V92">
        <v>0.12131828328774701</v>
      </c>
      <c r="W92">
        <v>2.043141263964E-3</v>
      </c>
      <c r="X92" t="s">
        <v>362</v>
      </c>
      <c r="Y92" t="s">
        <v>29</v>
      </c>
    </row>
    <row r="93" spans="1:25" x14ac:dyDescent="0.2">
      <c r="A93" t="s">
        <v>359</v>
      </c>
      <c r="B93" t="s">
        <v>75</v>
      </c>
      <c r="C93" t="s">
        <v>105</v>
      </c>
      <c r="D93">
        <v>1.30660953931506E-2</v>
      </c>
      <c r="E93">
        <v>0.67337169296458799</v>
      </c>
      <c r="F93" t="s">
        <v>33</v>
      </c>
      <c r="G93">
        <v>8</v>
      </c>
      <c r="H93">
        <v>1.3061829889430001E-4</v>
      </c>
      <c r="I93" t="s">
        <v>40</v>
      </c>
      <c r="J93" t="b">
        <v>0</v>
      </c>
      <c r="K93">
        <v>-29.657199517912598</v>
      </c>
      <c r="L93">
        <v>-28.7341225948357</v>
      </c>
      <c r="M93">
        <v>12.198196515000401</v>
      </c>
      <c r="N93" t="s">
        <v>25</v>
      </c>
      <c r="O93" t="s">
        <v>25</v>
      </c>
      <c r="P93" t="s">
        <v>451</v>
      </c>
      <c r="Q93">
        <f>-0.000464039609601498 - 0.000725276207390202</f>
        <v>-1.1893158169917E-3</v>
      </c>
      <c r="R93" t="s">
        <v>32</v>
      </c>
      <c r="S93" t="s">
        <v>41</v>
      </c>
      <c r="T93" t="s">
        <v>25</v>
      </c>
      <c r="U93" t="s">
        <v>42</v>
      </c>
      <c r="V93">
        <v>0.11024851086391201</v>
      </c>
      <c r="W93">
        <v>3.0339689208970001E-4</v>
      </c>
      <c r="X93" t="s">
        <v>362</v>
      </c>
      <c r="Y93" t="s">
        <v>29</v>
      </c>
    </row>
    <row r="94" spans="1:25" x14ac:dyDescent="0.2">
      <c r="A94" t="s">
        <v>359</v>
      </c>
      <c r="B94" t="s">
        <v>56</v>
      </c>
      <c r="C94" t="s">
        <v>105</v>
      </c>
      <c r="D94">
        <v>5.0878855305818697E-2</v>
      </c>
      <c r="E94">
        <v>0.400925206513704</v>
      </c>
      <c r="F94" t="s">
        <v>33</v>
      </c>
      <c r="G94">
        <v>16</v>
      </c>
      <c r="H94">
        <v>4.4772452282350003E-4</v>
      </c>
      <c r="I94" t="s">
        <v>40</v>
      </c>
      <c r="J94" t="b">
        <v>0</v>
      </c>
      <c r="K94">
        <v>-30.282265528687599</v>
      </c>
      <c r="L94">
        <v>-29.359188605610701</v>
      </c>
      <c r="M94">
        <v>14.500890025530399</v>
      </c>
      <c r="N94" t="s">
        <v>25</v>
      </c>
      <c r="O94" t="s">
        <v>25</v>
      </c>
      <c r="P94" t="s">
        <v>363</v>
      </c>
      <c r="Q94">
        <f>-0.000565242003562349 - 0.00146069104920947</f>
        <v>-2.0259330527718188E-3</v>
      </c>
      <c r="R94" t="s">
        <v>26</v>
      </c>
      <c r="S94" t="s">
        <v>41</v>
      </c>
      <c r="T94" t="s">
        <v>25</v>
      </c>
      <c r="U94" t="s">
        <v>42</v>
      </c>
      <c r="V94">
        <v>8.8694234787018003E-2</v>
      </c>
      <c r="W94">
        <v>5.1681965631929997E-4</v>
      </c>
      <c r="X94" t="s">
        <v>362</v>
      </c>
      <c r="Y94" t="s">
        <v>29</v>
      </c>
    </row>
    <row r="95" spans="1:25" x14ac:dyDescent="0.2">
      <c r="A95" t="s">
        <v>359</v>
      </c>
      <c r="B95" t="s">
        <v>43</v>
      </c>
      <c r="C95" t="s">
        <v>105</v>
      </c>
      <c r="D95">
        <v>0.50924157488020305</v>
      </c>
      <c r="E95">
        <v>1.9071457915034E-3</v>
      </c>
      <c r="F95" t="s">
        <v>33</v>
      </c>
      <c r="G95">
        <v>16</v>
      </c>
      <c r="H95">
        <v>5.5203555747120004E-4</v>
      </c>
      <c r="I95" t="s">
        <v>24</v>
      </c>
      <c r="J95" t="b">
        <v>0</v>
      </c>
      <c r="K95">
        <v>-48.045471749051103</v>
      </c>
      <c r="L95">
        <v>-47.122394825974197</v>
      </c>
      <c r="M95">
        <v>0.226064040523205</v>
      </c>
      <c r="N95" t="s">
        <v>25</v>
      </c>
      <c r="O95" t="s">
        <v>25</v>
      </c>
      <c r="P95" t="s">
        <v>422</v>
      </c>
      <c r="Q95" t="s">
        <v>513</v>
      </c>
      <c r="R95" t="s">
        <v>31</v>
      </c>
      <c r="S95" t="s">
        <v>27</v>
      </c>
      <c r="T95" t="s">
        <v>28</v>
      </c>
      <c r="U95" t="s">
        <v>514</v>
      </c>
      <c r="V95">
        <v>0.108977003110193</v>
      </c>
      <c r="W95">
        <v>1.4483548906229999E-4</v>
      </c>
      <c r="X95" t="s">
        <v>362</v>
      </c>
      <c r="Y95" t="s">
        <v>29</v>
      </c>
    </row>
    <row r="96" spans="1:25" x14ac:dyDescent="0.2">
      <c r="A96" t="s">
        <v>359</v>
      </c>
      <c r="B96" t="s">
        <v>58</v>
      </c>
      <c r="C96" t="s">
        <v>105</v>
      </c>
      <c r="D96">
        <v>0.16148414011373699</v>
      </c>
      <c r="E96">
        <v>0.122853661542193</v>
      </c>
      <c r="F96" t="s">
        <v>33</v>
      </c>
      <c r="G96">
        <v>17</v>
      </c>
      <c r="H96">
        <v>-1.5045543316423E-3</v>
      </c>
      <c r="I96" t="s">
        <v>40</v>
      </c>
      <c r="J96" t="b">
        <v>0</v>
      </c>
      <c r="K96">
        <v>-32.264712726924301</v>
      </c>
      <c r="L96">
        <v>-31.341635803847399</v>
      </c>
      <c r="M96">
        <v>11.133601952884201</v>
      </c>
      <c r="N96" t="s">
        <v>25</v>
      </c>
      <c r="O96" t="s">
        <v>25</v>
      </c>
      <c r="P96" t="s">
        <v>360</v>
      </c>
      <c r="Q96">
        <f>-0.0033004894046876 - 0.000291380741402934</f>
        <v>-3.5918701460905342E-3</v>
      </c>
      <c r="R96" t="s">
        <v>32</v>
      </c>
      <c r="S96" t="s">
        <v>41</v>
      </c>
      <c r="T96" t="s">
        <v>25</v>
      </c>
      <c r="U96" t="s">
        <v>42</v>
      </c>
      <c r="V96">
        <v>0.14050636323622501</v>
      </c>
      <c r="W96">
        <v>9.1629340461489995E-4</v>
      </c>
      <c r="X96" t="s">
        <v>362</v>
      </c>
      <c r="Y96" t="s">
        <v>29</v>
      </c>
    </row>
    <row r="97" spans="1:25" x14ac:dyDescent="0.2">
      <c r="A97" t="s">
        <v>359</v>
      </c>
      <c r="B97" t="s">
        <v>84</v>
      </c>
      <c r="C97" t="s">
        <v>105</v>
      </c>
      <c r="D97">
        <v>6.7315463711448004E-3</v>
      </c>
      <c r="E97">
        <v>0.762597334020504</v>
      </c>
      <c r="F97" t="s">
        <v>33</v>
      </c>
      <c r="G97">
        <v>5</v>
      </c>
      <c r="H97">
        <v>-1.6684745959167999E-3</v>
      </c>
      <c r="I97" t="s">
        <v>40</v>
      </c>
      <c r="J97" t="b">
        <v>0</v>
      </c>
      <c r="K97">
        <v>-29.554833080811498</v>
      </c>
      <c r="L97">
        <v>-28.6317561577345</v>
      </c>
      <c r="M97">
        <v>11.3266517948691</v>
      </c>
      <c r="N97" t="s">
        <v>25</v>
      </c>
      <c r="O97" t="s">
        <v>25</v>
      </c>
      <c r="P97" t="s">
        <v>372</v>
      </c>
      <c r="Q97">
        <f>-0.0122851258706562 - 0.00894817667882246</f>
        <v>-2.123330254947866E-2</v>
      </c>
      <c r="R97" t="s">
        <v>26</v>
      </c>
      <c r="S97" t="s">
        <v>41</v>
      </c>
      <c r="T97" t="s">
        <v>25</v>
      </c>
      <c r="U97" t="s">
        <v>42</v>
      </c>
      <c r="V97">
        <v>0.121695307427509</v>
      </c>
      <c r="W97">
        <v>5.4166588136425001E-3</v>
      </c>
      <c r="X97" t="s">
        <v>362</v>
      </c>
      <c r="Y97" t="s">
        <v>29</v>
      </c>
    </row>
    <row r="98" spans="1:25" x14ac:dyDescent="0.2">
      <c r="A98" t="s">
        <v>359</v>
      </c>
      <c r="B98" t="s">
        <v>79</v>
      </c>
      <c r="C98" t="s">
        <v>105</v>
      </c>
      <c r="D98">
        <v>0.1501895603116</v>
      </c>
      <c r="E98">
        <v>0.138044876950905</v>
      </c>
      <c r="F98" t="s">
        <v>33</v>
      </c>
      <c r="G98">
        <v>12</v>
      </c>
      <c r="H98">
        <v>4.0318607746179998E-4</v>
      </c>
      <c r="I98" t="s">
        <v>34</v>
      </c>
      <c r="J98" t="b">
        <v>0</v>
      </c>
      <c r="K98">
        <v>-42.826194442470403</v>
      </c>
      <c r="L98">
        <v>-41.903117519393398</v>
      </c>
      <c r="M98">
        <v>0.72471437020410401</v>
      </c>
      <c r="N98" t="s">
        <v>25</v>
      </c>
      <c r="O98" t="s">
        <v>25</v>
      </c>
      <c r="P98" t="s">
        <v>406</v>
      </c>
      <c r="Q98">
        <f>-0.0000992013223763483 - 0.000905573477299977</f>
        <v>-1.0047747996763253E-3</v>
      </c>
      <c r="R98" t="s">
        <v>31</v>
      </c>
      <c r="S98" t="s">
        <v>35</v>
      </c>
      <c r="T98" t="s">
        <v>36</v>
      </c>
      <c r="U98" t="s">
        <v>515</v>
      </c>
      <c r="V98">
        <v>0.100648577542946</v>
      </c>
      <c r="W98">
        <v>2.5632010195820001E-4</v>
      </c>
      <c r="X98" t="s">
        <v>362</v>
      </c>
      <c r="Y98" t="s">
        <v>29</v>
      </c>
    </row>
    <row r="99" spans="1:25" x14ac:dyDescent="0.2">
      <c r="A99" t="s">
        <v>359</v>
      </c>
      <c r="B99" t="s">
        <v>61</v>
      </c>
      <c r="C99" t="s">
        <v>105</v>
      </c>
      <c r="D99">
        <v>4.3217237064097802E-2</v>
      </c>
      <c r="E99">
        <v>0.43976164524779299</v>
      </c>
      <c r="F99" t="s">
        <v>33</v>
      </c>
      <c r="G99">
        <v>17</v>
      </c>
      <c r="H99">
        <v>3.5982391251099998E-4</v>
      </c>
      <c r="I99" t="s">
        <v>40</v>
      </c>
      <c r="J99" t="b">
        <v>0</v>
      </c>
      <c r="K99">
        <v>-30.153626774436699</v>
      </c>
      <c r="L99">
        <v>-29.2305498513598</v>
      </c>
      <c r="M99">
        <v>13.859793845357601</v>
      </c>
      <c r="N99" t="s">
        <v>25</v>
      </c>
      <c r="O99" t="s">
        <v>25</v>
      </c>
      <c r="P99" t="s">
        <v>394</v>
      </c>
      <c r="Q99">
        <f>-0.000527046664970079 - 0.0012466944899922</f>
        <v>-1.773741154962279E-3</v>
      </c>
      <c r="R99" t="s">
        <v>32</v>
      </c>
      <c r="S99" t="s">
        <v>41</v>
      </c>
      <c r="T99" t="s">
        <v>25</v>
      </c>
      <c r="U99" t="s">
        <v>42</v>
      </c>
      <c r="V99">
        <v>9.8647659979696503E-2</v>
      </c>
      <c r="W99">
        <v>4.5248498851070001E-4</v>
      </c>
      <c r="X99" t="s">
        <v>362</v>
      </c>
      <c r="Y99" t="s">
        <v>29</v>
      </c>
    </row>
    <row r="100" spans="1:25" x14ac:dyDescent="0.2">
      <c r="A100" t="s">
        <v>359</v>
      </c>
      <c r="B100" t="s">
        <v>70</v>
      </c>
      <c r="C100" t="s">
        <v>105</v>
      </c>
      <c r="D100">
        <v>0.46736685183422799</v>
      </c>
      <c r="E100">
        <v>4.9525248917592002E-3</v>
      </c>
      <c r="F100" t="s">
        <v>33</v>
      </c>
      <c r="G100">
        <v>16</v>
      </c>
      <c r="H100">
        <v>0.14839147881237399</v>
      </c>
      <c r="I100" t="s">
        <v>24</v>
      </c>
      <c r="J100" t="b">
        <v>0</v>
      </c>
      <c r="K100">
        <v>-44.383531156967599</v>
      </c>
      <c r="L100">
        <v>-43.383531156967599</v>
      </c>
      <c r="M100">
        <v>0.59637637478650096</v>
      </c>
      <c r="N100" t="s">
        <v>25</v>
      </c>
      <c r="O100" t="s">
        <v>25</v>
      </c>
      <c r="P100" t="s">
        <v>412</v>
      </c>
      <c r="Q100" t="s">
        <v>516</v>
      </c>
      <c r="R100" t="s">
        <v>30</v>
      </c>
      <c r="S100" t="s">
        <v>27</v>
      </c>
      <c r="T100" t="s">
        <v>28</v>
      </c>
      <c r="U100" t="s">
        <v>517</v>
      </c>
      <c r="V100">
        <v>0.105315120944085</v>
      </c>
      <c r="W100">
        <v>4.3936193567340798E-2</v>
      </c>
      <c r="X100" t="s">
        <v>362</v>
      </c>
      <c r="Y100" t="s">
        <v>29</v>
      </c>
    </row>
    <row r="101" spans="1:25" x14ac:dyDescent="0.2">
      <c r="A101" t="s">
        <v>359</v>
      </c>
      <c r="B101" t="s">
        <v>83</v>
      </c>
      <c r="C101" t="s">
        <v>105</v>
      </c>
      <c r="D101">
        <v>3.6429123406211003E-2</v>
      </c>
      <c r="E101">
        <v>0.47889683391240401</v>
      </c>
      <c r="F101" t="s">
        <v>33</v>
      </c>
      <c r="G101">
        <v>10</v>
      </c>
      <c r="H101">
        <v>-2.8975193931880003E-4</v>
      </c>
      <c r="I101" t="s">
        <v>34</v>
      </c>
      <c r="J101" t="b">
        <v>0</v>
      </c>
      <c r="K101">
        <v>-40.816070694332304</v>
      </c>
      <c r="L101">
        <v>-39.892993771255398</v>
      </c>
      <c r="M101">
        <v>1.4738335354926999</v>
      </c>
      <c r="N101" t="s">
        <v>25</v>
      </c>
      <c r="O101" t="s">
        <v>25</v>
      </c>
      <c r="P101" t="s">
        <v>370</v>
      </c>
      <c r="Q101">
        <f>-0.00107036511453324 - 0.000490861235895472</f>
        <v>-1.5612263504287121E-3</v>
      </c>
      <c r="R101" t="s">
        <v>32</v>
      </c>
      <c r="S101" t="s">
        <v>35</v>
      </c>
      <c r="T101" t="s">
        <v>36</v>
      </c>
      <c r="U101" t="s">
        <v>518</v>
      </c>
      <c r="V101">
        <v>0.120010000534964</v>
      </c>
      <c r="W101">
        <v>3.9827202817049997E-4</v>
      </c>
      <c r="X101" t="s">
        <v>362</v>
      </c>
      <c r="Y101" t="s">
        <v>29</v>
      </c>
    </row>
    <row r="102" spans="1:25" x14ac:dyDescent="0.2">
      <c r="A102" t="s">
        <v>359</v>
      </c>
      <c r="B102" t="s">
        <v>67</v>
      </c>
      <c r="C102" t="s">
        <v>105</v>
      </c>
      <c r="D102" s="1">
        <v>5.3660647897460201E-5</v>
      </c>
      <c r="E102">
        <v>0.97851987898454995</v>
      </c>
      <c r="F102" t="s">
        <v>33</v>
      </c>
      <c r="G102">
        <v>14</v>
      </c>
      <c r="H102">
        <v>-2.0994912446160001E-4</v>
      </c>
      <c r="I102" t="s">
        <v>37</v>
      </c>
      <c r="J102" t="b">
        <v>0</v>
      </c>
      <c r="K102">
        <v>-29.447622787451799</v>
      </c>
      <c r="L102">
        <v>-28.5245458643749</v>
      </c>
      <c r="M102">
        <v>15.678913765628799</v>
      </c>
      <c r="N102" t="s">
        <v>25</v>
      </c>
      <c r="O102" t="s">
        <v>25</v>
      </c>
      <c r="P102" t="s">
        <v>427</v>
      </c>
      <c r="Q102">
        <f>-0.015222915530445 - 0.0148030172815217</f>
        <v>-3.00259328119667E-2</v>
      </c>
      <c r="R102" t="s">
        <v>31</v>
      </c>
      <c r="S102" t="s">
        <v>38</v>
      </c>
      <c r="T102" t="s">
        <v>39</v>
      </c>
      <c r="U102" t="s">
        <v>519</v>
      </c>
      <c r="V102">
        <v>0.113982164830728</v>
      </c>
      <c r="W102">
        <v>7.6596767377465997E-3</v>
      </c>
      <c r="X102" t="s">
        <v>362</v>
      </c>
      <c r="Y102" t="s">
        <v>29</v>
      </c>
    </row>
    <row r="103" spans="1:25" x14ac:dyDescent="0.2">
      <c r="A103" t="s">
        <v>359</v>
      </c>
      <c r="B103" t="s">
        <v>51</v>
      </c>
      <c r="C103" t="s">
        <v>105</v>
      </c>
      <c r="D103" s="1">
        <v>4.9717390058666199E-5</v>
      </c>
      <c r="E103">
        <v>0.97932400808474895</v>
      </c>
      <c r="F103" t="s">
        <v>33</v>
      </c>
      <c r="G103">
        <v>8</v>
      </c>
      <c r="H103" s="1">
        <v>-9.7800893946267595E-6</v>
      </c>
      <c r="I103" t="s">
        <v>34</v>
      </c>
      <c r="J103" t="b">
        <v>0</v>
      </c>
      <c r="K103">
        <v>-40.223118476486903</v>
      </c>
      <c r="L103">
        <v>-39.300041553409997</v>
      </c>
      <c r="M103">
        <v>0.63704461590979999</v>
      </c>
      <c r="N103" t="s">
        <v>25</v>
      </c>
      <c r="O103" t="s">
        <v>25</v>
      </c>
      <c r="P103" t="s">
        <v>398</v>
      </c>
      <c r="Q103">
        <f>-0.000736337473112698 - 0.000716777294323445</f>
        <v>-1.453114767436143E-3</v>
      </c>
      <c r="R103" t="s">
        <v>31</v>
      </c>
      <c r="S103" t="s">
        <v>35</v>
      </c>
      <c r="T103" t="s">
        <v>36</v>
      </c>
      <c r="U103" t="s">
        <v>520</v>
      </c>
      <c r="V103">
        <v>0.11883859058370599</v>
      </c>
      <c r="W103">
        <v>3.7069254271330002E-4</v>
      </c>
      <c r="X103" t="s">
        <v>362</v>
      </c>
      <c r="Y103" t="s">
        <v>29</v>
      </c>
    </row>
    <row r="104" spans="1:25" x14ac:dyDescent="0.2">
      <c r="A104" t="s">
        <v>359</v>
      </c>
      <c r="B104" t="s">
        <v>59</v>
      </c>
      <c r="C104" t="s">
        <v>105</v>
      </c>
      <c r="D104">
        <v>4.9423782367074197E-2</v>
      </c>
      <c r="E104">
        <v>0.40792222520877702</v>
      </c>
      <c r="F104" t="s">
        <v>33</v>
      </c>
      <c r="G104">
        <v>12</v>
      </c>
      <c r="H104">
        <v>-1.2642153317192E-3</v>
      </c>
      <c r="I104" t="s">
        <v>34</v>
      </c>
      <c r="J104" t="b">
        <v>0</v>
      </c>
      <c r="K104">
        <v>-41.0333139126273</v>
      </c>
      <c r="L104">
        <v>-40.110236989550401</v>
      </c>
      <c r="M104">
        <v>1.456448101206</v>
      </c>
      <c r="N104" t="s">
        <v>25</v>
      </c>
      <c r="O104" t="s">
        <v>25</v>
      </c>
      <c r="P104" t="s">
        <v>457</v>
      </c>
      <c r="Q104">
        <f>-0.00416849603567028 - 0.00164006537223171</f>
        <v>-5.8085614079019902E-3</v>
      </c>
      <c r="R104" t="s">
        <v>26</v>
      </c>
      <c r="S104" t="s">
        <v>35</v>
      </c>
      <c r="T104" t="s">
        <v>36</v>
      </c>
      <c r="U104" t="s">
        <v>521</v>
      </c>
      <c r="V104">
        <v>0.12685401444111499</v>
      </c>
      <c r="W104">
        <v>1.4817758693626999E-3</v>
      </c>
      <c r="X104" t="s">
        <v>362</v>
      </c>
      <c r="Y104" t="s">
        <v>29</v>
      </c>
    </row>
    <row r="105" spans="1:25" x14ac:dyDescent="0.2">
      <c r="A105" t="s">
        <v>359</v>
      </c>
      <c r="B105" t="s">
        <v>62</v>
      </c>
      <c r="C105" t="s">
        <v>105</v>
      </c>
      <c r="D105">
        <v>3.7476403027707897E-2</v>
      </c>
      <c r="E105">
        <v>0.47252352454276902</v>
      </c>
      <c r="F105" t="s">
        <v>33</v>
      </c>
      <c r="G105">
        <v>15</v>
      </c>
      <c r="H105">
        <v>2.3868029172340001E-4</v>
      </c>
      <c r="I105" t="s">
        <v>34</v>
      </c>
      <c r="J105" t="b">
        <v>0</v>
      </c>
      <c r="K105">
        <v>-40.833470127044698</v>
      </c>
      <c r="L105">
        <v>-39.9103932039678</v>
      </c>
      <c r="M105">
        <v>1.5018940976091</v>
      </c>
      <c r="N105" t="s">
        <v>25</v>
      </c>
      <c r="O105" t="s">
        <v>25</v>
      </c>
      <c r="P105" t="s">
        <v>392</v>
      </c>
      <c r="Q105">
        <f>-0.000394949160439528 - 0.000872309743886364</f>
        <v>-1.267258904325892E-3</v>
      </c>
      <c r="R105" t="s">
        <v>31</v>
      </c>
      <c r="S105" t="s">
        <v>35</v>
      </c>
      <c r="T105" t="s">
        <v>36</v>
      </c>
      <c r="U105" t="s">
        <v>522</v>
      </c>
      <c r="V105">
        <v>0.109559602431095</v>
      </c>
      <c r="W105">
        <v>3.2328033273610002E-4</v>
      </c>
      <c r="X105" t="s">
        <v>362</v>
      </c>
      <c r="Y105" t="s">
        <v>29</v>
      </c>
    </row>
    <row r="106" spans="1:25" x14ac:dyDescent="0.2">
      <c r="A106" t="s">
        <v>359</v>
      </c>
      <c r="B106" t="s">
        <v>57</v>
      </c>
      <c r="C106" t="s">
        <v>105</v>
      </c>
      <c r="D106">
        <v>3.9166486936415099E-2</v>
      </c>
      <c r="E106">
        <v>0.46250903555008399</v>
      </c>
      <c r="F106" t="s">
        <v>33</v>
      </c>
      <c r="G106">
        <v>17</v>
      </c>
      <c r="H106">
        <v>-5.0184474653129998E-4</v>
      </c>
      <c r="I106" t="s">
        <v>34</v>
      </c>
      <c r="J106" t="b">
        <v>0</v>
      </c>
      <c r="K106">
        <v>-40.861589033677397</v>
      </c>
      <c r="L106">
        <v>-39.938512110600499</v>
      </c>
      <c r="M106">
        <v>1.3199660134655999</v>
      </c>
      <c r="N106" t="s">
        <v>25</v>
      </c>
      <c r="O106" t="s">
        <v>25</v>
      </c>
      <c r="P106" t="s">
        <v>408</v>
      </c>
      <c r="Q106">
        <f>-0.00180389635220445 - 0.000800206859141769</f>
        <v>-2.6041032113462191E-3</v>
      </c>
      <c r="R106" t="s">
        <v>26</v>
      </c>
      <c r="S106" t="s">
        <v>35</v>
      </c>
      <c r="T106" t="s">
        <v>36</v>
      </c>
      <c r="U106" t="s">
        <v>523</v>
      </c>
      <c r="V106">
        <v>0.120226713546917</v>
      </c>
      <c r="W106">
        <v>6.6431204371070001E-4</v>
      </c>
      <c r="X106" t="s">
        <v>362</v>
      </c>
      <c r="Y106" t="s">
        <v>29</v>
      </c>
    </row>
    <row r="107" spans="1:25" x14ac:dyDescent="0.2">
      <c r="A107" t="s">
        <v>359</v>
      </c>
      <c r="B107" t="s">
        <v>46</v>
      </c>
      <c r="C107" t="s">
        <v>105</v>
      </c>
      <c r="D107">
        <v>2.11179423600781E-2</v>
      </c>
      <c r="E107">
        <v>0.59127241920842399</v>
      </c>
      <c r="F107" t="s">
        <v>33</v>
      </c>
      <c r="G107">
        <v>7</v>
      </c>
      <c r="H107">
        <v>-3.38086439017658E-2</v>
      </c>
      <c r="I107" t="s">
        <v>34</v>
      </c>
      <c r="J107" t="b">
        <v>0</v>
      </c>
      <c r="K107">
        <v>-40.563828834261301</v>
      </c>
      <c r="L107">
        <v>-39.640751911184402</v>
      </c>
      <c r="M107">
        <v>0.63015756358669905</v>
      </c>
      <c r="N107" t="s">
        <v>25</v>
      </c>
      <c r="O107" t="s">
        <v>25</v>
      </c>
      <c r="P107" t="s">
        <v>461</v>
      </c>
      <c r="Q107">
        <f>-0.154384176426087 - 0.086766888622555</f>
        <v>-0.241151065048642</v>
      </c>
      <c r="R107" t="s">
        <v>31</v>
      </c>
      <c r="S107" t="s">
        <v>35</v>
      </c>
      <c r="T107" t="s">
        <v>36</v>
      </c>
      <c r="U107" t="s">
        <v>524</v>
      </c>
      <c r="V107">
        <v>0.121040724638224</v>
      </c>
      <c r="W107">
        <v>6.1518128838939201E-2</v>
      </c>
      <c r="X107" t="s">
        <v>362</v>
      </c>
      <c r="Y107" t="s">
        <v>29</v>
      </c>
    </row>
    <row r="108" spans="1:25" x14ac:dyDescent="0.2">
      <c r="A108" t="s">
        <v>359</v>
      </c>
      <c r="B108" t="s">
        <v>88</v>
      </c>
      <c r="C108" t="s">
        <v>105</v>
      </c>
      <c r="D108">
        <v>0.16188144987854999</v>
      </c>
      <c r="E108">
        <v>0.122350771169645</v>
      </c>
      <c r="F108" t="s">
        <v>33</v>
      </c>
      <c r="G108">
        <v>8</v>
      </c>
      <c r="H108">
        <v>-1.9024120661333E-3</v>
      </c>
      <c r="I108" t="s">
        <v>37</v>
      </c>
      <c r="J108" t="b">
        <v>0</v>
      </c>
      <c r="K108">
        <v>-32.272295723334302</v>
      </c>
      <c r="L108">
        <v>-31.3492188002574</v>
      </c>
      <c r="M108">
        <v>9.5941143795746999</v>
      </c>
      <c r="N108" t="s">
        <v>25</v>
      </c>
      <c r="O108" t="s">
        <v>25</v>
      </c>
      <c r="P108" t="s">
        <v>420</v>
      </c>
      <c r="Q108">
        <f>-0.0041699305143908 - 0.000365106382124033</f>
        <v>-4.5350368965148338E-3</v>
      </c>
      <c r="R108" t="s">
        <v>32</v>
      </c>
      <c r="S108" t="s">
        <v>38</v>
      </c>
      <c r="T108" t="s">
        <v>39</v>
      </c>
      <c r="U108" t="s">
        <v>525</v>
      </c>
      <c r="V108">
        <v>0.124626802078806</v>
      </c>
      <c r="W108">
        <v>1.1568971674782E-3</v>
      </c>
      <c r="X108" t="s">
        <v>362</v>
      </c>
      <c r="Y108" t="s">
        <v>29</v>
      </c>
    </row>
    <row r="109" spans="1:25" x14ac:dyDescent="0.2">
      <c r="A109" t="s">
        <v>359</v>
      </c>
      <c r="B109" t="s">
        <v>92</v>
      </c>
      <c r="C109" t="s">
        <v>105</v>
      </c>
      <c r="D109">
        <v>0.43102905819828402</v>
      </c>
      <c r="E109">
        <v>5.7362080176184002E-3</v>
      </c>
      <c r="F109" t="s">
        <v>33</v>
      </c>
      <c r="G109">
        <v>13</v>
      </c>
      <c r="H109">
        <v>-3.793920230439E-3</v>
      </c>
      <c r="I109" t="s">
        <v>34</v>
      </c>
      <c r="J109" t="b">
        <v>0</v>
      </c>
      <c r="K109">
        <v>-49.245137619265101</v>
      </c>
      <c r="L109">
        <v>-48.322060696188203</v>
      </c>
      <c r="M109">
        <v>3.3267834731549901</v>
      </c>
      <c r="N109" t="s">
        <v>25</v>
      </c>
      <c r="O109" t="s">
        <v>25</v>
      </c>
      <c r="P109" t="s">
        <v>410</v>
      </c>
      <c r="Q109">
        <f>-0.00607726776335746 - -0.00151057269752064</f>
        <v>-4.5666950658368195E-3</v>
      </c>
      <c r="R109" t="s">
        <v>26</v>
      </c>
      <c r="S109" t="s">
        <v>35</v>
      </c>
      <c r="T109" t="s">
        <v>36</v>
      </c>
      <c r="U109" t="s">
        <v>526</v>
      </c>
      <c r="V109">
        <v>0.17234652234735801</v>
      </c>
      <c r="W109">
        <v>1.1649732310808E-3</v>
      </c>
      <c r="X109" t="s">
        <v>362</v>
      </c>
      <c r="Y109" t="s">
        <v>29</v>
      </c>
    </row>
    <row r="110" spans="1:25" x14ac:dyDescent="0.2">
      <c r="A110" t="s">
        <v>359</v>
      </c>
      <c r="B110" t="s">
        <v>86</v>
      </c>
      <c r="C110" t="s">
        <v>105</v>
      </c>
      <c r="D110">
        <v>8.6862457818448605E-2</v>
      </c>
      <c r="E110">
        <v>0.267813847304609</v>
      </c>
      <c r="F110" t="s">
        <v>33</v>
      </c>
      <c r="G110">
        <v>17</v>
      </c>
      <c r="H110">
        <v>-5.1682715693091002E-3</v>
      </c>
      <c r="I110" t="s">
        <v>37</v>
      </c>
      <c r="J110" t="b">
        <v>0</v>
      </c>
      <c r="K110">
        <v>-30.9006643720145</v>
      </c>
      <c r="L110">
        <v>-29.977587448937602</v>
      </c>
      <c r="M110">
        <v>11.3567612232159</v>
      </c>
      <c r="N110" t="s">
        <v>25</v>
      </c>
      <c r="O110" t="s">
        <v>25</v>
      </c>
      <c r="P110" t="s">
        <v>437</v>
      </c>
      <c r="Q110">
        <f>-0.0139461471677191 - 0.00360960402910079</f>
        <v>-1.7555751196819888E-2</v>
      </c>
      <c r="R110" t="s">
        <v>26</v>
      </c>
      <c r="S110" t="s">
        <v>38</v>
      </c>
      <c r="T110" t="s">
        <v>39</v>
      </c>
      <c r="U110" t="s">
        <v>527</v>
      </c>
      <c r="V110">
        <v>0.15232805790895801</v>
      </c>
      <c r="W110">
        <v>4.4785079583724002E-3</v>
      </c>
      <c r="X110" t="s">
        <v>362</v>
      </c>
      <c r="Y110" t="s">
        <v>29</v>
      </c>
    </row>
    <row r="111" spans="1:25" x14ac:dyDescent="0.2">
      <c r="A111" t="s">
        <v>359</v>
      </c>
      <c r="B111" t="s">
        <v>91</v>
      </c>
      <c r="C111" t="s">
        <v>105</v>
      </c>
      <c r="D111">
        <v>1.0397441156913001E-3</v>
      </c>
      <c r="E111">
        <v>0.90563390784208497</v>
      </c>
      <c r="F111" t="s">
        <v>33</v>
      </c>
      <c r="G111">
        <v>4</v>
      </c>
      <c r="H111">
        <v>-1.042223204321E-4</v>
      </c>
      <c r="I111" t="s">
        <v>34</v>
      </c>
      <c r="J111" t="b">
        <v>0</v>
      </c>
      <c r="K111">
        <v>-40.238967538864003</v>
      </c>
      <c r="L111">
        <v>-39.315890615787097</v>
      </c>
      <c r="M111">
        <v>0.59668416334530106</v>
      </c>
      <c r="N111" t="s">
        <v>25</v>
      </c>
      <c r="O111" t="s">
        <v>25</v>
      </c>
      <c r="P111" t="s">
        <v>415</v>
      </c>
      <c r="Q111">
        <f>-0.00179646896279024 - 0.00158802432192598</f>
        <v>-3.3844932847162199E-3</v>
      </c>
      <c r="R111" t="s">
        <v>31</v>
      </c>
      <c r="S111" t="s">
        <v>35</v>
      </c>
      <c r="T111" t="s">
        <v>36</v>
      </c>
      <c r="U111" t="s">
        <v>528</v>
      </c>
      <c r="V111">
        <v>0.12019563919508899</v>
      </c>
      <c r="W111">
        <v>8.633911440602E-4</v>
      </c>
      <c r="X111" t="s">
        <v>362</v>
      </c>
      <c r="Y111" t="s">
        <v>29</v>
      </c>
    </row>
    <row r="112" spans="1:25" x14ac:dyDescent="0.2">
      <c r="A112" t="s">
        <v>359</v>
      </c>
      <c r="B112" t="s">
        <v>61</v>
      </c>
      <c r="C112" t="s">
        <v>105</v>
      </c>
      <c r="D112">
        <v>0.151007785270413</v>
      </c>
      <c r="E112">
        <v>0.136883784999215</v>
      </c>
      <c r="F112" t="s">
        <v>33</v>
      </c>
      <c r="G112">
        <v>17</v>
      </c>
      <c r="H112">
        <v>4.7524703521909997E-4</v>
      </c>
      <c r="I112" t="s">
        <v>34</v>
      </c>
      <c r="J112" t="b">
        <v>0</v>
      </c>
      <c r="K112">
        <v>-42.841607180753201</v>
      </c>
      <c r="L112">
        <v>-41.918530257676302</v>
      </c>
      <c r="M112">
        <v>1.1718134390411901</v>
      </c>
      <c r="N112" t="s">
        <v>25</v>
      </c>
      <c r="O112" t="s">
        <v>25</v>
      </c>
      <c r="P112" t="s">
        <v>394</v>
      </c>
      <c r="Q112">
        <f>-0.000115040557137234 - 0.00106553462757551</f>
        <v>-1.1805751847127439E-3</v>
      </c>
      <c r="R112" t="s">
        <v>32</v>
      </c>
      <c r="S112" t="s">
        <v>35</v>
      </c>
      <c r="T112" t="s">
        <v>36</v>
      </c>
      <c r="U112" t="s">
        <v>529</v>
      </c>
      <c r="V112">
        <v>0.100415840268353</v>
      </c>
      <c r="W112">
        <v>3.0116713895730001E-4</v>
      </c>
      <c r="X112" t="s">
        <v>362</v>
      </c>
      <c r="Y112" t="s">
        <v>29</v>
      </c>
    </row>
    <row r="113" spans="1:25" x14ac:dyDescent="0.2">
      <c r="A113" t="s">
        <v>359</v>
      </c>
      <c r="B113" t="s">
        <v>73</v>
      </c>
      <c r="C113" t="s">
        <v>105</v>
      </c>
      <c r="D113">
        <v>3.8401926731194601E-2</v>
      </c>
      <c r="E113">
        <v>0.46699899397389899</v>
      </c>
      <c r="F113" t="s">
        <v>33</v>
      </c>
      <c r="G113">
        <v>14</v>
      </c>
      <c r="H113">
        <v>1.4906667362817999E-3</v>
      </c>
      <c r="I113" t="s">
        <v>34</v>
      </c>
      <c r="J113" t="b">
        <v>0</v>
      </c>
      <c r="K113">
        <v>-40.848862480477301</v>
      </c>
      <c r="L113">
        <v>-39.925785557400403</v>
      </c>
      <c r="M113">
        <v>0.38467731234969399</v>
      </c>
      <c r="N113" t="s">
        <v>25</v>
      </c>
      <c r="O113" t="s">
        <v>25</v>
      </c>
      <c r="P113" t="s">
        <v>433</v>
      </c>
      <c r="Q113">
        <f>-0.00241677848973151 - 0.00539811196229521</f>
        <v>-7.8148904520267196E-3</v>
      </c>
      <c r="R113" t="s">
        <v>26</v>
      </c>
      <c r="S113" t="s">
        <v>35</v>
      </c>
      <c r="T113" t="s">
        <v>36</v>
      </c>
      <c r="U113" t="s">
        <v>530</v>
      </c>
      <c r="V113">
        <v>0.105651922155392</v>
      </c>
      <c r="W113">
        <v>1.993594503068E-3</v>
      </c>
      <c r="X113" t="s">
        <v>362</v>
      </c>
      <c r="Y113" t="s">
        <v>29</v>
      </c>
    </row>
    <row r="114" spans="1:25" x14ac:dyDescent="0.2">
      <c r="A114" t="s">
        <v>359</v>
      </c>
      <c r="B114" t="s">
        <v>49</v>
      </c>
      <c r="C114" t="s">
        <v>105</v>
      </c>
      <c r="D114">
        <v>0.66027868765478503</v>
      </c>
      <c r="E114">
        <v>1.3062517853550001E-4</v>
      </c>
      <c r="F114" t="s">
        <v>33</v>
      </c>
      <c r="G114">
        <v>15</v>
      </c>
      <c r="H114">
        <v>7.5969192770209998E-4</v>
      </c>
      <c r="I114" t="s">
        <v>37</v>
      </c>
      <c r="J114" t="b">
        <v>0</v>
      </c>
      <c r="K114">
        <v>-46.720838866970702</v>
      </c>
      <c r="L114">
        <v>-45.797761943893697</v>
      </c>
      <c r="M114">
        <v>2.2126650547360902</v>
      </c>
      <c r="N114" t="s">
        <v>25</v>
      </c>
      <c r="O114" t="s">
        <v>25</v>
      </c>
      <c r="P114" t="s">
        <v>469</v>
      </c>
      <c r="Q114" t="s">
        <v>531</v>
      </c>
      <c r="R114" t="s">
        <v>26</v>
      </c>
      <c r="S114" t="s">
        <v>38</v>
      </c>
      <c r="T114" t="s">
        <v>39</v>
      </c>
      <c r="U114" t="s">
        <v>532</v>
      </c>
      <c r="V114">
        <v>0.108154329497295</v>
      </c>
      <c r="W114">
        <v>1.456368412048E-4</v>
      </c>
      <c r="X114" t="s">
        <v>362</v>
      </c>
      <c r="Y114" t="s">
        <v>29</v>
      </c>
    </row>
    <row r="115" spans="1:25" x14ac:dyDescent="0.2">
      <c r="A115" t="s">
        <v>359</v>
      </c>
      <c r="B115" t="s">
        <v>80</v>
      </c>
      <c r="C115" t="s">
        <v>105</v>
      </c>
      <c r="D115">
        <v>6.4815734867336897E-2</v>
      </c>
      <c r="E115">
        <v>0.34132107537717998</v>
      </c>
      <c r="F115" t="s">
        <v>33</v>
      </c>
      <c r="G115">
        <v>15</v>
      </c>
      <c r="H115">
        <v>4.4670101248309502E-2</v>
      </c>
      <c r="I115" t="s">
        <v>40</v>
      </c>
      <c r="J115" t="b">
        <v>0</v>
      </c>
      <c r="K115">
        <v>-30.518951299680602</v>
      </c>
      <c r="L115">
        <v>-29.5958743766037</v>
      </c>
      <c r="M115">
        <v>12.743204466906301</v>
      </c>
      <c r="N115" t="s">
        <v>25</v>
      </c>
      <c r="O115" t="s">
        <v>25</v>
      </c>
      <c r="P115" t="s">
        <v>396</v>
      </c>
      <c r="Q115">
        <f>-0.0442126238129123 - 0.133552826309531</f>
        <v>-0.1777654501224433</v>
      </c>
      <c r="R115" t="s">
        <v>26</v>
      </c>
      <c r="S115" t="s">
        <v>41</v>
      </c>
      <c r="T115" t="s">
        <v>25</v>
      </c>
      <c r="U115" t="s">
        <v>42</v>
      </c>
      <c r="V115">
        <v>0.102824777254796</v>
      </c>
      <c r="W115">
        <v>4.5348329112868298E-2</v>
      </c>
      <c r="X115" t="s">
        <v>362</v>
      </c>
      <c r="Y115" t="s">
        <v>29</v>
      </c>
    </row>
    <row r="116" spans="1:25" x14ac:dyDescent="0.2">
      <c r="A116" t="s">
        <v>359</v>
      </c>
      <c r="B116" t="s">
        <v>80</v>
      </c>
      <c r="C116" t="s">
        <v>105</v>
      </c>
      <c r="D116">
        <v>0.120506289235186</v>
      </c>
      <c r="E116">
        <v>0.18772400979701001</v>
      </c>
      <c r="F116" t="s">
        <v>33</v>
      </c>
      <c r="G116">
        <v>15</v>
      </c>
      <c r="H116">
        <v>4.3487104286431398E-2</v>
      </c>
      <c r="I116" t="s">
        <v>24</v>
      </c>
      <c r="J116" t="b">
        <v>0</v>
      </c>
      <c r="K116">
        <v>-42.808738029036299</v>
      </c>
      <c r="L116">
        <v>-41.885661105959301</v>
      </c>
      <c r="M116">
        <v>0.45341773755070103</v>
      </c>
      <c r="N116" t="s">
        <v>25</v>
      </c>
      <c r="O116" t="s">
        <v>25</v>
      </c>
      <c r="P116" t="s">
        <v>396</v>
      </c>
      <c r="Q116">
        <f>-0.0180538258311501 - 0.105028034404013</f>
        <v>-0.1230818602351631</v>
      </c>
      <c r="R116" t="s">
        <v>26</v>
      </c>
      <c r="S116" t="s">
        <v>27</v>
      </c>
      <c r="T116" t="s">
        <v>28</v>
      </c>
      <c r="U116" t="s">
        <v>533</v>
      </c>
      <c r="V116">
        <v>0.106901998258683</v>
      </c>
      <c r="W116">
        <v>3.13984337334599E-2</v>
      </c>
      <c r="X116" t="s">
        <v>362</v>
      </c>
      <c r="Y116" t="s">
        <v>29</v>
      </c>
    </row>
    <row r="117" spans="1:25" x14ac:dyDescent="0.2">
      <c r="A117" t="s">
        <v>359</v>
      </c>
      <c r="B117" t="s">
        <v>70</v>
      </c>
      <c r="C117" t="s">
        <v>105</v>
      </c>
      <c r="D117">
        <v>0.68374982579836896</v>
      </c>
      <c r="E117">
        <v>1.434766647505E-4</v>
      </c>
      <c r="F117" t="s">
        <v>33</v>
      </c>
      <c r="G117">
        <v>16</v>
      </c>
      <c r="H117">
        <v>0.16256118678464901</v>
      </c>
      <c r="I117" t="s">
        <v>40</v>
      </c>
      <c r="J117" t="b">
        <v>0</v>
      </c>
      <c r="K117">
        <v>-42.917025314565798</v>
      </c>
      <c r="L117">
        <v>-41.917025314565798</v>
      </c>
      <c r="M117">
        <v>2.0628822171882999</v>
      </c>
      <c r="N117" t="s">
        <v>25</v>
      </c>
      <c r="O117" t="s">
        <v>25</v>
      </c>
      <c r="P117" t="s">
        <v>412</v>
      </c>
      <c r="Q117" t="s">
        <v>534</v>
      </c>
      <c r="R117" t="s">
        <v>30</v>
      </c>
      <c r="S117" t="s">
        <v>41</v>
      </c>
      <c r="T117" t="s">
        <v>25</v>
      </c>
      <c r="U117" t="s">
        <v>42</v>
      </c>
      <c r="V117">
        <v>0.103410341300586</v>
      </c>
      <c r="W117">
        <v>3.0662810385789802E-2</v>
      </c>
      <c r="X117" t="s">
        <v>362</v>
      </c>
      <c r="Y117" t="s">
        <v>29</v>
      </c>
    </row>
    <row r="118" spans="1:25" x14ac:dyDescent="0.2">
      <c r="A118" t="s">
        <v>359</v>
      </c>
      <c r="B118" t="s">
        <v>44</v>
      </c>
      <c r="C118" t="s">
        <v>105</v>
      </c>
      <c r="D118">
        <v>9.1017498670824204E-2</v>
      </c>
      <c r="E118">
        <v>0.27448459228916899</v>
      </c>
      <c r="F118" t="s">
        <v>33</v>
      </c>
      <c r="G118">
        <v>17</v>
      </c>
      <c r="H118">
        <v>-3.5992988101770003E-4</v>
      </c>
      <c r="I118" t="s">
        <v>37</v>
      </c>
      <c r="J118" t="b">
        <v>0</v>
      </c>
      <c r="K118">
        <v>-27.080141524778899</v>
      </c>
      <c r="L118">
        <v>-26.080141524778899</v>
      </c>
      <c r="M118">
        <v>12.4154180504972</v>
      </c>
      <c r="N118" t="s">
        <v>25</v>
      </c>
      <c r="O118" t="s">
        <v>25</v>
      </c>
      <c r="P118" t="s">
        <v>463</v>
      </c>
      <c r="Q118">
        <f>-0.000978256027425943 - 0.00025839626539037</f>
        <v>-1.2366522928163131E-3</v>
      </c>
      <c r="R118" t="s">
        <v>30</v>
      </c>
      <c r="S118" t="s">
        <v>38</v>
      </c>
      <c r="T118" t="s">
        <v>39</v>
      </c>
      <c r="U118" t="s">
        <v>535</v>
      </c>
      <c r="V118">
        <v>0.120647221604473</v>
      </c>
      <c r="W118">
        <v>3.154725236776E-4</v>
      </c>
      <c r="X118" t="s">
        <v>362</v>
      </c>
      <c r="Y118" t="s">
        <v>29</v>
      </c>
    </row>
    <row r="119" spans="1:25" x14ac:dyDescent="0.2">
      <c r="A119" t="s">
        <v>359</v>
      </c>
      <c r="B119" t="s">
        <v>82</v>
      </c>
      <c r="C119" t="s">
        <v>105</v>
      </c>
      <c r="D119">
        <v>0.56086311490102403</v>
      </c>
      <c r="E119">
        <v>8.4247552767009997E-4</v>
      </c>
      <c r="F119" t="s">
        <v>33</v>
      </c>
      <c r="G119">
        <v>15</v>
      </c>
      <c r="H119">
        <v>2.37227688385112E-2</v>
      </c>
      <c r="I119" t="s">
        <v>40</v>
      </c>
      <c r="J119" t="b">
        <v>0</v>
      </c>
      <c r="K119">
        <v>-42.613869847657902</v>
      </c>
      <c r="L119">
        <v>-41.690792924580997</v>
      </c>
      <c r="M119">
        <v>1.2023197478778</v>
      </c>
      <c r="N119" t="s">
        <v>25</v>
      </c>
      <c r="O119" t="s">
        <v>25</v>
      </c>
      <c r="P119" t="s">
        <v>417</v>
      </c>
      <c r="Q119" t="s">
        <v>536</v>
      </c>
      <c r="R119" t="s">
        <v>32</v>
      </c>
      <c r="S119" t="s">
        <v>41</v>
      </c>
      <c r="T119" t="s">
        <v>25</v>
      </c>
      <c r="U119" t="s">
        <v>42</v>
      </c>
      <c r="V119">
        <v>8.6182023026226504E-2</v>
      </c>
      <c r="W119">
        <v>5.6101293906340001E-3</v>
      </c>
      <c r="X119" t="s">
        <v>362</v>
      </c>
      <c r="Y119" t="s">
        <v>29</v>
      </c>
    </row>
    <row r="120" spans="1:25" x14ac:dyDescent="0.2">
      <c r="A120" t="s">
        <v>359</v>
      </c>
      <c r="B120" t="s">
        <v>82</v>
      </c>
      <c r="C120" t="s">
        <v>105</v>
      </c>
      <c r="D120">
        <v>0.277254962573588</v>
      </c>
      <c r="E120">
        <v>3.6133286249275802E-2</v>
      </c>
      <c r="F120" t="s">
        <v>33</v>
      </c>
      <c r="G120">
        <v>15</v>
      </c>
      <c r="H120">
        <v>1.6707495233568102E-2</v>
      </c>
      <c r="I120" t="s">
        <v>24</v>
      </c>
      <c r="J120" t="b">
        <v>0</v>
      </c>
      <c r="K120">
        <v>-43.609399774591601</v>
      </c>
      <c r="L120">
        <v>-42.686322851514703</v>
      </c>
      <c r="M120">
        <v>0.20678982094409501</v>
      </c>
      <c r="N120" t="s">
        <v>25</v>
      </c>
      <c r="O120" t="s">
        <v>25</v>
      </c>
      <c r="P120" t="s">
        <v>417</v>
      </c>
      <c r="Q120" t="s">
        <v>537</v>
      </c>
      <c r="R120" t="s">
        <v>32</v>
      </c>
      <c r="S120" t="s">
        <v>27</v>
      </c>
      <c r="T120" t="s">
        <v>28</v>
      </c>
      <c r="U120" t="s">
        <v>538</v>
      </c>
      <c r="V120">
        <v>9.6081039281529099E-2</v>
      </c>
      <c r="W120">
        <v>7.2094182749363996E-3</v>
      </c>
      <c r="X120" t="s">
        <v>362</v>
      </c>
      <c r="Y120" t="s">
        <v>29</v>
      </c>
    </row>
    <row r="121" spans="1:25" x14ac:dyDescent="0.2">
      <c r="A121" t="s">
        <v>359</v>
      </c>
      <c r="B121" t="s">
        <v>96</v>
      </c>
      <c r="C121" t="s">
        <v>105</v>
      </c>
      <c r="D121">
        <v>1.0427074693164499E-2</v>
      </c>
      <c r="E121">
        <v>0.70668975974603998</v>
      </c>
      <c r="F121" t="s">
        <v>33</v>
      </c>
      <c r="G121">
        <v>16</v>
      </c>
      <c r="H121">
        <v>-1.4536762773430001E-4</v>
      </c>
      <c r="I121" t="s">
        <v>37</v>
      </c>
      <c r="J121" t="b">
        <v>0</v>
      </c>
      <c r="K121">
        <v>-29.614473274165299</v>
      </c>
      <c r="L121">
        <v>-28.6913963510884</v>
      </c>
      <c r="M121">
        <v>11.275511243880899</v>
      </c>
      <c r="N121" t="s">
        <v>25</v>
      </c>
      <c r="O121" t="s">
        <v>25</v>
      </c>
      <c r="P121" t="s">
        <v>484</v>
      </c>
      <c r="Q121">
        <f>-0.000887194252898231 - 0.000596458997429485</f>
        <v>-1.4836532503277162E-3</v>
      </c>
      <c r="R121" t="s">
        <v>32</v>
      </c>
      <c r="S121" t="s">
        <v>38</v>
      </c>
      <c r="T121" t="s">
        <v>39</v>
      </c>
      <c r="U121" t="s">
        <v>539</v>
      </c>
      <c r="V121">
        <v>0.117147905353464</v>
      </c>
      <c r="W121">
        <v>3.7848297202230002E-4</v>
      </c>
      <c r="X121" t="s">
        <v>362</v>
      </c>
      <c r="Y121" t="s">
        <v>29</v>
      </c>
    </row>
    <row r="122" spans="1:25" x14ac:dyDescent="0.2">
      <c r="A122" t="s">
        <v>359</v>
      </c>
      <c r="B122" t="s">
        <v>74</v>
      </c>
      <c r="C122" t="s">
        <v>105</v>
      </c>
      <c r="D122">
        <v>6.8778911250506503E-2</v>
      </c>
      <c r="E122">
        <v>0.32646753255252497</v>
      </c>
      <c r="F122" t="s">
        <v>33</v>
      </c>
      <c r="G122">
        <v>11</v>
      </c>
      <c r="H122">
        <v>2.1865081233649999E-4</v>
      </c>
      <c r="I122" t="s">
        <v>34</v>
      </c>
      <c r="J122" t="b">
        <v>0</v>
      </c>
      <c r="K122">
        <v>-41.362459865005498</v>
      </c>
      <c r="L122">
        <v>-40.439382941928599</v>
      </c>
      <c r="M122">
        <v>0.37653820620369699</v>
      </c>
      <c r="N122" t="s">
        <v>25</v>
      </c>
      <c r="O122" t="s">
        <v>25</v>
      </c>
      <c r="P122" t="s">
        <v>467</v>
      </c>
      <c r="Q122">
        <f>-0.00020279515404888 - 0.000640096778721908</f>
        <v>-8.4289193277078793E-4</v>
      </c>
      <c r="R122" t="s">
        <v>32</v>
      </c>
      <c r="S122" t="s">
        <v>35</v>
      </c>
      <c r="T122" t="s">
        <v>36</v>
      </c>
      <c r="U122" t="s">
        <v>540</v>
      </c>
      <c r="V122">
        <v>0.108220330986361</v>
      </c>
      <c r="W122">
        <v>2.1502345223740001E-4</v>
      </c>
      <c r="X122" t="s">
        <v>362</v>
      </c>
      <c r="Y122" t="s">
        <v>29</v>
      </c>
    </row>
    <row r="123" spans="1:25" x14ac:dyDescent="0.2">
      <c r="A123" t="s">
        <v>359</v>
      </c>
      <c r="B123" t="s">
        <v>54</v>
      </c>
      <c r="C123" t="s">
        <v>105</v>
      </c>
      <c r="D123">
        <v>0.14140110244878501</v>
      </c>
      <c r="E123">
        <v>0.15116119768441599</v>
      </c>
      <c r="F123" t="s">
        <v>33</v>
      </c>
      <c r="G123">
        <v>16</v>
      </c>
      <c r="H123">
        <v>1.4571733531748799E-2</v>
      </c>
      <c r="I123" t="s">
        <v>24</v>
      </c>
      <c r="J123" t="b">
        <v>0</v>
      </c>
      <c r="K123">
        <v>-43.181855405925198</v>
      </c>
      <c r="L123">
        <v>-42.2587784828482</v>
      </c>
      <c r="M123">
        <v>0.64114357548290002</v>
      </c>
      <c r="N123" t="s">
        <v>25</v>
      </c>
      <c r="O123" t="s">
        <v>25</v>
      </c>
      <c r="P123" t="s">
        <v>368</v>
      </c>
      <c r="Q123">
        <f>-0.00423754076654081 - 0.0333810078300385</f>
        <v>-3.7618548596579308E-2</v>
      </c>
      <c r="R123" t="s">
        <v>32</v>
      </c>
      <c r="S123" t="s">
        <v>27</v>
      </c>
      <c r="T123" t="s">
        <v>28</v>
      </c>
      <c r="U123" t="s">
        <v>541</v>
      </c>
      <c r="V123">
        <v>0.107575071739275</v>
      </c>
      <c r="W123">
        <v>9.5965685195354995E-3</v>
      </c>
      <c r="X123" t="s">
        <v>362</v>
      </c>
      <c r="Y123" t="s">
        <v>29</v>
      </c>
    </row>
    <row r="124" spans="1:25" x14ac:dyDescent="0.2">
      <c r="A124" t="s">
        <v>359</v>
      </c>
      <c r="B124" t="s">
        <v>52</v>
      </c>
      <c r="C124" t="s">
        <v>105</v>
      </c>
      <c r="D124">
        <v>3.9367179264265299E-2</v>
      </c>
      <c r="E124">
        <v>0.46134125722667002</v>
      </c>
      <c r="F124" t="s">
        <v>33</v>
      </c>
      <c r="G124">
        <v>16</v>
      </c>
      <c r="H124">
        <v>-2.3164318998604998E-3</v>
      </c>
      <c r="I124" t="s">
        <v>34</v>
      </c>
      <c r="J124" t="b">
        <v>0</v>
      </c>
      <c r="K124">
        <v>-40.864931353239101</v>
      </c>
      <c r="L124">
        <v>-39.941854430162202</v>
      </c>
      <c r="M124">
        <v>1.9012465258683899</v>
      </c>
      <c r="N124" t="s">
        <v>25</v>
      </c>
      <c r="O124" t="s">
        <v>25</v>
      </c>
      <c r="P124" t="s">
        <v>444</v>
      </c>
      <c r="Q124">
        <f>-0.00831052041466005 - 0.00367765661493887</f>
        <v>-1.198817702959892E-2</v>
      </c>
      <c r="R124" t="s">
        <v>26</v>
      </c>
      <c r="S124" t="s">
        <v>35</v>
      </c>
      <c r="T124" t="s">
        <v>36</v>
      </c>
      <c r="U124" t="s">
        <v>542</v>
      </c>
      <c r="V124">
        <v>0.12547443107700601</v>
      </c>
      <c r="W124">
        <v>3.0582084259179998E-3</v>
      </c>
      <c r="X124" t="s">
        <v>362</v>
      </c>
      <c r="Y124" t="s">
        <v>29</v>
      </c>
    </row>
    <row r="125" spans="1:25" x14ac:dyDescent="0.2">
      <c r="A125" t="s">
        <v>359</v>
      </c>
      <c r="B125" t="s">
        <v>43</v>
      </c>
      <c r="C125" t="s">
        <v>105</v>
      </c>
      <c r="D125">
        <v>0.63948658229976496</v>
      </c>
      <c r="E125">
        <v>2.0062860167290001E-4</v>
      </c>
      <c r="F125" t="s">
        <v>33</v>
      </c>
      <c r="G125">
        <v>16</v>
      </c>
      <c r="H125">
        <v>5.8467940183899996E-4</v>
      </c>
      <c r="I125" t="s">
        <v>37</v>
      </c>
      <c r="J125" t="b">
        <v>0</v>
      </c>
      <c r="K125">
        <v>-45.770381846116798</v>
      </c>
      <c r="L125">
        <v>-44.8473049230399</v>
      </c>
      <c r="M125">
        <v>2.5011539434575001</v>
      </c>
      <c r="N125" t="s">
        <v>25</v>
      </c>
      <c r="O125" t="s">
        <v>25</v>
      </c>
      <c r="P125" t="s">
        <v>422</v>
      </c>
      <c r="Q125" t="s">
        <v>543</v>
      </c>
      <c r="R125" t="s">
        <v>31</v>
      </c>
      <c r="S125" t="s">
        <v>38</v>
      </c>
      <c r="T125" t="s">
        <v>39</v>
      </c>
      <c r="U125" t="s">
        <v>544</v>
      </c>
      <c r="V125">
        <v>0.108477371429697</v>
      </c>
      <c r="W125">
        <v>1.173272183685E-4</v>
      </c>
      <c r="X125" t="s">
        <v>362</v>
      </c>
      <c r="Y125" t="s">
        <v>29</v>
      </c>
    </row>
    <row r="126" spans="1:25" x14ac:dyDescent="0.2">
      <c r="A126" t="s">
        <v>359</v>
      </c>
      <c r="B126" t="s">
        <v>72</v>
      </c>
      <c r="C126" t="s">
        <v>105</v>
      </c>
      <c r="D126" s="1">
        <v>3.3882683861121902E-7</v>
      </c>
      <c r="E126">
        <v>0.99829295887949399</v>
      </c>
      <c r="F126" t="s">
        <v>33</v>
      </c>
      <c r="G126">
        <v>7</v>
      </c>
      <c r="H126">
        <v>-3.8522742195290001E-4</v>
      </c>
      <c r="I126" t="s">
        <v>37</v>
      </c>
      <c r="J126" t="b">
        <v>0</v>
      </c>
      <c r="K126">
        <v>-29.446769615279202</v>
      </c>
      <c r="L126">
        <v>-28.5236926922023</v>
      </c>
      <c r="M126">
        <v>11.4337553648115</v>
      </c>
      <c r="N126" t="s">
        <v>25</v>
      </c>
      <c r="O126" t="s">
        <v>25</v>
      </c>
      <c r="P126" t="s">
        <v>374</v>
      </c>
      <c r="Q126">
        <f>-0.347058430093109 - 0.346287975249203</f>
        <v>-0.69334640534231196</v>
      </c>
      <c r="R126" t="s">
        <v>26</v>
      </c>
      <c r="S126" t="s">
        <v>38</v>
      </c>
      <c r="T126" t="s">
        <v>39</v>
      </c>
      <c r="U126" t="s">
        <v>545</v>
      </c>
      <c r="V126">
        <v>0.113199739118235</v>
      </c>
      <c r="W126">
        <v>0.17687408299548801</v>
      </c>
      <c r="X126" t="s">
        <v>362</v>
      </c>
      <c r="Y126" t="s">
        <v>29</v>
      </c>
    </row>
    <row r="127" spans="1:25" x14ac:dyDescent="0.2">
      <c r="A127" t="s">
        <v>359</v>
      </c>
      <c r="B127" t="s">
        <v>68</v>
      </c>
      <c r="C127" t="s">
        <v>105</v>
      </c>
      <c r="D127">
        <v>1.404172684011E-4</v>
      </c>
      <c r="E127">
        <v>0.96525889087577099</v>
      </c>
      <c r="F127" t="s">
        <v>33</v>
      </c>
      <c r="G127">
        <v>17</v>
      </c>
      <c r="H127" s="1">
        <v>-1.63206249451062E-5</v>
      </c>
      <c r="I127" t="s">
        <v>37</v>
      </c>
      <c r="J127" t="b">
        <v>0</v>
      </c>
      <c r="K127">
        <v>-29.449011028094102</v>
      </c>
      <c r="L127">
        <v>-28.5259341050172</v>
      </c>
      <c r="M127">
        <v>13.6249529400118</v>
      </c>
      <c r="N127" t="s">
        <v>25</v>
      </c>
      <c r="O127" t="s">
        <v>25</v>
      </c>
      <c r="P127" t="s">
        <v>446</v>
      </c>
      <c r="Q127">
        <f>-0.000737740469649433 - 0.000705099219759221</f>
        <v>-1.4428396894086539E-3</v>
      </c>
      <c r="R127" t="s">
        <v>31</v>
      </c>
      <c r="S127" t="s">
        <v>38</v>
      </c>
      <c r="T127" t="s">
        <v>39</v>
      </c>
      <c r="U127" t="s">
        <v>546</v>
      </c>
      <c r="V127">
        <v>0.113846707958455</v>
      </c>
      <c r="W127">
        <v>3.6807134933890002E-4</v>
      </c>
      <c r="X127" t="s">
        <v>362</v>
      </c>
      <c r="Y127" t="s">
        <v>29</v>
      </c>
    </row>
    <row r="128" spans="1:25" x14ac:dyDescent="0.2">
      <c r="A128" t="s">
        <v>359</v>
      </c>
      <c r="B128" t="s">
        <v>71</v>
      </c>
      <c r="C128" t="s">
        <v>105</v>
      </c>
      <c r="D128">
        <v>0.14680198002315201</v>
      </c>
      <c r="E128">
        <v>0.142958527904754</v>
      </c>
      <c r="F128" t="s">
        <v>33</v>
      </c>
      <c r="G128">
        <v>9</v>
      </c>
      <c r="H128">
        <v>-1.31027335909999E-2</v>
      </c>
      <c r="I128" t="s">
        <v>37</v>
      </c>
      <c r="J128" t="b">
        <v>0</v>
      </c>
      <c r="K128">
        <v>-31.986982003486901</v>
      </c>
      <c r="L128">
        <v>-31.063905080409999</v>
      </c>
      <c r="M128">
        <v>10.3585489183479</v>
      </c>
      <c r="N128" t="s">
        <v>25</v>
      </c>
      <c r="O128" t="s">
        <v>25</v>
      </c>
      <c r="P128" t="s">
        <v>455</v>
      </c>
      <c r="Q128">
        <f>-0.0296494920460349 - 0.00344402486403513</f>
        <v>-3.309351691007003E-2</v>
      </c>
      <c r="R128" t="s">
        <v>26</v>
      </c>
      <c r="S128" t="s">
        <v>38</v>
      </c>
      <c r="T128" t="s">
        <v>39</v>
      </c>
      <c r="U128" t="s">
        <v>547</v>
      </c>
      <c r="V128">
        <v>0.115247054784459</v>
      </c>
      <c r="W128">
        <v>8.4422237015483997E-3</v>
      </c>
      <c r="X128" t="s">
        <v>362</v>
      </c>
      <c r="Y128" t="s">
        <v>29</v>
      </c>
    </row>
    <row r="129" spans="1:25" x14ac:dyDescent="0.2">
      <c r="A129" t="s">
        <v>359</v>
      </c>
      <c r="B129" t="s">
        <v>65</v>
      </c>
      <c r="C129" t="s">
        <v>105</v>
      </c>
      <c r="D129">
        <v>0.186621214063664</v>
      </c>
      <c r="E129">
        <v>9.4723151940464295E-2</v>
      </c>
      <c r="F129" t="s">
        <v>33</v>
      </c>
      <c r="G129">
        <v>17</v>
      </c>
      <c r="H129">
        <v>7.8765676518100002E-4</v>
      </c>
      <c r="I129" t="s">
        <v>40</v>
      </c>
      <c r="J129" t="b">
        <v>0</v>
      </c>
      <c r="K129">
        <v>-32.751698059273203</v>
      </c>
      <c r="L129">
        <v>-31.828621136196301</v>
      </c>
      <c r="M129">
        <v>16.104216021620299</v>
      </c>
      <c r="N129" t="s">
        <v>25</v>
      </c>
      <c r="O129" t="s">
        <v>25</v>
      </c>
      <c r="P129" t="s">
        <v>448</v>
      </c>
      <c r="Q129">
        <f>-0.0000737236167787912 - 0.00164903714714096</f>
        <v>-1.7227607639197511E-3</v>
      </c>
      <c r="R129" t="s">
        <v>32</v>
      </c>
      <c r="S129" t="s">
        <v>41</v>
      </c>
      <c r="T129" t="s">
        <v>25</v>
      </c>
      <c r="U129" t="s">
        <v>42</v>
      </c>
      <c r="V129">
        <v>9.4844124531055701E-2</v>
      </c>
      <c r="W129">
        <v>4.3947978671420002E-4</v>
      </c>
      <c r="X129" t="s">
        <v>362</v>
      </c>
      <c r="Y129" t="s">
        <v>29</v>
      </c>
    </row>
    <row r="130" spans="1:25" x14ac:dyDescent="0.2">
      <c r="A130" t="s">
        <v>359</v>
      </c>
      <c r="B130" t="s">
        <v>99</v>
      </c>
      <c r="C130" t="s">
        <v>105</v>
      </c>
      <c r="D130">
        <v>0.13333210380011601</v>
      </c>
      <c r="E130">
        <v>0.18080207016923799</v>
      </c>
      <c r="F130" t="s">
        <v>33</v>
      </c>
      <c r="G130">
        <v>17</v>
      </c>
      <c r="H130">
        <v>3.4734150719029999E-4</v>
      </c>
      <c r="I130" t="s">
        <v>34</v>
      </c>
      <c r="J130" t="b">
        <v>0</v>
      </c>
      <c r="K130">
        <v>-39.287865819667402</v>
      </c>
      <c r="L130">
        <v>-38.287865819667402</v>
      </c>
      <c r="M130">
        <v>4.8547858914912903</v>
      </c>
      <c r="N130" t="s">
        <v>25</v>
      </c>
      <c r="O130" t="s">
        <v>25</v>
      </c>
      <c r="P130" t="s">
        <v>400</v>
      </c>
      <c r="Q130">
        <f>-0.000134051822710204 - 0.000828734837090816</f>
        <v>-9.6278665980102001E-4</v>
      </c>
      <c r="R130" t="s">
        <v>30</v>
      </c>
      <c r="S130" t="s">
        <v>35</v>
      </c>
      <c r="T130" t="s">
        <v>36</v>
      </c>
      <c r="U130" t="s">
        <v>548</v>
      </c>
      <c r="V130">
        <v>7.8023469921903899E-2</v>
      </c>
      <c r="W130">
        <v>2.4560884178590002E-4</v>
      </c>
      <c r="X130" t="s">
        <v>362</v>
      </c>
      <c r="Y130" t="s">
        <v>29</v>
      </c>
    </row>
    <row r="131" spans="1:25" x14ac:dyDescent="0.2">
      <c r="A131" t="s">
        <v>359</v>
      </c>
      <c r="B131" t="s">
        <v>88</v>
      </c>
      <c r="C131" t="s">
        <v>105</v>
      </c>
      <c r="D131">
        <v>0.16188144987854999</v>
      </c>
      <c r="E131">
        <v>0.122350771169645</v>
      </c>
      <c r="F131" t="s">
        <v>33</v>
      </c>
      <c r="G131">
        <v>8</v>
      </c>
      <c r="H131">
        <v>-1.9024120661333E-3</v>
      </c>
      <c r="I131" t="s">
        <v>40</v>
      </c>
      <c r="J131" t="b">
        <v>0</v>
      </c>
      <c r="K131">
        <v>-32.272295723334302</v>
      </c>
      <c r="L131">
        <v>-31.3492188002574</v>
      </c>
      <c r="M131">
        <v>9.5941143795746999</v>
      </c>
      <c r="N131" t="s">
        <v>25</v>
      </c>
      <c r="O131" t="s">
        <v>25</v>
      </c>
      <c r="P131" t="s">
        <v>420</v>
      </c>
      <c r="Q131">
        <f>-0.0041699305143908 - 0.000365106382124033</f>
        <v>-4.5350368965148338E-3</v>
      </c>
      <c r="R131" t="s">
        <v>32</v>
      </c>
      <c r="S131" t="s">
        <v>41</v>
      </c>
      <c r="T131" t="s">
        <v>25</v>
      </c>
      <c r="U131" t="s">
        <v>42</v>
      </c>
      <c r="V131">
        <v>0.124626802078806</v>
      </c>
      <c r="W131">
        <v>1.1568971674782E-3</v>
      </c>
      <c r="X131" t="s">
        <v>362</v>
      </c>
      <c r="Y131" t="s">
        <v>29</v>
      </c>
    </row>
    <row r="132" spans="1:25" x14ac:dyDescent="0.2">
      <c r="A132" t="s">
        <v>359</v>
      </c>
      <c r="B132" t="s">
        <v>78</v>
      </c>
      <c r="C132" t="s">
        <v>105</v>
      </c>
      <c r="D132">
        <v>7.41915952210397E-2</v>
      </c>
      <c r="E132">
        <v>0.32602696070756598</v>
      </c>
      <c r="F132" t="s">
        <v>33</v>
      </c>
      <c r="G132">
        <v>17</v>
      </c>
      <c r="H132">
        <v>-8.8927073342530004E-4</v>
      </c>
      <c r="I132" t="s">
        <v>34</v>
      </c>
      <c r="J132" t="b">
        <v>0</v>
      </c>
      <c r="K132">
        <v>-38.2976940258784</v>
      </c>
      <c r="L132">
        <v>-37.2976940258784</v>
      </c>
      <c r="M132">
        <v>1.5551932620525899</v>
      </c>
      <c r="N132" t="s">
        <v>25</v>
      </c>
      <c r="O132" t="s">
        <v>25</v>
      </c>
      <c r="P132" t="s">
        <v>378</v>
      </c>
      <c r="Q132">
        <f>-0.00259693149670349 - 0.000818390029852743</f>
        <v>-3.4153215265562333E-3</v>
      </c>
      <c r="R132" t="s">
        <v>30</v>
      </c>
      <c r="S132" t="s">
        <v>35</v>
      </c>
      <c r="T132" t="s">
        <v>36</v>
      </c>
      <c r="U132" t="s">
        <v>549</v>
      </c>
      <c r="V132">
        <v>0.12325501024770499</v>
      </c>
      <c r="W132">
        <v>8.7125549146839997E-4</v>
      </c>
      <c r="X132" t="s">
        <v>362</v>
      </c>
      <c r="Y132" t="s">
        <v>29</v>
      </c>
    </row>
    <row r="133" spans="1:25" x14ac:dyDescent="0.2">
      <c r="A133" t="s">
        <v>359</v>
      </c>
      <c r="B133" t="s">
        <v>54</v>
      </c>
      <c r="C133" t="s">
        <v>105</v>
      </c>
      <c r="D133">
        <v>8.0742904781621397E-2</v>
      </c>
      <c r="E133">
        <v>0.28615386799159997</v>
      </c>
      <c r="F133" t="s">
        <v>33</v>
      </c>
      <c r="G133">
        <v>16</v>
      </c>
      <c r="H133">
        <v>1.50581391563917E-2</v>
      </c>
      <c r="I133" t="s">
        <v>40</v>
      </c>
      <c r="J133" t="b">
        <v>0</v>
      </c>
      <c r="K133">
        <v>-30.7937952395595</v>
      </c>
      <c r="L133">
        <v>-29.870718316482499</v>
      </c>
      <c r="M133">
        <v>13.029203741848599</v>
      </c>
      <c r="N133" t="s">
        <v>25</v>
      </c>
      <c r="O133" t="s">
        <v>25</v>
      </c>
      <c r="P133" t="s">
        <v>368</v>
      </c>
      <c r="Q133">
        <f>-0.0115570569434721 - 0.0416733352562555</f>
        <v>-5.3230392199727604E-2</v>
      </c>
      <c r="R133" t="s">
        <v>32</v>
      </c>
      <c r="S133" t="s">
        <v>41</v>
      </c>
      <c r="T133" t="s">
        <v>25</v>
      </c>
      <c r="U133" t="s">
        <v>42</v>
      </c>
      <c r="V133">
        <v>0.10377371692391101</v>
      </c>
      <c r="W133">
        <v>1.3579181683604001E-2</v>
      </c>
      <c r="X133" t="s">
        <v>362</v>
      </c>
      <c r="Y133" t="s">
        <v>29</v>
      </c>
    </row>
    <row r="134" spans="1:25" x14ac:dyDescent="0.2">
      <c r="A134" t="s">
        <v>359</v>
      </c>
      <c r="B134" t="s">
        <v>98</v>
      </c>
      <c r="C134" t="s">
        <v>105</v>
      </c>
      <c r="D134">
        <v>0.122655783193391</v>
      </c>
      <c r="E134">
        <v>0.18357111340533899</v>
      </c>
      <c r="F134" t="s">
        <v>33</v>
      </c>
      <c r="G134">
        <v>17</v>
      </c>
      <c r="H134">
        <v>-2.9194872534940498E-2</v>
      </c>
      <c r="I134" t="s">
        <v>37</v>
      </c>
      <c r="J134" t="b">
        <v>0</v>
      </c>
      <c r="K134">
        <v>-31.540458115765301</v>
      </c>
      <c r="L134">
        <v>-30.617381192688399</v>
      </c>
      <c r="M134">
        <v>11.3602905585493</v>
      </c>
      <c r="N134" t="s">
        <v>25</v>
      </c>
      <c r="O134" t="s">
        <v>25</v>
      </c>
      <c r="P134" t="s">
        <v>376</v>
      </c>
      <c r="Q134">
        <f>-0.070096409780563 - 0.0117066647106821</f>
        <v>-8.1803074491245104E-2</v>
      </c>
      <c r="R134" t="s">
        <v>26</v>
      </c>
      <c r="S134" t="s">
        <v>38</v>
      </c>
      <c r="T134" t="s">
        <v>39</v>
      </c>
      <c r="U134" t="s">
        <v>550</v>
      </c>
      <c r="V134">
        <v>0.119985625674831</v>
      </c>
      <c r="W134">
        <v>2.08681312477666E-2</v>
      </c>
      <c r="X134" t="s">
        <v>362</v>
      </c>
      <c r="Y134" t="s">
        <v>29</v>
      </c>
    </row>
    <row r="135" spans="1:25" x14ac:dyDescent="0.2">
      <c r="A135" t="s">
        <v>359</v>
      </c>
      <c r="B135" t="s">
        <v>67</v>
      </c>
      <c r="C135" t="s">
        <v>105</v>
      </c>
      <c r="D135" s="1">
        <v>5.3660647897460201E-5</v>
      </c>
      <c r="E135">
        <v>0.97851987898454995</v>
      </c>
      <c r="F135" t="s">
        <v>33</v>
      </c>
      <c r="G135">
        <v>14</v>
      </c>
      <c r="H135">
        <v>-2.0994912446160001E-4</v>
      </c>
      <c r="I135" t="s">
        <v>40</v>
      </c>
      <c r="J135" t="b">
        <v>0</v>
      </c>
      <c r="K135">
        <v>-29.447622787451799</v>
      </c>
      <c r="L135">
        <v>-28.5245458643749</v>
      </c>
      <c r="M135">
        <v>15.678913765628799</v>
      </c>
      <c r="N135" t="s">
        <v>25</v>
      </c>
      <c r="O135" t="s">
        <v>25</v>
      </c>
      <c r="P135" t="s">
        <v>427</v>
      </c>
      <c r="Q135">
        <f>-0.015222915530445 - 0.0148030172815217</f>
        <v>-3.00259328119667E-2</v>
      </c>
      <c r="R135" t="s">
        <v>31</v>
      </c>
      <c r="S135" t="s">
        <v>41</v>
      </c>
      <c r="T135" t="s">
        <v>25</v>
      </c>
      <c r="U135" t="s">
        <v>42</v>
      </c>
      <c r="V135">
        <v>0.113982164830728</v>
      </c>
      <c r="W135">
        <v>7.6596767377465997E-3</v>
      </c>
      <c r="X135" t="s">
        <v>362</v>
      </c>
      <c r="Y135" t="s">
        <v>29</v>
      </c>
    </row>
    <row r="136" spans="1:25" x14ac:dyDescent="0.2">
      <c r="A136" t="s">
        <v>359</v>
      </c>
      <c r="B136" t="s">
        <v>81</v>
      </c>
      <c r="C136" t="s">
        <v>105</v>
      </c>
      <c r="D136">
        <v>0.12035344252126701</v>
      </c>
      <c r="E136">
        <v>0.18802305531212399</v>
      </c>
      <c r="F136" t="s">
        <v>33</v>
      </c>
      <c r="G136">
        <v>7</v>
      </c>
      <c r="H136">
        <v>-3.4119663155946299E-2</v>
      </c>
      <c r="I136" t="s">
        <v>37</v>
      </c>
      <c r="J136" t="b">
        <v>0</v>
      </c>
      <c r="K136">
        <v>-31.498525656724699</v>
      </c>
      <c r="L136">
        <v>-30.5754487336478</v>
      </c>
      <c r="M136">
        <v>12.668074832423301</v>
      </c>
      <c r="N136" t="s">
        <v>25</v>
      </c>
      <c r="O136" t="s">
        <v>25</v>
      </c>
      <c r="P136" t="s">
        <v>429</v>
      </c>
      <c r="Q136">
        <f>-0.082439074370517 - 0.0141997480586243</f>
        <v>-9.6638822429141291E-2</v>
      </c>
      <c r="R136" t="s">
        <v>31</v>
      </c>
      <c r="S136" t="s">
        <v>38</v>
      </c>
      <c r="T136" t="s">
        <v>39</v>
      </c>
      <c r="U136" t="s">
        <v>551</v>
      </c>
      <c r="V136">
        <v>0.125030819294427</v>
      </c>
      <c r="W136">
        <v>2.46527608237605E-2</v>
      </c>
      <c r="X136" t="s">
        <v>362</v>
      </c>
      <c r="Y136" t="s">
        <v>29</v>
      </c>
    </row>
    <row r="137" spans="1:25" x14ac:dyDescent="0.2">
      <c r="A137" t="s">
        <v>359</v>
      </c>
      <c r="B137" t="s">
        <v>90</v>
      </c>
      <c r="C137" t="s">
        <v>105</v>
      </c>
      <c r="D137">
        <v>0.103388792517791</v>
      </c>
      <c r="E137">
        <v>0.224590358980401</v>
      </c>
      <c r="F137" t="s">
        <v>33</v>
      </c>
      <c r="G137">
        <v>8</v>
      </c>
      <c r="H137">
        <v>-9.0441637102110003E-4</v>
      </c>
      <c r="I137" t="s">
        <v>34</v>
      </c>
      <c r="J137" t="b">
        <v>0</v>
      </c>
      <c r="K137">
        <v>-41.968450136210997</v>
      </c>
      <c r="L137">
        <v>-41.045373213134098</v>
      </c>
      <c r="M137">
        <v>1.4231751173853999</v>
      </c>
      <c r="N137" t="s">
        <v>25</v>
      </c>
      <c r="O137" t="s">
        <v>25</v>
      </c>
      <c r="P137" t="s">
        <v>480</v>
      </c>
      <c r="Q137">
        <f>-0.00229958216050487 - 0.000490749418462612</f>
        <v>-2.7903315789674817E-3</v>
      </c>
      <c r="R137" t="s">
        <v>26</v>
      </c>
      <c r="S137" t="s">
        <v>35</v>
      </c>
      <c r="T137" t="s">
        <v>36</v>
      </c>
      <c r="U137" t="s">
        <v>552</v>
      </c>
      <c r="V137">
        <v>0.120619379191291</v>
      </c>
      <c r="W137">
        <v>7.1181928034879998E-4</v>
      </c>
      <c r="X137" t="s">
        <v>362</v>
      </c>
      <c r="Y137" t="s">
        <v>29</v>
      </c>
    </row>
    <row r="138" spans="1:25" x14ac:dyDescent="0.2">
      <c r="A138" t="s">
        <v>359</v>
      </c>
      <c r="B138" t="s">
        <v>85</v>
      </c>
      <c r="C138" t="s">
        <v>105</v>
      </c>
      <c r="D138">
        <v>0.16640218001850099</v>
      </c>
      <c r="E138">
        <v>0.13120057751575001</v>
      </c>
      <c r="F138" t="s">
        <v>33</v>
      </c>
      <c r="G138">
        <v>15</v>
      </c>
      <c r="H138">
        <v>6.5562593390360003E-4</v>
      </c>
      <c r="I138" t="s">
        <v>37</v>
      </c>
      <c r="J138" t="b">
        <v>0</v>
      </c>
      <c r="K138">
        <v>-28.378763340562301</v>
      </c>
      <c r="L138">
        <v>-27.378763340562301</v>
      </c>
      <c r="M138">
        <v>10.5457425849144</v>
      </c>
      <c r="N138" t="s">
        <v>25</v>
      </c>
      <c r="O138" t="s">
        <v>25</v>
      </c>
      <c r="P138" t="s">
        <v>390</v>
      </c>
      <c r="Q138">
        <f>-0.000142073527178534 - 0.00145332539498586</f>
        <v>-1.5953989221643941E-3</v>
      </c>
      <c r="R138" t="s">
        <v>30</v>
      </c>
      <c r="S138" t="s">
        <v>38</v>
      </c>
      <c r="T138" t="s">
        <v>39</v>
      </c>
      <c r="U138" t="s">
        <v>553</v>
      </c>
      <c r="V138">
        <v>5.0312512407758803E-2</v>
      </c>
      <c r="W138">
        <v>4.0698952096029998E-4</v>
      </c>
      <c r="X138" t="s">
        <v>362</v>
      </c>
      <c r="Y138" t="s">
        <v>29</v>
      </c>
    </row>
    <row r="139" spans="1:25" x14ac:dyDescent="0.2">
      <c r="A139" t="s">
        <v>359</v>
      </c>
      <c r="B139" t="s">
        <v>45</v>
      </c>
      <c r="C139" t="s">
        <v>105</v>
      </c>
      <c r="D139">
        <v>9.0601557165992594E-2</v>
      </c>
      <c r="E139">
        <v>0.25727286833882601</v>
      </c>
      <c r="F139" t="s">
        <v>33</v>
      </c>
      <c r="G139">
        <v>12</v>
      </c>
      <c r="H139">
        <v>-1.22170736551155E-2</v>
      </c>
      <c r="I139" t="s">
        <v>40</v>
      </c>
      <c r="J139" t="b">
        <v>0</v>
      </c>
      <c r="K139">
        <v>-30.966315392338501</v>
      </c>
      <c r="L139">
        <v>-30.043238469261599</v>
      </c>
      <c r="M139">
        <v>12.5239885608975</v>
      </c>
      <c r="N139" t="s">
        <v>25</v>
      </c>
      <c r="O139" t="s">
        <v>25</v>
      </c>
      <c r="P139" t="s">
        <v>465</v>
      </c>
      <c r="Q139">
        <f>-0.0324924310295366 - 0.0080582837193056</f>
        <v>-4.0550714748842198E-2</v>
      </c>
      <c r="R139" t="s">
        <v>26</v>
      </c>
      <c r="S139" t="s">
        <v>41</v>
      </c>
      <c r="T139" t="s">
        <v>25</v>
      </c>
      <c r="U139" t="s">
        <v>42</v>
      </c>
      <c r="V139">
        <v>0.132886110963884</v>
      </c>
      <c r="W139">
        <v>1.0344570088990399E-2</v>
      </c>
      <c r="X139" t="s">
        <v>362</v>
      </c>
      <c r="Y139" t="s">
        <v>29</v>
      </c>
    </row>
    <row r="140" spans="1:25" x14ac:dyDescent="0.2">
      <c r="A140" t="s">
        <v>359</v>
      </c>
      <c r="B140" t="s">
        <v>58</v>
      </c>
      <c r="C140" t="s">
        <v>105</v>
      </c>
      <c r="D140">
        <v>4.97248392803901E-2</v>
      </c>
      <c r="E140">
        <v>0.406460871305237</v>
      </c>
      <c r="F140" t="s">
        <v>33</v>
      </c>
      <c r="G140">
        <v>17</v>
      </c>
      <c r="H140">
        <v>-8.894283494376E-4</v>
      </c>
      <c r="I140" t="s">
        <v>34</v>
      </c>
      <c r="J140" t="b">
        <v>0</v>
      </c>
      <c r="K140">
        <v>-41.038382073881998</v>
      </c>
      <c r="L140">
        <v>-40.115305150805099</v>
      </c>
      <c r="M140">
        <v>2.3599326059264998</v>
      </c>
      <c r="N140" t="s">
        <v>25</v>
      </c>
      <c r="O140" t="s">
        <v>25</v>
      </c>
      <c r="P140" t="s">
        <v>360</v>
      </c>
      <c r="Q140">
        <f>-0.00292619378414794 - 0.00114733708527254</f>
        <v>-4.0735308694204797E-3</v>
      </c>
      <c r="R140" t="s">
        <v>32</v>
      </c>
      <c r="S140" t="s">
        <v>35</v>
      </c>
      <c r="T140" t="s">
        <v>36</v>
      </c>
      <c r="U140" t="s">
        <v>554</v>
      </c>
      <c r="V140">
        <v>0.13406853487849199</v>
      </c>
      <c r="W140">
        <v>1.0391660381174001E-3</v>
      </c>
      <c r="X140" t="s">
        <v>362</v>
      </c>
      <c r="Y140" t="s">
        <v>29</v>
      </c>
    </row>
    <row r="141" spans="1:25" x14ac:dyDescent="0.2">
      <c r="A141" t="s">
        <v>359</v>
      </c>
      <c r="B141" t="s">
        <v>48</v>
      </c>
      <c r="C141" t="s">
        <v>105</v>
      </c>
      <c r="D141">
        <v>0.17389011324915499</v>
      </c>
      <c r="E141">
        <v>0.10807480969141101</v>
      </c>
      <c r="F141" t="s">
        <v>33</v>
      </c>
      <c r="G141">
        <v>10</v>
      </c>
      <c r="H141">
        <v>-2.7461375433731998E-3</v>
      </c>
      <c r="I141" t="s">
        <v>40</v>
      </c>
      <c r="J141" t="b">
        <v>0</v>
      </c>
      <c r="K141">
        <v>-32.503203866083901</v>
      </c>
      <c r="L141">
        <v>-31.580126943006899</v>
      </c>
      <c r="M141">
        <v>10.536041994381501</v>
      </c>
      <c r="N141" t="s">
        <v>25</v>
      </c>
      <c r="O141" t="s">
        <v>25</v>
      </c>
      <c r="P141" t="s">
        <v>472</v>
      </c>
      <c r="Q141">
        <f>-0.00588155811765579 - 0.00038928303090935</f>
        <v>-6.2708411485651403E-3</v>
      </c>
      <c r="R141" t="s">
        <v>32</v>
      </c>
      <c r="S141" t="s">
        <v>41</v>
      </c>
      <c r="T141" t="s">
        <v>25</v>
      </c>
      <c r="U141" t="s">
        <v>42</v>
      </c>
      <c r="V141">
        <v>0.117443076684468</v>
      </c>
      <c r="W141">
        <v>1.5997043746339E-3</v>
      </c>
      <c r="X141" t="s">
        <v>362</v>
      </c>
      <c r="Y141" t="s">
        <v>29</v>
      </c>
    </row>
    <row r="142" spans="1:25" x14ac:dyDescent="0.2">
      <c r="A142" t="s">
        <v>359</v>
      </c>
      <c r="B142" t="s">
        <v>59</v>
      </c>
      <c r="C142" t="s">
        <v>105</v>
      </c>
      <c r="D142">
        <v>7.5697537787267399E-2</v>
      </c>
      <c r="E142">
        <v>0.302384400693545</v>
      </c>
      <c r="F142" t="s">
        <v>33</v>
      </c>
      <c r="G142">
        <v>12</v>
      </c>
      <c r="H142">
        <v>-1.2673077222699E-3</v>
      </c>
      <c r="I142" t="s">
        <v>37</v>
      </c>
      <c r="J142" t="b">
        <v>0</v>
      </c>
      <c r="K142">
        <v>-30.706218927608099</v>
      </c>
      <c r="L142">
        <v>-29.7831420045312</v>
      </c>
      <c r="M142">
        <v>11.783543086225199</v>
      </c>
      <c r="N142" t="s">
        <v>25</v>
      </c>
      <c r="O142" t="s">
        <v>25</v>
      </c>
      <c r="P142" t="s">
        <v>457</v>
      </c>
      <c r="Q142">
        <f>-0.00358705307309451 - 0.0010524376285547</f>
        <v>-4.6394907016492097E-3</v>
      </c>
      <c r="R142" t="s">
        <v>26</v>
      </c>
      <c r="S142" t="s">
        <v>38</v>
      </c>
      <c r="T142" t="s">
        <v>39</v>
      </c>
      <c r="U142" t="s">
        <v>555</v>
      </c>
      <c r="V142">
        <v>0.121198925539097</v>
      </c>
      <c r="W142">
        <v>1.1835435463390001E-3</v>
      </c>
      <c r="X142" t="s">
        <v>362</v>
      </c>
      <c r="Y142" t="s">
        <v>29</v>
      </c>
    </row>
    <row r="143" spans="1:25" x14ac:dyDescent="0.2">
      <c r="A143" t="s">
        <v>359</v>
      </c>
      <c r="B143" t="s">
        <v>44</v>
      </c>
      <c r="C143" t="s">
        <v>105</v>
      </c>
      <c r="D143">
        <v>9.1017498670824204E-2</v>
      </c>
      <c r="E143">
        <v>0.27448459228916899</v>
      </c>
      <c r="F143" t="s">
        <v>33</v>
      </c>
      <c r="G143">
        <v>17</v>
      </c>
      <c r="H143">
        <v>-3.5992988101770003E-4</v>
      </c>
      <c r="I143" t="s">
        <v>40</v>
      </c>
      <c r="J143" t="b">
        <v>0</v>
      </c>
      <c r="K143">
        <v>-27.080141524778899</v>
      </c>
      <c r="L143">
        <v>-26.080141524778899</v>
      </c>
      <c r="M143">
        <v>12.4154180504972</v>
      </c>
      <c r="N143" t="s">
        <v>25</v>
      </c>
      <c r="O143" t="s">
        <v>25</v>
      </c>
      <c r="P143" t="s">
        <v>463</v>
      </c>
      <c r="Q143">
        <f>-0.000978256027425943 - 0.00025839626539037</f>
        <v>-1.2366522928163131E-3</v>
      </c>
      <c r="R143" t="s">
        <v>30</v>
      </c>
      <c r="S143" t="s">
        <v>41</v>
      </c>
      <c r="T143" t="s">
        <v>25</v>
      </c>
      <c r="U143" t="s">
        <v>42</v>
      </c>
      <c r="V143">
        <v>0.120647221604473</v>
      </c>
      <c r="W143">
        <v>3.154725236776E-4</v>
      </c>
      <c r="X143" t="s">
        <v>362</v>
      </c>
      <c r="Y143" t="s">
        <v>29</v>
      </c>
    </row>
    <row r="144" spans="1:25" x14ac:dyDescent="0.2">
      <c r="A144" t="s">
        <v>359</v>
      </c>
      <c r="B144" t="s">
        <v>83</v>
      </c>
      <c r="C144" t="s">
        <v>105</v>
      </c>
      <c r="D144">
        <v>0.112265841933016</v>
      </c>
      <c r="E144">
        <v>0.20458907390453299</v>
      </c>
      <c r="F144" t="s">
        <v>33</v>
      </c>
      <c r="G144">
        <v>10</v>
      </c>
      <c r="H144">
        <v>-3.335142817915E-4</v>
      </c>
      <c r="I144" t="s">
        <v>40</v>
      </c>
      <c r="J144" t="b">
        <v>0</v>
      </c>
      <c r="K144">
        <v>-31.352091431757099</v>
      </c>
      <c r="L144">
        <v>-30.429014508680201</v>
      </c>
      <c r="M144">
        <v>10.937812798067799</v>
      </c>
      <c r="N144" t="s">
        <v>25</v>
      </c>
      <c r="O144" t="s">
        <v>25</v>
      </c>
      <c r="P144" t="s">
        <v>370</v>
      </c>
      <c r="Q144">
        <f>-0.000824788684371964 - 0.000157760120788811</f>
        <v>-9.8254880516077505E-4</v>
      </c>
      <c r="R144" t="s">
        <v>32</v>
      </c>
      <c r="S144" t="s">
        <v>41</v>
      </c>
      <c r="T144" t="s">
        <v>25</v>
      </c>
      <c r="U144" t="s">
        <v>42</v>
      </c>
      <c r="V144">
        <v>0.116192339105553</v>
      </c>
      <c r="W144">
        <v>2.506502053981E-4</v>
      </c>
      <c r="X144" t="s">
        <v>362</v>
      </c>
      <c r="Y144" t="s">
        <v>29</v>
      </c>
    </row>
    <row r="145" spans="1:25" x14ac:dyDescent="0.2">
      <c r="A145" t="s">
        <v>359</v>
      </c>
      <c r="B145" t="s">
        <v>48</v>
      </c>
      <c r="C145" t="s">
        <v>105</v>
      </c>
      <c r="D145">
        <v>7.8963660609807404E-2</v>
      </c>
      <c r="E145">
        <v>0.29175751122143101</v>
      </c>
      <c r="F145" t="s">
        <v>33</v>
      </c>
      <c r="G145">
        <v>10</v>
      </c>
      <c r="H145">
        <v>-2.7983408506987999E-3</v>
      </c>
      <c r="I145" t="s">
        <v>34</v>
      </c>
      <c r="J145" t="b">
        <v>0</v>
      </c>
      <c r="K145">
        <v>-41.538415571358698</v>
      </c>
      <c r="L145">
        <v>-40.615338648281799</v>
      </c>
      <c r="M145">
        <v>1.5008302891066001</v>
      </c>
      <c r="N145" t="s">
        <v>25</v>
      </c>
      <c r="O145" t="s">
        <v>25</v>
      </c>
      <c r="P145" t="s">
        <v>472</v>
      </c>
      <c r="Q145">
        <f>-0.00780464708930083 - 0.00220796538790314</f>
        <v>-1.001261247720397E-2</v>
      </c>
      <c r="R145" t="s">
        <v>32</v>
      </c>
      <c r="S145" t="s">
        <v>35</v>
      </c>
      <c r="T145" t="s">
        <v>36</v>
      </c>
      <c r="U145" t="s">
        <v>556</v>
      </c>
      <c r="V145">
        <v>0.120627294884768</v>
      </c>
      <c r="W145">
        <v>2.5542378768377001E-3</v>
      </c>
      <c r="X145" t="s">
        <v>362</v>
      </c>
      <c r="Y145" t="s">
        <v>29</v>
      </c>
    </row>
    <row r="146" spans="1:25" x14ac:dyDescent="0.2">
      <c r="A146" t="s">
        <v>359</v>
      </c>
      <c r="B146" t="s">
        <v>62</v>
      </c>
      <c r="C146" t="s">
        <v>105</v>
      </c>
      <c r="D146">
        <v>2.3026233610470001E-2</v>
      </c>
      <c r="E146">
        <v>0.574794161454109</v>
      </c>
      <c r="F146" t="s">
        <v>33</v>
      </c>
      <c r="G146">
        <v>15</v>
      </c>
      <c r="H146">
        <v>-2.297584067006E-4</v>
      </c>
      <c r="I146" t="s">
        <v>37</v>
      </c>
      <c r="J146" t="b">
        <v>0</v>
      </c>
      <c r="K146">
        <v>-29.8194918498512</v>
      </c>
      <c r="L146">
        <v>-28.896414926774298</v>
      </c>
      <c r="M146">
        <v>12.5158723748026</v>
      </c>
      <c r="N146" t="s">
        <v>25</v>
      </c>
      <c r="O146" t="s">
        <v>25</v>
      </c>
      <c r="P146" t="s">
        <v>392</v>
      </c>
      <c r="Q146">
        <f>-0.00101371760894236 - 0.000554200795540994</f>
        <v>-1.5679184044833541E-3</v>
      </c>
      <c r="R146" t="s">
        <v>31</v>
      </c>
      <c r="S146" t="s">
        <v>38</v>
      </c>
      <c r="T146" t="s">
        <v>39</v>
      </c>
      <c r="U146" t="s">
        <v>557</v>
      </c>
      <c r="V146">
        <v>0.123110529729945</v>
      </c>
      <c r="W146">
        <v>3.9997918481710001E-4</v>
      </c>
      <c r="X146" t="s">
        <v>362</v>
      </c>
      <c r="Y146" t="s">
        <v>29</v>
      </c>
    </row>
    <row r="147" spans="1:25" x14ac:dyDescent="0.2">
      <c r="A147" t="s">
        <v>359</v>
      </c>
      <c r="B147" t="s">
        <v>50</v>
      </c>
      <c r="C147" t="s">
        <v>105</v>
      </c>
      <c r="D147">
        <v>5.96124125620736E-2</v>
      </c>
      <c r="E147">
        <v>0.36213462563948801</v>
      </c>
      <c r="F147" t="s">
        <v>33</v>
      </c>
      <c r="G147">
        <v>12</v>
      </c>
      <c r="H147">
        <v>4.478015194162E-4</v>
      </c>
      <c r="I147" t="s">
        <v>40</v>
      </c>
      <c r="J147" t="b">
        <v>0</v>
      </c>
      <c r="K147">
        <v>-30.430174780287398</v>
      </c>
      <c r="L147">
        <v>-29.5070978572105</v>
      </c>
      <c r="M147">
        <v>14.184760748045999</v>
      </c>
      <c r="N147" t="s">
        <v>25</v>
      </c>
      <c r="O147" t="s">
        <v>25</v>
      </c>
      <c r="P147" t="s">
        <v>442</v>
      </c>
      <c r="Q147">
        <f>-0.000483869767384618 - 0.00137947280621718</f>
        <v>-1.8633425736017978E-3</v>
      </c>
      <c r="R147" t="s">
        <v>26</v>
      </c>
      <c r="S147" t="s">
        <v>41</v>
      </c>
      <c r="T147" t="s">
        <v>25</v>
      </c>
      <c r="U147" t="s">
        <v>42</v>
      </c>
      <c r="V147">
        <v>9.0283596002990005E-2</v>
      </c>
      <c r="W147">
        <v>4.753424932657E-4</v>
      </c>
      <c r="X147" t="s">
        <v>362</v>
      </c>
      <c r="Y147" t="s">
        <v>29</v>
      </c>
    </row>
    <row r="148" spans="1:25" x14ac:dyDescent="0.2">
      <c r="A148" t="s">
        <v>359</v>
      </c>
      <c r="B148" t="s">
        <v>71</v>
      </c>
      <c r="C148" t="s">
        <v>105</v>
      </c>
      <c r="D148">
        <v>5.7401741822711003E-2</v>
      </c>
      <c r="E148">
        <v>0.37146887943898399</v>
      </c>
      <c r="F148" t="s">
        <v>33</v>
      </c>
      <c r="G148">
        <v>9</v>
      </c>
      <c r="H148">
        <v>-1.0168126348291E-2</v>
      </c>
      <c r="I148" t="s">
        <v>34</v>
      </c>
      <c r="J148" t="b">
        <v>0</v>
      </c>
      <c r="K148">
        <v>-41.168164776645298</v>
      </c>
      <c r="L148">
        <v>-40.2450878535684</v>
      </c>
      <c r="M148">
        <v>1.1773661451894999</v>
      </c>
      <c r="N148" t="s">
        <v>25</v>
      </c>
      <c r="O148" t="s">
        <v>25</v>
      </c>
      <c r="P148" t="s">
        <v>455</v>
      </c>
      <c r="Q148">
        <f>-0.0317522176065925 - 0.0114159649100104</f>
        <v>-4.3168182516602899E-2</v>
      </c>
      <c r="R148" t="s">
        <v>26</v>
      </c>
      <c r="S148" t="s">
        <v>35</v>
      </c>
      <c r="T148" t="s">
        <v>36</v>
      </c>
      <c r="U148" t="s">
        <v>558</v>
      </c>
      <c r="V148">
        <v>0.119324458275809</v>
      </c>
      <c r="W148">
        <v>1.10122914583171E-2</v>
      </c>
      <c r="X148" t="s">
        <v>362</v>
      </c>
      <c r="Y148" t="s">
        <v>29</v>
      </c>
    </row>
    <row r="149" spans="1:25" x14ac:dyDescent="0.2">
      <c r="A149" t="s">
        <v>359</v>
      </c>
      <c r="B149" t="s">
        <v>64</v>
      </c>
      <c r="C149" t="s">
        <v>105</v>
      </c>
      <c r="D149">
        <v>5.0310094538340002E-3</v>
      </c>
      <c r="E149">
        <v>0.80166530173302297</v>
      </c>
      <c r="F149" t="s">
        <v>33</v>
      </c>
      <c r="G149">
        <v>6</v>
      </c>
      <c r="H149">
        <v>1.0848870970697E-3</v>
      </c>
      <c r="I149" t="s">
        <v>34</v>
      </c>
      <c r="J149" t="b">
        <v>0</v>
      </c>
      <c r="K149">
        <v>-37.2170300592662</v>
      </c>
      <c r="L149">
        <v>-36.2170300592662</v>
      </c>
      <c r="M149">
        <v>0.655758488074901</v>
      </c>
      <c r="N149" t="s">
        <v>25</v>
      </c>
      <c r="O149" t="s">
        <v>25</v>
      </c>
      <c r="P149" t="s">
        <v>435</v>
      </c>
      <c r="Q149">
        <f>-0.00720877133525658 - 0.009378545529396</f>
        <v>-1.658731686465258E-2</v>
      </c>
      <c r="R149" t="s">
        <v>30</v>
      </c>
      <c r="S149" t="s">
        <v>35</v>
      </c>
      <c r="T149" t="s">
        <v>36</v>
      </c>
      <c r="U149" t="s">
        <v>559</v>
      </c>
      <c r="V149">
        <v>0.117408006729241</v>
      </c>
      <c r="W149">
        <v>4.2314583838399004E-3</v>
      </c>
      <c r="X149" t="s">
        <v>362</v>
      </c>
      <c r="Y149" t="s">
        <v>29</v>
      </c>
    </row>
    <row r="150" spans="1:25" x14ac:dyDescent="0.2">
      <c r="A150" t="s">
        <v>359</v>
      </c>
      <c r="B150" t="s">
        <v>77</v>
      </c>
      <c r="C150" t="s">
        <v>105</v>
      </c>
      <c r="D150">
        <v>0.198347690760171</v>
      </c>
      <c r="E150">
        <v>9.6182193143834194E-2</v>
      </c>
      <c r="F150" t="s">
        <v>33</v>
      </c>
      <c r="G150">
        <v>14</v>
      </c>
      <c r="H150">
        <v>-6.7779076441904004E-3</v>
      </c>
      <c r="I150" t="s">
        <v>37</v>
      </c>
      <c r="J150" t="b">
        <v>0</v>
      </c>
      <c r="K150">
        <v>-28.964904414128998</v>
      </c>
      <c r="L150">
        <v>-27.964904414128998</v>
      </c>
      <c r="M150">
        <v>12.2407938378176</v>
      </c>
      <c r="N150" t="s">
        <v>25</v>
      </c>
      <c r="O150" t="s">
        <v>25</v>
      </c>
      <c r="P150" t="s">
        <v>453</v>
      </c>
      <c r="Q150">
        <f>-0.0141852000972078 - 0.000629384808826854</f>
        <v>-1.4814584906034654E-2</v>
      </c>
      <c r="R150" t="s">
        <v>30</v>
      </c>
      <c r="S150" t="s">
        <v>38</v>
      </c>
      <c r="T150" t="s">
        <v>39</v>
      </c>
      <c r="U150" t="s">
        <v>560</v>
      </c>
      <c r="V150">
        <v>0.140493333740806</v>
      </c>
      <c r="W150">
        <v>3.7792308433761E-3</v>
      </c>
      <c r="X150" t="s">
        <v>362</v>
      </c>
      <c r="Y150" t="s">
        <v>29</v>
      </c>
    </row>
    <row r="151" spans="1:25" x14ac:dyDescent="0.2">
      <c r="A151" t="s">
        <v>359</v>
      </c>
      <c r="B151" t="s">
        <v>76</v>
      </c>
      <c r="C151" t="s">
        <v>105</v>
      </c>
      <c r="D151">
        <v>0.471910769514988</v>
      </c>
      <c r="E151">
        <v>4.6665858149849996E-3</v>
      </c>
      <c r="F151" t="s">
        <v>33</v>
      </c>
      <c r="G151">
        <v>17</v>
      </c>
      <c r="H151">
        <v>8.4809451410566995E-3</v>
      </c>
      <c r="I151" t="s">
        <v>24</v>
      </c>
      <c r="J151" t="b">
        <v>0</v>
      </c>
      <c r="K151">
        <v>-43.413397606170697</v>
      </c>
      <c r="L151">
        <v>-42.413397606170697</v>
      </c>
      <c r="M151">
        <v>0.15266218604120399</v>
      </c>
      <c r="N151" t="s">
        <v>25</v>
      </c>
      <c r="O151" t="s">
        <v>25</v>
      </c>
      <c r="P151" t="s">
        <v>477</v>
      </c>
      <c r="Q151" t="s">
        <v>561</v>
      </c>
      <c r="R151" t="s">
        <v>30</v>
      </c>
      <c r="S151" t="s">
        <v>27</v>
      </c>
      <c r="T151" t="s">
        <v>28</v>
      </c>
      <c r="U151" t="s">
        <v>562</v>
      </c>
      <c r="V151">
        <v>0.10924999237850801</v>
      </c>
      <c r="W151">
        <v>2.4882630416313998E-3</v>
      </c>
      <c r="X151" t="s">
        <v>362</v>
      </c>
      <c r="Y151" t="s">
        <v>29</v>
      </c>
    </row>
    <row r="152" spans="1:25" x14ac:dyDescent="0.2">
      <c r="A152" t="s">
        <v>359</v>
      </c>
      <c r="B152" t="s">
        <v>93</v>
      </c>
      <c r="C152" t="s">
        <v>105</v>
      </c>
      <c r="D152">
        <v>0.60585806144976895</v>
      </c>
      <c r="E152">
        <v>3.830056986693E-4</v>
      </c>
      <c r="F152" t="s">
        <v>33</v>
      </c>
      <c r="G152">
        <v>16</v>
      </c>
      <c r="H152">
        <v>4.4995921564440001E-4</v>
      </c>
      <c r="I152" t="s">
        <v>37</v>
      </c>
      <c r="J152" t="b">
        <v>0</v>
      </c>
      <c r="K152">
        <v>-44.343471144948303</v>
      </c>
      <c r="L152">
        <v>-43.420394221871398</v>
      </c>
      <c r="M152">
        <v>2.5395012238176</v>
      </c>
      <c r="N152" t="s">
        <v>25</v>
      </c>
      <c r="O152" t="s">
        <v>25</v>
      </c>
      <c r="P152" t="s">
        <v>380</v>
      </c>
      <c r="Q152" t="s">
        <v>563</v>
      </c>
      <c r="R152" t="s">
        <v>32</v>
      </c>
      <c r="S152" t="s">
        <v>38</v>
      </c>
      <c r="T152" t="s">
        <v>39</v>
      </c>
      <c r="U152" t="s">
        <v>564</v>
      </c>
      <c r="V152">
        <v>0.107171797596105</v>
      </c>
      <c r="W152" s="1">
        <v>9.6995148415857406E-5</v>
      </c>
      <c r="X152" t="s">
        <v>362</v>
      </c>
      <c r="Y152" t="s">
        <v>29</v>
      </c>
    </row>
    <row r="153" spans="1:25" x14ac:dyDescent="0.2">
      <c r="A153" t="s">
        <v>359</v>
      </c>
      <c r="B153" t="s">
        <v>84</v>
      </c>
      <c r="C153" t="s">
        <v>105</v>
      </c>
      <c r="D153">
        <v>6.7315463711448004E-3</v>
      </c>
      <c r="E153">
        <v>0.762597334020504</v>
      </c>
      <c r="F153" t="s">
        <v>33</v>
      </c>
      <c r="G153">
        <v>5</v>
      </c>
      <c r="H153">
        <v>-1.6684745959167999E-3</v>
      </c>
      <c r="I153" t="s">
        <v>37</v>
      </c>
      <c r="J153" t="b">
        <v>0</v>
      </c>
      <c r="K153">
        <v>-29.554833080811498</v>
      </c>
      <c r="L153">
        <v>-28.6317561577345</v>
      </c>
      <c r="M153">
        <v>11.3266517948691</v>
      </c>
      <c r="N153" t="s">
        <v>25</v>
      </c>
      <c r="O153" t="s">
        <v>25</v>
      </c>
      <c r="P153" t="s">
        <v>372</v>
      </c>
      <c r="Q153">
        <f>-0.0122851258706562 - 0.00894817667882246</f>
        <v>-2.123330254947866E-2</v>
      </c>
      <c r="R153" t="s">
        <v>26</v>
      </c>
      <c r="S153" t="s">
        <v>38</v>
      </c>
      <c r="T153" t="s">
        <v>39</v>
      </c>
      <c r="U153" t="s">
        <v>565</v>
      </c>
      <c r="V153">
        <v>0.121695307427509</v>
      </c>
      <c r="W153">
        <v>5.4166588136425001E-3</v>
      </c>
      <c r="X153" t="s">
        <v>362</v>
      </c>
      <c r="Y153" t="s">
        <v>29</v>
      </c>
    </row>
    <row r="154" spans="1:25" x14ac:dyDescent="0.2">
      <c r="A154" t="s">
        <v>359</v>
      </c>
      <c r="B154" t="s">
        <v>55</v>
      </c>
      <c r="C154" t="s">
        <v>105</v>
      </c>
      <c r="D154">
        <v>0.26087016015755599</v>
      </c>
      <c r="E154">
        <v>4.3204475236741501E-2</v>
      </c>
      <c r="F154" t="s">
        <v>33</v>
      </c>
      <c r="G154">
        <v>12</v>
      </c>
      <c r="H154">
        <v>-3.3581192157157999E-3</v>
      </c>
      <c r="I154" t="s">
        <v>40</v>
      </c>
      <c r="J154" t="b">
        <v>0</v>
      </c>
      <c r="K154">
        <v>-34.2832710227257</v>
      </c>
      <c r="L154">
        <v>-33.360194099648801</v>
      </c>
      <c r="M154">
        <v>13.5600817019414</v>
      </c>
      <c r="N154" t="s">
        <v>25</v>
      </c>
      <c r="O154" t="s">
        <v>25</v>
      </c>
      <c r="P154" t="s">
        <v>459</v>
      </c>
      <c r="Q154">
        <f>-0.00631910504438662 - -0.000397133387045174</f>
        <v>-5.9219716573414459E-3</v>
      </c>
      <c r="R154" t="s">
        <v>32</v>
      </c>
      <c r="S154" t="s">
        <v>41</v>
      </c>
      <c r="T154" t="s">
        <v>25</v>
      </c>
      <c r="U154" t="s">
        <v>42</v>
      </c>
      <c r="V154">
        <v>0.134072832869885</v>
      </c>
      <c r="W154">
        <v>1.5107070554442E-3</v>
      </c>
      <c r="X154" t="s">
        <v>362</v>
      </c>
      <c r="Y154" t="s">
        <v>29</v>
      </c>
    </row>
    <row r="155" spans="1:25" x14ac:dyDescent="0.2">
      <c r="A155" t="s">
        <v>359</v>
      </c>
      <c r="B155" t="s">
        <v>51</v>
      </c>
      <c r="C155" t="s">
        <v>105</v>
      </c>
      <c r="D155">
        <v>5.7917683892939995E-4</v>
      </c>
      <c r="E155">
        <v>0.92950504335126605</v>
      </c>
      <c r="F155" t="s">
        <v>33</v>
      </c>
      <c r="G155">
        <v>8</v>
      </c>
      <c r="H155" s="1">
        <v>-3.1435778719397999E-5</v>
      </c>
      <c r="I155" t="s">
        <v>37</v>
      </c>
      <c r="J155" t="b">
        <v>0</v>
      </c>
      <c r="K155">
        <v>-29.456033708074902</v>
      </c>
      <c r="L155">
        <v>-28.532956784997999</v>
      </c>
      <c r="M155">
        <v>11.404129384321701</v>
      </c>
      <c r="N155" t="s">
        <v>25</v>
      </c>
      <c r="O155" t="s">
        <v>25</v>
      </c>
      <c r="P155" t="s">
        <v>398</v>
      </c>
      <c r="Q155">
        <f>-0.000715481105658965 - 0.000652609548220169</f>
        <v>-1.368090653879134E-3</v>
      </c>
      <c r="R155" t="s">
        <v>31</v>
      </c>
      <c r="S155" t="s">
        <v>38</v>
      </c>
      <c r="T155" t="s">
        <v>39</v>
      </c>
      <c r="U155" t="s">
        <v>566</v>
      </c>
      <c r="V155">
        <v>0.1135403176391</v>
      </c>
      <c r="W155">
        <v>3.4900271782629998E-4</v>
      </c>
      <c r="X155" t="s">
        <v>362</v>
      </c>
      <c r="Y155" t="s">
        <v>29</v>
      </c>
    </row>
    <row r="156" spans="1:25" x14ac:dyDescent="0.2">
      <c r="A156" t="s">
        <v>359</v>
      </c>
      <c r="B156" t="s">
        <v>60</v>
      </c>
      <c r="C156" t="s">
        <v>105</v>
      </c>
      <c r="D156">
        <v>0.26362356746794702</v>
      </c>
      <c r="E156">
        <v>4.1933256200616102E-2</v>
      </c>
      <c r="F156" t="s">
        <v>33</v>
      </c>
      <c r="G156">
        <v>17</v>
      </c>
      <c r="H156">
        <v>1.36677373597E-4</v>
      </c>
      <c r="I156" t="s">
        <v>34</v>
      </c>
      <c r="J156" t="b">
        <v>0</v>
      </c>
      <c r="K156">
        <v>-44.869064486800703</v>
      </c>
      <c r="L156">
        <v>-43.945987563723797</v>
      </c>
      <c r="M156">
        <v>1.79403427400099</v>
      </c>
      <c r="N156" t="s">
        <v>25</v>
      </c>
      <c r="O156" t="s">
        <v>25</v>
      </c>
      <c r="P156" t="s">
        <v>439</v>
      </c>
      <c r="Q156" t="s">
        <v>567</v>
      </c>
      <c r="R156" t="s">
        <v>31</v>
      </c>
      <c r="S156" t="s">
        <v>35</v>
      </c>
      <c r="T156" t="s">
        <v>36</v>
      </c>
      <c r="U156" t="s">
        <v>568</v>
      </c>
      <c r="V156">
        <v>9.7487135770047695E-2</v>
      </c>
      <c r="W156" s="1">
        <v>6.10506694900702E-5</v>
      </c>
      <c r="X156" t="s">
        <v>362</v>
      </c>
      <c r="Y156" t="s">
        <v>29</v>
      </c>
    </row>
    <row r="157" spans="1:25" x14ac:dyDescent="0.2">
      <c r="A157" t="s">
        <v>359</v>
      </c>
      <c r="B157" t="s">
        <v>98</v>
      </c>
      <c r="C157" t="s">
        <v>105</v>
      </c>
      <c r="D157">
        <v>8.6753820603142101E-2</v>
      </c>
      <c r="E157">
        <v>0.26812738951693799</v>
      </c>
      <c r="F157" t="s">
        <v>33</v>
      </c>
      <c r="G157">
        <v>17</v>
      </c>
      <c r="H157">
        <v>-3.6068298970327102E-2</v>
      </c>
      <c r="I157" t="s">
        <v>34</v>
      </c>
      <c r="J157" t="b">
        <v>0</v>
      </c>
      <c r="K157">
        <v>-41.674319727900098</v>
      </c>
      <c r="L157">
        <v>-40.7512428048232</v>
      </c>
      <c r="M157">
        <v>1.2264289464145</v>
      </c>
      <c r="N157" t="s">
        <v>25</v>
      </c>
      <c r="O157" t="s">
        <v>25</v>
      </c>
      <c r="P157" t="s">
        <v>376</v>
      </c>
      <c r="Q157">
        <f>-0.097369268225731 - 0.0252326702850769</f>
        <v>-0.12260193851080789</v>
      </c>
      <c r="R157" t="s">
        <v>26</v>
      </c>
      <c r="S157" t="s">
        <v>35</v>
      </c>
      <c r="T157" t="s">
        <v>36</v>
      </c>
      <c r="U157" t="s">
        <v>569</v>
      </c>
      <c r="V157">
        <v>0.124177212792595</v>
      </c>
      <c r="W157">
        <v>3.1276004722144903E-2</v>
      </c>
      <c r="X157" t="s">
        <v>362</v>
      </c>
      <c r="Y157" t="s">
        <v>29</v>
      </c>
    </row>
    <row r="158" spans="1:25" x14ac:dyDescent="0.2">
      <c r="A158" t="s">
        <v>359</v>
      </c>
      <c r="B158" t="s">
        <v>78</v>
      </c>
      <c r="C158" t="s">
        <v>105</v>
      </c>
      <c r="D158">
        <v>9.5595972499664006E-2</v>
      </c>
      <c r="E158">
        <v>0.26214208895227598</v>
      </c>
      <c r="F158" t="s">
        <v>33</v>
      </c>
      <c r="G158">
        <v>17</v>
      </c>
      <c r="H158">
        <v>-8.3692622549030003E-4</v>
      </c>
      <c r="I158" t="s">
        <v>40</v>
      </c>
      <c r="J158" t="b">
        <v>0</v>
      </c>
      <c r="K158">
        <v>-27.1558862733735</v>
      </c>
      <c r="L158">
        <v>-26.1558862733735</v>
      </c>
      <c r="M158">
        <v>12.697001014557401</v>
      </c>
      <c r="N158" t="s">
        <v>25</v>
      </c>
      <c r="O158" t="s">
        <v>25</v>
      </c>
      <c r="P158" t="s">
        <v>378</v>
      </c>
      <c r="Q158">
        <f>-0.0022362977042945 - 0.000562445253313825</f>
        <v>-2.798742957608325E-3</v>
      </c>
      <c r="R158" t="s">
        <v>30</v>
      </c>
      <c r="S158" t="s">
        <v>41</v>
      </c>
      <c r="T158" t="s">
        <v>25</v>
      </c>
      <c r="U158" t="s">
        <v>42</v>
      </c>
      <c r="V158">
        <v>0.11972363290910699</v>
      </c>
      <c r="W158">
        <v>7.1396504020620002E-4</v>
      </c>
      <c r="X158" t="s">
        <v>362</v>
      </c>
      <c r="Y158" t="s">
        <v>29</v>
      </c>
    </row>
    <row r="159" spans="1:25" x14ac:dyDescent="0.2">
      <c r="A159" t="s">
        <v>359</v>
      </c>
      <c r="B159" t="s">
        <v>49</v>
      </c>
      <c r="C159" t="s">
        <v>105</v>
      </c>
      <c r="D159">
        <v>0.66027868765478503</v>
      </c>
      <c r="E159">
        <v>1.3062517853550001E-4</v>
      </c>
      <c r="F159" t="s">
        <v>33</v>
      </c>
      <c r="G159">
        <v>15</v>
      </c>
      <c r="H159">
        <v>7.5969192770209998E-4</v>
      </c>
      <c r="I159" t="s">
        <v>40</v>
      </c>
      <c r="J159" t="b">
        <v>0</v>
      </c>
      <c r="K159">
        <v>-46.720838866970702</v>
      </c>
      <c r="L159">
        <v>-45.797761943893697</v>
      </c>
      <c r="M159">
        <v>2.2126650547360902</v>
      </c>
      <c r="N159" t="s">
        <v>25</v>
      </c>
      <c r="O159" t="s">
        <v>25</v>
      </c>
      <c r="P159" t="s">
        <v>469</v>
      </c>
      <c r="Q159" t="s">
        <v>531</v>
      </c>
      <c r="R159" t="s">
        <v>26</v>
      </c>
      <c r="S159" t="s">
        <v>41</v>
      </c>
      <c r="T159" t="s">
        <v>25</v>
      </c>
      <c r="U159" t="s">
        <v>42</v>
      </c>
      <c r="V159">
        <v>0.108154329497295</v>
      </c>
      <c r="W159">
        <v>1.456368412048E-4</v>
      </c>
      <c r="X159" t="s">
        <v>362</v>
      </c>
      <c r="Y159" t="s">
        <v>29</v>
      </c>
    </row>
    <row r="160" spans="1:25" x14ac:dyDescent="0.2">
      <c r="A160" t="s">
        <v>359</v>
      </c>
      <c r="B160" t="s">
        <v>74</v>
      </c>
      <c r="C160" t="s">
        <v>105</v>
      </c>
      <c r="D160">
        <v>5.7478221380498004E-3</v>
      </c>
      <c r="E160">
        <v>0.78019937243834803</v>
      </c>
      <c r="F160" t="s">
        <v>33</v>
      </c>
      <c r="G160">
        <v>11</v>
      </c>
      <c r="H160" s="1">
        <v>-5.6865385253478599E-5</v>
      </c>
      <c r="I160" t="s">
        <v>37</v>
      </c>
      <c r="J160" t="b">
        <v>0</v>
      </c>
      <c r="K160">
        <v>-29.538994665083401</v>
      </c>
      <c r="L160">
        <v>-28.615917742006499</v>
      </c>
      <c r="M160">
        <v>12.200003406125701</v>
      </c>
      <c r="N160" t="s">
        <v>25</v>
      </c>
      <c r="O160" t="s">
        <v>25</v>
      </c>
      <c r="P160" t="s">
        <v>467</v>
      </c>
      <c r="Q160">
        <f>-0.000448640326705812 - 0.000334909556198855</f>
        <v>-7.8354988290466705E-4</v>
      </c>
      <c r="R160" t="s">
        <v>32</v>
      </c>
      <c r="S160" t="s">
        <v>38</v>
      </c>
      <c r="T160" t="s">
        <v>39</v>
      </c>
      <c r="U160" t="s">
        <v>570</v>
      </c>
      <c r="V160">
        <v>0.115584866195932</v>
      </c>
      <c r="W160">
        <v>1.9988517421030001E-4</v>
      </c>
      <c r="X160" t="s">
        <v>362</v>
      </c>
      <c r="Y160" t="s">
        <v>29</v>
      </c>
    </row>
    <row r="161" spans="1:25" x14ac:dyDescent="0.2">
      <c r="A161" t="s">
        <v>359</v>
      </c>
      <c r="B161" t="s">
        <v>86</v>
      </c>
      <c r="C161" t="s">
        <v>105</v>
      </c>
      <c r="D161">
        <v>8.6862457818448605E-2</v>
      </c>
      <c r="E161">
        <v>0.267813847304609</v>
      </c>
      <c r="F161" t="s">
        <v>33</v>
      </c>
      <c r="G161">
        <v>17</v>
      </c>
      <c r="H161">
        <v>-5.1682715693091002E-3</v>
      </c>
      <c r="I161" t="s">
        <v>40</v>
      </c>
      <c r="J161" t="b">
        <v>0</v>
      </c>
      <c r="K161">
        <v>-30.9006643720145</v>
      </c>
      <c r="L161">
        <v>-29.977587448937602</v>
      </c>
      <c r="M161">
        <v>11.3567612232159</v>
      </c>
      <c r="N161" t="s">
        <v>25</v>
      </c>
      <c r="O161" t="s">
        <v>25</v>
      </c>
      <c r="P161" t="s">
        <v>437</v>
      </c>
      <c r="Q161">
        <f>-0.0139461471677191 - 0.00360960402910079</f>
        <v>-1.7555751196819888E-2</v>
      </c>
      <c r="R161" t="s">
        <v>26</v>
      </c>
      <c r="S161" t="s">
        <v>41</v>
      </c>
      <c r="T161" t="s">
        <v>25</v>
      </c>
      <c r="U161" t="s">
        <v>42</v>
      </c>
      <c r="V161">
        <v>0.15232805790895801</v>
      </c>
      <c r="W161">
        <v>4.4785079583724002E-3</v>
      </c>
      <c r="X161" t="s">
        <v>362</v>
      </c>
      <c r="Y161" t="s">
        <v>29</v>
      </c>
    </row>
    <row r="162" spans="1:25" x14ac:dyDescent="0.2">
      <c r="A162" t="s">
        <v>359</v>
      </c>
      <c r="B162" t="s">
        <v>72</v>
      </c>
      <c r="C162" t="s">
        <v>105</v>
      </c>
      <c r="D162" s="1">
        <v>3.3882683861121902E-7</v>
      </c>
      <c r="E162">
        <v>0.99829295887949399</v>
      </c>
      <c r="F162" t="s">
        <v>33</v>
      </c>
      <c r="G162">
        <v>7</v>
      </c>
      <c r="H162">
        <v>-3.8522742195290001E-4</v>
      </c>
      <c r="I162" t="s">
        <v>40</v>
      </c>
      <c r="J162" t="b">
        <v>0</v>
      </c>
      <c r="K162">
        <v>-29.446769615279202</v>
      </c>
      <c r="L162">
        <v>-28.5236926922023</v>
      </c>
      <c r="M162">
        <v>11.4337553648115</v>
      </c>
      <c r="N162" t="s">
        <v>25</v>
      </c>
      <c r="O162" t="s">
        <v>25</v>
      </c>
      <c r="P162" t="s">
        <v>374</v>
      </c>
      <c r="Q162">
        <f>-0.347058430093109 - 0.346287975249203</f>
        <v>-0.69334640534231196</v>
      </c>
      <c r="R162" t="s">
        <v>26</v>
      </c>
      <c r="S162" t="s">
        <v>41</v>
      </c>
      <c r="T162" t="s">
        <v>25</v>
      </c>
      <c r="U162" t="s">
        <v>42</v>
      </c>
      <c r="V162">
        <v>0.113199739118235</v>
      </c>
      <c r="W162">
        <v>0.17687408299548801</v>
      </c>
      <c r="X162" t="s">
        <v>362</v>
      </c>
      <c r="Y162" t="s">
        <v>29</v>
      </c>
    </row>
    <row r="163" spans="1:25" x14ac:dyDescent="0.2">
      <c r="A163" t="s">
        <v>359</v>
      </c>
      <c r="B163" t="s">
        <v>49</v>
      </c>
      <c r="C163" t="s">
        <v>105</v>
      </c>
      <c r="D163">
        <v>0.55933108104345097</v>
      </c>
      <c r="E163">
        <v>8.6422810715000001E-4</v>
      </c>
      <c r="F163" t="s">
        <v>33</v>
      </c>
      <c r="G163">
        <v>15</v>
      </c>
      <c r="H163">
        <v>7.2973101526349995E-4</v>
      </c>
      <c r="I163" t="s">
        <v>24</v>
      </c>
      <c r="J163" t="b">
        <v>0</v>
      </c>
      <c r="K163">
        <v>-48.8784093549719</v>
      </c>
      <c r="L163">
        <v>-47.955332431895002</v>
      </c>
      <c r="M163">
        <v>5.5094566734794598E-2</v>
      </c>
      <c r="N163" t="s">
        <v>25</v>
      </c>
      <c r="O163" t="s">
        <v>25</v>
      </c>
      <c r="P163" t="s">
        <v>469</v>
      </c>
      <c r="Q163" t="s">
        <v>571</v>
      </c>
      <c r="R163" t="s">
        <v>26</v>
      </c>
      <c r="S163" t="s">
        <v>27</v>
      </c>
      <c r="T163" t="s">
        <v>28</v>
      </c>
      <c r="U163" t="s">
        <v>572</v>
      </c>
      <c r="V163">
        <v>0.108457533778343</v>
      </c>
      <c r="W163">
        <v>1.731093481053E-4</v>
      </c>
      <c r="X163" t="s">
        <v>362</v>
      </c>
      <c r="Y163" t="s">
        <v>29</v>
      </c>
    </row>
    <row r="164" spans="1:25" x14ac:dyDescent="0.2">
      <c r="A164" t="s">
        <v>359</v>
      </c>
      <c r="B164" t="s">
        <v>98</v>
      </c>
      <c r="C164" t="s">
        <v>105</v>
      </c>
      <c r="D164">
        <v>0.122655783193391</v>
      </c>
      <c r="E164">
        <v>0.18357111340533899</v>
      </c>
      <c r="F164" t="s">
        <v>33</v>
      </c>
      <c r="G164">
        <v>17</v>
      </c>
      <c r="H164">
        <v>-2.9194872534940498E-2</v>
      </c>
      <c r="I164" t="s">
        <v>40</v>
      </c>
      <c r="J164" t="b">
        <v>0</v>
      </c>
      <c r="K164">
        <v>-31.540458115765301</v>
      </c>
      <c r="L164">
        <v>-30.617381192688399</v>
      </c>
      <c r="M164">
        <v>11.3602905585493</v>
      </c>
      <c r="N164" t="s">
        <v>25</v>
      </c>
      <c r="O164" t="s">
        <v>25</v>
      </c>
      <c r="P164" t="s">
        <v>376</v>
      </c>
      <c r="Q164">
        <f>-0.070096409780563 - 0.0117066647106821</f>
        <v>-8.1803074491245104E-2</v>
      </c>
      <c r="R164" t="s">
        <v>26</v>
      </c>
      <c r="S164" t="s">
        <v>41</v>
      </c>
      <c r="T164" t="s">
        <v>25</v>
      </c>
      <c r="U164" t="s">
        <v>42</v>
      </c>
      <c r="V164">
        <v>0.119985625674831</v>
      </c>
      <c r="W164">
        <v>2.08681312477666E-2</v>
      </c>
      <c r="X164" t="s">
        <v>362</v>
      </c>
      <c r="Y164" t="s">
        <v>29</v>
      </c>
    </row>
    <row r="165" spans="1:25" x14ac:dyDescent="0.2">
      <c r="A165" t="s">
        <v>359</v>
      </c>
      <c r="B165" t="s">
        <v>56</v>
      </c>
      <c r="C165" t="s">
        <v>105</v>
      </c>
      <c r="D165">
        <v>0.184587188236991</v>
      </c>
      <c r="E165">
        <v>9.6742955241864798E-2</v>
      </c>
      <c r="F165" t="s">
        <v>33</v>
      </c>
      <c r="G165">
        <v>16</v>
      </c>
      <c r="H165">
        <v>6.626645443825E-4</v>
      </c>
      <c r="I165" t="s">
        <v>34</v>
      </c>
      <c r="J165" t="b">
        <v>0</v>
      </c>
      <c r="K165">
        <v>-43.487295402108202</v>
      </c>
      <c r="L165">
        <v>-42.564218479031297</v>
      </c>
      <c r="M165">
        <v>1.2958601521098001</v>
      </c>
      <c r="N165" t="s">
        <v>25</v>
      </c>
      <c r="O165" t="s">
        <v>25</v>
      </c>
      <c r="P165" t="s">
        <v>363</v>
      </c>
      <c r="Q165">
        <f>-0.0000669168936730148 - 0.00139224598243821</f>
        <v>-1.4591628761112248E-3</v>
      </c>
      <c r="R165" t="s">
        <v>26</v>
      </c>
      <c r="S165" t="s">
        <v>35</v>
      </c>
      <c r="T165" t="s">
        <v>36</v>
      </c>
      <c r="U165" t="s">
        <v>573</v>
      </c>
      <c r="V165">
        <v>8.2936168227290094E-2</v>
      </c>
      <c r="W165">
        <v>3.7223542757929999E-4</v>
      </c>
      <c r="X165" t="s">
        <v>362</v>
      </c>
      <c r="Y165" t="s">
        <v>29</v>
      </c>
    </row>
    <row r="166" spans="1:25" x14ac:dyDescent="0.2">
      <c r="A166" t="s">
        <v>359</v>
      </c>
      <c r="B166" t="s">
        <v>77</v>
      </c>
      <c r="C166" t="s">
        <v>105</v>
      </c>
      <c r="D166">
        <v>0.23640770796785601</v>
      </c>
      <c r="E166">
        <v>6.6103427622482294E-2</v>
      </c>
      <c r="F166" t="s">
        <v>33</v>
      </c>
      <c r="G166">
        <v>14</v>
      </c>
      <c r="H166">
        <v>-3.7589371855703E-3</v>
      </c>
      <c r="I166" t="s">
        <v>34</v>
      </c>
      <c r="J166" t="b">
        <v>0</v>
      </c>
      <c r="K166">
        <v>-41.187193666868801</v>
      </c>
      <c r="L166">
        <v>-40.187193666868801</v>
      </c>
      <c r="M166">
        <v>1.8504585077799601E-2</v>
      </c>
      <c r="N166" t="s">
        <v>25</v>
      </c>
      <c r="O166" t="s">
        <v>25</v>
      </c>
      <c r="P166" t="s">
        <v>453</v>
      </c>
      <c r="Q166">
        <f>-0.00743133242145954 - -0.0000865419496812268</f>
        <v>-7.3447904717783129E-3</v>
      </c>
      <c r="R166" t="s">
        <v>30</v>
      </c>
      <c r="S166" t="s">
        <v>35</v>
      </c>
      <c r="T166" t="s">
        <v>36</v>
      </c>
      <c r="U166" t="s">
        <v>574</v>
      </c>
      <c r="V166">
        <v>0.13675882060330299</v>
      </c>
      <c r="W166">
        <v>1.8736710387189E-3</v>
      </c>
      <c r="X166" t="s">
        <v>362</v>
      </c>
      <c r="Y166" t="s">
        <v>29</v>
      </c>
    </row>
    <row r="167" spans="1:25" x14ac:dyDescent="0.2">
      <c r="A167" t="s">
        <v>359</v>
      </c>
      <c r="B167" t="s">
        <v>55</v>
      </c>
      <c r="C167" t="s">
        <v>105</v>
      </c>
      <c r="D167">
        <v>0.32424768266600301</v>
      </c>
      <c r="E167">
        <v>2.1312923884458899E-2</v>
      </c>
      <c r="F167" t="s">
        <v>33</v>
      </c>
      <c r="G167">
        <v>12</v>
      </c>
      <c r="H167">
        <v>-4.8425266750647001E-3</v>
      </c>
      <c r="I167" t="s">
        <v>34</v>
      </c>
      <c r="J167" t="b">
        <v>0</v>
      </c>
      <c r="K167">
        <v>-46.493181611340603</v>
      </c>
      <c r="L167">
        <v>-45.570104688263697</v>
      </c>
      <c r="M167">
        <v>1.3501711133265999</v>
      </c>
      <c r="N167" t="s">
        <v>25</v>
      </c>
      <c r="O167" t="s">
        <v>25</v>
      </c>
      <c r="P167" t="s">
        <v>459</v>
      </c>
      <c r="Q167">
        <f>-0.00850453566895472 - -0.00118051768117485</f>
        <v>-7.3240179877798704E-3</v>
      </c>
      <c r="R167" t="s">
        <v>32</v>
      </c>
      <c r="S167" t="s">
        <v>35</v>
      </c>
      <c r="T167" t="s">
        <v>36</v>
      </c>
      <c r="U167" t="s">
        <v>575</v>
      </c>
      <c r="V167">
        <v>0.14643368145970601</v>
      </c>
      <c r="W167">
        <v>1.8683719356581E-3</v>
      </c>
      <c r="X167" t="s">
        <v>362</v>
      </c>
      <c r="Y167" t="s">
        <v>29</v>
      </c>
    </row>
    <row r="168" spans="1:25" x14ac:dyDescent="0.2">
      <c r="A168" t="s">
        <v>359</v>
      </c>
      <c r="B168" t="s">
        <v>90</v>
      </c>
      <c r="C168" t="s">
        <v>105</v>
      </c>
      <c r="D168">
        <v>0.26205475767541497</v>
      </c>
      <c r="E168">
        <v>4.2653249548265201E-2</v>
      </c>
      <c r="F168" t="s">
        <v>33</v>
      </c>
      <c r="G168">
        <v>8</v>
      </c>
      <c r="H168">
        <v>-1.1461167023707E-3</v>
      </c>
      <c r="I168" t="s">
        <v>37</v>
      </c>
      <c r="J168" t="b">
        <v>0</v>
      </c>
      <c r="K168">
        <v>-34.3089346664743</v>
      </c>
      <c r="L168">
        <v>-33.385857743397402</v>
      </c>
      <c r="M168">
        <v>9.0826905871220998</v>
      </c>
      <c r="N168" t="s">
        <v>25</v>
      </c>
      <c r="O168" t="s">
        <v>25</v>
      </c>
      <c r="P168" t="s">
        <v>480</v>
      </c>
      <c r="Q168">
        <f>-0.00215359787551357 - -0.000138635529227877</f>
        <v>-2.0149623462856932E-3</v>
      </c>
      <c r="R168" t="s">
        <v>26</v>
      </c>
      <c r="S168" t="s">
        <v>38</v>
      </c>
      <c r="T168" t="s">
        <v>39</v>
      </c>
      <c r="U168" t="s">
        <v>576</v>
      </c>
      <c r="V168">
        <v>0.11685015114529899</v>
      </c>
      <c r="W168">
        <v>5.1402100670550001E-4</v>
      </c>
      <c r="X168" t="s">
        <v>362</v>
      </c>
      <c r="Y168" t="s">
        <v>29</v>
      </c>
    </row>
    <row r="169" spans="1:25" x14ac:dyDescent="0.2">
      <c r="A169" t="s">
        <v>359</v>
      </c>
      <c r="B169" t="s">
        <v>50</v>
      </c>
      <c r="C169" t="s">
        <v>105</v>
      </c>
      <c r="D169">
        <v>5.96124125620736E-2</v>
      </c>
      <c r="E169">
        <v>0.36213462563948801</v>
      </c>
      <c r="F169" t="s">
        <v>33</v>
      </c>
      <c r="G169">
        <v>12</v>
      </c>
      <c r="H169">
        <v>4.478015194162E-4</v>
      </c>
      <c r="I169" t="s">
        <v>37</v>
      </c>
      <c r="J169" t="b">
        <v>0</v>
      </c>
      <c r="K169">
        <v>-30.430174780287398</v>
      </c>
      <c r="L169">
        <v>-29.5070978572105</v>
      </c>
      <c r="M169">
        <v>14.184760748045999</v>
      </c>
      <c r="N169" t="s">
        <v>25</v>
      </c>
      <c r="O169" t="s">
        <v>25</v>
      </c>
      <c r="P169" t="s">
        <v>442</v>
      </c>
      <c r="Q169">
        <f>-0.000483869767384618 - 0.00137947280621718</f>
        <v>-1.8633425736017978E-3</v>
      </c>
      <c r="R169" t="s">
        <v>26</v>
      </c>
      <c r="S169" t="s">
        <v>38</v>
      </c>
      <c r="T169" t="s">
        <v>39</v>
      </c>
      <c r="U169" t="s">
        <v>577</v>
      </c>
      <c r="V169">
        <v>9.0283596002990005E-2</v>
      </c>
      <c r="W169">
        <v>4.753424932657E-4</v>
      </c>
      <c r="X169" t="s">
        <v>362</v>
      </c>
      <c r="Y169" t="s">
        <v>29</v>
      </c>
    </row>
    <row r="170" spans="1:25" x14ac:dyDescent="0.2">
      <c r="A170" t="s">
        <v>359</v>
      </c>
      <c r="B170" t="s">
        <v>95</v>
      </c>
      <c r="C170" t="s">
        <v>105</v>
      </c>
      <c r="D170">
        <v>5.2651270549948998E-3</v>
      </c>
      <c r="E170">
        <v>0.78942896027709297</v>
      </c>
      <c r="F170" t="s">
        <v>33</v>
      </c>
      <c r="G170">
        <v>6</v>
      </c>
      <c r="H170">
        <v>8.2005495371300003E-4</v>
      </c>
      <c r="I170" t="s">
        <v>37</v>
      </c>
      <c r="J170" t="b">
        <v>0</v>
      </c>
      <c r="K170">
        <v>-29.531228780959299</v>
      </c>
      <c r="L170">
        <v>-28.608151857882302</v>
      </c>
      <c r="M170">
        <v>11.3851684370733</v>
      </c>
      <c r="N170" t="s">
        <v>25</v>
      </c>
      <c r="O170" t="s">
        <v>25</v>
      </c>
      <c r="P170" t="s">
        <v>388</v>
      </c>
      <c r="Q170">
        <f>-0.00508446036630451 - 0.00672457027373061</f>
        <v>-1.180903064003512E-2</v>
      </c>
      <c r="R170" t="s">
        <v>32</v>
      </c>
      <c r="S170" t="s">
        <v>38</v>
      </c>
      <c r="T170" t="s">
        <v>39</v>
      </c>
      <c r="U170" t="s">
        <v>578</v>
      </c>
      <c r="V170">
        <v>0.10537783849372601</v>
      </c>
      <c r="W170">
        <v>3.0125078163354001E-3</v>
      </c>
      <c r="X170" t="s">
        <v>362</v>
      </c>
      <c r="Y170" t="s">
        <v>29</v>
      </c>
    </row>
    <row r="171" spans="1:25" x14ac:dyDescent="0.2">
      <c r="A171" t="s">
        <v>359</v>
      </c>
      <c r="B171" t="s">
        <v>94</v>
      </c>
      <c r="C171" t="s">
        <v>105</v>
      </c>
      <c r="D171">
        <v>0.18376445253235199</v>
      </c>
      <c r="E171">
        <v>0.110862143291385</v>
      </c>
      <c r="F171" t="s">
        <v>33</v>
      </c>
      <c r="G171">
        <v>4</v>
      </c>
      <c r="H171">
        <v>6.9272568229810001E-4</v>
      </c>
      <c r="I171" t="s">
        <v>34</v>
      </c>
      <c r="J171" t="b">
        <v>0</v>
      </c>
      <c r="K171">
        <v>-40.1871590138296</v>
      </c>
      <c r="L171">
        <v>-39.1871590138296</v>
      </c>
      <c r="M171">
        <v>2.0375513195792001</v>
      </c>
      <c r="N171" t="s">
        <v>25</v>
      </c>
      <c r="O171" t="s">
        <v>25</v>
      </c>
      <c r="P171" t="s">
        <v>383</v>
      </c>
      <c r="Q171">
        <f>-0.000100912738091816 - 0.00148636410268814</f>
        <v>-1.587276840779956E-3</v>
      </c>
      <c r="R171" t="s">
        <v>30</v>
      </c>
      <c r="S171" t="s">
        <v>35</v>
      </c>
      <c r="T171" t="s">
        <v>36</v>
      </c>
      <c r="U171" t="s">
        <v>579</v>
      </c>
      <c r="V171">
        <v>5.72812446483053E-2</v>
      </c>
      <c r="W171">
        <v>4.0491756142339998E-4</v>
      </c>
      <c r="X171" t="s">
        <v>362</v>
      </c>
      <c r="Y171" t="s">
        <v>29</v>
      </c>
    </row>
    <row r="172" spans="1:25" x14ac:dyDescent="0.2">
      <c r="A172" t="s">
        <v>359</v>
      </c>
      <c r="B172" t="s">
        <v>77</v>
      </c>
      <c r="C172" t="s">
        <v>105</v>
      </c>
      <c r="D172">
        <v>0.198347690760171</v>
      </c>
      <c r="E172">
        <v>9.6182193143834194E-2</v>
      </c>
      <c r="F172" t="s">
        <v>33</v>
      </c>
      <c r="G172">
        <v>14</v>
      </c>
      <c r="H172">
        <v>-6.7779076441904004E-3</v>
      </c>
      <c r="I172" t="s">
        <v>40</v>
      </c>
      <c r="J172" t="b">
        <v>0</v>
      </c>
      <c r="K172">
        <v>-28.964904414128998</v>
      </c>
      <c r="L172">
        <v>-27.964904414128998</v>
      </c>
      <c r="M172">
        <v>12.2407938378176</v>
      </c>
      <c r="N172" t="s">
        <v>25</v>
      </c>
      <c r="O172" t="s">
        <v>25</v>
      </c>
      <c r="P172" t="s">
        <v>453</v>
      </c>
      <c r="Q172">
        <f>-0.0141852000972078 - 0.000629384808826854</f>
        <v>-1.4814584906034654E-2</v>
      </c>
      <c r="R172" t="s">
        <v>30</v>
      </c>
      <c r="S172" t="s">
        <v>41</v>
      </c>
      <c r="T172" t="s">
        <v>25</v>
      </c>
      <c r="U172" t="s">
        <v>42</v>
      </c>
      <c r="V172">
        <v>0.140493333740806</v>
      </c>
      <c r="W172">
        <v>3.7792308433761E-3</v>
      </c>
      <c r="X172" t="s">
        <v>362</v>
      </c>
      <c r="Y172" t="s">
        <v>29</v>
      </c>
    </row>
    <row r="173" spans="1:25" x14ac:dyDescent="0.2">
      <c r="A173" t="s">
        <v>359</v>
      </c>
      <c r="B173" t="s">
        <v>95</v>
      </c>
      <c r="C173" t="s">
        <v>105</v>
      </c>
      <c r="D173">
        <v>5.2651270549948998E-3</v>
      </c>
      <c r="E173">
        <v>0.78942896027709297</v>
      </c>
      <c r="F173" t="s">
        <v>33</v>
      </c>
      <c r="G173">
        <v>6</v>
      </c>
      <c r="H173">
        <v>8.2005495371300003E-4</v>
      </c>
      <c r="I173" t="s">
        <v>40</v>
      </c>
      <c r="J173" t="b">
        <v>0</v>
      </c>
      <c r="K173">
        <v>-29.531228780959299</v>
      </c>
      <c r="L173">
        <v>-28.608151857882302</v>
      </c>
      <c r="M173">
        <v>11.3851684370733</v>
      </c>
      <c r="N173" t="s">
        <v>25</v>
      </c>
      <c r="O173" t="s">
        <v>25</v>
      </c>
      <c r="P173" t="s">
        <v>388</v>
      </c>
      <c r="Q173">
        <f>-0.00508446036630451 - 0.00672457027373061</f>
        <v>-1.180903064003512E-2</v>
      </c>
      <c r="R173" t="s">
        <v>32</v>
      </c>
      <c r="S173" t="s">
        <v>41</v>
      </c>
      <c r="T173" t="s">
        <v>25</v>
      </c>
      <c r="U173" t="s">
        <v>42</v>
      </c>
      <c r="V173">
        <v>0.10537783849372601</v>
      </c>
      <c r="W173">
        <v>3.0125078163354001E-3</v>
      </c>
      <c r="X173" t="s">
        <v>362</v>
      </c>
      <c r="Y173" t="s">
        <v>29</v>
      </c>
    </row>
    <row r="174" spans="1:25" x14ac:dyDescent="0.2">
      <c r="A174" t="s">
        <v>359</v>
      </c>
      <c r="B174" t="s">
        <v>54</v>
      </c>
      <c r="C174" t="s">
        <v>105</v>
      </c>
      <c r="D174">
        <v>8.0742904781621397E-2</v>
      </c>
      <c r="E174">
        <v>0.28615386799159997</v>
      </c>
      <c r="F174" t="s">
        <v>33</v>
      </c>
      <c r="G174">
        <v>16</v>
      </c>
      <c r="H174">
        <v>1.50581391563917E-2</v>
      </c>
      <c r="I174" t="s">
        <v>37</v>
      </c>
      <c r="J174" t="b">
        <v>0</v>
      </c>
      <c r="K174">
        <v>-30.7937952395595</v>
      </c>
      <c r="L174">
        <v>-29.870718316482499</v>
      </c>
      <c r="M174">
        <v>13.029203741848599</v>
      </c>
      <c r="N174" t="s">
        <v>25</v>
      </c>
      <c r="O174" t="s">
        <v>25</v>
      </c>
      <c r="P174" t="s">
        <v>368</v>
      </c>
      <c r="Q174">
        <f>-0.0115570569434721 - 0.0416733352562555</f>
        <v>-5.3230392199727604E-2</v>
      </c>
      <c r="R174" t="s">
        <v>32</v>
      </c>
      <c r="S174" t="s">
        <v>38</v>
      </c>
      <c r="T174" t="s">
        <v>39</v>
      </c>
      <c r="U174" t="s">
        <v>580</v>
      </c>
      <c r="V174">
        <v>0.10377371692391101</v>
      </c>
      <c r="W174">
        <v>1.3579181683604001E-2</v>
      </c>
      <c r="X174" t="s">
        <v>362</v>
      </c>
      <c r="Y174" t="s">
        <v>29</v>
      </c>
    </row>
    <row r="175" spans="1:25" x14ac:dyDescent="0.2">
      <c r="A175" t="s">
        <v>359</v>
      </c>
      <c r="B175" t="s">
        <v>97</v>
      </c>
      <c r="C175" t="s">
        <v>105</v>
      </c>
      <c r="D175">
        <v>6.7550812843665695E-2</v>
      </c>
      <c r="E175">
        <v>0.330983186907226</v>
      </c>
      <c r="F175" t="s">
        <v>33</v>
      </c>
      <c r="G175">
        <v>15</v>
      </c>
      <c r="H175">
        <v>1.0631197916061001E-3</v>
      </c>
      <c r="I175" t="s">
        <v>34</v>
      </c>
      <c r="J175" t="b">
        <v>0</v>
      </c>
      <c r="K175">
        <v>-41.341372897415098</v>
      </c>
      <c r="L175">
        <v>-40.4182959743382</v>
      </c>
      <c r="M175">
        <v>0.94293715897290298</v>
      </c>
      <c r="N175" t="s">
        <v>25</v>
      </c>
      <c r="O175" t="s">
        <v>25</v>
      </c>
      <c r="P175" t="s">
        <v>425</v>
      </c>
      <c r="Q175">
        <f>-0.00100593291775304 - 0.00313217250096528</f>
        <v>-4.13810541871832E-3</v>
      </c>
      <c r="R175" t="s">
        <v>32</v>
      </c>
      <c r="S175" t="s">
        <v>35</v>
      </c>
      <c r="T175" t="s">
        <v>36</v>
      </c>
      <c r="U175" t="s">
        <v>581</v>
      </c>
      <c r="V175">
        <v>0.109427099685798</v>
      </c>
      <c r="W175">
        <v>1.0556391374281001E-3</v>
      </c>
      <c r="X175" t="s">
        <v>362</v>
      </c>
      <c r="Y175" t="s">
        <v>29</v>
      </c>
    </row>
    <row r="176" spans="1:25" x14ac:dyDescent="0.2">
      <c r="A176" t="s">
        <v>359</v>
      </c>
      <c r="B176" t="s">
        <v>68</v>
      </c>
      <c r="C176" t="s">
        <v>105</v>
      </c>
      <c r="D176">
        <v>1.404172684011E-4</v>
      </c>
      <c r="E176">
        <v>0.96525889087577099</v>
      </c>
      <c r="F176" t="s">
        <v>33</v>
      </c>
      <c r="G176">
        <v>17</v>
      </c>
      <c r="H176" s="1">
        <v>-1.63206249451062E-5</v>
      </c>
      <c r="I176" t="s">
        <v>40</v>
      </c>
      <c r="J176" t="b">
        <v>0</v>
      </c>
      <c r="K176">
        <v>-29.449011028094102</v>
      </c>
      <c r="L176">
        <v>-28.5259341050172</v>
      </c>
      <c r="M176">
        <v>13.6249529400118</v>
      </c>
      <c r="N176" t="s">
        <v>25</v>
      </c>
      <c r="O176" t="s">
        <v>25</v>
      </c>
      <c r="P176" t="s">
        <v>446</v>
      </c>
      <c r="Q176">
        <f>-0.000737740469649433 - 0.000705099219759221</f>
        <v>-1.4428396894086539E-3</v>
      </c>
      <c r="R176" t="s">
        <v>31</v>
      </c>
      <c r="S176" t="s">
        <v>41</v>
      </c>
      <c r="T176" t="s">
        <v>25</v>
      </c>
      <c r="U176" t="s">
        <v>42</v>
      </c>
      <c r="V176">
        <v>0.113846707958455</v>
      </c>
      <c r="W176">
        <v>3.6807134933890002E-4</v>
      </c>
      <c r="X176" t="s">
        <v>362</v>
      </c>
      <c r="Y176" t="s">
        <v>29</v>
      </c>
    </row>
    <row r="177" spans="1:25" x14ac:dyDescent="0.2">
      <c r="A177" t="s">
        <v>359</v>
      </c>
      <c r="B177" t="s">
        <v>87</v>
      </c>
      <c r="C177" t="s">
        <v>105</v>
      </c>
      <c r="D177">
        <v>0.12734308475610701</v>
      </c>
      <c r="E177">
        <v>0.19166305423913799</v>
      </c>
      <c r="F177" t="s">
        <v>33</v>
      </c>
      <c r="G177">
        <v>16</v>
      </c>
      <c r="H177">
        <v>2.322933245391E-4</v>
      </c>
      <c r="I177" t="s">
        <v>34</v>
      </c>
      <c r="J177" t="b">
        <v>0</v>
      </c>
      <c r="K177">
        <v>-39.1845663782861</v>
      </c>
      <c r="L177">
        <v>-38.1845663782861</v>
      </c>
      <c r="M177">
        <v>0.43115401222190203</v>
      </c>
      <c r="N177" t="s">
        <v>25</v>
      </c>
      <c r="O177" t="s">
        <v>25</v>
      </c>
      <c r="P177" t="s">
        <v>366</v>
      </c>
      <c r="Q177">
        <f>-0.0000982704120871087 - 0.000562857061165349</f>
        <v>-6.6112747325245769E-4</v>
      </c>
      <c r="R177" t="s">
        <v>30</v>
      </c>
      <c r="S177" t="s">
        <v>35</v>
      </c>
      <c r="T177" t="s">
        <v>36</v>
      </c>
      <c r="U177" t="s">
        <v>582</v>
      </c>
      <c r="V177">
        <v>0.101281486334653</v>
      </c>
      <c r="W177">
        <v>1.6865496766639999E-4</v>
      </c>
      <c r="X177" t="s">
        <v>362</v>
      </c>
      <c r="Y177" t="s">
        <v>29</v>
      </c>
    </row>
    <row r="178" spans="1:25" x14ac:dyDescent="0.2">
      <c r="A178" t="s">
        <v>359</v>
      </c>
      <c r="B178" t="s">
        <v>85</v>
      </c>
      <c r="C178" t="s">
        <v>105</v>
      </c>
      <c r="D178">
        <v>9.8213770275117795E-2</v>
      </c>
      <c r="E178">
        <v>0.25536790316376901</v>
      </c>
      <c r="F178" t="s">
        <v>33</v>
      </c>
      <c r="G178">
        <v>15</v>
      </c>
      <c r="H178">
        <v>4.511674773097E-4</v>
      </c>
      <c r="I178" t="s">
        <v>34</v>
      </c>
      <c r="J178" t="b">
        <v>0</v>
      </c>
      <c r="K178">
        <v>-38.692041188593201</v>
      </c>
      <c r="L178">
        <v>-37.692041188593201</v>
      </c>
      <c r="M178">
        <v>0.2324647368835</v>
      </c>
      <c r="N178" t="s">
        <v>25</v>
      </c>
      <c r="O178" t="s">
        <v>25</v>
      </c>
      <c r="P178" t="s">
        <v>390</v>
      </c>
      <c r="Q178">
        <f>-0.000292001870809553 - 0.00119433682542901</f>
        <v>-1.4863386962385629E-3</v>
      </c>
      <c r="R178" t="s">
        <v>30</v>
      </c>
      <c r="S178" t="s">
        <v>35</v>
      </c>
      <c r="T178" t="s">
        <v>36</v>
      </c>
      <c r="U178" t="s">
        <v>583</v>
      </c>
      <c r="V178">
        <v>7.3778313425217207E-2</v>
      </c>
      <c r="W178">
        <v>3.7916803475470003E-4</v>
      </c>
      <c r="X178" t="s">
        <v>362</v>
      </c>
      <c r="Y178" t="s">
        <v>29</v>
      </c>
    </row>
    <row r="179" spans="1:25" x14ac:dyDescent="0.2">
      <c r="A179" t="s">
        <v>359</v>
      </c>
      <c r="B179" t="s">
        <v>99</v>
      </c>
      <c r="C179" t="s">
        <v>105</v>
      </c>
      <c r="D179">
        <v>6.0105243015530302E-2</v>
      </c>
      <c r="E179">
        <v>0.37848423592913999</v>
      </c>
      <c r="F179" t="s">
        <v>33</v>
      </c>
      <c r="G179">
        <v>17</v>
      </c>
      <c r="H179">
        <v>2.3025359212690001E-4</v>
      </c>
      <c r="I179" t="s">
        <v>37</v>
      </c>
      <c r="J179" t="b">
        <v>0</v>
      </c>
      <c r="K179">
        <v>-26.578510552599901</v>
      </c>
      <c r="L179">
        <v>-25.578510552599901</v>
      </c>
      <c r="M179">
        <v>17.564141158558702</v>
      </c>
      <c r="N179" t="s">
        <v>25</v>
      </c>
      <c r="O179" t="s">
        <v>25</v>
      </c>
      <c r="P179" t="s">
        <v>400</v>
      </c>
      <c r="Q179">
        <f>-0.000264711127583331 - 0.000725218311837306</f>
        <v>-9.899294394206371E-4</v>
      </c>
      <c r="R179" t="s">
        <v>30</v>
      </c>
      <c r="S179" t="s">
        <v>38</v>
      </c>
      <c r="T179" t="s">
        <v>39</v>
      </c>
      <c r="U179" t="s">
        <v>584</v>
      </c>
      <c r="V179">
        <v>8.8238935903806298E-2</v>
      </c>
      <c r="W179">
        <v>2.5253302026029999E-4</v>
      </c>
      <c r="X179" t="s">
        <v>362</v>
      </c>
      <c r="Y179" t="s">
        <v>29</v>
      </c>
    </row>
    <row r="180" spans="1:25" x14ac:dyDescent="0.2">
      <c r="A180" t="s">
        <v>359</v>
      </c>
      <c r="B180" t="s">
        <v>74</v>
      </c>
      <c r="C180" t="s">
        <v>105</v>
      </c>
      <c r="D180">
        <v>5.7478221380498004E-3</v>
      </c>
      <c r="E180">
        <v>0.78019937243834803</v>
      </c>
      <c r="F180" t="s">
        <v>33</v>
      </c>
      <c r="G180">
        <v>11</v>
      </c>
      <c r="H180" s="1">
        <v>-5.6865385253478599E-5</v>
      </c>
      <c r="I180" t="s">
        <v>40</v>
      </c>
      <c r="J180" t="b">
        <v>0</v>
      </c>
      <c r="K180">
        <v>-29.538994665083401</v>
      </c>
      <c r="L180">
        <v>-28.615917742006499</v>
      </c>
      <c r="M180">
        <v>12.200003406125701</v>
      </c>
      <c r="N180" t="s">
        <v>25</v>
      </c>
      <c r="O180" t="s">
        <v>25</v>
      </c>
      <c r="P180" t="s">
        <v>467</v>
      </c>
      <c r="Q180">
        <f>-0.000448640326705812 - 0.000334909556198855</f>
        <v>-7.8354988290466705E-4</v>
      </c>
      <c r="R180" t="s">
        <v>32</v>
      </c>
      <c r="S180" t="s">
        <v>41</v>
      </c>
      <c r="T180" t="s">
        <v>25</v>
      </c>
      <c r="U180" t="s">
        <v>42</v>
      </c>
      <c r="V180">
        <v>0.115584866195932</v>
      </c>
      <c r="W180">
        <v>1.9988517421030001E-4</v>
      </c>
      <c r="X180" t="s">
        <v>362</v>
      </c>
      <c r="Y180" t="s">
        <v>29</v>
      </c>
    </row>
    <row r="181" spans="1:25" x14ac:dyDescent="0.2">
      <c r="A181" t="s">
        <v>359</v>
      </c>
      <c r="B181" t="s">
        <v>79</v>
      </c>
      <c r="C181" t="s">
        <v>105</v>
      </c>
      <c r="D181">
        <v>5.0536270804649001E-3</v>
      </c>
      <c r="E181">
        <v>0.79361479340193897</v>
      </c>
      <c r="F181" t="s">
        <v>33</v>
      </c>
      <c r="G181">
        <v>12</v>
      </c>
      <c r="H181">
        <v>1.007431586159E-4</v>
      </c>
      <c r="I181" t="s">
        <v>37</v>
      </c>
      <c r="J181" t="b">
        <v>0</v>
      </c>
      <c r="K181">
        <v>-29.527827231477701</v>
      </c>
      <c r="L181">
        <v>-28.6047503084007</v>
      </c>
      <c r="M181">
        <v>14.0230815811968</v>
      </c>
      <c r="N181" t="s">
        <v>25</v>
      </c>
      <c r="O181" t="s">
        <v>25</v>
      </c>
      <c r="P181" t="s">
        <v>406</v>
      </c>
      <c r="Q181">
        <f>-0.000639724096195025 - 0.000841210413427002</f>
        <v>-1.480934509622027E-3</v>
      </c>
      <c r="R181" t="s">
        <v>31</v>
      </c>
      <c r="S181" t="s">
        <v>38</v>
      </c>
      <c r="T181" t="s">
        <v>39</v>
      </c>
      <c r="U181" t="s">
        <v>585</v>
      </c>
      <c r="V181">
        <v>0.108340195905944</v>
      </c>
      <c r="W181">
        <v>3.7778941571989998E-4</v>
      </c>
      <c r="X181" t="s">
        <v>362</v>
      </c>
      <c r="Y181" t="s">
        <v>29</v>
      </c>
    </row>
    <row r="182" spans="1:25" x14ac:dyDescent="0.2">
      <c r="A182" t="s">
        <v>359</v>
      </c>
      <c r="B182" t="s">
        <v>46</v>
      </c>
      <c r="C182" t="s">
        <v>105</v>
      </c>
      <c r="D182">
        <v>5.1200219057644996E-3</v>
      </c>
      <c r="E182">
        <v>0.79229090999801299</v>
      </c>
      <c r="F182" t="s">
        <v>33</v>
      </c>
      <c r="G182">
        <v>7</v>
      </c>
      <c r="H182">
        <v>1.65781180685526E-2</v>
      </c>
      <c r="I182" t="s">
        <v>40</v>
      </c>
      <c r="J182" t="b">
        <v>0</v>
      </c>
      <c r="K182">
        <v>-29.528894980132801</v>
      </c>
      <c r="L182">
        <v>-28.605818057055899</v>
      </c>
      <c r="M182">
        <v>11.6650914177152</v>
      </c>
      <c r="N182" t="s">
        <v>25</v>
      </c>
      <c r="O182" t="s">
        <v>25</v>
      </c>
      <c r="P182" t="s">
        <v>461</v>
      </c>
      <c r="Q182">
        <f>-0.104475205509765 - 0.13763144164687</f>
        <v>-0.24210664715663499</v>
      </c>
      <c r="R182" t="s">
        <v>31</v>
      </c>
      <c r="S182" t="s">
        <v>41</v>
      </c>
      <c r="T182" t="s">
        <v>25</v>
      </c>
      <c r="U182" t="s">
        <v>42</v>
      </c>
      <c r="V182">
        <v>0.111470983390005</v>
      </c>
      <c r="W182">
        <v>6.1761899784855898E-2</v>
      </c>
      <c r="X182" t="s">
        <v>362</v>
      </c>
      <c r="Y182" t="s">
        <v>29</v>
      </c>
    </row>
    <row r="183" spans="1:25" x14ac:dyDescent="0.2">
      <c r="A183" t="s">
        <v>359</v>
      </c>
      <c r="B183" t="s">
        <v>97</v>
      </c>
      <c r="C183" t="s">
        <v>105</v>
      </c>
      <c r="D183">
        <v>6.3593285586086004E-3</v>
      </c>
      <c r="E183">
        <v>0.76908349222144501</v>
      </c>
      <c r="F183" t="s">
        <v>33</v>
      </c>
      <c r="G183">
        <v>15</v>
      </c>
      <c r="H183">
        <v>4.224310281154E-4</v>
      </c>
      <c r="I183" t="s">
        <v>40</v>
      </c>
      <c r="J183" t="b">
        <v>0</v>
      </c>
      <c r="K183">
        <v>-29.548838357655701</v>
      </c>
      <c r="L183">
        <v>-28.625761434578699</v>
      </c>
      <c r="M183">
        <v>12.7354716987324</v>
      </c>
      <c r="N183" t="s">
        <v>25</v>
      </c>
      <c r="O183" t="s">
        <v>25</v>
      </c>
      <c r="P183" t="s">
        <v>425</v>
      </c>
      <c r="Q183">
        <f>-0.00234359913494397 - 0.00318846119117486</f>
        <v>-5.53206032611883E-3</v>
      </c>
      <c r="R183" t="s">
        <v>32</v>
      </c>
      <c r="S183" t="s">
        <v>41</v>
      </c>
      <c r="T183" t="s">
        <v>25</v>
      </c>
      <c r="U183" t="s">
        <v>42</v>
      </c>
      <c r="V183">
        <v>0.111073602730866</v>
      </c>
      <c r="W183">
        <v>1.4112398791118999E-3</v>
      </c>
      <c r="X183" t="s">
        <v>362</v>
      </c>
      <c r="Y183" t="s">
        <v>29</v>
      </c>
    </row>
    <row r="184" spans="1:25" x14ac:dyDescent="0.2">
      <c r="A184" t="s">
        <v>359</v>
      </c>
      <c r="B184" t="s">
        <v>66</v>
      </c>
      <c r="C184" t="s">
        <v>105</v>
      </c>
      <c r="D184">
        <v>0.10420920769302</v>
      </c>
      <c r="E184">
        <v>0.24057793326931801</v>
      </c>
      <c r="F184" t="s">
        <v>33</v>
      </c>
      <c r="G184">
        <v>16</v>
      </c>
      <c r="H184">
        <v>-1.3141304239749999E-4</v>
      </c>
      <c r="I184" t="s">
        <v>34</v>
      </c>
      <c r="J184" t="b">
        <v>0</v>
      </c>
      <c r="K184">
        <v>-38.792100205413199</v>
      </c>
      <c r="L184">
        <v>-37.792100205413199</v>
      </c>
      <c r="M184">
        <v>1.4096337368887</v>
      </c>
      <c r="N184" t="s">
        <v>25</v>
      </c>
      <c r="O184" t="s">
        <v>25</v>
      </c>
      <c r="P184" t="s">
        <v>431</v>
      </c>
      <c r="Q184">
        <f>-0.000340859546172247 - 0.0000780334613771336</f>
        <v>-4.1889300754938065E-4</v>
      </c>
      <c r="R184" t="s">
        <v>30</v>
      </c>
      <c r="S184" t="s">
        <v>35</v>
      </c>
      <c r="T184" t="s">
        <v>36</v>
      </c>
      <c r="U184" t="s">
        <v>586</v>
      </c>
      <c r="V184">
        <v>0.120258669924585</v>
      </c>
      <c r="W184">
        <v>1.0686046110950001E-4</v>
      </c>
      <c r="X184" t="s">
        <v>362</v>
      </c>
      <c r="Y184" t="s">
        <v>29</v>
      </c>
    </row>
    <row r="185" spans="1:25" x14ac:dyDescent="0.2">
      <c r="A185" t="s">
        <v>359</v>
      </c>
      <c r="B185" t="s">
        <v>75</v>
      </c>
      <c r="C185" t="s">
        <v>105</v>
      </c>
      <c r="D185">
        <v>1.30660953931506E-2</v>
      </c>
      <c r="E185">
        <v>0.67337169296458799</v>
      </c>
      <c r="F185" t="s">
        <v>33</v>
      </c>
      <c r="G185">
        <v>8</v>
      </c>
      <c r="H185">
        <v>1.3061829889430001E-4</v>
      </c>
      <c r="I185" t="s">
        <v>37</v>
      </c>
      <c r="J185" t="b">
        <v>0</v>
      </c>
      <c r="K185">
        <v>-29.657199517912598</v>
      </c>
      <c r="L185">
        <v>-28.7341225948357</v>
      </c>
      <c r="M185">
        <v>12.198196515000401</v>
      </c>
      <c r="N185" t="s">
        <v>25</v>
      </c>
      <c r="O185" t="s">
        <v>25</v>
      </c>
      <c r="P185" t="s">
        <v>451</v>
      </c>
      <c r="Q185">
        <f>-0.000464039609601498 - 0.000725276207390202</f>
        <v>-1.1893158169917E-3</v>
      </c>
      <c r="R185" t="s">
        <v>32</v>
      </c>
      <c r="S185" t="s">
        <v>38</v>
      </c>
      <c r="T185" t="s">
        <v>39</v>
      </c>
      <c r="U185" t="s">
        <v>587</v>
      </c>
      <c r="V185">
        <v>0.11024851086391201</v>
      </c>
      <c r="W185">
        <v>3.0339689208970001E-4</v>
      </c>
      <c r="X185" t="s">
        <v>362</v>
      </c>
      <c r="Y185" t="s">
        <v>29</v>
      </c>
    </row>
    <row r="186" spans="1:25" x14ac:dyDescent="0.2">
      <c r="A186" t="s">
        <v>359</v>
      </c>
      <c r="B186" t="s">
        <v>85</v>
      </c>
      <c r="C186" t="s">
        <v>105</v>
      </c>
      <c r="D186">
        <v>0.16640218001850099</v>
      </c>
      <c r="E186">
        <v>0.13120057751575001</v>
      </c>
      <c r="F186" t="s">
        <v>33</v>
      </c>
      <c r="G186">
        <v>15</v>
      </c>
      <c r="H186">
        <v>6.5562593390360003E-4</v>
      </c>
      <c r="I186" t="s">
        <v>40</v>
      </c>
      <c r="J186" t="b">
        <v>0</v>
      </c>
      <c r="K186">
        <v>-28.378763340562301</v>
      </c>
      <c r="L186">
        <v>-27.378763340562301</v>
      </c>
      <c r="M186">
        <v>10.5457425849144</v>
      </c>
      <c r="N186" t="s">
        <v>25</v>
      </c>
      <c r="O186" t="s">
        <v>25</v>
      </c>
      <c r="P186" t="s">
        <v>390</v>
      </c>
      <c r="Q186">
        <f>-0.000142073527178534 - 0.00145332539498586</f>
        <v>-1.5953989221643941E-3</v>
      </c>
      <c r="R186" t="s">
        <v>30</v>
      </c>
      <c r="S186" t="s">
        <v>41</v>
      </c>
      <c r="T186" t="s">
        <v>25</v>
      </c>
      <c r="U186" t="s">
        <v>42</v>
      </c>
      <c r="V186">
        <v>5.0312512407758803E-2</v>
      </c>
      <c r="W186">
        <v>4.0698952096029998E-4</v>
      </c>
      <c r="X186" t="s">
        <v>362</v>
      </c>
      <c r="Y186" t="s">
        <v>29</v>
      </c>
    </row>
    <row r="187" spans="1:25" x14ac:dyDescent="0.2">
      <c r="A187" t="s">
        <v>359</v>
      </c>
      <c r="B187" t="s">
        <v>64</v>
      </c>
      <c r="C187" t="s">
        <v>105</v>
      </c>
      <c r="D187">
        <v>3.3090449910428602E-2</v>
      </c>
      <c r="E187">
        <v>0.516432802546958</v>
      </c>
      <c r="F187" t="s">
        <v>33</v>
      </c>
      <c r="G187">
        <v>6</v>
      </c>
      <c r="H187">
        <v>6.5709854853685003E-3</v>
      </c>
      <c r="I187" t="s">
        <v>40</v>
      </c>
      <c r="J187" t="b">
        <v>0</v>
      </c>
      <c r="K187">
        <v>-26.1534548608231</v>
      </c>
      <c r="L187">
        <v>-25.1534548608231</v>
      </c>
      <c r="M187">
        <v>11.719333686518</v>
      </c>
      <c r="N187" t="s">
        <v>25</v>
      </c>
      <c r="O187" t="s">
        <v>25</v>
      </c>
      <c r="P187" t="s">
        <v>435</v>
      </c>
      <c r="Q187">
        <f>-0.012737868212777 - 0.025879839183514</f>
        <v>-3.8617707396291001E-2</v>
      </c>
      <c r="R187" t="s">
        <v>30</v>
      </c>
      <c r="S187" t="s">
        <v>41</v>
      </c>
      <c r="T187" t="s">
        <v>25</v>
      </c>
      <c r="U187" t="s">
        <v>42</v>
      </c>
      <c r="V187">
        <v>0.10421748500907201</v>
      </c>
      <c r="W187">
        <v>9.8514559684414992E-3</v>
      </c>
      <c r="X187" t="s">
        <v>362</v>
      </c>
      <c r="Y187" t="s">
        <v>29</v>
      </c>
    </row>
    <row r="188" spans="1:25" x14ac:dyDescent="0.2">
      <c r="A188" t="s">
        <v>359</v>
      </c>
      <c r="B188" t="s">
        <v>43</v>
      </c>
      <c r="C188" t="s">
        <v>105</v>
      </c>
      <c r="D188">
        <v>0.63948658229976496</v>
      </c>
      <c r="E188">
        <v>2.0062860167290001E-4</v>
      </c>
      <c r="F188" t="s">
        <v>33</v>
      </c>
      <c r="G188">
        <v>16</v>
      </c>
      <c r="H188">
        <v>5.8467940183899996E-4</v>
      </c>
      <c r="I188" t="s">
        <v>40</v>
      </c>
      <c r="J188" t="b">
        <v>0</v>
      </c>
      <c r="K188">
        <v>-45.770381846116798</v>
      </c>
      <c r="L188">
        <v>-44.8473049230399</v>
      </c>
      <c r="M188">
        <v>2.5011539434575001</v>
      </c>
      <c r="N188" t="s">
        <v>25</v>
      </c>
      <c r="O188" t="s">
        <v>25</v>
      </c>
      <c r="P188" t="s">
        <v>422</v>
      </c>
      <c r="Q188" t="s">
        <v>543</v>
      </c>
      <c r="R188" t="s">
        <v>31</v>
      </c>
      <c r="S188" t="s">
        <v>41</v>
      </c>
      <c r="T188" t="s">
        <v>25</v>
      </c>
      <c r="U188" t="s">
        <v>42</v>
      </c>
      <c r="V188">
        <v>0.108477371429697</v>
      </c>
      <c r="W188">
        <v>1.173272183685E-4</v>
      </c>
      <c r="X188" t="s">
        <v>362</v>
      </c>
      <c r="Y188" t="s">
        <v>29</v>
      </c>
    </row>
    <row r="189" spans="1:25" x14ac:dyDescent="0.2">
      <c r="A189" t="s">
        <v>359</v>
      </c>
      <c r="B189" t="s">
        <v>50</v>
      </c>
      <c r="C189" t="s">
        <v>105</v>
      </c>
      <c r="D189">
        <v>0.141366479333946</v>
      </c>
      <c r="E189">
        <v>0.15121529630671199</v>
      </c>
      <c r="F189" t="s">
        <v>33</v>
      </c>
      <c r="G189">
        <v>12</v>
      </c>
      <c r="H189">
        <v>6.0741803493649996E-4</v>
      </c>
      <c r="I189" t="s">
        <v>34</v>
      </c>
      <c r="J189" t="b">
        <v>0</v>
      </c>
      <c r="K189">
        <v>-42.660932304548503</v>
      </c>
      <c r="L189">
        <v>-41.737855381471597</v>
      </c>
      <c r="M189">
        <v>1.9540032237849001</v>
      </c>
      <c r="N189" t="s">
        <v>25</v>
      </c>
      <c r="O189" t="s">
        <v>25</v>
      </c>
      <c r="P189" t="s">
        <v>442</v>
      </c>
      <c r="Q189">
        <f>-0.00017675234599368 - 0.00139158841586682</f>
        <v>-1.5683407618604999E-3</v>
      </c>
      <c r="R189" t="s">
        <v>26</v>
      </c>
      <c r="S189" t="s">
        <v>35</v>
      </c>
      <c r="T189" t="s">
        <v>36</v>
      </c>
      <c r="U189" t="s">
        <v>588</v>
      </c>
      <c r="V189">
        <v>8.8650467377824602E-2</v>
      </c>
      <c r="W189">
        <v>4.0008692904599998E-4</v>
      </c>
      <c r="X189" t="s">
        <v>362</v>
      </c>
      <c r="Y189" t="s">
        <v>29</v>
      </c>
    </row>
    <row r="190" spans="1:25" x14ac:dyDescent="0.2">
      <c r="A190" t="s">
        <v>359</v>
      </c>
      <c r="B190" t="s">
        <v>81</v>
      </c>
      <c r="C190" t="s">
        <v>105</v>
      </c>
      <c r="D190">
        <v>0.15352865085338599</v>
      </c>
      <c r="E190">
        <v>0.13336789649755901</v>
      </c>
      <c r="F190" t="s">
        <v>33</v>
      </c>
      <c r="G190">
        <v>7</v>
      </c>
      <c r="H190">
        <v>-3.7114216767998601E-2</v>
      </c>
      <c r="I190" t="s">
        <v>34</v>
      </c>
      <c r="J190" t="b">
        <v>0</v>
      </c>
      <c r="K190">
        <v>-42.889185766230902</v>
      </c>
      <c r="L190">
        <v>-41.966108843153997</v>
      </c>
      <c r="M190">
        <v>1.2774147229171999</v>
      </c>
      <c r="N190" t="s">
        <v>25</v>
      </c>
      <c r="O190" t="s">
        <v>25</v>
      </c>
      <c r="P190" t="s">
        <v>429</v>
      </c>
      <c r="Q190">
        <f>-0.0827645306681209 - 0.00853609713212368</f>
        <v>-9.1300627800244574E-2</v>
      </c>
      <c r="R190" t="s">
        <v>31</v>
      </c>
      <c r="S190" t="s">
        <v>35</v>
      </c>
      <c r="T190" t="s">
        <v>36</v>
      </c>
      <c r="U190" t="s">
        <v>589</v>
      </c>
      <c r="V190">
        <v>0.13384966271634999</v>
      </c>
      <c r="W190">
        <v>2.32909764796542E-2</v>
      </c>
      <c r="X190" t="s">
        <v>362</v>
      </c>
      <c r="Y190" t="s">
        <v>29</v>
      </c>
    </row>
    <row r="191" spans="1:25" x14ac:dyDescent="0.2">
      <c r="A191" t="s">
        <v>359</v>
      </c>
      <c r="B191" t="s">
        <v>63</v>
      </c>
      <c r="C191" t="s">
        <v>105</v>
      </c>
      <c r="D191">
        <v>0.48058793866134503</v>
      </c>
      <c r="E191">
        <v>2.9036377384125999E-3</v>
      </c>
      <c r="F191" t="s">
        <v>33</v>
      </c>
      <c r="G191">
        <v>17</v>
      </c>
      <c r="H191">
        <v>4.2554833711190001E-4</v>
      </c>
      <c r="I191" t="s">
        <v>37</v>
      </c>
      <c r="J191" t="b">
        <v>0</v>
      </c>
      <c r="K191">
        <v>-39.927688327598297</v>
      </c>
      <c r="L191">
        <v>-39.004611404521398</v>
      </c>
      <c r="M191">
        <v>7.6365646837582002</v>
      </c>
      <c r="N191" t="s">
        <v>25</v>
      </c>
      <c r="O191" t="s">
        <v>25</v>
      </c>
      <c r="P191" t="s">
        <v>474</v>
      </c>
      <c r="Q191" t="s">
        <v>511</v>
      </c>
      <c r="R191" t="s">
        <v>26</v>
      </c>
      <c r="S191" t="s">
        <v>38</v>
      </c>
      <c r="T191" t="s">
        <v>39</v>
      </c>
      <c r="U191" t="s">
        <v>590</v>
      </c>
      <c r="V191">
        <v>8.2457768450618404E-2</v>
      </c>
      <c r="W191">
        <v>1.18237288471E-4</v>
      </c>
      <c r="X191" t="s">
        <v>362</v>
      </c>
      <c r="Y191" t="s">
        <v>29</v>
      </c>
    </row>
    <row r="192" spans="1:25" x14ac:dyDescent="0.2">
      <c r="A192" t="s">
        <v>359</v>
      </c>
      <c r="B192" t="s">
        <v>61</v>
      </c>
      <c r="C192" t="s">
        <v>105</v>
      </c>
      <c r="D192">
        <v>4.3217237064097802E-2</v>
      </c>
      <c r="E192">
        <v>0.43976164524779299</v>
      </c>
      <c r="F192" t="s">
        <v>33</v>
      </c>
      <c r="G192">
        <v>17</v>
      </c>
      <c r="H192">
        <v>3.5982391251099998E-4</v>
      </c>
      <c r="I192" t="s">
        <v>37</v>
      </c>
      <c r="J192" t="b">
        <v>0</v>
      </c>
      <c r="K192">
        <v>-30.153626774436699</v>
      </c>
      <c r="L192">
        <v>-29.2305498513598</v>
      </c>
      <c r="M192">
        <v>13.859793845357601</v>
      </c>
      <c r="N192" t="s">
        <v>25</v>
      </c>
      <c r="O192" t="s">
        <v>25</v>
      </c>
      <c r="P192" t="s">
        <v>394</v>
      </c>
      <c r="Q192">
        <f>-0.000527046664970079 - 0.0012466944899922</f>
        <v>-1.773741154962279E-3</v>
      </c>
      <c r="R192" t="s">
        <v>32</v>
      </c>
      <c r="S192" t="s">
        <v>38</v>
      </c>
      <c r="T192" t="s">
        <v>39</v>
      </c>
      <c r="U192" t="s">
        <v>591</v>
      </c>
      <c r="V192">
        <v>9.8647659979696503E-2</v>
      </c>
      <c r="W192">
        <v>4.5248498851070001E-4</v>
      </c>
      <c r="X192" t="s">
        <v>362</v>
      </c>
      <c r="Y192" t="s">
        <v>29</v>
      </c>
    </row>
    <row r="193" spans="1:25" x14ac:dyDescent="0.2">
      <c r="A193" t="s">
        <v>359</v>
      </c>
      <c r="B193" t="s">
        <v>62</v>
      </c>
      <c r="C193" t="s">
        <v>105</v>
      </c>
      <c r="D193">
        <v>2.3026233610470001E-2</v>
      </c>
      <c r="E193">
        <v>0.574794161454109</v>
      </c>
      <c r="F193" t="s">
        <v>33</v>
      </c>
      <c r="G193">
        <v>15</v>
      </c>
      <c r="H193">
        <v>-2.297584067006E-4</v>
      </c>
      <c r="I193" t="s">
        <v>40</v>
      </c>
      <c r="J193" t="b">
        <v>0</v>
      </c>
      <c r="K193">
        <v>-29.8194918498512</v>
      </c>
      <c r="L193">
        <v>-28.896414926774298</v>
      </c>
      <c r="M193">
        <v>12.5158723748026</v>
      </c>
      <c r="N193" t="s">
        <v>25</v>
      </c>
      <c r="O193" t="s">
        <v>25</v>
      </c>
      <c r="P193" t="s">
        <v>392</v>
      </c>
      <c r="Q193">
        <f>-0.00101371760894236 - 0.000554200795540994</f>
        <v>-1.5679184044833541E-3</v>
      </c>
      <c r="R193" t="s">
        <v>31</v>
      </c>
      <c r="S193" t="s">
        <v>41</v>
      </c>
      <c r="T193" t="s">
        <v>25</v>
      </c>
      <c r="U193" t="s">
        <v>42</v>
      </c>
      <c r="V193">
        <v>0.123110529729945</v>
      </c>
      <c r="W193">
        <v>3.9997918481710001E-4</v>
      </c>
      <c r="X193" t="s">
        <v>362</v>
      </c>
      <c r="Y193" t="s">
        <v>29</v>
      </c>
    </row>
    <row r="194" spans="1:25" x14ac:dyDescent="0.2">
      <c r="A194" t="s">
        <v>359</v>
      </c>
      <c r="B194" t="s">
        <v>73</v>
      </c>
      <c r="C194" t="s">
        <v>105</v>
      </c>
      <c r="D194">
        <v>0.18701210682445599</v>
      </c>
      <c r="E194">
        <v>9.4339704067626207E-2</v>
      </c>
      <c r="F194" t="s">
        <v>33</v>
      </c>
      <c r="G194">
        <v>14</v>
      </c>
      <c r="H194">
        <v>2.6223093479680998E-3</v>
      </c>
      <c r="I194" t="s">
        <v>37</v>
      </c>
      <c r="J194" t="b">
        <v>0</v>
      </c>
      <c r="K194">
        <v>-32.7593891714601</v>
      </c>
      <c r="L194">
        <v>-31.836312248383202</v>
      </c>
      <c r="M194">
        <v>8.4741506213668902</v>
      </c>
      <c r="N194" t="s">
        <v>25</v>
      </c>
      <c r="O194" t="s">
        <v>25</v>
      </c>
      <c r="P194" t="s">
        <v>433</v>
      </c>
      <c r="Q194">
        <f>-0.000241757526579566 - 0.0054863762225158</f>
        <v>-5.7281337490953663E-3</v>
      </c>
      <c r="R194" t="s">
        <v>26</v>
      </c>
      <c r="S194" t="s">
        <v>38</v>
      </c>
      <c r="T194" t="s">
        <v>39</v>
      </c>
      <c r="U194" t="s">
        <v>592</v>
      </c>
      <c r="V194">
        <v>8.9028920334270498E-2</v>
      </c>
      <c r="W194">
        <v>1.4612586094631E-3</v>
      </c>
      <c r="X194" t="s">
        <v>362</v>
      </c>
      <c r="Y194" t="s">
        <v>29</v>
      </c>
    </row>
    <row r="195" spans="1:25" x14ac:dyDescent="0.2">
      <c r="A195" t="s">
        <v>359</v>
      </c>
      <c r="B195" t="s">
        <v>69</v>
      </c>
      <c r="C195" t="s">
        <v>105</v>
      </c>
      <c r="D195">
        <v>0.103015770361586</v>
      </c>
      <c r="E195">
        <v>0.22547605106197799</v>
      </c>
      <c r="F195" t="s">
        <v>33</v>
      </c>
      <c r="G195">
        <v>16</v>
      </c>
      <c r="H195">
        <v>4.5745561448889998E-4</v>
      </c>
      <c r="I195" t="s">
        <v>40</v>
      </c>
      <c r="J195" t="b">
        <v>0</v>
      </c>
      <c r="K195">
        <v>-31.186236166944401</v>
      </c>
      <c r="L195">
        <v>-30.263159243867499</v>
      </c>
      <c r="M195">
        <v>14.9835424517133</v>
      </c>
      <c r="N195" t="s">
        <v>25</v>
      </c>
      <c r="O195" t="s">
        <v>25</v>
      </c>
      <c r="P195" t="s">
        <v>403</v>
      </c>
      <c r="Q195">
        <f>-0.000249645565840998 - 0.00116455679481896</f>
        <v>-1.4142023606599579E-3</v>
      </c>
      <c r="R195" t="s">
        <v>26</v>
      </c>
      <c r="S195" t="s">
        <v>41</v>
      </c>
      <c r="T195" t="s">
        <v>25</v>
      </c>
      <c r="U195" t="s">
        <v>42</v>
      </c>
      <c r="V195">
        <v>8.4647035932338105E-2</v>
      </c>
      <c r="W195">
        <v>3.6076590833160002E-4</v>
      </c>
      <c r="X195" t="s">
        <v>362</v>
      </c>
      <c r="Y195" t="s">
        <v>29</v>
      </c>
    </row>
    <row r="196" spans="1:25" x14ac:dyDescent="0.2">
      <c r="A196" t="s">
        <v>359</v>
      </c>
      <c r="B196" t="s">
        <v>89</v>
      </c>
      <c r="C196" t="s">
        <v>105</v>
      </c>
      <c r="D196">
        <v>0.126764010029945</v>
      </c>
      <c r="E196">
        <v>0.192748759447924</v>
      </c>
      <c r="F196" t="s">
        <v>33</v>
      </c>
      <c r="G196">
        <v>10</v>
      </c>
      <c r="H196">
        <v>8.5988312891250001E-4</v>
      </c>
      <c r="I196" t="s">
        <v>37</v>
      </c>
      <c r="J196" t="b">
        <v>0</v>
      </c>
      <c r="K196">
        <v>-27.681941577592202</v>
      </c>
      <c r="L196">
        <v>-26.681941577592202</v>
      </c>
      <c r="M196">
        <v>11.177166950630999</v>
      </c>
      <c r="N196" t="s">
        <v>25</v>
      </c>
      <c r="O196" t="s">
        <v>25</v>
      </c>
      <c r="P196" t="s">
        <v>386</v>
      </c>
      <c r="Q196">
        <f>-0.000366967393105348 - 0.00208673365093045</f>
        <v>-2.453701044035798E-3</v>
      </c>
      <c r="R196" t="s">
        <v>30</v>
      </c>
      <c r="S196" t="s">
        <v>38</v>
      </c>
      <c r="T196" t="s">
        <v>39</v>
      </c>
      <c r="U196" t="s">
        <v>593</v>
      </c>
      <c r="V196">
        <v>9.5748727612916099E-2</v>
      </c>
      <c r="W196">
        <v>6.2594414388660003E-4</v>
      </c>
      <c r="X196" t="s">
        <v>362</v>
      </c>
      <c r="Y196" t="s">
        <v>29</v>
      </c>
    </row>
    <row r="197" spans="1:25" x14ac:dyDescent="0.2">
      <c r="A197" t="s">
        <v>359</v>
      </c>
      <c r="B197" t="s">
        <v>92</v>
      </c>
      <c r="C197" t="s">
        <v>105</v>
      </c>
      <c r="D197">
        <v>0.44493223966490197</v>
      </c>
      <c r="E197">
        <v>4.764466524155E-3</v>
      </c>
      <c r="F197" t="s">
        <v>33</v>
      </c>
      <c r="G197">
        <v>13</v>
      </c>
      <c r="H197">
        <v>-3.3133933542542002E-3</v>
      </c>
      <c r="I197" t="s">
        <v>40</v>
      </c>
      <c r="J197" t="b">
        <v>0</v>
      </c>
      <c r="K197">
        <v>-38.865405505957597</v>
      </c>
      <c r="L197">
        <v>-37.942328582880698</v>
      </c>
      <c r="M197">
        <v>13.706515586462499</v>
      </c>
      <c r="N197" t="s">
        <v>25</v>
      </c>
      <c r="O197" t="s">
        <v>25</v>
      </c>
      <c r="P197" t="s">
        <v>410</v>
      </c>
      <c r="Q197">
        <f>-0.00525200632464967 - -0.00137478038385881</f>
        <v>-3.8772259407908599E-3</v>
      </c>
      <c r="R197" t="s">
        <v>26</v>
      </c>
      <c r="S197" t="s">
        <v>41</v>
      </c>
      <c r="T197" t="s">
        <v>25</v>
      </c>
      <c r="U197" t="s">
        <v>42</v>
      </c>
      <c r="V197">
        <v>0.15959016219135</v>
      </c>
      <c r="W197">
        <v>9.8908825020170002E-4</v>
      </c>
      <c r="X197" t="s">
        <v>362</v>
      </c>
      <c r="Y197" t="s">
        <v>29</v>
      </c>
    </row>
    <row r="198" spans="1:25" x14ac:dyDescent="0.2">
      <c r="A198" t="s">
        <v>359</v>
      </c>
      <c r="B198" t="s">
        <v>47</v>
      </c>
      <c r="C198" t="s">
        <v>105</v>
      </c>
      <c r="D198">
        <v>0.40601219255123899</v>
      </c>
      <c r="E198">
        <v>7.9347617035196993E-3</v>
      </c>
      <c r="F198" t="s">
        <v>33</v>
      </c>
      <c r="G198">
        <v>17</v>
      </c>
      <c r="H198">
        <v>-2.3650822444583001E-3</v>
      </c>
      <c r="I198" t="s">
        <v>34</v>
      </c>
      <c r="J198" t="b">
        <v>0</v>
      </c>
      <c r="K198">
        <v>-48.556666754641903</v>
      </c>
      <c r="L198">
        <v>-47.633589831564997</v>
      </c>
      <c r="M198">
        <v>2.3365925265639</v>
      </c>
      <c r="N198" t="s">
        <v>25</v>
      </c>
      <c r="O198" t="s">
        <v>25</v>
      </c>
      <c r="P198" t="s">
        <v>482</v>
      </c>
      <c r="Q198">
        <f>-0.00386358494044526 - -0.000866579548471518</f>
        <v>-2.9970053919737422E-3</v>
      </c>
      <c r="R198" t="s">
        <v>31</v>
      </c>
      <c r="S198" t="s">
        <v>35</v>
      </c>
      <c r="T198" t="s">
        <v>36</v>
      </c>
      <c r="U198" t="s">
        <v>594</v>
      </c>
      <c r="V198">
        <v>0.15906326567166801</v>
      </c>
      <c r="W198">
        <v>7.6454219183000002E-4</v>
      </c>
      <c r="X198" t="s">
        <v>362</v>
      </c>
      <c r="Y198" t="s">
        <v>29</v>
      </c>
    </row>
    <row r="199" spans="1:25" x14ac:dyDescent="0.2">
      <c r="A199" t="s">
        <v>359</v>
      </c>
      <c r="B199" t="s">
        <v>68</v>
      </c>
      <c r="C199" t="s">
        <v>105</v>
      </c>
      <c r="D199">
        <v>0.12970871572633899</v>
      </c>
      <c r="E199">
        <v>0.17060684775711699</v>
      </c>
      <c r="F199" t="s">
        <v>33</v>
      </c>
      <c r="G199">
        <v>17</v>
      </c>
      <c r="H199">
        <v>3.71991639676E-4</v>
      </c>
      <c r="I199" t="s">
        <v>34</v>
      </c>
      <c r="J199" t="b">
        <v>0</v>
      </c>
      <c r="K199">
        <v>-42.445160000226799</v>
      </c>
      <c r="L199">
        <v>-41.522083077149901</v>
      </c>
      <c r="M199">
        <v>0.62880396787909998</v>
      </c>
      <c r="N199" t="s">
        <v>25</v>
      </c>
      <c r="O199" t="s">
        <v>25</v>
      </c>
      <c r="P199" t="s">
        <v>446</v>
      </c>
      <c r="Q199">
        <f>-0.000132754458490489 - 0.000876737737842586</f>
        <v>-1.0094921963330751E-3</v>
      </c>
      <c r="R199" t="s">
        <v>31</v>
      </c>
      <c r="S199" t="s">
        <v>35</v>
      </c>
      <c r="T199" t="s">
        <v>36</v>
      </c>
      <c r="U199" t="s">
        <v>595</v>
      </c>
      <c r="V199">
        <v>0.104606118529544</v>
      </c>
      <c r="W199">
        <v>2.575235194727E-4</v>
      </c>
      <c r="X199" t="s">
        <v>362</v>
      </c>
      <c r="Y199" t="s">
        <v>29</v>
      </c>
    </row>
    <row r="200" spans="1:25" x14ac:dyDescent="0.2">
      <c r="A200" t="s">
        <v>359</v>
      </c>
      <c r="B200" t="s">
        <v>75</v>
      </c>
      <c r="C200" t="s">
        <v>105</v>
      </c>
      <c r="D200">
        <v>1.04817733960941E-2</v>
      </c>
      <c r="E200">
        <v>0.70595326853978602</v>
      </c>
      <c r="F200" t="s">
        <v>33</v>
      </c>
      <c r="G200">
        <v>8</v>
      </c>
      <c r="H200">
        <v>-1.4553683899980001E-4</v>
      </c>
      <c r="I200" t="s">
        <v>34</v>
      </c>
      <c r="J200" t="b">
        <v>0</v>
      </c>
      <c r="K200">
        <v>-40.390916483992598</v>
      </c>
      <c r="L200">
        <v>-39.4678395609156</v>
      </c>
      <c r="M200">
        <v>1.4644795489205</v>
      </c>
      <c r="N200" t="s">
        <v>25</v>
      </c>
      <c r="O200" t="s">
        <v>25</v>
      </c>
      <c r="P200" t="s">
        <v>451</v>
      </c>
      <c r="Q200">
        <f>-0.000886266110964513 - 0.000595192432964857</f>
        <v>-1.48145854392937E-3</v>
      </c>
      <c r="R200" t="s">
        <v>32</v>
      </c>
      <c r="S200" t="s">
        <v>35</v>
      </c>
      <c r="T200" t="s">
        <v>36</v>
      </c>
      <c r="U200" t="s">
        <v>596</v>
      </c>
      <c r="V200">
        <v>0.121828087292371</v>
      </c>
      <c r="W200">
        <v>3.7792309794110001E-4</v>
      </c>
      <c r="X200" t="s">
        <v>362</v>
      </c>
      <c r="Y200" t="s">
        <v>29</v>
      </c>
    </row>
    <row r="201" spans="1:25" x14ac:dyDescent="0.2">
      <c r="A201" t="s">
        <v>359</v>
      </c>
      <c r="B201" t="s">
        <v>91</v>
      </c>
      <c r="C201" t="s">
        <v>105</v>
      </c>
      <c r="D201">
        <v>7.4986031239798995E-2</v>
      </c>
      <c r="E201">
        <v>0.30476001562579502</v>
      </c>
      <c r="F201" t="s">
        <v>33</v>
      </c>
      <c r="G201">
        <v>4</v>
      </c>
      <c r="H201">
        <v>-7.742378072625E-4</v>
      </c>
      <c r="I201" t="s">
        <v>40</v>
      </c>
      <c r="J201" t="b">
        <v>0</v>
      </c>
      <c r="K201">
        <v>-30.693907237590601</v>
      </c>
      <c r="L201">
        <v>-29.770830314513699</v>
      </c>
      <c r="M201">
        <v>10.1417444646187</v>
      </c>
      <c r="N201" t="s">
        <v>25</v>
      </c>
      <c r="O201" t="s">
        <v>25</v>
      </c>
      <c r="P201" t="s">
        <v>415</v>
      </c>
      <c r="Q201">
        <f>-0.0021986982377314 - 0.000650222623206238</f>
        <v>-2.848920860937638E-3</v>
      </c>
      <c r="R201" t="s">
        <v>31</v>
      </c>
      <c r="S201" t="s">
        <v>41</v>
      </c>
      <c r="T201" t="s">
        <v>25</v>
      </c>
      <c r="U201" t="s">
        <v>42</v>
      </c>
      <c r="V201">
        <v>0.123221262663741</v>
      </c>
      <c r="W201">
        <v>7.2676552574929998E-4</v>
      </c>
      <c r="X201" t="s">
        <v>362</v>
      </c>
      <c r="Y201" t="s">
        <v>29</v>
      </c>
    </row>
    <row r="202" spans="1:25" x14ac:dyDescent="0.2">
      <c r="A202" t="s">
        <v>359</v>
      </c>
      <c r="B202" t="s">
        <v>69</v>
      </c>
      <c r="C202" t="s">
        <v>105</v>
      </c>
      <c r="D202">
        <v>0.103015770361586</v>
      </c>
      <c r="E202">
        <v>0.22547605106197799</v>
      </c>
      <c r="F202" t="s">
        <v>33</v>
      </c>
      <c r="G202">
        <v>16</v>
      </c>
      <c r="H202">
        <v>4.5745561448889998E-4</v>
      </c>
      <c r="I202" t="s">
        <v>37</v>
      </c>
      <c r="J202" t="b">
        <v>0</v>
      </c>
      <c r="K202">
        <v>-31.186236166944401</v>
      </c>
      <c r="L202">
        <v>-30.263159243867499</v>
      </c>
      <c r="M202">
        <v>14.9835424517133</v>
      </c>
      <c r="N202" t="s">
        <v>25</v>
      </c>
      <c r="O202" t="s">
        <v>25</v>
      </c>
      <c r="P202" t="s">
        <v>403</v>
      </c>
      <c r="Q202">
        <f>-0.000249645565840998 - 0.00116455679481896</f>
        <v>-1.4142023606599579E-3</v>
      </c>
      <c r="R202" t="s">
        <v>26</v>
      </c>
      <c r="S202" t="s">
        <v>38</v>
      </c>
      <c r="T202" t="s">
        <v>39</v>
      </c>
      <c r="U202" t="s">
        <v>597</v>
      </c>
      <c r="V202">
        <v>8.4647035932338105E-2</v>
      </c>
      <c r="W202">
        <v>3.6076590833160002E-4</v>
      </c>
      <c r="X202" t="s">
        <v>362</v>
      </c>
      <c r="Y202" t="s">
        <v>29</v>
      </c>
    </row>
    <row r="203" spans="1:25" x14ac:dyDescent="0.2">
      <c r="A203" t="s">
        <v>359</v>
      </c>
      <c r="B203" t="s">
        <v>93</v>
      </c>
      <c r="C203" t="s">
        <v>105</v>
      </c>
      <c r="D203">
        <v>0.60585806144976895</v>
      </c>
      <c r="E203">
        <v>3.830056986693E-4</v>
      </c>
      <c r="F203" t="s">
        <v>33</v>
      </c>
      <c r="G203">
        <v>16</v>
      </c>
      <c r="H203">
        <v>4.4995921564440001E-4</v>
      </c>
      <c r="I203" t="s">
        <v>40</v>
      </c>
      <c r="J203" t="b">
        <v>0</v>
      </c>
      <c r="K203">
        <v>-44.343471144948303</v>
      </c>
      <c r="L203">
        <v>-43.420394221871398</v>
      </c>
      <c r="M203">
        <v>2.5395012238176</v>
      </c>
      <c r="N203" t="s">
        <v>25</v>
      </c>
      <c r="O203" t="s">
        <v>25</v>
      </c>
      <c r="P203" t="s">
        <v>380</v>
      </c>
      <c r="Q203" t="s">
        <v>563</v>
      </c>
      <c r="R203" t="s">
        <v>32</v>
      </c>
      <c r="S203" t="s">
        <v>41</v>
      </c>
      <c r="T203" t="s">
        <v>25</v>
      </c>
      <c r="U203" t="s">
        <v>42</v>
      </c>
      <c r="V203">
        <v>0.107171797596105</v>
      </c>
      <c r="W203" s="1">
        <v>9.6995148415857406E-5</v>
      </c>
      <c r="X203" t="s">
        <v>362</v>
      </c>
      <c r="Y203" t="s">
        <v>29</v>
      </c>
    </row>
    <row r="204" spans="1:25" x14ac:dyDescent="0.2">
      <c r="A204" t="s">
        <v>359</v>
      </c>
      <c r="B204" t="s">
        <v>51</v>
      </c>
      <c r="C204" t="s">
        <v>105</v>
      </c>
      <c r="D204">
        <v>5.7917683892939995E-4</v>
      </c>
      <c r="E204">
        <v>0.92950504335126605</v>
      </c>
      <c r="F204" t="s">
        <v>33</v>
      </c>
      <c r="G204">
        <v>8</v>
      </c>
      <c r="H204" s="1">
        <v>-3.1435778719397999E-5</v>
      </c>
      <c r="I204" t="s">
        <v>40</v>
      </c>
      <c r="J204" t="b">
        <v>0</v>
      </c>
      <c r="K204">
        <v>-29.456033708074902</v>
      </c>
      <c r="L204">
        <v>-28.532956784997999</v>
      </c>
      <c r="M204">
        <v>11.404129384321701</v>
      </c>
      <c r="N204" t="s">
        <v>25</v>
      </c>
      <c r="O204" t="s">
        <v>25</v>
      </c>
      <c r="P204" t="s">
        <v>398</v>
      </c>
      <c r="Q204">
        <f>-0.000715481105658965 - 0.000652609548220169</f>
        <v>-1.368090653879134E-3</v>
      </c>
      <c r="R204" t="s">
        <v>31</v>
      </c>
      <c r="S204" t="s">
        <v>41</v>
      </c>
      <c r="T204" t="s">
        <v>25</v>
      </c>
      <c r="U204" t="s">
        <v>42</v>
      </c>
      <c r="V204">
        <v>0.1135403176391</v>
      </c>
      <c r="W204">
        <v>3.4900271782629998E-4</v>
      </c>
      <c r="X204" t="s">
        <v>362</v>
      </c>
      <c r="Y204" t="s">
        <v>29</v>
      </c>
    </row>
    <row r="205" spans="1:25" x14ac:dyDescent="0.2">
      <c r="A205" t="s">
        <v>359</v>
      </c>
      <c r="B205" t="s">
        <v>45</v>
      </c>
      <c r="C205" t="s">
        <v>105</v>
      </c>
      <c r="D205">
        <v>9.0601557165992594E-2</v>
      </c>
      <c r="E205">
        <v>0.25727286833882601</v>
      </c>
      <c r="F205" t="s">
        <v>33</v>
      </c>
      <c r="G205">
        <v>12</v>
      </c>
      <c r="H205">
        <v>-1.22170736551155E-2</v>
      </c>
      <c r="I205" t="s">
        <v>37</v>
      </c>
      <c r="J205" t="b">
        <v>0</v>
      </c>
      <c r="K205">
        <v>-30.966315392338501</v>
      </c>
      <c r="L205">
        <v>-30.043238469261599</v>
      </c>
      <c r="M205">
        <v>12.5239885608975</v>
      </c>
      <c r="N205" t="s">
        <v>25</v>
      </c>
      <c r="O205" t="s">
        <v>25</v>
      </c>
      <c r="P205" t="s">
        <v>465</v>
      </c>
      <c r="Q205">
        <f>-0.0324924310295366 - 0.0080582837193056</f>
        <v>-4.0550714748842198E-2</v>
      </c>
      <c r="R205" t="s">
        <v>26</v>
      </c>
      <c r="S205" t="s">
        <v>38</v>
      </c>
      <c r="T205" t="s">
        <v>39</v>
      </c>
      <c r="U205" t="s">
        <v>598</v>
      </c>
      <c r="V205">
        <v>0.132886110963884</v>
      </c>
      <c r="W205">
        <v>1.0344570088990399E-2</v>
      </c>
      <c r="X205" t="s">
        <v>362</v>
      </c>
      <c r="Y205" t="s">
        <v>29</v>
      </c>
    </row>
    <row r="206" spans="1:25" x14ac:dyDescent="0.2">
      <c r="A206" t="s">
        <v>359</v>
      </c>
      <c r="B206" t="s">
        <v>71</v>
      </c>
      <c r="C206" t="s">
        <v>105</v>
      </c>
      <c r="D206">
        <v>0.14680198002315201</v>
      </c>
      <c r="E206">
        <v>0.142958527904754</v>
      </c>
      <c r="F206" t="s">
        <v>33</v>
      </c>
      <c r="G206">
        <v>9</v>
      </c>
      <c r="H206">
        <v>-1.31027335909999E-2</v>
      </c>
      <c r="I206" t="s">
        <v>40</v>
      </c>
      <c r="J206" t="b">
        <v>0</v>
      </c>
      <c r="K206">
        <v>-31.986982003486901</v>
      </c>
      <c r="L206">
        <v>-31.063905080409999</v>
      </c>
      <c r="M206">
        <v>10.3585489183479</v>
      </c>
      <c r="N206" t="s">
        <v>25</v>
      </c>
      <c r="O206" t="s">
        <v>25</v>
      </c>
      <c r="P206" t="s">
        <v>455</v>
      </c>
      <c r="Q206">
        <f>-0.0296494920460349 - 0.00344402486403513</f>
        <v>-3.309351691007003E-2</v>
      </c>
      <c r="R206" t="s">
        <v>26</v>
      </c>
      <c r="S206" t="s">
        <v>41</v>
      </c>
      <c r="T206" t="s">
        <v>25</v>
      </c>
      <c r="U206" t="s">
        <v>42</v>
      </c>
      <c r="V206">
        <v>0.115247054784459</v>
      </c>
      <c r="W206">
        <v>8.4422237015483997E-3</v>
      </c>
      <c r="X206" t="s">
        <v>362</v>
      </c>
      <c r="Y206" t="s">
        <v>29</v>
      </c>
    </row>
    <row r="207" spans="1:25" x14ac:dyDescent="0.2">
      <c r="A207" t="s">
        <v>359</v>
      </c>
      <c r="B207" t="s">
        <v>78</v>
      </c>
      <c r="C207" t="s">
        <v>105</v>
      </c>
      <c r="D207">
        <v>9.5595972499664006E-2</v>
      </c>
      <c r="E207">
        <v>0.26214208895227598</v>
      </c>
      <c r="F207" t="s">
        <v>33</v>
      </c>
      <c r="G207">
        <v>17</v>
      </c>
      <c r="H207">
        <v>-8.3692622549030003E-4</v>
      </c>
      <c r="I207" t="s">
        <v>37</v>
      </c>
      <c r="J207" t="b">
        <v>0</v>
      </c>
      <c r="K207">
        <v>-27.1558862733735</v>
      </c>
      <c r="L207">
        <v>-26.1558862733735</v>
      </c>
      <c r="M207">
        <v>12.697001014557401</v>
      </c>
      <c r="N207" t="s">
        <v>25</v>
      </c>
      <c r="O207" t="s">
        <v>25</v>
      </c>
      <c r="P207" t="s">
        <v>378</v>
      </c>
      <c r="Q207">
        <f>-0.0022362977042945 - 0.000562445253313825</f>
        <v>-2.798742957608325E-3</v>
      </c>
      <c r="R207" t="s">
        <v>30</v>
      </c>
      <c r="S207" t="s">
        <v>38</v>
      </c>
      <c r="T207" t="s">
        <v>39</v>
      </c>
      <c r="U207" t="s">
        <v>599</v>
      </c>
      <c r="V207">
        <v>0.11972363290910699</v>
      </c>
      <c r="W207">
        <v>7.1396504020620002E-4</v>
      </c>
      <c r="X207" t="s">
        <v>362</v>
      </c>
      <c r="Y207" t="s">
        <v>29</v>
      </c>
    </row>
    <row r="208" spans="1:25" x14ac:dyDescent="0.2">
      <c r="A208" t="s">
        <v>359</v>
      </c>
      <c r="B208" t="s">
        <v>96</v>
      </c>
      <c r="C208" t="s">
        <v>105</v>
      </c>
      <c r="D208">
        <v>2.5759129366437999E-3</v>
      </c>
      <c r="E208">
        <v>0.85192339749804802</v>
      </c>
      <c r="F208" t="s">
        <v>33</v>
      </c>
      <c r="G208">
        <v>16</v>
      </c>
      <c r="H208" s="1">
        <v>7.0783221710257497E-5</v>
      </c>
      <c r="I208" t="s">
        <v>34</v>
      </c>
      <c r="J208" t="b">
        <v>0</v>
      </c>
      <c r="K208">
        <v>-40.263590759410697</v>
      </c>
      <c r="L208">
        <v>-39.340513836333798</v>
      </c>
      <c r="M208">
        <v>0.62639375863550095</v>
      </c>
      <c r="N208" t="s">
        <v>25</v>
      </c>
      <c r="O208" t="s">
        <v>25</v>
      </c>
      <c r="P208" t="s">
        <v>484</v>
      </c>
      <c r="Q208">
        <f>-0.000658836752998091 - 0.000800403196418606</f>
        <v>-1.4592399494166969E-3</v>
      </c>
      <c r="R208" t="s">
        <v>32</v>
      </c>
      <c r="S208" t="s">
        <v>35</v>
      </c>
      <c r="T208" t="s">
        <v>36</v>
      </c>
      <c r="U208" t="s">
        <v>600</v>
      </c>
      <c r="V208">
        <v>0.116760747587953</v>
      </c>
      <c r="W208">
        <v>3.722550891369E-4</v>
      </c>
      <c r="X208" t="s">
        <v>362</v>
      </c>
      <c r="Y208" t="s">
        <v>29</v>
      </c>
    </row>
    <row r="209" spans="1:25" x14ac:dyDescent="0.2">
      <c r="A209" t="s">
        <v>359</v>
      </c>
      <c r="B209" t="s">
        <v>72</v>
      </c>
      <c r="C209" t="s">
        <v>105</v>
      </c>
      <c r="D209">
        <v>8.0436618223013994E-3</v>
      </c>
      <c r="E209">
        <v>0.74116449625199099</v>
      </c>
      <c r="F209" t="s">
        <v>33</v>
      </c>
      <c r="G209">
        <v>7</v>
      </c>
      <c r="H209">
        <v>-4.2262083501759397E-2</v>
      </c>
      <c r="I209" t="s">
        <v>34</v>
      </c>
      <c r="J209" t="b">
        <v>0</v>
      </c>
      <c r="K209">
        <v>-40.351541964065603</v>
      </c>
      <c r="L209">
        <v>-39.428465040988698</v>
      </c>
      <c r="M209">
        <v>0.528983016025101</v>
      </c>
      <c r="N209" t="s">
        <v>25</v>
      </c>
      <c r="O209" t="s">
        <v>25</v>
      </c>
      <c r="P209" t="s">
        <v>374</v>
      </c>
      <c r="Q209">
        <f>-0.288107623504296 - 0.203583456500777</f>
        <v>-0.491691080005073</v>
      </c>
      <c r="R209" t="s">
        <v>26</v>
      </c>
      <c r="S209" t="s">
        <v>35</v>
      </c>
      <c r="T209" t="s">
        <v>36</v>
      </c>
      <c r="U209" t="s">
        <v>601</v>
      </c>
      <c r="V209">
        <v>0.119511687798914</v>
      </c>
      <c r="W209">
        <v>0.125431397960478</v>
      </c>
      <c r="X209" t="s">
        <v>362</v>
      </c>
      <c r="Y209" t="s">
        <v>29</v>
      </c>
    </row>
    <row r="210" spans="1:25" x14ac:dyDescent="0.2">
      <c r="A210" t="s">
        <v>359</v>
      </c>
      <c r="B210" t="s">
        <v>86</v>
      </c>
      <c r="C210" t="s">
        <v>105</v>
      </c>
      <c r="D210">
        <v>6.1121829084690403E-2</v>
      </c>
      <c r="E210">
        <v>0.35593453946853498</v>
      </c>
      <c r="F210" t="s">
        <v>33</v>
      </c>
      <c r="G210">
        <v>17</v>
      </c>
      <c r="H210">
        <v>-2.5449335288181001E-3</v>
      </c>
      <c r="I210" t="s">
        <v>34</v>
      </c>
      <c r="J210" t="b">
        <v>0</v>
      </c>
      <c r="K210">
        <v>-41.231435804478103</v>
      </c>
      <c r="L210">
        <v>-40.308358881401197</v>
      </c>
      <c r="M210">
        <v>1.0259897907522999</v>
      </c>
      <c r="N210" t="s">
        <v>25</v>
      </c>
      <c r="O210" t="s">
        <v>25</v>
      </c>
      <c r="P210" t="s">
        <v>437</v>
      </c>
      <c r="Q210">
        <f>-0.0077697970029921 - 0.00267992994535575</f>
        <v>-1.0449726948347849E-2</v>
      </c>
      <c r="R210" t="s">
        <v>26</v>
      </c>
      <c r="S210" t="s">
        <v>35</v>
      </c>
      <c r="T210" t="s">
        <v>36</v>
      </c>
      <c r="U210" t="s">
        <v>602</v>
      </c>
      <c r="V210">
        <v>0.139014061048405</v>
      </c>
      <c r="W210">
        <v>2.6657466704968998E-3</v>
      </c>
      <c r="X210" t="s">
        <v>362</v>
      </c>
      <c r="Y210" t="s">
        <v>29</v>
      </c>
    </row>
    <row r="211" spans="1:25" x14ac:dyDescent="0.2">
      <c r="A211" t="s">
        <v>359</v>
      </c>
      <c r="B211" t="s">
        <v>60</v>
      </c>
      <c r="C211" t="s">
        <v>105</v>
      </c>
      <c r="D211">
        <v>0.40195300838940501</v>
      </c>
      <c r="E211">
        <v>8.3545887502285004E-3</v>
      </c>
      <c r="F211" t="s">
        <v>33</v>
      </c>
      <c r="G211">
        <v>17</v>
      </c>
      <c r="H211">
        <v>1.6836464730170001E-4</v>
      </c>
      <c r="I211" t="s">
        <v>40</v>
      </c>
      <c r="J211" t="b">
        <v>0</v>
      </c>
      <c r="K211">
        <v>-37.672139343332603</v>
      </c>
      <c r="L211">
        <v>-36.749062420255697</v>
      </c>
      <c r="M211">
        <v>8.9909594174690994</v>
      </c>
      <c r="N211" t="s">
        <v>25</v>
      </c>
      <c r="O211" t="s">
        <v>25</v>
      </c>
      <c r="P211" t="s">
        <v>439</v>
      </c>
      <c r="Q211" t="s">
        <v>487</v>
      </c>
      <c r="R211" t="s">
        <v>31</v>
      </c>
      <c r="S211" t="s">
        <v>41</v>
      </c>
      <c r="T211" t="s">
        <v>25</v>
      </c>
      <c r="U211" t="s">
        <v>42</v>
      </c>
      <c r="V211">
        <v>8.9288692052775703E-2</v>
      </c>
      <c r="W211" s="1">
        <v>5.4886672228423902E-5</v>
      </c>
      <c r="X211" t="s">
        <v>362</v>
      </c>
      <c r="Y211" t="s">
        <v>29</v>
      </c>
    </row>
    <row r="212" spans="1:25" x14ac:dyDescent="0.2">
      <c r="A212" t="s">
        <v>359</v>
      </c>
      <c r="B212" t="s">
        <v>64</v>
      </c>
      <c r="C212" t="s">
        <v>105</v>
      </c>
      <c r="D212">
        <v>3.3090449910428602E-2</v>
      </c>
      <c r="E212">
        <v>0.516432802546958</v>
      </c>
      <c r="F212" t="s">
        <v>33</v>
      </c>
      <c r="G212">
        <v>6</v>
      </c>
      <c r="H212">
        <v>6.5709854853685003E-3</v>
      </c>
      <c r="I212" t="s">
        <v>37</v>
      </c>
      <c r="J212" t="b">
        <v>0</v>
      </c>
      <c r="K212">
        <v>-26.1534548608231</v>
      </c>
      <c r="L212">
        <v>-25.1534548608231</v>
      </c>
      <c r="M212">
        <v>11.719333686518</v>
      </c>
      <c r="N212" t="s">
        <v>25</v>
      </c>
      <c r="O212" t="s">
        <v>25</v>
      </c>
      <c r="P212" t="s">
        <v>435</v>
      </c>
      <c r="Q212">
        <f>-0.012737868212777 - 0.025879839183514</f>
        <v>-3.8617707396291001E-2</v>
      </c>
      <c r="R212" t="s">
        <v>30</v>
      </c>
      <c r="S212" t="s">
        <v>38</v>
      </c>
      <c r="T212" t="s">
        <v>39</v>
      </c>
      <c r="U212" t="s">
        <v>603</v>
      </c>
      <c r="V212">
        <v>0.10421748500907201</v>
      </c>
      <c r="W212">
        <v>9.8514559684414992E-3</v>
      </c>
      <c r="X212" t="s">
        <v>362</v>
      </c>
      <c r="Y212" t="s">
        <v>29</v>
      </c>
    </row>
    <row r="213" spans="1:25" x14ac:dyDescent="0.2">
      <c r="A213" t="s">
        <v>359</v>
      </c>
      <c r="B213" t="s">
        <v>55</v>
      </c>
      <c r="C213" t="s">
        <v>105</v>
      </c>
      <c r="D213">
        <v>0.26087016015755599</v>
      </c>
      <c r="E213">
        <v>4.3204475236741501E-2</v>
      </c>
      <c r="F213" t="s">
        <v>33</v>
      </c>
      <c r="G213">
        <v>12</v>
      </c>
      <c r="H213">
        <v>-3.3581192157157999E-3</v>
      </c>
      <c r="I213" t="s">
        <v>37</v>
      </c>
      <c r="J213" t="b">
        <v>0</v>
      </c>
      <c r="K213">
        <v>-34.2832710227257</v>
      </c>
      <c r="L213">
        <v>-33.360194099648801</v>
      </c>
      <c r="M213">
        <v>13.5600817019414</v>
      </c>
      <c r="N213" t="s">
        <v>25</v>
      </c>
      <c r="O213" t="s">
        <v>25</v>
      </c>
      <c r="P213" t="s">
        <v>459</v>
      </c>
      <c r="Q213">
        <f>-0.00631910504438662 - -0.000397133387045174</f>
        <v>-5.9219716573414459E-3</v>
      </c>
      <c r="R213" t="s">
        <v>32</v>
      </c>
      <c r="S213" t="s">
        <v>38</v>
      </c>
      <c r="T213" t="s">
        <v>39</v>
      </c>
      <c r="U213" t="s">
        <v>604</v>
      </c>
      <c r="V213">
        <v>0.134072832869885</v>
      </c>
      <c r="W213">
        <v>1.5107070554442E-3</v>
      </c>
      <c r="X213" t="s">
        <v>362</v>
      </c>
      <c r="Y213" t="s">
        <v>29</v>
      </c>
    </row>
    <row r="214" spans="1:25" x14ac:dyDescent="0.2">
      <c r="A214" t="s">
        <v>359</v>
      </c>
      <c r="B214" t="s">
        <v>83</v>
      </c>
      <c r="C214" t="s">
        <v>105</v>
      </c>
      <c r="D214">
        <v>0.112265841933016</v>
      </c>
      <c r="E214">
        <v>0.20458907390453299</v>
      </c>
      <c r="F214" t="s">
        <v>33</v>
      </c>
      <c r="G214">
        <v>10</v>
      </c>
      <c r="H214">
        <v>-3.335142817915E-4</v>
      </c>
      <c r="I214" t="s">
        <v>37</v>
      </c>
      <c r="J214" t="b">
        <v>0</v>
      </c>
      <c r="K214">
        <v>-31.352091431757099</v>
      </c>
      <c r="L214">
        <v>-30.429014508680201</v>
      </c>
      <c r="M214">
        <v>10.937812798067799</v>
      </c>
      <c r="N214" t="s">
        <v>25</v>
      </c>
      <c r="O214" t="s">
        <v>25</v>
      </c>
      <c r="P214" t="s">
        <v>370</v>
      </c>
      <c r="Q214">
        <f>-0.000824788684371964 - 0.000157760120788811</f>
        <v>-9.8254880516077505E-4</v>
      </c>
      <c r="R214" t="s">
        <v>32</v>
      </c>
      <c r="S214" t="s">
        <v>38</v>
      </c>
      <c r="T214" t="s">
        <v>39</v>
      </c>
      <c r="U214" t="s">
        <v>605</v>
      </c>
      <c r="V214">
        <v>0.116192339105553</v>
      </c>
      <c r="W214">
        <v>2.506502053981E-4</v>
      </c>
      <c r="X214" t="s">
        <v>362</v>
      </c>
      <c r="Y214" t="s">
        <v>29</v>
      </c>
    </row>
    <row r="215" spans="1:25" x14ac:dyDescent="0.2">
      <c r="A215" t="s">
        <v>359</v>
      </c>
      <c r="B215" t="s">
        <v>57</v>
      </c>
      <c r="C215" t="s">
        <v>105</v>
      </c>
      <c r="D215">
        <v>0.101451178743946</v>
      </c>
      <c r="E215">
        <v>0.22923285032668</v>
      </c>
      <c r="F215" t="s">
        <v>33</v>
      </c>
      <c r="G215">
        <v>17</v>
      </c>
      <c r="H215">
        <v>-5.158390845911E-4</v>
      </c>
      <c r="I215" t="s">
        <v>37</v>
      </c>
      <c r="J215" t="b">
        <v>0</v>
      </c>
      <c r="K215">
        <v>-31.158351999392298</v>
      </c>
      <c r="L215">
        <v>-30.2352750763154</v>
      </c>
      <c r="M215">
        <v>11.0232030477507</v>
      </c>
      <c r="N215" t="s">
        <v>25</v>
      </c>
      <c r="O215" t="s">
        <v>25</v>
      </c>
      <c r="P215" t="s">
        <v>408</v>
      </c>
      <c r="Q215">
        <f>-0.00132001042119409 - 0.00028833225201172</f>
        <v>-1.6083426732058099E-3</v>
      </c>
      <c r="R215" t="s">
        <v>26</v>
      </c>
      <c r="S215" t="s">
        <v>38</v>
      </c>
      <c r="T215" t="s">
        <v>39</v>
      </c>
      <c r="U215" t="s">
        <v>606</v>
      </c>
      <c r="V215">
        <v>0.116145894329189</v>
      </c>
      <c r="W215">
        <v>4.102914982667E-4</v>
      </c>
      <c r="X215" t="s">
        <v>362</v>
      </c>
      <c r="Y215" t="s">
        <v>29</v>
      </c>
    </row>
    <row r="216" spans="1:25" x14ac:dyDescent="0.2">
      <c r="A216" t="s">
        <v>359</v>
      </c>
      <c r="B216" t="s">
        <v>58</v>
      </c>
      <c r="C216" t="s">
        <v>105</v>
      </c>
      <c r="D216">
        <v>0.16148414011373699</v>
      </c>
      <c r="E216">
        <v>0.122853661542193</v>
      </c>
      <c r="F216" t="s">
        <v>33</v>
      </c>
      <c r="G216">
        <v>17</v>
      </c>
      <c r="H216">
        <v>-1.5045543316423E-3</v>
      </c>
      <c r="I216" t="s">
        <v>37</v>
      </c>
      <c r="J216" t="b">
        <v>0</v>
      </c>
      <c r="K216">
        <v>-32.264712726924301</v>
      </c>
      <c r="L216">
        <v>-31.341635803847399</v>
      </c>
      <c r="M216">
        <v>11.133601952884201</v>
      </c>
      <c r="N216" t="s">
        <v>25</v>
      </c>
      <c r="O216" t="s">
        <v>25</v>
      </c>
      <c r="P216" t="s">
        <v>360</v>
      </c>
      <c r="Q216">
        <f>-0.0033004894046876 - 0.000291380741402934</f>
        <v>-3.5918701460905342E-3</v>
      </c>
      <c r="R216" t="s">
        <v>32</v>
      </c>
      <c r="S216" t="s">
        <v>38</v>
      </c>
      <c r="T216" t="s">
        <v>39</v>
      </c>
      <c r="U216" t="s">
        <v>607</v>
      </c>
      <c r="V216">
        <v>0.14050636323622501</v>
      </c>
      <c r="W216">
        <v>9.1629340461489995E-4</v>
      </c>
      <c r="X216" t="s">
        <v>362</v>
      </c>
      <c r="Y216" t="s">
        <v>29</v>
      </c>
    </row>
    <row r="217" spans="1:25" x14ac:dyDescent="0.2">
      <c r="A217" t="s">
        <v>359</v>
      </c>
      <c r="B217" t="s">
        <v>92</v>
      </c>
      <c r="C217" t="s">
        <v>105</v>
      </c>
      <c r="D217">
        <v>0.44493223966490197</v>
      </c>
      <c r="E217">
        <v>4.764466524155E-3</v>
      </c>
      <c r="F217" t="s">
        <v>33</v>
      </c>
      <c r="G217">
        <v>13</v>
      </c>
      <c r="H217">
        <v>-3.3133933542542002E-3</v>
      </c>
      <c r="I217" t="s">
        <v>37</v>
      </c>
      <c r="J217" t="b">
        <v>0</v>
      </c>
      <c r="K217">
        <v>-38.865405505957597</v>
      </c>
      <c r="L217">
        <v>-37.942328582880698</v>
      </c>
      <c r="M217">
        <v>13.706515586462499</v>
      </c>
      <c r="N217" t="s">
        <v>25</v>
      </c>
      <c r="O217" t="s">
        <v>25</v>
      </c>
      <c r="P217" t="s">
        <v>410</v>
      </c>
      <c r="Q217">
        <f>-0.00525200632464967 - -0.00137478038385881</f>
        <v>-3.8772259407908599E-3</v>
      </c>
      <c r="R217" t="s">
        <v>26</v>
      </c>
      <c r="S217" t="s">
        <v>38</v>
      </c>
      <c r="T217" t="s">
        <v>39</v>
      </c>
      <c r="U217" t="s">
        <v>608</v>
      </c>
      <c r="V217">
        <v>0.15959016219135</v>
      </c>
      <c r="W217">
        <v>9.8908825020170002E-4</v>
      </c>
      <c r="X217" t="s">
        <v>362</v>
      </c>
      <c r="Y217" t="s">
        <v>29</v>
      </c>
    </row>
    <row r="218" spans="1:25" x14ac:dyDescent="0.2">
      <c r="A218" t="s">
        <v>359</v>
      </c>
      <c r="B218" t="s">
        <v>67</v>
      </c>
      <c r="C218" t="s">
        <v>105</v>
      </c>
      <c r="D218">
        <v>0.16409826585141399</v>
      </c>
      <c r="E218">
        <v>0.11958211335506901</v>
      </c>
      <c r="F218" t="s">
        <v>33</v>
      </c>
      <c r="G218">
        <v>14</v>
      </c>
      <c r="H218">
        <v>-6.9123189933205003E-3</v>
      </c>
      <c r="I218" t="s">
        <v>34</v>
      </c>
      <c r="J218" t="b">
        <v>0</v>
      </c>
      <c r="K218">
        <v>-43.090230429520503</v>
      </c>
      <c r="L218">
        <v>-42.167153506443597</v>
      </c>
      <c r="M218">
        <v>2.0363061235601001</v>
      </c>
      <c r="N218" t="s">
        <v>25</v>
      </c>
      <c r="O218" t="s">
        <v>25</v>
      </c>
      <c r="P218" t="s">
        <v>427</v>
      </c>
      <c r="Q218">
        <f>-0.0150845652113197 - 0.00125992722467855</f>
        <v>-1.634449243599825E-2</v>
      </c>
      <c r="R218" t="s">
        <v>31</v>
      </c>
      <c r="S218" t="s">
        <v>35</v>
      </c>
      <c r="T218" t="s">
        <v>36</v>
      </c>
      <c r="U218" t="s">
        <v>609</v>
      </c>
      <c r="V218">
        <v>0.147936098348942</v>
      </c>
      <c r="W218">
        <v>4.1695133765301002E-3</v>
      </c>
      <c r="X218" t="s">
        <v>362</v>
      </c>
      <c r="Y218" t="s">
        <v>29</v>
      </c>
    </row>
    <row r="219" spans="1:25" x14ac:dyDescent="0.2">
      <c r="A219" t="s">
        <v>359</v>
      </c>
      <c r="B219" t="s">
        <v>81</v>
      </c>
      <c r="C219" t="s">
        <v>105</v>
      </c>
      <c r="D219">
        <v>0.12035344252126701</v>
      </c>
      <c r="E219">
        <v>0.18802305531212399</v>
      </c>
      <c r="F219" t="s">
        <v>33</v>
      </c>
      <c r="G219">
        <v>7</v>
      </c>
      <c r="H219">
        <v>-3.4119663155946299E-2</v>
      </c>
      <c r="I219" t="s">
        <v>40</v>
      </c>
      <c r="J219" t="b">
        <v>0</v>
      </c>
      <c r="K219">
        <v>-31.498525656724699</v>
      </c>
      <c r="L219">
        <v>-30.5754487336478</v>
      </c>
      <c r="M219">
        <v>12.668074832423301</v>
      </c>
      <c r="N219" t="s">
        <v>25</v>
      </c>
      <c r="O219" t="s">
        <v>25</v>
      </c>
      <c r="P219" t="s">
        <v>429</v>
      </c>
      <c r="Q219">
        <f>-0.082439074370517 - 0.0141997480586243</f>
        <v>-9.6638822429141291E-2</v>
      </c>
      <c r="R219" t="s">
        <v>31</v>
      </c>
      <c r="S219" t="s">
        <v>41</v>
      </c>
      <c r="T219" t="s">
        <v>25</v>
      </c>
      <c r="U219" t="s">
        <v>42</v>
      </c>
      <c r="V219">
        <v>0.125030819294427</v>
      </c>
      <c r="W219">
        <v>2.46527608237605E-2</v>
      </c>
      <c r="X219" t="s">
        <v>362</v>
      </c>
      <c r="Y219" t="s">
        <v>29</v>
      </c>
    </row>
    <row r="220" spans="1:25" x14ac:dyDescent="0.2">
      <c r="A220" t="s">
        <v>359</v>
      </c>
      <c r="B220" t="s">
        <v>91</v>
      </c>
      <c r="C220" t="s">
        <v>105</v>
      </c>
      <c r="D220">
        <v>7.4986031239798995E-2</v>
      </c>
      <c r="E220">
        <v>0.30476001562579502</v>
      </c>
      <c r="F220" t="s">
        <v>33</v>
      </c>
      <c r="G220">
        <v>4</v>
      </c>
      <c r="H220">
        <v>-7.742378072625E-4</v>
      </c>
      <c r="I220" t="s">
        <v>37</v>
      </c>
      <c r="J220" t="b">
        <v>0</v>
      </c>
      <c r="K220">
        <v>-30.693907237590601</v>
      </c>
      <c r="L220">
        <v>-29.770830314513699</v>
      </c>
      <c r="M220">
        <v>10.1417444646187</v>
      </c>
      <c r="N220" t="s">
        <v>25</v>
      </c>
      <c r="O220" t="s">
        <v>25</v>
      </c>
      <c r="P220" t="s">
        <v>415</v>
      </c>
      <c r="Q220">
        <f>-0.0021986982377314 - 0.000650222623206238</f>
        <v>-2.848920860937638E-3</v>
      </c>
      <c r="R220" t="s">
        <v>31</v>
      </c>
      <c r="S220" t="s">
        <v>38</v>
      </c>
      <c r="T220" t="s">
        <v>39</v>
      </c>
      <c r="U220" t="s">
        <v>610</v>
      </c>
      <c r="V220">
        <v>0.123221262663741</v>
      </c>
      <c r="W220">
        <v>7.2676552574929998E-4</v>
      </c>
      <c r="X220" t="s">
        <v>362</v>
      </c>
      <c r="Y220" t="s">
        <v>29</v>
      </c>
    </row>
    <row r="221" spans="1:25" x14ac:dyDescent="0.2">
      <c r="A221" t="s">
        <v>359</v>
      </c>
      <c r="B221" t="s">
        <v>45</v>
      </c>
      <c r="C221" t="s">
        <v>105</v>
      </c>
      <c r="D221">
        <v>0.152223421518179</v>
      </c>
      <c r="E221">
        <v>0.13517685252490899</v>
      </c>
      <c r="F221" t="s">
        <v>33</v>
      </c>
      <c r="G221">
        <v>12</v>
      </c>
      <c r="H221">
        <v>-7.8847391912778998E-3</v>
      </c>
      <c r="I221" t="s">
        <v>24</v>
      </c>
      <c r="J221" t="b">
        <v>0</v>
      </c>
      <c r="K221">
        <v>-43.4475588252931</v>
      </c>
      <c r="L221">
        <v>-42.524481902216202</v>
      </c>
      <c r="M221">
        <v>4.2745127942900703E-2</v>
      </c>
      <c r="N221" t="s">
        <v>25</v>
      </c>
      <c r="O221" t="s">
        <v>25</v>
      </c>
      <c r="P221" t="s">
        <v>465</v>
      </c>
      <c r="Q221">
        <f>-0.0176319274321724 - 0.00186244904961645</f>
        <v>-1.9494376481788849E-2</v>
      </c>
      <c r="R221" t="s">
        <v>26</v>
      </c>
      <c r="S221" t="s">
        <v>27</v>
      </c>
      <c r="T221" t="s">
        <v>28</v>
      </c>
      <c r="U221" t="s">
        <v>611</v>
      </c>
      <c r="V221">
        <v>0.127833535529394</v>
      </c>
      <c r="W221">
        <v>4.9730552249460996E-3</v>
      </c>
      <c r="X221" t="s">
        <v>362</v>
      </c>
      <c r="Y221" t="s">
        <v>29</v>
      </c>
    </row>
    <row r="222" spans="1:25" x14ac:dyDescent="0.2">
      <c r="A222" t="s">
        <v>359</v>
      </c>
      <c r="B222" t="s">
        <v>70</v>
      </c>
      <c r="C222" t="s">
        <v>105</v>
      </c>
      <c r="D222">
        <v>0.68374982579836896</v>
      </c>
      <c r="E222">
        <v>1.434766647505E-4</v>
      </c>
      <c r="F222" t="s">
        <v>33</v>
      </c>
      <c r="G222">
        <v>16</v>
      </c>
      <c r="H222">
        <v>0.16256118678464901</v>
      </c>
      <c r="I222" t="s">
        <v>37</v>
      </c>
      <c r="J222" t="b">
        <v>0</v>
      </c>
      <c r="K222">
        <v>-42.917025314565798</v>
      </c>
      <c r="L222">
        <v>-41.917025314565798</v>
      </c>
      <c r="M222">
        <v>2.0628822171882999</v>
      </c>
      <c r="N222" t="s">
        <v>25</v>
      </c>
      <c r="O222" t="s">
        <v>25</v>
      </c>
      <c r="P222" t="s">
        <v>412</v>
      </c>
      <c r="Q222" t="s">
        <v>534</v>
      </c>
      <c r="R222" t="s">
        <v>30</v>
      </c>
      <c r="S222" t="s">
        <v>38</v>
      </c>
      <c r="T222" t="s">
        <v>39</v>
      </c>
      <c r="U222" t="s">
        <v>612</v>
      </c>
      <c r="V222">
        <v>0.103410341300586</v>
      </c>
      <c r="W222">
        <v>3.0662810385789802E-2</v>
      </c>
      <c r="X222" t="s">
        <v>362</v>
      </c>
      <c r="Y222" t="s">
        <v>29</v>
      </c>
    </row>
    <row r="223" spans="1:25" x14ac:dyDescent="0.2">
      <c r="A223" t="s">
        <v>359</v>
      </c>
      <c r="B223" t="s">
        <v>80</v>
      </c>
      <c r="C223" t="s">
        <v>105</v>
      </c>
      <c r="D223">
        <v>6.4815734867336897E-2</v>
      </c>
      <c r="E223">
        <v>0.34132107537717998</v>
      </c>
      <c r="F223" t="s">
        <v>33</v>
      </c>
      <c r="G223">
        <v>15</v>
      </c>
      <c r="H223">
        <v>4.4670101248309502E-2</v>
      </c>
      <c r="I223" t="s">
        <v>37</v>
      </c>
      <c r="J223" t="b">
        <v>0</v>
      </c>
      <c r="K223">
        <v>-30.518951299680602</v>
      </c>
      <c r="L223">
        <v>-29.5958743766037</v>
      </c>
      <c r="M223">
        <v>12.743204466906301</v>
      </c>
      <c r="N223" t="s">
        <v>25</v>
      </c>
      <c r="O223" t="s">
        <v>25</v>
      </c>
      <c r="P223" t="s">
        <v>396</v>
      </c>
      <c r="Q223">
        <f>-0.0442126238129123 - 0.133552826309531</f>
        <v>-0.1777654501224433</v>
      </c>
      <c r="R223" t="s">
        <v>26</v>
      </c>
      <c r="S223" t="s">
        <v>38</v>
      </c>
      <c r="T223" t="s">
        <v>39</v>
      </c>
      <c r="U223" t="s">
        <v>613</v>
      </c>
      <c r="V223">
        <v>0.102824777254796</v>
      </c>
      <c r="W223">
        <v>4.5348329112868298E-2</v>
      </c>
      <c r="X223" t="s">
        <v>362</v>
      </c>
      <c r="Y223" t="s">
        <v>29</v>
      </c>
    </row>
    <row r="224" spans="1:25" x14ac:dyDescent="0.2">
      <c r="A224" t="s">
        <v>359</v>
      </c>
      <c r="B224" t="s">
        <v>44</v>
      </c>
      <c r="C224" t="s">
        <v>105</v>
      </c>
      <c r="D224">
        <v>5.3684386838382503E-2</v>
      </c>
      <c r="E224">
        <v>0.40602308442466001</v>
      </c>
      <c r="F224" t="s">
        <v>33</v>
      </c>
      <c r="G224">
        <v>17</v>
      </c>
      <c r="H224">
        <v>-3.4503403249940001E-4</v>
      </c>
      <c r="I224" t="s">
        <v>34</v>
      </c>
      <c r="J224" t="b">
        <v>0</v>
      </c>
      <c r="K224">
        <v>-37.969061491982501</v>
      </c>
      <c r="L224">
        <v>-36.969061491982501</v>
      </c>
      <c r="M224">
        <v>1.5264980832936901</v>
      </c>
      <c r="N224" t="s">
        <v>25</v>
      </c>
      <c r="O224" t="s">
        <v>25</v>
      </c>
      <c r="P224" t="s">
        <v>463</v>
      </c>
      <c r="Q224">
        <f>-0.00113251548433768 - 0.000442447419338684</f>
        <v>-1.5749629036763638E-3</v>
      </c>
      <c r="R224" t="s">
        <v>30</v>
      </c>
      <c r="S224" t="s">
        <v>35</v>
      </c>
      <c r="T224" t="s">
        <v>36</v>
      </c>
      <c r="U224" t="s">
        <v>614</v>
      </c>
      <c r="V224">
        <v>0.124634051746438</v>
      </c>
      <c r="W224">
        <v>4.0177625093780001E-4</v>
      </c>
      <c r="X224" t="s">
        <v>362</v>
      </c>
      <c r="Y224" t="s">
        <v>29</v>
      </c>
    </row>
    <row r="225" spans="1:25" x14ac:dyDescent="0.2">
      <c r="A225" t="s">
        <v>359</v>
      </c>
      <c r="B225" t="s">
        <v>96</v>
      </c>
      <c r="C225" t="s">
        <v>105</v>
      </c>
      <c r="D225">
        <v>1.0427074693164499E-2</v>
      </c>
      <c r="E225">
        <v>0.70668975974603998</v>
      </c>
      <c r="F225" t="s">
        <v>33</v>
      </c>
      <c r="G225">
        <v>16</v>
      </c>
      <c r="H225">
        <v>-1.4536762773430001E-4</v>
      </c>
      <c r="I225" t="s">
        <v>40</v>
      </c>
      <c r="J225" t="b">
        <v>0</v>
      </c>
      <c r="K225">
        <v>-29.614473274165299</v>
      </c>
      <c r="L225">
        <v>-28.6913963510884</v>
      </c>
      <c r="M225">
        <v>11.275511243880899</v>
      </c>
      <c r="N225" t="s">
        <v>25</v>
      </c>
      <c r="O225" t="s">
        <v>25</v>
      </c>
      <c r="P225" t="s">
        <v>484</v>
      </c>
      <c r="Q225">
        <f>-0.000887194252898231 - 0.000596458997429485</f>
        <v>-1.4836532503277162E-3</v>
      </c>
      <c r="R225" t="s">
        <v>32</v>
      </c>
      <c r="S225" t="s">
        <v>41</v>
      </c>
      <c r="T225" t="s">
        <v>25</v>
      </c>
      <c r="U225" t="s">
        <v>42</v>
      </c>
      <c r="V225">
        <v>0.117147905353464</v>
      </c>
      <c r="W225">
        <v>3.7848297202230002E-4</v>
      </c>
      <c r="X225" t="s">
        <v>362</v>
      </c>
      <c r="Y225" t="s">
        <v>29</v>
      </c>
    </row>
    <row r="226" spans="1:25" x14ac:dyDescent="0.2">
      <c r="A226" t="s">
        <v>359</v>
      </c>
      <c r="B226" t="s">
        <v>88</v>
      </c>
      <c r="C226" t="s">
        <v>105</v>
      </c>
      <c r="D226">
        <v>1.0909764334322E-2</v>
      </c>
      <c r="E226">
        <v>0.70026399436286602</v>
      </c>
      <c r="F226" t="s">
        <v>33</v>
      </c>
      <c r="G226">
        <v>8</v>
      </c>
      <c r="H226">
        <v>-5.109061892058E-4</v>
      </c>
      <c r="I226" t="s">
        <v>34</v>
      </c>
      <c r="J226" t="b">
        <v>0</v>
      </c>
      <c r="K226">
        <v>-40.397838374047097</v>
      </c>
      <c r="L226">
        <v>-39.474761450970199</v>
      </c>
      <c r="M226">
        <v>1.4685717288619</v>
      </c>
      <c r="N226" t="s">
        <v>25</v>
      </c>
      <c r="O226" t="s">
        <v>25</v>
      </c>
      <c r="P226" t="s">
        <v>420</v>
      </c>
      <c r="Q226">
        <f>-0.00305916473856349 - 0.00203735236015189</f>
        <v>-5.0965170987153797E-3</v>
      </c>
      <c r="R226" t="s">
        <v>32</v>
      </c>
      <c r="S226" t="s">
        <v>35</v>
      </c>
      <c r="T226" t="s">
        <v>36</v>
      </c>
      <c r="U226" t="s">
        <v>615</v>
      </c>
      <c r="V226">
        <v>0.121652107993678</v>
      </c>
      <c r="W226">
        <v>1.3001319129376E-3</v>
      </c>
      <c r="X226" t="s">
        <v>362</v>
      </c>
      <c r="Y226" t="s">
        <v>29</v>
      </c>
    </row>
    <row r="227" spans="1:25" x14ac:dyDescent="0.2">
      <c r="A227" t="s">
        <v>359</v>
      </c>
      <c r="B227" t="s">
        <v>82</v>
      </c>
      <c r="C227" t="s">
        <v>105</v>
      </c>
      <c r="D227">
        <v>0.56086311490102403</v>
      </c>
      <c r="E227">
        <v>8.4247552767009997E-4</v>
      </c>
      <c r="F227" t="s">
        <v>33</v>
      </c>
      <c r="G227">
        <v>15</v>
      </c>
      <c r="H227">
        <v>2.37227688385112E-2</v>
      </c>
      <c r="I227" t="s">
        <v>37</v>
      </c>
      <c r="J227" t="b">
        <v>0</v>
      </c>
      <c r="K227">
        <v>-42.613869847657902</v>
      </c>
      <c r="L227">
        <v>-41.690792924580997</v>
      </c>
      <c r="M227">
        <v>1.2023197478778</v>
      </c>
      <c r="N227" t="s">
        <v>25</v>
      </c>
      <c r="O227" t="s">
        <v>25</v>
      </c>
      <c r="P227" t="s">
        <v>417</v>
      </c>
      <c r="Q227" t="s">
        <v>536</v>
      </c>
      <c r="R227" t="s">
        <v>32</v>
      </c>
      <c r="S227" t="s">
        <v>38</v>
      </c>
      <c r="T227" t="s">
        <v>39</v>
      </c>
      <c r="U227" t="s">
        <v>616</v>
      </c>
      <c r="V227">
        <v>8.6182023026226504E-2</v>
      </c>
      <c r="W227">
        <v>5.6101293906340001E-3</v>
      </c>
      <c r="X227" t="s">
        <v>362</v>
      </c>
      <c r="Y227" t="s">
        <v>29</v>
      </c>
    </row>
    <row r="235" spans="1:25" x14ac:dyDescent="0.2">
      <c r="D235" s="1"/>
    </row>
    <row r="240" spans="1:25" x14ac:dyDescent="0.2">
      <c r="D240" s="1"/>
    </row>
    <row r="241" spans="4:4" x14ac:dyDescent="0.2">
      <c r="D24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9a</vt:lpstr>
      <vt:lpstr>Table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2023-05-03T22:10:25Z</dcterms:modified>
</cp:coreProperties>
</file>