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11445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O5" i="1"/>
  <c r="M29"/>
  <c r="K4" l="1"/>
  <c r="K10"/>
  <c r="M10"/>
  <c r="K6"/>
  <c r="K18"/>
  <c r="M18"/>
  <c r="M17"/>
  <c r="K17"/>
  <c r="K19"/>
  <c r="K23"/>
  <c r="M9"/>
  <c r="M25" s="1"/>
  <c r="K9"/>
  <c r="K8"/>
  <c r="L35" l="1"/>
  <c r="B35" s="1"/>
  <c r="C35" s="1"/>
  <c r="D35" s="1"/>
  <c r="E35" s="1"/>
  <c r="F35" s="1"/>
  <c r="G35" s="1"/>
  <c r="H35" s="1"/>
  <c r="I35" s="1"/>
  <c r="J35" s="1"/>
  <c r="J37" s="1"/>
  <c r="K25"/>
  <c r="K27" s="1"/>
  <c r="K11"/>
  <c r="K13" s="1"/>
  <c r="K15" s="1"/>
  <c r="B29" s="1"/>
  <c r="K16"/>
  <c r="M27"/>
  <c r="M16"/>
  <c r="H36" l="1"/>
  <c r="D36"/>
  <c r="I37"/>
  <c r="E37"/>
  <c r="B36"/>
  <c r="G36"/>
  <c r="C36"/>
  <c r="H37"/>
  <c r="D37"/>
  <c r="J36"/>
  <c r="F36"/>
  <c r="B37"/>
  <c r="G37"/>
  <c r="C37"/>
  <c r="I36"/>
  <c r="E36"/>
  <c r="F37"/>
  <c r="C29"/>
  <c r="B30"/>
  <c r="B31" s="1"/>
  <c r="M15"/>
  <c r="B32" s="1"/>
  <c r="B33" l="1"/>
  <c r="B34" s="1"/>
  <c r="C32"/>
  <c r="D29"/>
  <c r="C30"/>
  <c r="C31" s="1"/>
  <c r="K20"/>
  <c r="C33" l="1"/>
  <c r="C34" s="1"/>
  <c r="D32"/>
  <c r="E29"/>
  <c r="D30"/>
  <c r="D31" s="1"/>
  <c r="F29" l="1"/>
  <c r="E30"/>
  <c r="E31" s="1"/>
  <c r="D33"/>
  <c r="D34" s="1"/>
  <c r="E32"/>
  <c r="F32" l="1"/>
  <c r="E33"/>
  <c r="E34" s="1"/>
  <c r="G29"/>
  <c r="F30"/>
  <c r="F31" s="1"/>
  <c r="H29" l="1"/>
  <c r="G30"/>
  <c r="G31" s="1"/>
  <c r="G32"/>
  <c r="F33"/>
  <c r="F34" s="1"/>
  <c r="H32" l="1"/>
  <c r="G33"/>
  <c r="G34" s="1"/>
  <c r="I29"/>
  <c r="H30"/>
  <c r="H31" s="1"/>
  <c r="I32" l="1"/>
  <c r="H33"/>
  <c r="H34" s="1"/>
  <c r="J29"/>
  <c r="I30"/>
  <c r="I31" s="1"/>
  <c r="K29" l="1"/>
  <c r="J30"/>
  <c r="J31" s="1"/>
  <c r="J32"/>
  <c r="I33"/>
  <c r="I34" s="1"/>
  <c r="K32" l="1"/>
  <c r="J33"/>
  <c r="J34" s="1"/>
  <c r="K30"/>
  <c r="K31" s="1"/>
  <c r="K33" l="1"/>
  <c r="K34" s="1"/>
</calcChain>
</file>

<file path=xl/sharedStrings.xml><?xml version="1.0" encoding="utf-8"?>
<sst xmlns="http://schemas.openxmlformats.org/spreadsheetml/2006/main" count="55" uniqueCount="55">
  <si>
    <t>Параметр</t>
  </si>
  <si>
    <t>Формула вычисления</t>
  </si>
  <si>
    <t>Число зубьев</t>
  </si>
  <si>
    <t>Z</t>
  </si>
  <si>
    <t>Коэффициент смещения</t>
  </si>
  <si>
    <t>Инвалюта угла зацепления</t>
  </si>
  <si>
    <t>m</t>
  </si>
  <si>
    <t>d=m*Z</t>
  </si>
  <si>
    <t>Коэффициент воспринимаемого смещения</t>
  </si>
  <si>
    <t>Коэффициент уравнительного смещения</t>
  </si>
  <si>
    <t>Коэффициент торцевого перекрытия</t>
  </si>
  <si>
    <t>Расчет профиля ножки зуба</t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</si>
  <si>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l</t>
    </r>
  </si>
  <si>
    <t>X</t>
  </si>
  <si>
    <r>
      <t>inv</t>
    </r>
    <r>
      <rPr>
        <i/>
        <sz val="11"/>
        <color theme="1"/>
        <rFont val="Calibri"/>
        <family val="2"/>
        <charset val="204"/>
      </rPr>
      <t>α</t>
    </r>
    <r>
      <rPr>
        <i/>
        <vertAlign val="subscript"/>
        <sz val="11"/>
        <color theme="1"/>
        <rFont val="Calibri"/>
        <family val="2"/>
        <charset val="204"/>
        <scheme val="minor"/>
      </rPr>
      <t>w</t>
    </r>
    <r>
      <rPr>
        <i/>
        <sz val="11"/>
        <color theme="1"/>
        <rFont val="Calibri"/>
        <family val="2"/>
        <charset val="204"/>
        <scheme val="minor"/>
      </rPr>
      <t>=2*(X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>+X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>)*tg20⁰/(Z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>+Z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>)+inv20</t>
    </r>
    <r>
      <rPr>
        <i/>
        <sz val="11"/>
        <color theme="1"/>
        <rFont val="Calibri"/>
        <family val="2"/>
        <charset val="204"/>
      </rPr>
      <t>⁰</t>
    </r>
  </si>
  <si>
    <r>
      <t>a</t>
    </r>
    <r>
      <rPr>
        <i/>
        <vertAlign val="subscript"/>
        <sz val="11"/>
        <color theme="1"/>
        <rFont val="Calibri"/>
        <family val="2"/>
        <charset val="204"/>
        <scheme val="minor"/>
      </rPr>
      <t>w</t>
    </r>
    <r>
      <rPr>
        <i/>
        <sz val="11"/>
        <color theme="1"/>
        <rFont val="Calibri"/>
        <family val="2"/>
        <charset val="204"/>
        <scheme val="minor"/>
      </rPr>
      <t>=0,5*m*(Z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>+Z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>)*cos</t>
    </r>
    <r>
      <rPr>
        <i/>
        <sz val="11"/>
        <color theme="1"/>
        <rFont val="Calibri"/>
        <family val="2"/>
        <charset val="204"/>
      </rPr>
      <t>20⁰</t>
    </r>
    <r>
      <rPr>
        <i/>
        <sz val="11"/>
        <color theme="1"/>
        <rFont val="Calibri"/>
        <family val="2"/>
        <charset val="204"/>
        <scheme val="minor"/>
      </rPr>
      <t>/cosα</t>
    </r>
    <r>
      <rPr>
        <i/>
        <vertAlign val="subscript"/>
        <sz val="11"/>
        <color theme="1"/>
        <rFont val="Calibri"/>
        <family val="2"/>
        <charset val="204"/>
        <scheme val="minor"/>
      </rPr>
      <t>w</t>
    </r>
  </si>
  <si>
    <r>
      <t>U=Z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>/Z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</si>
  <si>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w</t>
    </r>
    <r>
      <rPr>
        <i/>
        <sz val="11"/>
        <color theme="1"/>
        <rFont val="Calibri"/>
        <family val="2"/>
        <charset val="204"/>
        <scheme val="minor"/>
      </rPr>
      <t>=m*Z*cos</t>
    </r>
    <r>
      <rPr>
        <i/>
        <sz val="11"/>
        <color theme="1"/>
        <rFont val="Calibri"/>
        <family val="2"/>
        <charset val="204"/>
      </rPr>
      <t>α</t>
    </r>
    <r>
      <rPr>
        <i/>
        <sz val="11"/>
        <color theme="1"/>
        <rFont val="Calibri"/>
        <family val="2"/>
        <charset val="204"/>
        <scheme val="minor"/>
      </rPr>
      <t>/cos</t>
    </r>
    <r>
      <rPr>
        <i/>
        <sz val="11"/>
        <color theme="1"/>
        <rFont val="Calibri"/>
        <family val="2"/>
        <charset val="204"/>
      </rPr>
      <t>α</t>
    </r>
    <r>
      <rPr>
        <i/>
        <vertAlign val="subscript"/>
        <sz val="11"/>
        <color theme="1"/>
        <rFont val="Calibri"/>
        <family val="2"/>
        <charset val="204"/>
        <scheme val="minor"/>
      </rPr>
      <t>w</t>
    </r>
  </si>
  <si>
    <r>
      <t>y=[a</t>
    </r>
    <r>
      <rPr>
        <i/>
        <vertAlign val="subscript"/>
        <sz val="11"/>
        <color theme="1"/>
        <rFont val="Calibri"/>
        <family val="2"/>
        <charset val="204"/>
        <scheme val="minor"/>
      </rPr>
      <t>w</t>
    </r>
    <r>
      <rPr>
        <i/>
        <sz val="11"/>
        <color theme="1"/>
        <rFont val="Calibri"/>
        <family val="2"/>
        <charset val="204"/>
        <scheme val="minor"/>
      </rPr>
      <t>-0,5*(d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i/>
        <sz val="11"/>
        <color theme="1"/>
        <rFont val="Calibri"/>
        <family val="2"/>
        <charset val="204"/>
        <scheme val="minor"/>
      </rPr>
      <t>+d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i/>
        <sz val="11"/>
        <color theme="1"/>
        <rFont val="Calibri"/>
        <family val="2"/>
        <charset val="204"/>
        <scheme val="minor"/>
      </rPr>
      <t>)]/m</t>
    </r>
  </si>
  <si>
    <r>
      <t>Δy=(X</t>
    </r>
    <r>
      <rPr>
        <i/>
        <vertAlign val="subscript"/>
        <sz val="11"/>
        <color theme="1"/>
        <rFont val="Calibri"/>
        <family val="2"/>
        <charset val="204"/>
      </rPr>
      <t>1</t>
    </r>
    <r>
      <rPr>
        <i/>
        <sz val="11"/>
        <color theme="1"/>
        <rFont val="Calibri"/>
        <family val="2"/>
        <charset val="204"/>
      </rPr>
      <t>+X</t>
    </r>
    <r>
      <rPr>
        <i/>
        <vertAlign val="subscript"/>
        <sz val="11"/>
        <color theme="1"/>
        <rFont val="Calibri"/>
        <family val="2"/>
        <charset val="204"/>
      </rPr>
      <t>2</t>
    </r>
    <r>
      <rPr>
        <i/>
        <sz val="11"/>
        <color theme="1"/>
        <rFont val="Calibri"/>
        <family val="2"/>
        <charset val="204"/>
      </rPr>
      <t>)-y</t>
    </r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</si>
  <si>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a</t>
    </r>
    <r>
      <rPr>
        <i/>
        <sz val="11"/>
        <color theme="1"/>
        <rFont val="Calibri"/>
        <family val="2"/>
        <charset val="204"/>
        <scheme val="minor"/>
      </rPr>
      <t>=d+2*m*(1+X-Δy)</t>
    </r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</si>
  <si>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f</t>
    </r>
    <r>
      <rPr>
        <i/>
        <sz val="11"/>
        <color theme="1"/>
        <rFont val="Calibri"/>
        <family val="2"/>
        <charset val="204"/>
        <scheme val="minor"/>
      </rPr>
      <t>=d-2*m*(1+0,25-X)</t>
    </r>
  </si>
  <si>
    <r>
      <t>d</t>
    </r>
    <r>
      <rPr>
        <i/>
        <vertAlign val="subscript"/>
        <sz val="11"/>
        <color theme="1"/>
        <rFont val="Calibri"/>
        <family val="2"/>
        <charset val="204"/>
        <scheme val="minor"/>
      </rPr>
      <t>b</t>
    </r>
    <r>
      <rPr>
        <i/>
        <sz val="11"/>
        <color theme="1"/>
        <rFont val="Calibri"/>
        <family val="2"/>
        <charset val="204"/>
        <scheme val="minor"/>
      </rPr>
      <t>=m*Z*cos20</t>
    </r>
    <r>
      <rPr>
        <i/>
        <sz val="11"/>
        <color theme="1"/>
        <rFont val="Calibri"/>
        <family val="2"/>
        <charset val="204"/>
      </rPr>
      <t>⁰</t>
    </r>
  </si>
  <si>
    <r>
      <t>s=0,5*</t>
    </r>
    <r>
      <rPr>
        <i/>
        <sz val="11"/>
        <color theme="1"/>
        <rFont val="Calibri"/>
        <family val="2"/>
        <charset val="204"/>
      </rPr>
      <t>π*m+2*X*m*tg20⁰</t>
    </r>
  </si>
  <si>
    <r>
      <t>p=</t>
    </r>
    <r>
      <rPr>
        <i/>
        <sz val="11"/>
        <color theme="1"/>
        <rFont val="Calibri"/>
        <family val="2"/>
        <charset val="204"/>
      </rPr>
      <t>π*m</t>
    </r>
  </si>
  <si>
    <t>Передаточное число</t>
  </si>
  <si>
    <t>Колесо 4</t>
  </si>
  <si>
    <t>Колесо 5</t>
  </si>
  <si>
    <r>
      <t>ρ</t>
    </r>
    <r>
      <rPr>
        <i/>
        <vertAlign val="subscript"/>
        <sz val="11"/>
        <color theme="1"/>
        <rFont val="Calibri"/>
        <family val="2"/>
        <charset val="204"/>
      </rPr>
      <t>f</t>
    </r>
    <r>
      <rPr>
        <i/>
        <sz val="11"/>
        <color theme="1"/>
        <rFont val="Calibri"/>
        <family val="2"/>
        <charset val="204"/>
      </rPr>
      <t>=0,38*m</t>
    </r>
  </si>
  <si>
    <r>
      <t>ρ</t>
    </r>
    <r>
      <rPr>
        <i/>
        <vertAlign val="subscript"/>
        <sz val="11"/>
        <color theme="1"/>
        <rFont val="Calibri"/>
        <family val="2"/>
        <charset val="204"/>
        <scheme val="minor"/>
      </rPr>
      <t>L</t>
    </r>
    <r>
      <rPr>
        <i/>
        <sz val="11"/>
        <color theme="1"/>
        <rFont val="Calibri"/>
        <family val="2"/>
        <charset val="204"/>
        <scheme val="minor"/>
      </rPr>
      <t>=0,5*d*sin20</t>
    </r>
    <r>
      <rPr>
        <i/>
        <sz val="11"/>
        <color theme="1"/>
        <rFont val="Calibri"/>
        <family val="2"/>
        <charset val="204"/>
      </rPr>
      <t>⁰-(1-X)*m/sin20⁰</t>
    </r>
  </si>
  <si>
    <t>Модуль, мм</t>
  </si>
  <si>
    <t>Межосевое расстояние, мм</t>
  </si>
  <si>
    <t>Угол зацепления, рад</t>
  </si>
  <si>
    <r>
      <t>α</t>
    </r>
    <r>
      <rPr>
        <i/>
        <vertAlign val="subscript"/>
        <sz val="11"/>
        <color theme="1"/>
        <rFont val="Calibri"/>
        <family val="2"/>
        <charset val="204"/>
      </rPr>
      <t>w</t>
    </r>
  </si>
  <si>
    <t>Диаметр делительных окружностей,мм</t>
  </si>
  <si>
    <t>Диаметр начальных окружностей, мм</t>
  </si>
  <si>
    <t>Диаметр окружностей вершин, мм</t>
  </si>
  <si>
    <t>Диаметр окружностей впадин, мм</t>
  </si>
  <si>
    <t>Диаметр основных окружностей, мм</t>
  </si>
  <si>
    <t>Толщина зубьев, мм</t>
  </si>
  <si>
    <t>Шаг по делительной окружности, мм</t>
  </si>
  <si>
    <t>Радиус переходной кривой вершины зуборезной рейки, мм</t>
  </si>
  <si>
    <t>Радиус кривизны эвольенты в граничной точке L, мм</t>
  </si>
  <si>
    <t>Диаметр граничной окружности, мм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</si>
  <si>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y4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</si>
  <si>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y4</t>
    </r>
  </si>
  <si>
    <r>
      <t>α</t>
    </r>
    <r>
      <rPr>
        <vertAlign val="subscript"/>
        <sz val="11"/>
        <color theme="1"/>
        <rFont val="Calibri"/>
        <family val="2"/>
        <charset val="204"/>
      </rPr>
      <t>y4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</si>
  <si>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y5</t>
    </r>
    <r>
      <rPr>
        <sz val="11"/>
        <color theme="1"/>
        <rFont val="Calibri"/>
        <family val="2"/>
        <charset val="204"/>
        <scheme val="minor"/>
      </rPr>
      <t/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</si>
  <si>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y5</t>
    </r>
    <r>
      <rPr>
        <sz val="11"/>
        <color theme="1"/>
        <rFont val="Calibri"/>
        <family val="2"/>
        <charset val="204"/>
        <scheme val="minor"/>
      </rPr>
      <t/>
    </r>
  </si>
  <si>
    <r>
      <t>α</t>
    </r>
    <r>
      <rPr>
        <vertAlign val="subscript"/>
        <sz val="11"/>
        <color theme="1"/>
        <rFont val="Calibri"/>
        <family val="2"/>
        <charset val="204"/>
      </rPr>
      <t>y5</t>
    </r>
    <r>
      <rPr>
        <sz val="11"/>
        <color theme="1"/>
        <rFont val="Calibri"/>
        <family val="2"/>
        <charset val="204"/>
        <scheme val="minor"/>
      </rPr>
      <t/>
    </r>
  </si>
  <si>
    <t>ρ</t>
  </si>
  <si>
    <r>
      <t>λ</t>
    </r>
    <r>
      <rPr>
        <vertAlign val="subscript"/>
        <sz val="11"/>
        <color theme="1"/>
        <rFont val="Calibri"/>
        <family val="2"/>
        <charset val="204"/>
      </rPr>
      <t>4</t>
    </r>
  </si>
  <si>
    <r>
      <t>λ</t>
    </r>
    <r>
      <rPr>
        <vertAlign val="subscript"/>
        <sz val="11"/>
        <color theme="1"/>
        <rFont val="Calibri"/>
        <family val="2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</si>
  <si>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inv20</t>
    </r>
    <r>
      <rPr>
        <sz val="11"/>
        <color theme="1"/>
        <rFont val="Calibri"/>
        <family val="2"/>
        <charset val="204"/>
      </rPr>
      <t>°</t>
    </r>
  </si>
  <si>
    <t>AB</t>
  </si>
</sst>
</file>

<file path=xl/styles.xml><?xml version="1.0" encoding="utf-8"?>
<styleSheet xmlns="http://schemas.openxmlformats.org/spreadsheetml/2006/main">
  <numFmts count="1">
    <numFmt numFmtId="164" formatCode="0.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vertAlign val="subscript"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9" fillId="0" borderId="0" xfId="0" applyFont="1"/>
    <xf numFmtId="0" fontId="2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2" fontId="0" fillId="4" borderId="1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2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 shrinkToFit="1"/>
    </xf>
    <xf numFmtId="2" fontId="0" fillId="0" borderId="4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0"/>
  <sheetViews>
    <sheetView tabSelected="1" workbookViewId="0">
      <selection activeCell="K7" sqref="K7:N7"/>
    </sheetView>
  </sheetViews>
  <sheetFormatPr defaultRowHeight="15"/>
  <cols>
    <col min="4" max="4" width="11.5703125" customWidth="1"/>
    <col min="11" max="11" width="12" bestFit="1" customWidth="1"/>
    <col min="14" max="14" width="10.85546875" customWidth="1"/>
    <col min="16" max="16" width="11.140625" customWidth="1"/>
  </cols>
  <sheetData>
    <row r="1" spans="1:16">
      <c r="A1" s="55" t="s">
        <v>0</v>
      </c>
      <c r="B1" s="56"/>
      <c r="C1" s="56"/>
      <c r="D1" s="57"/>
      <c r="E1" s="55" t="s">
        <v>1</v>
      </c>
      <c r="F1" s="56"/>
      <c r="G1" s="56"/>
      <c r="H1" s="56"/>
      <c r="I1" s="56"/>
      <c r="J1" s="57"/>
      <c r="K1" s="55" t="s">
        <v>26</v>
      </c>
      <c r="L1" s="57"/>
      <c r="M1" s="83" t="s">
        <v>27</v>
      </c>
      <c r="N1" s="84"/>
    </row>
    <row r="2" spans="1:16">
      <c r="A2" s="19" t="s">
        <v>2</v>
      </c>
      <c r="B2" s="20"/>
      <c r="C2" s="20"/>
      <c r="D2" s="21"/>
      <c r="E2" s="22" t="s">
        <v>3</v>
      </c>
      <c r="F2" s="23"/>
      <c r="G2" s="23"/>
      <c r="H2" s="23"/>
      <c r="I2" s="23"/>
      <c r="J2" s="24"/>
      <c r="K2" s="19">
        <v>14</v>
      </c>
      <c r="L2" s="21"/>
      <c r="M2" s="19">
        <v>25</v>
      </c>
      <c r="N2" s="21"/>
      <c r="P2" s="10"/>
    </row>
    <row r="3" spans="1:16">
      <c r="A3" s="19" t="s">
        <v>4</v>
      </c>
      <c r="B3" s="20"/>
      <c r="C3" s="20"/>
      <c r="D3" s="21"/>
      <c r="E3" s="22" t="s">
        <v>13</v>
      </c>
      <c r="F3" s="23"/>
      <c r="G3" s="23"/>
      <c r="H3" s="23"/>
      <c r="I3" s="23"/>
      <c r="J3" s="24"/>
      <c r="K3" s="19">
        <v>0.79599999999999993</v>
      </c>
      <c r="L3" s="21"/>
      <c r="M3" s="19">
        <v>0.40500000000000003</v>
      </c>
      <c r="N3" s="21"/>
    </row>
    <row r="4" spans="1:16" ht="18">
      <c r="A4" s="19" t="s">
        <v>5</v>
      </c>
      <c r="B4" s="20"/>
      <c r="C4" s="20"/>
      <c r="D4" s="21"/>
      <c r="E4" s="22" t="s">
        <v>14</v>
      </c>
      <c r="F4" s="23"/>
      <c r="G4" s="23"/>
      <c r="H4" s="23"/>
      <c r="I4" s="23"/>
      <c r="J4" s="24"/>
      <c r="K4" s="19">
        <f>2*(K3+M3)*TAN(PI()/9)/(K2+M2)+TAN(PI()/9)-PI()/9</f>
        <v>3.7321217270090745E-2</v>
      </c>
      <c r="L4" s="20"/>
      <c r="M4" s="20"/>
      <c r="N4" s="21"/>
    </row>
    <row r="5" spans="1:16" ht="18">
      <c r="A5" s="19" t="s">
        <v>32</v>
      </c>
      <c r="B5" s="20"/>
      <c r="C5" s="20"/>
      <c r="D5" s="21"/>
      <c r="E5" s="81" t="s">
        <v>33</v>
      </c>
      <c r="F5" s="23"/>
      <c r="G5" s="23"/>
      <c r="H5" s="23"/>
      <c r="I5" s="23"/>
      <c r="J5" s="24"/>
      <c r="K5" s="71">
        <v>0.46748591712937582</v>
      </c>
      <c r="L5" s="82"/>
      <c r="M5" s="82"/>
      <c r="N5" s="72"/>
      <c r="O5" s="18">
        <f>DEGREES(K5)</f>
        <v>26.784970033315791</v>
      </c>
    </row>
    <row r="6" spans="1:16" ht="18">
      <c r="A6" s="19" t="s">
        <v>31</v>
      </c>
      <c r="B6" s="20"/>
      <c r="C6" s="20"/>
      <c r="D6" s="21"/>
      <c r="E6" s="22" t="s">
        <v>15</v>
      </c>
      <c r="F6" s="23"/>
      <c r="G6" s="23"/>
      <c r="H6" s="23"/>
      <c r="I6" s="23"/>
      <c r="J6" s="24"/>
      <c r="K6" s="27">
        <f>0.5*K7*(K2+M2)*COS(PI()/9)/COS(K5)</f>
        <v>164.21124862649305</v>
      </c>
      <c r="L6" s="28"/>
      <c r="M6" s="28"/>
      <c r="N6" s="29"/>
    </row>
    <row r="7" spans="1:16">
      <c r="A7" s="19" t="s">
        <v>30</v>
      </c>
      <c r="B7" s="20"/>
      <c r="C7" s="20"/>
      <c r="D7" s="21"/>
      <c r="E7" s="22" t="s">
        <v>6</v>
      </c>
      <c r="F7" s="23"/>
      <c r="G7" s="23"/>
      <c r="H7" s="23"/>
      <c r="I7" s="23"/>
      <c r="J7" s="24"/>
      <c r="K7" s="27">
        <v>8</v>
      </c>
      <c r="L7" s="28"/>
      <c r="M7" s="28"/>
      <c r="N7" s="29"/>
    </row>
    <row r="8" spans="1:16" ht="18">
      <c r="A8" s="19" t="s">
        <v>25</v>
      </c>
      <c r="B8" s="20"/>
      <c r="C8" s="20"/>
      <c r="D8" s="21"/>
      <c r="E8" s="22" t="s">
        <v>16</v>
      </c>
      <c r="F8" s="23"/>
      <c r="G8" s="23"/>
      <c r="H8" s="23"/>
      <c r="I8" s="23"/>
      <c r="J8" s="24"/>
      <c r="K8" s="27">
        <f>M2/K2</f>
        <v>1.7857142857142858</v>
      </c>
      <c r="L8" s="28"/>
      <c r="M8" s="28"/>
      <c r="N8" s="29"/>
    </row>
    <row r="9" spans="1:16">
      <c r="A9" s="19" t="s">
        <v>34</v>
      </c>
      <c r="B9" s="20"/>
      <c r="C9" s="20"/>
      <c r="D9" s="21"/>
      <c r="E9" s="22" t="s">
        <v>7</v>
      </c>
      <c r="F9" s="23"/>
      <c r="G9" s="23"/>
      <c r="H9" s="23"/>
      <c r="I9" s="23"/>
      <c r="J9" s="24"/>
      <c r="K9" s="27">
        <f>K7*K2</f>
        <v>112</v>
      </c>
      <c r="L9" s="29"/>
      <c r="M9" s="27">
        <f>K7*M2</f>
        <v>200</v>
      </c>
      <c r="N9" s="29"/>
    </row>
    <row r="10" spans="1:16" ht="18">
      <c r="A10" s="19" t="s">
        <v>35</v>
      </c>
      <c r="B10" s="20"/>
      <c r="C10" s="20"/>
      <c r="D10" s="21"/>
      <c r="E10" s="22" t="s">
        <v>17</v>
      </c>
      <c r="F10" s="23"/>
      <c r="G10" s="23"/>
      <c r="H10" s="23"/>
      <c r="I10" s="23"/>
      <c r="J10" s="24"/>
      <c r="K10" s="71">
        <f>K7*K2*COS(PI()/9)/COS(K5)</f>
        <v>117.89525542414884</v>
      </c>
      <c r="L10" s="72"/>
      <c r="M10" s="27">
        <f>K7*M2*COS(PI()/9)/COS(K5)</f>
        <v>210.52724182883725</v>
      </c>
      <c r="N10" s="29"/>
    </row>
    <row r="11" spans="1:16">
      <c r="A11" s="73" t="s">
        <v>8</v>
      </c>
      <c r="B11" s="74"/>
      <c r="C11" s="74"/>
      <c r="D11" s="75"/>
      <c r="E11" s="36" t="s">
        <v>18</v>
      </c>
      <c r="F11" s="37"/>
      <c r="G11" s="37"/>
      <c r="H11" s="37"/>
      <c r="I11" s="37"/>
      <c r="J11" s="38"/>
      <c r="K11" s="42">
        <f>(K6-0.5*(K9+M9))/K7</f>
        <v>1.0264060783116307</v>
      </c>
      <c r="L11" s="79"/>
      <c r="M11" s="53"/>
      <c r="N11" s="47"/>
    </row>
    <row r="12" spans="1:16">
      <c r="A12" s="76"/>
      <c r="B12" s="77"/>
      <c r="C12" s="77"/>
      <c r="D12" s="78"/>
      <c r="E12" s="39"/>
      <c r="F12" s="40"/>
      <c r="G12" s="40"/>
      <c r="H12" s="40"/>
      <c r="I12" s="40"/>
      <c r="J12" s="41"/>
      <c r="K12" s="44"/>
      <c r="L12" s="80"/>
      <c r="M12" s="54"/>
      <c r="N12" s="49"/>
    </row>
    <row r="13" spans="1:16">
      <c r="A13" s="58" t="s">
        <v>9</v>
      </c>
      <c r="B13" s="59"/>
      <c r="C13" s="59"/>
      <c r="D13" s="60"/>
      <c r="E13" s="64" t="s">
        <v>19</v>
      </c>
      <c r="F13" s="37"/>
      <c r="G13" s="37"/>
      <c r="H13" s="37"/>
      <c r="I13" s="37"/>
      <c r="J13" s="38"/>
      <c r="K13" s="46">
        <f>K3+M3-K11</f>
        <v>0.1745939216883694</v>
      </c>
      <c r="L13" s="53"/>
      <c r="M13" s="53"/>
      <c r="N13" s="47"/>
    </row>
    <row r="14" spans="1:16">
      <c r="A14" s="61"/>
      <c r="B14" s="62"/>
      <c r="C14" s="62"/>
      <c r="D14" s="63"/>
      <c r="E14" s="39"/>
      <c r="F14" s="40"/>
      <c r="G14" s="40"/>
      <c r="H14" s="40"/>
      <c r="I14" s="40"/>
      <c r="J14" s="41"/>
      <c r="K14" s="48"/>
      <c r="L14" s="54"/>
      <c r="M14" s="54"/>
      <c r="N14" s="49"/>
    </row>
    <row r="15" spans="1:16" ht="18">
      <c r="A15" s="19" t="s">
        <v>36</v>
      </c>
      <c r="B15" s="20"/>
      <c r="C15" s="20"/>
      <c r="D15" s="21"/>
      <c r="E15" s="22" t="s">
        <v>20</v>
      </c>
      <c r="F15" s="23"/>
      <c r="G15" s="23"/>
      <c r="H15" s="23"/>
      <c r="I15" s="23"/>
      <c r="J15" s="24"/>
      <c r="K15" s="27">
        <f>K9+2*K7*(1+K3-K13)</f>
        <v>137.94249725298607</v>
      </c>
      <c r="L15" s="29"/>
      <c r="M15" s="27">
        <f>M9+2*K7*(1+M3-K13)</f>
        <v>219.6864972529861</v>
      </c>
      <c r="N15" s="29"/>
    </row>
    <row r="16" spans="1:16" ht="18">
      <c r="A16" s="19" t="s">
        <v>37</v>
      </c>
      <c r="B16" s="20"/>
      <c r="C16" s="20"/>
      <c r="D16" s="21"/>
      <c r="E16" s="22" t="s">
        <v>21</v>
      </c>
      <c r="F16" s="23"/>
      <c r="G16" s="23"/>
      <c r="H16" s="23"/>
      <c r="I16" s="23"/>
      <c r="J16" s="24"/>
      <c r="K16" s="25">
        <f>K9-2*K7*(1+0.25-K3)</f>
        <v>104.736</v>
      </c>
      <c r="L16" s="26"/>
      <c r="M16" s="25">
        <f>M9-2*K7*(1+0.25-M3)</f>
        <v>186.48</v>
      </c>
      <c r="N16" s="26"/>
    </row>
    <row r="17" spans="1:17" ht="18">
      <c r="A17" s="19" t="s">
        <v>38</v>
      </c>
      <c r="B17" s="20"/>
      <c r="C17" s="20"/>
      <c r="D17" s="21"/>
      <c r="E17" s="22" t="s">
        <v>22</v>
      </c>
      <c r="F17" s="23"/>
      <c r="G17" s="23"/>
      <c r="H17" s="23"/>
      <c r="I17" s="23"/>
      <c r="J17" s="24"/>
      <c r="K17" s="25">
        <f>K7*K2*COS(PI()/9)</f>
        <v>105.24557352802174</v>
      </c>
      <c r="L17" s="26"/>
      <c r="M17" s="25">
        <f>K7*M2*COS(PI()/9)</f>
        <v>187.93852415718169</v>
      </c>
      <c r="N17" s="26"/>
    </row>
    <row r="18" spans="1:17">
      <c r="A18" s="19" t="s">
        <v>39</v>
      </c>
      <c r="B18" s="20"/>
      <c r="C18" s="20"/>
      <c r="D18" s="21"/>
      <c r="E18" s="22" t="s">
        <v>23</v>
      </c>
      <c r="F18" s="23"/>
      <c r="G18" s="23"/>
      <c r="H18" s="23"/>
      <c r="I18" s="23"/>
      <c r="J18" s="24"/>
      <c r="K18" s="25">
        <f>0.5*PI()*K7+2*K3*K7*TAN(PI()/9)</f>
        <v>17.201895517973526</v>
      </c>
      <c r="L18" s="26"/>
      <c r="M18" s="25">
        <f>0.5*PI()*K7+2*M3*K7*TAN(PI()/9)</f>
        <v>14.924897732404164</v>
      </c>
      <c r="N18" s="26"/>
    </row>
    <row r="19" spans="1:17">
      <c r="A19" s="19" t="s">
        <v>40</v>
      </c>
      <c r="B19" s="20"/>
      <c r="C19" s="20"/>
      <c r="D19" s="21"/>
      <c r="E19" s="22" t="s">
        <v>24</v>
      </c>
      <c r="F19" s="23"/>
      <c r="G19" s="23"/>
      <c r="H19" s="23"/>
      <c r="I19" s="23"/>
      <c r="J19" s="24"/>
      <c r="K19" s="27">
        <f>PI()*K7</f>
        <v>25.132741228718345</v>
      </c>
      <c r="L19" s="28"/>
      <c r="M19" s="28"/>
      <c r="N19" s="29"/>
    </row>
    <row r="20" spans="1:17">
      <c r="A20" s="30" t="s">
        <v>10</v>
      </c>
      <c r="B20" s="31"/>
      <c r="C20" s="31"/>
      <c r="D20" s="32"/>
      <c r="E20" s="36"/>
      <c r="F20" s="37"/>
      <c r="G20" s="37"/>
      <c r="H20" s="37"/>
      <c r="I20" s="37"/>
      <c r="J20" s="38"/>
      <c r="K20" s="46">
        <f>(SQRT(K15*K15-K17*K17)+SQRT(M15*M15-M17*M17)-SIN(K5)*(K10+M10))/(2*K19*COS(PI()/9))</f>
        <v>1.1629196107144231</v>
      </c>
      <c r="L20" s="53"/>
      <c r="M20" s="53"/>
      <c r="N20" s="47"/>
    </row>
    <row r="21" spans="1:17">
      <c r="A21" s="50"/>
      <c r="B21" s="51"/>
      <c r="C21" s="51"/>
      <c r="D21" s="52"/>
      <c r="E21" s="39"/>
      <c r="F21" s="40"/>
      <c r="G21" s="40"/>
      <c r="H21" s="40"/>
      <c r="I21" s="40"/>
      <c r="J21" s="41"/>
      <c r="K21" s="48"/>
      <c r="L21" s="54"/>
      <c r="M21" s="54"/>
      <c r="N21" s="49"/>
    </row>
    <row r="22" spans="1:17">
      <c r="A22" s="55" t="s">
        <v>11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/>
    </row>
    <row r="23" spans="1:17">
      <c r="A23" s="58" t="s">
        <v>41</v>
      </c>
      <c r="B23" s="59"/>
      <c r="C23" s="59"/>
      <c r="D23" s="60"/>
      <c r="E23" s="64" t="s">
        <v>28</v>
      </c>
      <c r="F23" s="37"/>
      <c r="G23" s="37"/>
      <c r="H23" s="37"/>
      <c r="I23" s="37"/>
      <c r="J23" s="38"/>
      <c r="K23" s="65">
        <f>0.38*K7</f>
        <v>3.04</v>
      </c>
      <c r="L23" s="66"/>
      <c r="M23" s="66"/>
      <c r="N23" s="67"/>
    </row>
    <row r="24" spans="1:17">
      <c r="A24" s="61"/>
      <c r="B24" s="62"/>
      <c r="C24" s="62"/>
      <c r="D24" s="63"/>
      <c r="E24" s="39"/>
      <c r="F24" s="40"/>
      <c r="G24" s="40"/>
      <c r="H24" s="40"/>
      <c r="I24" s="40"/>
      <c r="J24" s="41"/>
      <c r="K24" s="68"/>
      <c r="L24" s="69"/>
      <c r="M24" s="69"/>
      <c r="N24" s="70"/>
    </row>
    <row r="25" spans="1:17">
      <c r="A25" s="58" t="s">
        <v>42</v>
      </c>
      <c r="B25" s="59"/>
      <c r="C25" s="59"/>
      <c r="D25" s="60"/>
      <c r="E25" s="36" t="s">
        <v>29</v>
      </c>
      <c r="F25" s="37"/>
      <c r="G25" s="37"/>
      <c r="H25" s="37"/>
      <c r="I25" s="37"/>
      <c r="J25" s="38"/>
      <c r="K25" s="42">
        <f>0.5*K9*SIN(PI()/9)-K7*(1-K3)/SIN(PI()/9)</f>
        <v>14.381479245171287</v>
      </c>
      <c r="L25" s="47"/>
      <c r="M25" s="42">
        <f>0.5*M9*SIN(PI()/9)-K7*(1-M3)/SIN(PI()/9)</f>
        <v>20.284705387790574</v>
      </c>
      <c r="N25" s="47"/>
    </row>
    <row r="26" spans="1:17">
      <c r="A26" s="61"/>
      <c r="B26" s="62"/>
      <c r="C26" s="62"/>
      <c r="D26" s="63"/>
      <c r="E26" s="39"/>
      <c r="F26" s="40"/>
      <c r="G26" s="40"/>
      <c r="H26" s="40"/>
      <c r="I26" s="40"/>
      <c r="J26" s="41"/>
      <c r="K26" s="48"/>
      <c r="L26" s="49"/>
      <c r="M26" s="48"/>
      <c r="N26" s="49"/>
    </row>
    <row r="27" spans="1:17">
      <c r="A27" s="30" t="s">
        <v>43</v>
      </c>
      <c r="B27" s="31"/>
      <c r="C27" s="31"/>
      <c r="D27" s="32"/>
      <c r="E27" s="36" t="s">
        <v>12</v>
      </c>
      <c r="F27" s="37"/>
      <c r="G27" s="37"/>
      <c r="H27" s="37"/>
      <c r="I27" s="37"/>
      <c r="J27" s="38"/>
      <c r="K27" s="42">
        <f>SQRT(K17*K17+4*K25*K25)</f>
        <v>109.10517186806224</v>
      </c>
      <c r="L27" s="43"/>
      <c r="M27" s="46">
        <f>SQRT(M17*M17+4*M25*M25)</f>
        <v>192.26743341777203</v>
      </c>
      <c r="N27" s="47"/>
    </row>
    <row r="28" spans="1:17">
      <c r="A28" s="33"/>
      <c r="B28" s="34"/>
      <c r="C28" s="34"/>
      <c r="D28" s="35"/>
      <c r="E28" s="39"/>
      <c r="F28" s="40"/>
      <c r="G28" s="40"/>
      <c r="H28" s="40"/>
      <c r="I28" s="40"/>
      <c r="J28" s="41"/>
      <c r="K28" s="44"/>
      <c r="L28" s="45"/>
      <c r="M28" s="48"/>
      <c r="N28" s="49"/>
    </row>
    <row r="29" spans="1:17" ht="18">
      <c r="A29" s="4" t="s">
        <v>45</v>
      </c>
      <c r="B29" s="5">
        <f>K9+($K$15-$K$9)/10</f>
        <v>114.59424972529861</v>
      </c>
      <c r="C29" s="5">
        <f>B29+($K$15-$K$9)/10</f>
        <v>117.18849945059722</v>
      </c>
      <c r="D29" s="5">
        <f t="shared" ref="D29:K29" si="0">C29+($K$15-$K$9)/10</f>
        <v>119.78274917589583</v>
      </c>
      <c r="E29" s="5">
        <f t="shared" si="0"/>
        <v>122.37699890119444</v>
      </c>
      <c r="F29" s="5">
        <f t="shared" si="0"/>
        <v>124.97124862649305</v>
      </c>
      <c r="G29" s="5">
        <f t="shared" si="0"/>
        <v>127.56549835179166</v>
      </c>
      <c r="H29" s="5">
        <f t="shared" si="0"/>
        <v>130.15974807709026</v>
      </c>
      <c r="I29" s="5">
        <f t="shared" si="0"/>
        <v>132.75399780238885</v>
      </c>
      <c r="J29" s="5">
        <f t="shared" si="0"/>
        <v>135.34824752768745</v>
      </c>
      <c r="K29" s="5">
        <f t="shared" si="0"/>
        <v>137.94249725298604</v>
      </c>
      <c r="L29" s="1" t="s">
        <v>53</v>
      </c>
      <c r="M29" s="1">
        <f>TAN(PI()/9)-PI()/9</f>
        <v>1.4904383867336446E-2</v>
      </c>
      <c r="N29" s="1"/>
      <c r="O29" s="1"/>
      <c r="P29" s="1"/>
      <c r="Q29" s="1"/>
    </row>
    <row r="30" spans="1:17" ht="18">
      <c r="A30" s="6" t="s">
        <v>46</v>
      </c>
      <c r="B30" s="5">
        <f t="shared" ref="B30:K30" si="1">ACOS($K$17/B29)*180/PI()</f>
        <v>23.303918810750137</v>
      </c>
      <c r="C30" s="5">
        <f t="shared" si="1"/>
        <v>26.092142362211021</v>
      </c>
      <c r="D30" s="5">
        <f t="shared" si="1"/>
        <v>28.521601698861414</v>
      </c>
      <c r="E30" s="5">
        <f t="shared" si="1"/>
        <v>30.682174367960286</v>
      </c>
      <c r="F30" s="5">
        <f t="shared" si="1"/>
        <v>32.631263170517137</v>
      </c>
      <c r="G30" s="5">
        <f t="shared" si="1"/>
        <v>34.408299762524678</v>
      </c>
      <c r="H30" s="5">
        <f t="shared" si="1"/>
        <v>36.04182384787844</v>
      </c>
      <c r="I30" s="5">
        <f t="shared" si="1"/>
        <v>37.553320553400198</v>
      </c>
      <c r="J30" s="5">
        <f t="shared" si="1"/>
        <v>38.959468027407532</v>
      </c>
      <c r="K30" s="5">
        <f t="shared" si="1"/>
        <v>40.273534980588678</v>
      </c>
      <c r="L30" s="1"/>
      <c r="M30" s="1"/>
      <c r="N30" s="1"/>
      <c r="O30" s="1"/>
      <c r="P30" s="1"/>
      <c r="Q30" s="1"/>
    </row>
    <row r="31" spans="1:17" ht="18">
      <c r="A31" s="4" t="s">
        <v>44</v>
      </c>
      <c r="B31" s="5">
        <f t="shared" ref="B31:K31" si="2">B29*($K$18/$K$9+$M$29-TAN(B30*PI()/180)+B30*PI()/180)</f>
        <v>16.555858078324469</v>
      </c>
      <c r="C31" s="5">
        <f t="shared" si="2"/>
        <v>15.72219994226176</v>
      </c>
      <c r="D31" s="5">
        <f t="shared" si="2"/>
        <v>14.714667245757891</v>
      </c>
      <c r="E31" s="5">
        <f t="shared" si="2"/>
        <v>13.542467881085559</v>
      </c>
      <c r="F31" s="5">
        <f t="shared" si="2"/>
        <v>12.212185164665893</v>
      </c>
      <c r="G31" s="5">
        <f t="shared" si="2"/>
        <v>10.728739786290099</v>
      </c>
      <c r="H31" s="5">
        <f t="shared" si="2"/>
        <v>9.0959309937692314</v>
      </c>
      <c r="I31" s="5">
        <f t="shared" si="2"/>
        <v>7.3167659639700346</v>
      </c>
      <c r="J31" s="5">
        <f t="shared" si="2"/>
        <v>5.3936723013178689</v>
      </c>
      <c r="K31" s="5">
        <f t="shared" si="2"/>
        <v>3.328641461336546</v>
      </c>
      <c r="L31" s="1"/>
      <c r="M31" s="1"/>
      <c r="N31" s="1"/>
      <c r="O31" s="1"/>
      <c r="P31" s="1"/>
      <c r="Q31" s="1"/>
    </row>
    <row r="32" spans="1:17" ht="18">
      <c r="A32" s="7" t="s">
        <v>48</v>
      </c>
      <c r="B32" s="8">
        <f>M9+($M$15-$M$9)/10</f>
        <v>201.9686497252986</v>
      </c>
      <c r="C32" s="8">
        <f>B32+($M$15-$M$9)/10</f>
        <v>203.93729945059721</v>
      </c>
      <c r="D32" s="8">
        <f t="shared" ref="D32:K32" si="3">C32+($M$15-$M$9)/10</f>
        <v>205.90594917589581</v>
      </c>
      <c r="E32" s="8">
        <f t="shared" si="3"/>
        <v>207.87459890119442</v>
      </c>
      <c r="F32" s="8">
        <f t="shared" si="3"/>
        <v>209.84324862649302</v>
      </c>
      <c r="G32" s="8">
        <f t="shared" si="3"/>
        <v>211.81189835179163</v>
      </c>
      <c r="H32" s="8">
        <f t="shared" si="3"/>
        <v>213.78054807709023</v>
      </c>
      <c r="I32" s="8">
        <f t="shared" si="3"/>
        <v>215.74919780238884</v>
      </c>
      <c r="J32" s="8">
        <f t="shared" si="3"/>
        <v>217.71784752768744</v>
      </c>
      <c r="K32" s="8">
        <f t="shared" si="3"/>
        <v>219.68649725298604</v>
      </c>
      <c r="L32" s="1"/>
      <c r="M32" s="1"/>
      <c r="N32" s="1"/>
      <c r="O32" s="1"/>
      <c r="P32" s="1"/>
      <c r="Q32" s="1"/>
    </row>
    <row r="33" spans="1:12" ht="18">
      <c r="A33" s="9" t="s">
        <v>49</v>
      </c>
      <c r="B33" s="8">
        <f t="shared" ref="B33:K33" si="4">ACOS($M$17/B32)*180/PI()</f>
        <v>21.48192336787492</v>
      </c>
      <c r="C33" s="8">
        <f t="shared" si="4"/>
        <v>22.846179748570805</v>
      </c>
      <c r="D33" s="8">
        <f t="shared" si="4"/>
        <v>24.113260246585266</v>
      </c>
      <c r="E33" s="8">
        <f t="shared" si="4"/>
        <v>25.298241296712455</v>
      </c>
      <c r="F33" s="8">
        <f t="shared" si="4"/>
        <v>26.412611261157068</v>
      </c>
      <c r="G33" s="8">
        <f t="shared" si="4"/>
        <v>27.465371958308939</v>
      </c>
      <c r="H33" s="8">
        <f t="shared" si="4"/>
        <v>28.463738969383726</v>
      </c>
      <c r="I33" s="8">
        <f t="shared" si="4"/>
        <v>29.413606278864052</v>
      </c>
      <c r="J33" s="8">
        <f t="shared" si="4"/>
        <v>30.319865615872583</v>
      </c>
      <c r="K33" s="14">
        <f t="shared" si="4"/>
        <v>31.186632534222994</v>
      </c>
    </row>
    <row r="34" spans="1:12" ht="18">
      <c r="A34" s="7" t="s">
        <v>47</v>
      </c>
      <c r="B34" s="8">
        <f t="shared" ref="B34:K34" si="5">B32*($M$18/$M$9+$M$29-TAN(B33*PI()/180)+B33*PI()/180)</f>
        <v>14.322222048389861</v>
      </c>
      <c r="C34" s="8">
        <f t="shared" si="5"/>
        <v>13.655622430229039</v>
      </c>
      <c r="D34" s="8">
        <f t="shared" si="5"/>
        <v>12.927859987189704</v>
      </c>
      <c r="E34" s="8">
        <f t="shared" si="5"/>
        <v>12.141164757558156</v>
      </c>
      <c r="F34" s="8">
        <f t="shared" si="5"/>
        <v>11.297376233562083</v>
      </c>
      <c r="G34" s="8">
        <f t="shared" si="5"/>
        <v>10.398037554532884</v>
      </c>
      <c r="H34" s="8">
        <f t="shared" si="5"/>
        <v>9.4444612437496129</v>
      </c>
      <c r="I34" s="8">
        <f t="shared" si="5"/>
        <v>8.4377766089784441</v>
      </c>
      <c r="J34" s="8">
        <f t="shared" si="5"/>
        <v>7.3789648568350561</v>
      </c>
      <c r="K34" s="8">
        <f t="shared" si="5"/>
        <v>6.2688857029993104</v>
      </c>
    </row>
    <row r="35" spans="1:12">
      <c r="A35" s="11" t="s">
        <v>50</v>
      </c>
      <c r="B35" s="13">
        <f>L35/9</f>
        <v>8.2223013446644906</v>
      </c>
      <c r="C35" s="13">
        <f t="shared" ref="C35:J35" si="6">B35+$L$35/9</f>
        <v>16.444602689328981</v>
      </c>
      <c r="D35" s="13">
        <f t="shared" si="6"/>
        <v>24.666904033993472</v>
      </c>
      <c r="E35" s="13">
        <f t="shared" si="6"/>
        <v>32.889205378657962</v>
      </c>
      <c r="F35" s="13">
        <f t="shared" si="6"/>
        <v>41.111506723322449</v>
      </c>
      <c r="G35" s="13">
        <f t="shared" si="6"/>
        <v>49.333808067986936</v>
      </c>
      <c r="H35" s="13">
        <f t="shared" si="6"/>
        <v>57.556109412651423</v>
      </c>
      <c r="I35" s="13">
        <f t="shared" si="6"/>
        <v>65.77841075731591</v>
      </c>
      <c r="J35" s="13">
        <f t="shared" si="6"/>
        <v>74.000712101980398</v>
      </c>
      <c r="K35" s="12" t="s">
        <v>54</v>
      </c>
      <c r="L35" s="12">
        <f>0.5*TAN(K5)*SUM(K17:N17)</f>
        <v>74.000712101980412</v>
      </c>
    </row>
    <row r="36" spans="1:12" ht="18">
      <c r="A36" s="11" t="s">
        <v>51</v>
      </c>
      <c r="B36" s="17">
        <f>1+1/$K$8*(1-$L$35/B35)</f>
        <v>-3.4799999999999995</v>
      </c>
      <c r="C36" s="17">
        <f t="shared" ref="C36:J36" si="7">1+1/$K$8*(1-$L$35/C35)</f>
        <v>-0.95999999999999974</v>
      </c>
      <c r="D36" s="17">
        <f t="shared" si="7"/>
        <v>-0.11999999999999988</v>
      </c>
      <c r="E36" s="17">
        <f t="shared" si="7"/>
        <v>0.30000000000000004</v>
      </c>
      <c r="F36" s="17">
        <f t="shared" si="7"/>
        <v>0.55200000000000005</v>
      </c>
      <c r="G36" s="17">
        <f t="shared" si="7"/>
        <v>0.72</v>
      </c>
      <c r="H36" s="17">
        <f t="shared" si="7"/>
        <v>0.84</v>
      </c>
      <c r="I36" s="17">
        <f t="shared" si="7"/>
        <v>0.92999999999999994</v>
      </c>
      <c r="J36" s="17">
        <f t="shared" si="7"/>
        <v>0.99999999999999989</v>
      </c>
      <c r="K36" s="15"/>
    </row>
    <row r="37" spans="1:12" ht="18">
      <c r="A37" s="11" t="s">
        <v>52</v>
      </c>
      <c r="B37" s="17">
        <f>1+$K$8*(1-$L$35/($L$35-B35))</f>
        <v>0.7767857142857143</v>
      </c>
      <c r="C37" s="17">
        <f t="shared" ref="C37:J37" si="8">1+$K$8*(1-$L$35/($L$35-C35))</f>
        <v>0.48979591836734671</v>
      </c>
      <c r="D37" s="17">
        <f t="shared" si="8"/>
        <v>0.10714285714285665</v>
      </c>
      <c r="E37" s="17">
        <f t="shared" si="8"/>
        <v>-0.42857142857142883</v>
      </c>
      <c r="F37" s="17">
        <f t="shared" si="8"/>
        <v>-1.2321428571428572</v>
      </c>
      <c r="G37" s="17">
        <f t="shared" si="8"/>
        <v>-2.5714285714285707</v>
      </c>
      <c r="H37" s="17">
        <f t="shared" si="8"/>
        <v>-5.2499999999999973</v>
      </c>
      <c r="I37" s="17">
        <f t="shared" si="8"/>
        <v>-13.285714285714263</v>
      </c>
      <c r="J37" s="17">
        <f t="shared" si="8"/>
        <v>-9298816390837896</v>
      </c>
      <c r="K37" s="16"/>
    </row>
    <row r="38" spans="1:1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2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</row>
  </sheetData>
  <mergeCells count="75">
    <mergeCell ref="A1:D1"/>
    <mergeCell ref="E1:J1"/>
    <mergeCell ref="K1:L1"/>
    <mergeCell ref="M1:N1"/>
    <mergeCell ref="A2:D2"/>
    <mergeCell ref="E2:J2"/>
    <mergeCell ref="K2:L2"/>
    <mergeCell ref="M2:N2"/>
    <mergeCell ref="A7:D7"/>
    <mergeCell ref="E7:J7"/>
    <mergeCell ref="K7:N7"/>
    <mergeCell ref="K6:N6"/>
    <mergeCell ref="A3:D3"/>
    <mergeCell ref="E3:J3"/>
    <mergeCell ref="K3:L3"/>
    <mergeCell ref="M3:N3"/>
    <mergeCell ref="A4:D4"/>
    <mergeCell ref="E4:J4"/>
    <mergeCell ref="K4:N4"/>
    <mergeCell ref="A5:D5"/>
    <mergeCell ref="E5:J5"/>
    <mergeCell ref="K5:N5"/>
    <mergeCell ref="A6:D6"/>
    <mergeCell ref="E6:J6"/>
    <mergeCell ref="A8:D8"/>
    <mergeCell ref="E8:J8"/>
    <mergeCell ref="K8:N8"/>
    <mergeCell ref="A9:D9"/>
    <mergeCell ref="E9:J9"/>
    <mergeCell ref="K9:L9"/>
    <mergeCell ref="M9:N9"/>
    <mergeCell ref="A10:D10"/>
    <mergeCell ref="E10:J10"/>
    <mergeCell ref="K10:L10"/>
    <mergeCell ref="M10:N10"/>
    <mergeCell ref="A11:D12"/>
    <mergeCell ref="E11:J12"/>
    <mergeCell ref="K11:N12"/>
    <mergeCell ref="E17:J17"/>
    <mergeCell ref="K17:L17"/>
    <mergeCell ref="M17:N17"/>
    <mergeCell ref="A13:D14"/>
    <mergeCell ref="E13:J14"/>
    <mergeCell ref="K13:N14"/>
    <mergeCell ref="A15:D15"/>
    <mergeCell ref="E15:J15"/>
    <mergeCell ref="K15:L15"/>
    <mergeCell ref="M15:N15"/>
    <mergeCell ref="A16:D16"/>
    <mergeCell ref="E16:J16"/>
    <mergeCell ref="K16:L16"/>
    <mergeCell ref="M16:N16"/>
    <mergeCell ref="A17:D17"/>
    <mergeCell ref="A27:D28"/>
    <mergeCell ref="E27:J28"/>
    <mergeCell ref="K27:L28"/>
    <mergeCell ref="M27:N28"/>
    <mergeCell ref="A20:D21"/>
    <mergeCell ref="E20:J21"/>
    <mergeCell ref="K20:N21"/>
    <mergeCell ref="A22:N22"/>
    <mergeCell ref="A23:D24"/>
    <mergeCell ref="E23:J24"/>
    <mergeCell ref="K23:N24"/>
    <mergeCell ref="A25:D26"/>
    <mergeCell ref="E25:J26"/>
    <mergeCell ref="K25:L26"/>
    <mergeCell ref="M25:N26"/>
    <mergeCell ref="A18:D18"/>
    <mergeCell ref="E18:J18"/>
    <mergeCell ref="K18:L18"/>
    <mergeCell ref="M18:N18"/>
    <mergeCell ref="A19:D19"/>
    <mergeCell ref="E19:J19"/>
    <mergeCell ref="K19:N19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</dc:creator>
  <cp:lastModifiedBy>Misha</cp:lastModifiedBy>
  <dcterms:created xsi:type="dcterms:W3CDTF">2008-06-20T18:23:24Z</dcterms:created>
  <dcterms:modified xsi:type="dcterms:W3CDTF">2014-04-26T16:32:58Z</dcterms:modified>
</cp:coreProperties>
</file>